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filterPrivacy="1"/>
  <xr:revisionPtr revIDLastSave="1361" documentId="13_ncr:1_{711A228F-77E8-4284-AB32-195949420C98}" xr6:coauthVersionLast="47" xr6:coauthVersionMax="47" xr10:uidLastSave="{AE05184F-C7FB-4AD9-93A7-BACF91C89386}"/>
  <bookViews>
    <workbookView xWindow="-120" yWindow="-120" windowWidth="29040" windowHeight="15840" tabRatio="847" xr2:uid="{00000000-000D-0000-FFFF-FFFF00000000}"/>
  </bookViews>
  <sheets>
    <sheet name="CONGUAGLI" sheetId="6" r:id="rId1"/>
    <sheet name="scaduti" sheetId="8" r:id="rId2"/>
    <sheet name="conti" sheetId="7" state="hidden" r:id="rId3"/>
    <sheet name="CONGUAGLI  old al 17-6" sheetId="5" state="hidden" r:id="rId4"/>
    <sheet name="noleggi" sheetId="1" state="hidden" r:id="rId5"/>
    <sheet name="CONGUAGLI old o chiusi" sheetId="2" state="hidden" r:id="rId6"/>
    <sheet name="CONTI A4" sheetId="3" state="hidden" r:id="rId7"/>
  </sheets>
  <definedNames>
    <definedName name="_xlnm._FilterDatabase" localSheetId="0" hidden="1">CONGUAGLI!$A$1:$AS$54</definedName>
    <definedName name="_xlnm._FilterDatabase" localSheetId="3" hidden="1">'CONGUAGLI  old al 17-6'!$B$1:$AE$1</definedName>
    <definedName name="_xlnm._FilterDatabase" localSheetId="4" hidden="1">noleggi!$A$1:$N$38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4" i="6" l="1"/>
  <c r="AJ14" i="6"/>
  <c r="AA14" i="6"/>
  <c r="Z14" i="6"/>
  <c r="Y14" i="6"/>
  <c r="AJ37" i="6"/>
  <c r="AK37" i="6"/>
  <c r="I41" i="6"/>
  <c r="J41" i="6" s="1"/>
  <c r="AK60" i="6"/>
  <c r="AJ60" i="6"/>
  <c r="AA60" i="6"/>
  <c r="Z60" i="6"/>
  <c r="Y60" i="6"/>
  <c r="I60" i="6"/>
  <c r="J60" i="6" s="1"/>
  <c r="AA41" i="6"/>
  <c r="Z41" i="6"/>
  <c r="Y41" i="6"/>
  <c r="AK25" i="6"/>
  <c r="AJ25" i="6"/>
  <c r="AA25" i="6"/>
  <c r="Z25" i="6"/>
  <c r="Y25" i="6"/>
  <c r="AJ24" i="6"/>
  <c r="AA24" i="6"/>
  <c r="Z24" i="6"/>
  <c r="Y24" i="6"/>
  <c r="I25" i="6"/>
  <c r="J25" i="6" s="1"/>
  <c r="I24" i="6"/>
  <c r="J24" i="6" s="1"/>
  <c r="O15" i="7"/>
  <c r="M8" i="7"/>
  <c r="Q8" i="7"/>
  <c r="S8" i="7" s="1"/>
  <c r="V8" i="7" s="1"/>
  <c r="Q9" i="7"/>
  <c r="S9" i="7" s="1"/>
  <c r="V9" i="7" s="1"/>
  <c r="AE10" i="8"/>
  <c r="AG10" i="8" s="1"/>
  <c r="AI10" i="8" s="1"/>
  <c r="AC10" i="8"/>
  <c r="AB10" i="8"/>
  <c r="AD10" i="8" s="1"/>
  <c r="AF10" i="8" s="1"/>
  <c r="AH10" i="8" s="1"/>
  <c r="AA10" i="8"/>
  <c r="Z10" i="8"/>
  <c r="Y10" i="8"/>
  <c r="I10" i="8"/>
  <c r="J10" i="8" s="1"/>
  <c r="AK52" i="6"/>
  <c r="AK47" i="6"/>
  <c r="AK48" i="6"/>
  <c r="AK19" i="6"/>
  <c r="AK20" i="6"/>
  <c r="AK21" i="6"/>
  <c r="AK22" i="6"/>
  <c r="AK23" i="6"/>
  <c r="AK26" i="6"/>
  <c r="AK27" i="6"/>
  <c r="AK28" i="6"/>
  <c r="AK29" i="6"/>
  <c r="AK30" i="6"/>
  <c r="AK31" i="6"/>
  <c r="AK32" i="6"/>
  <c r="AK33" i="6"/>
  <c r="AK34" i="6"/>
  <c r="AK35" i="6"/>
  <c r="AK36" i="6"/>
  <c r="AK38" i="6"/>
  <c r="AK39" i="6"/>
  <c r="AK40" i="6"/>
  <c r="AK41" i="6"/>
  <c r="AK42" i="6"/>
  <c r="AK43" i="6"/>
  <c r="AK44" i="6"/>
  <c r="AK10" i="6"/>
  <c r="AK11" i="6"/>
  <c r="AK12" i="6"/>
  <c r="AJ16" i="6"/>
  <c r="AJ17" i="6"/>
  <c r="AJ18" i="6"/>
  <c r="AJ19" i="6"/>
  <c r="AJ20" i="6"/>
  <c r="AJ21" i="6"/>
  <c r="AJ22" i="6"/>
  <c r="AJ23" i="6"/>
  <c r="AJ26" i="6"/>
  <c r="AJ27" i="6"/>
  <c r="AJ28" i="6"/>
  <c r="AJ29" i="6"/>
  <c r="AJ30" i="6"/>
  <c r="AJ31" i="6"/>
  <c r="AJ32" i="6"/>
  <c r="AJ33" i="6"/>
  <c r="AJ34" i="6"/>
  <c r="AJ35" i="6"/>
  <c r="AJ36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4" i="6"/>
  <c r="AJ5" i="6"/>
  <c r="AJ6" i="6"/>
  <c r="AJ7" i="6"/>
  <c r="AJ8" i="6"/>
  <c r="AJ9" i="6"/>
  <c r="AJ10" i="6"/>
  <c r="AJ11" i="6"/>
  <c r="AJ12" i="6"/>
  <c r="AK4" i="6"/>
  <c r="AK5" i="6"/>
  <c r="Y4" i="6"/>
  <c r="Z4" i="6"/>
  <c r="AA4" i="6"/>
  <c r="Y5" i="6"/>
  <c r="Z5" i="6"/>
  <c r="AA5" i="6"/>
  <c r="Y6" i="6"/>
  <c r="Z6" i="6"/>
  <c r="AA6" i="6"/>
  <c r="Y7" i="6"/>
  <c r="Z7" i="6"/>
  <c r="AA7" i="6"/>
  <c r="Y8" i="6"/>
  <c r="Z8" i="6"/>
  <c r="AA8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AK13" i="6" s="1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6" i="6"/>
  <c r="Z26" i="6"/>
  <c r="AA26" i="6"/>
  <c r="Y27" i="6"/>
  <c r="Z27" i="6"/>
  <c r="AA27" i="6"/>
  <c r="Y28" i="6"/>
  <c r="Z28" i="6"/>
  <c r="AA28" i="6"/>
  <c r="Y29" i="6"/>
  <c r="Z29" i="6"/>
  <c r="AA29" i="6"/>
  <c r="Y30" i="6"/>
  <c r="Z30" i="6"/>
  <c r="AA30" i="6"/>
  <c r="Y31" i="6"/>
  <c r="Z31" i="6"/>
  <c r="AA31" i="6"/>
  <c r="Y32" i="6"/>
  <c r="Z32" i="6"/>
  <c r="AA32" i="6"/>
  <c r="Y33" i="6"/>
  <c r="Z33" i="6"/>
  <c r="AA33" i="6"/>
  <c r="Y34" i="6"/>
  <c r="Z34" i="6"/>
  <c r="AA34" i="6"/>
  <c r="Y35" i="6"/>
  <c r="Z35" i="6"/>
  <c r="AA35" i="6"/>
  <c r="Y36" i="6"/>
  <c r="Z36" i="6"/>
  <c r="AA36" i="6"/>
  <c r="Y38" i="6"/>
  <c r="Z38" i="6"/>
  <c r="AA38" i="6"/>
  <c r="Y39" i="6"/>
  <c r="Z39" i="6"/>
  <c r="AA39" i="6"/>
  <c r="Y40" i="6"/>
  <c r="Z40" i="6"/>
  <c r="AA40" i="6"/>
  <c r="Y42" i="6"/>
  <c r="Z42" i="6"/>
  <c r="AA42" i="6"/>
  <c r="Y43" i="6"/>
  <c r="Z43" i="6"/>
  <c r="AA43" i="6"/>
  <c r="Y44" i="6"/>
  <c r="Z44" i="6"/>
  <c r="AA44" i="6"/>
  <c r="Y45" i="6"/>
  <c r="Z45" i="6"/>
  <c r="AA45" i="6"/>
  <c r="Y46" i="6"/>
  <c r="Z46" i="6"/>
  <c r="AA46" i="6"/>
  <c r="Y47" i="6"/>
  <c r="Z47" i="6"/>
  <c r="AA47" i="6"/>
  <c r="Y48" i="6"/>
  <c r="Z48" i="6"/>
  <c r="AA48" i="6"/>
  <c r="Y49" i="6"/>
  <c r="Z49" i="6"/>
  <c r="AA49" i="6"/>
  <c r="Y50" i="6"/>
  <c r="Z50" i="6"/>
  <c r="AA50" i="6"/>
  <c r="Y51" i="6"/>
  <c r="Z51" i="6"/>
  <c r="AA51" i="6"/>
  <c r="Y52" i="6"/>
  <c r="Z52" i="6"/>
  <c r="AA52" i="6"/>
  <c r="Y53" i="6"/>
  <c r="Z53" i="6"/>
  <c r="AA53" i="6"/>
  <c r="Y54" i="6"/>
  <c r="Z54" i="6"/>
  <c r="AA54" i="6"/>
  <c r="AK46" i="6"/>
  <c r="AK51" i="6"/>
  <c r="AK15" i="6"/>
  <c r="AJ15" i="6"/>
  <c r="AK9" i="6"/>
  <c r="AK18" i="6"/>
  <c r="AK16" i="6"/>
  <c r="AJ3" i="6"/>
  <c r="AK3" i="6"/>
  <c r="Y3" i="6"/>
  <c r="Z3" i="6"/>
  <c r="AA3" i="6"/>
  <c r="AJ2" i="6"/>
  <c r="AK2" i="6"/>
  <c r="Y2" i="6"/>
  <c r="Z2" i="6"/>
  <c r="AA2" i="6"/>
  <c r="X7" i="8"/>
  <c r="W7" i="8"/>
  <c r="AJ7" i="8" s="1"/>
  <c r="V7" i="8"/>
  <c r="AI7" i="8" s="1"/>
  <c r="I7" i="8"/>
  <c r="H7" i="8"/>
  <c r="AJ5" i="8"/>
  <c r="AI5" i="8"/>
  <c r="Z5" i="8"/>
  <c r="Y5" i="8"/>
  <c r="X5" i="8"/>
  <c r="H5" i="8"/>
  <c r="I5" i="8" s="1"/>
  <c r="AJ3" i="8"/>
  <c r="AI3" i="8"/>
  <c r="Z3" i="8"/>
  <c r="Y3" i="8"/>
  <c r="X3" i="8"/>
  <c r="H3" i="8"/>
  <c r="I3" i="8" s="1"/>
  <c r="AJ2" i="8"/>
  <c r="AI2" i="8"/>
  <c r="AB2" i="8"/>
  <c r="AD2" i="8" s="1"/>
  <c r="AF2" i="8" s="1"/>
  <c r="AH2" i="8" s="1"/>
  <c r="Z2" i="8"/>
  <c r="Y2" i="8"/>
  <c r="AA2" i="8" s="1"/>
  <c r="AC2" i="8" s="1"/>
  <c r="AE2" i="8" s="1"/>
  <c r="AG2" i="8" s="1"/>
  <c r="X2" i="8"/>
  <c r="H2" i="8"/>
  <c r="I2" i="8" s="1"/>
  <c r="AJ1" i="8"/>
  <c r="AI1" i="8"/>
  <c r="AB1" i="8"/>
  <c r="AD1" i="8" s="1"/>
  <c r="AF1" i="8" s="1"/>
  <c r="AH1" i="8" s="1"/>
  <c r="AA1" i="8"/>
  <c r="AC1" i="8" s="1"/>
  <c r="AE1" i="8" s="1"/>
  <c r="AG1" i="8" s="1"/>
  <c r="Z1" i="8"/>
  <c r="Y1" i="8"/>
  <c r="X1" i="8"/>
  <c r="H1" i="8"/>
  <c r="I1" i="8" s="1"/>
  <c r="I33" i="6"/>
  <c r="J33" i="6" s="1"/>
  <c r="I46" i="6"/>
  <c r="J46" i="6" s="1"/>
  <c r="I34" i="6"/>
  <c r="J34" i="6" s="1"/>
  <c r="AC14" i="6" l="1"/>
  <c r="AE14" i="6" s="1"/>
  <c r="AG14" i="6" s="1"/>
  <c r="AI14" i="6" s="1"/>
  <c r="AB14" i="6"/>
  <c r="AD14" i="6" s="1"/>
  <c r="AF14" i="6" s="1"/>
  <c r="AH14" i="6" s="1"/>
  <c r="AC43" i="6"/>
  <c r="AE43" i="6" s="1"/>
  <c r="AG43" i="6" s="1"/>
  <c r="AI43" i="6" s="1"/>
  <c r="AC7" i="6"/>
  <c r="AE7" i="6" s="1"/>
  <c r="AG7" i="6" s="1"/>
  <c r="AI7" i="6" s="1"/>
  <c r="AB7" i="6"/>
  <c r="AD7" i="6" s="1"/>
  <c r="AF7" i="6" s="1"/>
  <c r="AH7" i="6" s="1"/>
  <c r="AC60" i="6"/>
  <c r="AE60" i="6" s="1"/>
  <c r="AG60" i="6" s="1"/>
  <c r="AI60" i="6" s="1"/>
  <c r="AB60" i="6"/>
  <c r="AD60" i="6" s="1"/>
  <c r="AF60" i="6" s="1"/>
  <c r="AH60" i="6" s="1"/>
  <c r="AC50" i="6"/>
  <c r="AE50" i="6" s="1"/>
  <c r="AG50" i="6" s="1"/>
  <c r="AI50" i="6" s="1"/>
  <c r="AB50" i="6"/>
  <c r="AD50" i="6" s="1"/>
  <c r="AF50" i="6" s="1"/>
  <c r="AH50" i="6" s="1"/>
  <c r="AC41" i="6"/>
  <c r="AE41" i="6" s="1"/>
  <c r="AG41" i="6" s="1"/>
  <c r="AI41" i="6" s="1"/>
  <c r="AB41" i="6"/>
  <c r="AD41" i="6" s="1"/>
  <c r="AF41" i="6" s="1"/>
  <c r="AH41" i="6" s="1"/>
  <c r="AC4" i="6"/>
  <c r="AE4" i="6" s="1"/>
  <c r="AG4" i="6" s="1"/>
  <c r="AI4" i="6" s="1"/>
  <c r="AC25" i="6"/>
  <c r="AE25" i="6" s="1"/>
  <c r="AG25" i="6" s="1"/>
  <c r="AI25" i="6" s="1"/>
  <c r="AB4" i="6"/>
  <c r="AD4" i="6" s="1"/>
  <c r="AF4" i="6" s="1"/>
  <c r="AH4" i="6" s="1"/>
  <c r="AB29" i="6"/>
  <c r="AD29" i="6" s="1"/>
  <c r="AF29" i="6" s="1"/>
  <c r="AH29" i="6" s="1"/>
  <c r="AB25" i="6"/>
  <c r="AD25" i="6" s="1"/>
  <c r="AF25" i="6" s="1"/>
  <c r="AH25" i="6" s="1"/>
  <c r="AB24" i="6"/>
  <c r="AD24" i="6" s="1"/>
  <c r="AF24" i="6" s="1"/>
  <c r="AH24" i="6" s="1"/>
  <c r="AC24" i="6"/>
  <c r="AE24" i="6" s="1"/>
  <c r="AG24" i="6" s="1"/>
  <c r="AI24" i="6" s="1"/>
  <c r="AC9" i="6"/>
  <c r="AE9" i="6" s="1"/>
  <c r="AG9" i="6" s="1"/>
  <c r="AI9" i="6" s="1"/>
  <c r="AB16" i="6"/>
  <c r="AD16" i="6" s="1"/>
  <c r="AF16" i="6" s="1"/>
  <c r="AH16" i="6" s="1"/>
  <c r="AC18" i="6"/>
  <c r="AE18" i="6" s="1"/>
  <c r="AG18" i="6" s="1"/>
  <c r="AI18" i="6" s="1"/>
  <c r="AC23" i="6"/>
  <c r="AE23" i="6" s="1"/>
  <c r="AG23" i="6" s="1"/>
  <c r="AI23" i="6" s="1"/>
  <c r="AB18" i="6"/>
  <c r="AD18" i="6" s="1"/>
  <c r="AF18" i="6" s="1"/>
  <c r="AH18" i="6" s="1"/>
  <c r="R8" i="7"/>
  <c r="R9" i="7"/>
  <c r="AB47" i="6"/>
  <c r="AD47" i="6" s="1"/>
  <c r="AF47" i="6" s="1"/>
  <c r="AH47" i="6" s="1"/>
  <c r="AC40" i="6"/>
  <c r="AE40" i="6" s="1"/>
  <c r="AG40" i="6" s="1"/>
  <c r="AI40" i="6" s="1"/>
  <c r="AC52" i="6"/>
  <c r="AE52" i="6" s="1"/>
  <c r="AG52" i="6" s="1"/>
  <c r="AI52" i="6" s="1"/>
  <c r="AC38" i="6"/>
  <c r="AE38" i="6" s="1"/>
  <c r="AG38" i="6" s="1"/>
  <c r="AI38" i="6" s="1"/>
  <c r="AC29" i="6"/>
  <c r="AE29" i="6" s="1"/>
  <c r="AG29" i="6" s="1"/>
  <c r="AI29" i="6" s="1"/>
  <c r="AB22" i="6"/>
  <c r="AD22" i="6" s="1"/>
  <c r="AF22" i="6" s="1"/>
  <c r="AH22" i="6" s="1"/>
  <c r="AB13" i="6"/>
  <c r="AD13" i="6" s="1"/>
  <c r="AF13" i="6" s="1"/>
  <c r="AH13" i="6" s="1"/>
  <c r="AB52" i="6"/>
  <c r="AD52" i="6" s="1"/>
  <c r="AF52" i="6" s="1"/>
  <c r="AH52" i="6" s="1"/>
  <c r="AB49" i="6"/>
  <c r="AD49" i="6" s="1"/>
  <c r="AF49" i="6" s="1"/>
  <c r="AH49" i="6" s="1"/>
  <c r="AC32" i="6"/>
  <c r="AE32" i="6" s="1"/>
  <c r="AG32" i="6" s="1"/>
  <c r="AI32" i="6" s="1"/>
  <c r="AB54" i="6"/>
  <c r="AD54" i="6" s="1"/>
  <c r="AF54" i="6" s="1"/>
  <c r="AH54" i="6" s="1"/>
  <c r="AB27" i="6"/>
  <c r="AD27" i="6" s="1"/>
  <c r="AF27" i="6" s="1"/>
  <c r="AH27" i="6" s="1"/>
  <c r="AB17" i="6"/>
  <c r="AD17" i="6" s="1"/>
  <c r="AF17" i="6" s="1"/>
  <c r="AH17" i="6" s="1"/>
  <c r="AC10" i="6"/>
  <c r="AE10" i="6" s="1"/>
  <c r="AG10" i="6" s="1"/>
  <c r="AI10" i="6" s="1"/>
  <c r="AC5" i="6"/>
  <c r="AE5" i="6" s="1"/>
  <c r="AG5" i="6" s="1"/>
  <c r="AI5" i="6" s="1"/>
  <c r="AB48" i="6"/>
  <c r="AD48" i="6" s="1"/>
  <c r="AF48" i="6" s="1"/>
  <c r="AH48" i="6" s="1"/>
  <c r="AB34" i="6"/>
  <c r="AD34" i="6" s="1"/>
  <c r="AF34" i="6" s="1"/>
  <c r="AH34" i="6" s="1"/>
  <c r="AC31" i="6"/>
  <c r="AE31" i="6" s="1"/>
  <c r="AG31" i="6" s="1"/>
  <c r="AI31" i="6" s="1"/>
  <c r="AC16" i="6"/>
  <c r="AE16" i="6" s="1"/>
  <c r="AG16" i="6" s="1"/>
  <c r="AI16" i="6" s="1"/>
  <c r="AB10" i="6"/>
  <c r="AD10" i="6" s="1"/>
  <c r="AF10" i="6" s="1"/>
  <c r="AH10" i="6" s="1"/>
  <c r="AB5" i="6"/>
  <c r="AD5" i="6" s="1"/>
  <c r="AF5" i="6" s="1"/>
  <c r="AH5" i="6" s="1"/>
  <c r="AJ13" i="6"/>
  <c r="AB46" i="6"/>
  <c r="AD46" i="6" s="1"/>
  <c r="AF46" i="6" s="1"/>
  <c r="AH46" i="6" s="1"/>
  <c r="AB43" i="6"/>
  <c r="AD43" i="6" s="1"/>
  <c r="AF43" i="6" s="1"/>
  <c r="AH43" i="6" s="1"/>
  <c r="AB32" i="6"/>
  <c r="AD32" i="6" s="1"/>
  <c r="AF32" i="6" s="1"/>
  <c r="AH32" i="6" s="1"/>
  <c r="AB5" i="8"/>
  <c r="AD5" i="8" s="1"/>
  <c r="AF5" i="8" s="1"/>
  <c r="AH5" i="8" s="1"/>
  <c r="AA5" i="8"/>
  <c r="AC5" i="8" s="1"/>
  <c r="AE5" i="8" s="1"/>
  <c r="AG5" i="8" s="1"/>
  <c r="AA3" i="8"/>
  <c r="AC3" i="8" s="1"/>
  <c r="AE3" i="8" s="1"/>
  <c r="AG3" i="8" s="1"/>
  <c r="AB40" i="6"/>
  <c r="AD40" i="6" s="1"/>
  <c r="AF40" i="6" s="1"/>
  <c r="AH40" i="6" s="1"/>
  <c r="AC26" i="6"/>
  <c r="AE26" i="6" s="1"/>
  <c r="AG26" i="6" s="1"/>
  <c r="AI26" i="6" s="1"/>
  <c r="AC6" i="6"/>
  <c r="AE6" i="6" s="1"/>
  <c r="AG6" i="6" s="1"/>
  <c r="AI6" i="6" s="1"/>
  <c r="AB3" i="8"/>
  <c r="AD3" i="8" s="1"/>
  <c r="AF3" i="8" s="1"/>
  <c r="AH3" i="8" s="1"/>
  <c r="AC28" i="6"/>
  <c r="AE28" i="6" s="1"/>
  <c r="AG28" i="6" s="1"/>
  <c r="AI28" i="6" s="1"/>
  <c r="AB26" i="6"/>
  <c r="AD26" i="6" s="1"/>
  <c r="AF26" i="6" s="1"/>
  <c r="AH26" i="6" s="1"/>
  <c r="AC49" i="6"/>
  <c r="AE49" i="6" s="1"/>
  <c r="AG49" i="6" s="1"/>
  <c r="AI49" i="6" s="1"/>
  <c r="AB28" i="6"/>
  <c r="AD28" i="6" s="1"/>
  <c r="AF28" i="6" s="1"/>
  <c r="AH28" i="6" s="1"/>
  <c r="AB19" i="6"/>
  <c r="AD19" i="6" s="1"/>
  <c r="AF19" i="6" s="1"/>
  <c r="AH19" i="6" s="1"/>
  <c r="AC34" i="6"/>
  <c r="AE34" i="6" s="1"/>
  <c r="AG34" i="6" s="1"/>
  <c r="AI34" i="6" s="1"/>
  <c r="AC27" i="6"/>
  <c r="AE27" i="6" s="1"/>
  <c r="AG27" i="6" s="1"/>
  <c r="AI27" i="6" s="1"/>
  <c r="AC21" i="6"/>
  <c r="AE21" i="6" s="1"/>
  <c r="AG21" i="6" s="1"/>
  <c r="AI21" i="6" s="1"/>
  <c r="AC13" i="6"/>
  <c r="AE13" i="6" s="1"/>
  <c r="AG13" i="6" s="1"/>
  <c r="AI13" i="6" s="1"/>
  <c r="AB6" i="6"/>
  <c r="AD6" i="6" s="1"/>
  <c r="AF6" i="6" s="1"/>
  <c r="AH6" i="6" s="1"/>
  <c r="AB23" i="6"/>
  <c r="AD23" i="6" s="1"/>
  <c r="AF23" i="6" s="1"/>
  <c r="AH23" i="6" s="1"/>
  <c r="AC51" i="6"/>
  <c r="AE51" i="6" s="1"/>
  <c r="AG51" i="6" s="1"/>
  <c r="AI51" i="6" s="1"/>
  <c r="AC39" i="6"/>
  <c r="AE39" i="6" s="1"/>
  <c r="AG39" i="6" s="1"/>
  <c r="AI39" i="6" s="1"/>
  <c r="AC53" i="6"/>
  <c r="AE53" i="6" s="1"/>
  <c r="AG53" i="6" s="1"/>
  <c r="AI53" i="6" s="1"/>
  <c r="AB51" i="6"/>
  <c r="AD51" i="6" s="1"/>
  <c r="AF51" i="6" s="1"/>
  <c r="AH51" i="6" s="1"/>
  <c r="AC20" i="6"/>
  <c r="AE20" i="6" s="1"/>
  <c r="AG20" i="6" s="1"/>
  <c r="AI20" i="6" s="1"/>
  <c r="AC12" i="6"/>
  <c r="AE12" i="6" s="1"/>
  <c r="AG12" i="6" s="1"/>
  <c r="AI12" i="6" s="1"/>
  <c r="AC45" i="6"/>
  <c r="AE45" i="6" s="1"/>
  <c r="AG45" i="6" s="1"/>
  <c r="AI45" i="6" s="1"/>
  <c r="AC22" i="6"/>
  <c r="AE22" i="6" s="1"/>
  <c r="AG22" i="6" s="1"/>
  <c r="AI22" i="6" s="1"/>
  <c r="AC54" i="6"/>
  <c r="AE54" i="6" s="1"/>
  <c r="AG54" i="6" s="1"/>
  <c r="AI54" i="6" s="1"/>
  <c r="AB45" i="6"/>
  <c r="AD45" i="6" s="1"/>
  <c r="AF45" i="6" s="1"/>
  <c r="AH45" i="6" s="1"/>
  <c r="AC30" i="6"/>
  <c r="AE30" i="6" s="1"/>
  <c r="AG30" i="6" s="1"/>
  <c r="AI30" i="6" s="1"/>
  <c r="AB20" i="6"/>
  <c r="AD20" i="6" s="1"/>
  <c r="AF20" i="6" s="1"/>
  <c r="AH20" i="6" s="1"/>
  <c r="AB15" i="6"/>
  <c r="AD15" i="6" s="1"/>
  <c r="AF15" i="6" s="1"/>
  <c r="AH15" i="6" s="1"/>
  <c r="AB9" i="6"/>
  <c r="AD9" i="6" s="1"/>
  <c r="AF9" i="6" s="1"/>
  <c r="AH9" i="6" s="1"/>
  <c r="AC47" i="6"/>
  <c r="AE47" i="6" s="1"/>
  <c r="AG47" i="6" s="1"/>
  <c r="AI47" i="6" s="1"/>
  <c r="AB33" i="6"/>
  <c r="AD33" i="6" s="1"/>
  <c r="AF33" i="6" s="1"/>
  <c r="AH33" i="6" s="1"/>
  <c r="AC46" i="6"/>
  <c r="AE46" i="6" s="1"/>
  <c r="AG46" i="6" s="1"/>
  <c r="AI46" i="6" s="1"/>
  <c r="AC36" i="6"/>
  <c r="AB31" i="6"/>
  <c r="AD31" i="6" s="1"/>
  <c r="AF31" i="6" s="1"/>
  <c r="AH31" i="6" s="1"/>
  <c r="AC8" i="6"/>
  <c r="AE8" i="6" s="1"/>
  <c r="AG8" i="6" s="1"/>
  <c r="AI8" i="6" s="1"/>
  <c r="AC19" i="6"/>
  <c r="AE19" i="6" s="1"/>
  <c r="AG19" i="6" s="1"/>
  <c r="AI19" i="6" s="1"/>
  <c r="AB12" i="6"/>
  <c r="AD12" i="6" s="1"/>
  <c r="AF12" i="6" s="1"/>
  <c r="AH12" i="6" s="1"/>
  <c r="AB53" i="6"/>
  <c r="AD53" i="6" s="1"/>
  <c r="AF53" i="6" s="1"/>
  <c r="AH53" i="6" s="1"/>
  <c r="AC48" i="6"/>
  <c r="AE48" i="6" s="1"/>
  <c r="AG48" i="6" s="1"/>
  <c r="AI48" i="6" s="1"/>
  <c r="AB36" i="6"/>
  <c r="AB21" i="6"/>
  <c r="AD21" i="6" s="1"/>
  <c r="AF21" i="6" s="1"/>
  <c r="AH21" i="6" s="1"/>
  <c r="AC17" i="6"/>
  <c r="AE17" i="6" s="1"/>
  <c r="AG17" i="6" s="1"/>
  <c r="AI17" i="6" s="1"/>
  <c r="AB8" i="6"/>
  <c r="AD8" i="6" s="1"/>
  <c r="AF8" i="6" s="1"/>
  <c r="AH8" i="6" s="1"/>
  <c r="AB39" i="6"/>
  <c r="AD39" i="6" s="1"/>
  <c r="AF39" i="6" s="1"/>
  <c r="AH39" i="6" s="1"/>
  <c r="AB38" i="6"/>
  <c r="AD38" i="6" s="1"/>
  <c r="AF38" i="6" s="1"/>
  <c r="AH38" i="6" s="1"/>
  <c r="AC44" i="6"/>
  <c r="AE44" i="6" s="1"/>
  <c r="AG44" i="6" s="1"/>
  <c r="AI44" i="6" s="1"/>
  <c r="AC35" i="6"/>
  <c r="AE35" i="6" s="1"/>
  <c r="AG35" i="6" s="1"/>
  <c r="AI35" i="6" s="1"/>
  <c r="AC15" i="6"/>
  <c r="AE15" i="6" s="1"/>
  <c r="AG15" i="6" s="1"/>
  <c r="AI15" i="6" s="1"/>
  <c r="AC11" i="6"/>
  <c r="AE11" i="6" s="1"/>
  <c r="AG11" i="6" s="1"/>
  <c r="AI11" i="6" s="1"/>
  <c r="AB44" i="6"/>
  <c r="AD44" i="6" s="1"/>
  <c r="AF44" i="6" s="1"/>
  <c r="AH44" i="6" s="1"/>
  <c r="AB35" i="6"/>
  <c r="AD35" i="6" s="1"/>
  <c r="AF35" i="6" s="1"/>
  <c r="AH35" i="6" s="1"/>
  <c r="AB11" i="6"/>
  <c r="AD11" i="6" s="1"/>
  <c r="AF11" i="6" s="1"/>
  <c r="AH11" i="6" s="1"/>
  <c r="AC42" i="6"/>
  <c r="AE42" i="6" s="1"/>
  <c r="AG42" i="6" s="1"/>
  <c r="AI42" i="6" s="1"/>
  <c r="AC33" i="6"/>
  <c r="AE33" i="6" s="1"/>
  <c r="AG33" i="6" s="1"/>
  <c r="AI33" i="6" s="1"/>
  <c r="AB42" i="6"/>
  <c r="AD42" i="6" s="1"/>
  <c r="AF42" i="6" s="1"/>
  <c r="AH42" i="6" s="1"/>
  <c r="AB30" i="6"/>
  <c r="AD30" i="6" s="1"/>
  <c r="AF30" i="6" s="1"/>
  <c r="AH30" i="6" s="1"/>
  <c r="AC3" i="6"/>
  <c r="AE3" i="6" s="1"/>
  <c r="AG3" i="6" s="1"/>
  <c r="AI3" i="6" s="1"/>
  <c r="AB3" i="6"/>
  <c r="AD3" i="6" s="1"/>
  <c r="AF3" i="6" s="1"/>
  <c r="AH3" i="6" s="1"/>
  <c r="AB2" i="6"/>
  <c r="AD2" i="6" s="1"/>
  <c r="AF2" i="6" s="1"/>
  <c r="AH2" i="6" s="1"/>
  <c r="AC2" i="6"/>
  <c r="AE2" i="6" s="1"/>
  <c r="AG2" i="6" s="1"/>
  <c r="AI2" i="6" s="1"/>
  <c r="Y7" i="8"/>
  <c r="AA7" i="8" s="1"/>
  <c r="AC7" i="8" s="1"/>
  <c r="AE7" i="8" s="1"/>
  <c r="AG7" i="8" s="1"/>
  <c r="Z7" i="8"/>
  <c r="AB7" i="8" s="1"/>
  <c r="AD7" i="8" s="1"/>
  <c r="AF7" i="8" s="1"/>
  <c r="AH7" i="8" s="1"/>
  <c r="F11" i="7"/>
  <c r="F8" i="7"/>
  <c r="F4" i="7" s="1"/>
  <c r="G11" i="7" s="1"/>
  <c r="C1" i="6"/>
  <c r="I26" i="6"/>
  <c r="J26" i="6" s="1"/>
  <c r="I13" i="6"/>
  <c r="J13" i="6" s="1"/>
  <c r="I47" i="6"/>
  <c r="J47" i="6" s="1"/>
  <c r="I4" i="6" l="1"/>
  <c r="J4" i="6" s="1"/>
  <c r="Q36" i="6"/>
  <c r="AE36" i="6" s="1"/>
  <c r="AG36" i="6" s="1"/>
  <c r="AI36" i="6" s="1"/>
  <c r="O36" i="6"/>
  <c r="AD36" i="6" s="1"/>
  <c r="AF36" i="6" s="1"/>
  <c r="AH36" i="6" s="1"/>
  <c r="I36" i="6"/>
  <c r="I31" i="6"/>
  <c r="J31" i="6" s="1"/>
  <c r="I8" i="6"/>
  <c r="J8" i="6" s="1"/>
  <c r="I5" i="6"/>
  <c r="J5" i="6" s="1"/>
  <c r="I6" i="6"/>
  <c r="J6" i="6" s="1"/>
  <c r="I7" i="6"/>
  <c r="J7" i="6" s="1"/>
  <c r="I9" i="6"/>
  <c r="J9" i="6" s="1"/>
  <c r="I10" i="6"/>
  <c r="J10" i="6" s="1"/>
  <c r="I11" i="6"/>
  <c r="J11" i="6" s="1"/>
  <c r="I28" i="6"/>
  <c r="J28" i="6" s="1"/>
  <c r="I17" i="6"/>
  <c r="J17" i="6" s="1"/>
  <c r="I15" i="6"/>
  <c r="J15" i="6" s="1"/>
  <c r="I16" i="6"/>
  <c r="J16" i="6" s="1"/>
  <c r="I18" i="6"/>
  <c r="J18" i="6" s="1"/>
  <c r="I19" i="6"/>
  <c r="J19" i="6" s="1"/>
  <c r="I3" i="6"/>
  <c r="J3" i="6" s="1"/>
  <c r="I20" i="6"/>
  <c r="J20" i="6" s="1"/>
  <c r="I21" i="6"/>
  <c r="J21" i="6" s="1"/>
  <c r="I22" i="6"/>
  <c r="J22" i="6" s="1"/>
  <c r="I23" i="6"/>
  <c r="J23" i="6" s="1"/>
  <c r="I27" i="6"/>
  <c r="J27" i="6" s="1"/>
  <c r="I29" i="6"/>
  <c r="J29" i="6" s="1"/>
  <c r="I32" i="6"/>
  <c r="J32" i="6" s="1"/>
  <c r="I30" i="6"/>
  <c r="J30" i="6" s="1"/>
  <c r="I35" i="6"/>
  <c r="J35" i="6" s="1"/>
  <c r="I39" i="6"/>
  <c r="J39" i="6" s="1"/>
  <c r="I40" i="6"/>
  <c r="J40" i="6" s="1"/>
  <c r="I38" i="6"/>
  <c r="J38" i="6" s="1"/>
  <c r="I42" i="6"/>
  <c r="J42" i="6" s="1"/>
  <c r="I43" i="6"/>
  <c r="J43" i="6" s="1"/>
  <c r="I44" i="6"/>
  <c r="J44" i="6" s="1"/>
  <c r="I45" i="6"/>
  <c r="J45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2" i="6"/>
  <c r="J2" i="6" s="1"/>
  <c r="J36" i="6" l="1"/>
  <c r="U5" i="5" l="1"/>
  <c r="U33" i="5"/>
  <c r="V4" i="5" l="1"/>
  <c r="W4" i="5"/>
  <c r="V5" i="5"/>
  <c r="W5" i="5"/>
  <c r="V6" i="5"/>
  <c r="W6" i="5"/>
  <c r="V3" i="5"/>
  <c r="W3" i="5"/>
  <c r="V7" i="5"/>
  <c r="W7" i="5"/>
  <c r="V8" i="5"/>
  <c r="W8" i="5"/>
  <c r="V9" i="5"/>
  <c r="W9" i="5"/>
  <c r="V11" i="5"/>
  <c r="W11" i="5"/>
  <c r="V12" i="5"/>
  <c r="W12" i="5"/>
  <c r="V13" i="5"/>
  <c r="W13" i="5"/>
  <c r="V14" i="5"/>
  <c r="X14" i="5" s="1"/>
  <c r="Z14" i="5" s="1"/>
  <c r="AB14" i="5" s="1"/>
  <c r="AD14" i="5" s="1"/>
  <c r="W14" i="5"/>
  <c r="V15" i="5"/>
  <c r="X15" i="5" s="1"/>
  <c r="Z15" i="5" s="1"/>
  <c r="AB15" i="5" s="1"/>
  <c r="AD15" i="5" s="1"/>
  <c r="W15" i="5"/>
  <c r="Y15" i="5" s="1"/>
  <c r="AA15" i="5" s="1"/>
  <c r="AC15" i="5" s="1"/>
  <c r="AE15" i="5" s="1"/>
  <c r="V16" i="5"/>
  <c r="W16" i="5"/>
  <c r="V17" i="5"/>
  <c r="W17" i="5"/>
  <c r="V19" i="5"/>
  <c r="W19" i="5"/>
  <c r="V20" i="5"/>
  <c r="W20" i="5"/>
  <c r="V18" i="5"/>
  <c r="W18" i="5"/>
  <c r="V21" i="5"/>
  <c r="W21" i="5"/>
  <c r="V22" i="5"/>
  <c r="W22" i="5"/>
  <c r="V23" i="5"/>
  <c r="W23" i="5"/>
  <c r="V24" i="5"/>
  <c r="W24" i="5"/>
  <c r="V25" i="5"/>
  <c r="W25" i="5"/>
  <c r="V28" i="5"/>
  <c r="W28" i="5"/>
  <c r="V27" i="5"/>
  <c r="W27" i="5"/>
  <c r="V26" i="5"/>
  <c r="W26" i="5"/>
  <c r="V29" i="5"/>
  <c r="W29" i="5"/>
  <c r="V31" i="5"/>
  <c r="W31" i="5"/>
  <c r="V32" i="5"/>
  <c r="W32" i="5"/>
  <c r="U4" i="5"/>
  <c r="Y5" i="5"/>
  <c r="AA5" i="5" s="1"/>
  <c r="AC5" i="5" s="1"/>
  <c r="AE5" i="5" s="1"/>
  <c r="U6" i="5"/>
  <c r="X6" i="5" s="1"/>
  <c r="Z6" i="5" s="1"/>
  <c r="AB6" i="5" s="1"/>
  <c r="AD6" i="5" s="1"/>
  <c r="U3" i="5"/>
  <c r="X3" i="5" s="1"/>
  <c r="Z3" i="5" s="1"/>
  <c r="AB3" i="5" s="1"/>
  <c r="AD3" i="5" s="1"/>
  <c r="U7" i="5"/>
  <c r="U8" i="5"/>
  <c r="U9" i="5"/>
  <c r="U11" i="5"/>
  <c r="U12" i="5"/>
  <c r="U13" i="5"/>
  <c r="U14" i="5"/>
  <c r="U15" i="5"/>
  <c r="U16" i="5"/>
  <c r="U17" i="5"/>
  <c r="U19" i="5"/>
  <c r="U20" i="5"/>
  <c r="U18" i="5"/>
  <c r="U21" i="5"/>
  <c r="X21" i="5" s="1"/>
  <c r="Z21" i="5" s="1"/>
  <c r="AB21" i="5" s="1"/>
  <c r="AD21" i="5" s="1"/>
  <c r="U22" i="5"/>
  <c r="X22" i="5" s="1"/>
  <c r="Z22" i="5" s="1"/>
  <c r="AB22" i="5" s="1"/>
  <c r="AD22" i="5" s="1"/>
  <c r="U23" i="5"/>
  <c r="X23" i="5" s="1"/>
  <c r="Z23" i="5" s="1"/>
  <c r="AB23" i="5" s="1"/>
  <c r="AD23" i="5" s="1"/>
  <c r="U24" i="5"/>
  <c r="X24" i="5" s="1"/>
  <c r="Z24" i="5" s="1"/>
  <c r="AB24" i="5" s="1"/>
  <c r="AD24" i="5" s="1"/>
  <c r="U25" i="5"/>
  <c r="U28" i="5"/>
  <c r="U27" i="5"/>
  <c r="U26" i="5"/>
  <c r="U29" i="5"/>
  <c r="U31" i="5"/>
  <c r="X31" i="5" s="1"/>
  <c r="Z31" i="5" s="1"/>
  <c r="AB31" i="5" s="1"/>
  <c r="AD31" i="5" s="1"/>
  <c r="U32" i="5"/>
  <c r="X32" i="5" s="1"/>
  <c r="Z32" i="5" s="1"/>
  <c r="AB32" i="5" s="1"/>
  <c r="AD32" i="5" s="1"/>
  <c r="Y20" i="5" l="1"/>
  <c r="AA20" i="5" s="1"/>
  <c r="AC20" i="5" s="1"/>
  <c r="AE20" i="5" s="1"/>
  <c r="X20" i="5"/>
  <c r="Z20" i="5" s="1"/>
  <c r="AB20" i="5" s="1"/>
  <c r="AD20" i="5" s="1"/>
  <c r="Y19" i="5"/>
  <c r="AA19" i="5" s="1"/>
  <c r="AC19" i="5" s="1"/>
  <c r="AE19" i="5" s="1"/>
  <c r="X28" i="5"/>
  <c r="Z28" i="5" s="1"/>
  <c r="AB28" i="5" s="1"/>
  <c r="AD28" i="5" s="1"/>
  <c r="X19" i="5"/>
  <c r="Z19" i="5" s="1"/>
  <c r="AB19" i="5" s="1"/>
  <c r="AD19" i="5" s="1"/>
  <c r="Y17" i="5"/>
  <c r="AA17" i="5" s="1"/>
  <c r="AC17" i="5" s="1"/>
  <c r="AE17" i="5" s="1"/>
  <c r="Y32" i="5"/>
  <c r="AA32" i="5" s="1"/>
  <c r="AC32" i="5" s="1"/>
  <c r="AE32" i="5" s="1"/>
  <c r="X17" i="5"/>
  <c r="Z17" i="5" s="1"/>
  <c r="AB17" i="5" s="1"/>
  <c r="AD17" i="5" s="1"/>
  <c r="Y16" i="5"/>
  <c r="AA16" i="5" s="1"/>
  <c r="AC16" i="5" s="1"/>
  <c r="AE16" i="5" s="1"/>
  <c r="X16" i="5"/>
  <c r="Z16" i="5" s="1"/>
  <c r="AB16" i="5" s="1"/>
  <c r="AD16" i="5" s="1"/>
  <c r="Y29" i="5"/>
  <c r="AA29" i="5" s="1"/>
  <c r="AC29" i="5" s="1"/>
  <c r="AE29" i="5" s="1"/>
  <c r="Y13" i="5"/>
  <c r="AA13" i="5" s="1"/>
  <c r="AC13" i="5" s="1"/>
  <c r="AE13" i="5" s="1"/>
  <c r="X29" i="5"/>
  <c r="Z29" i="5" s="1"/>
  <c r="AB29" i="5" s="1"/>
  <c r="AD29" i="5" s="1"/>
  <c r="X13" i="5"/>
  <c r="Z13" i="5" s="1"/>
  <c r="AB13" i="5" s="1"/>
  <c r="AD13" i="5" s="1"/>
  <c r="Y26" i="5"/>
  <c r="AA26" i="5" s="1"/>
  <c r="AC26" i="5" s="1"/>
  <c r="AE26" i="5" s="1"/>
  <c r="Y8" i="5"/>
  <c r="AA8" i="5" s="1"/>
  <c r="AC8" i="5" s="1"/>
  <c r="AE8" i="5" s="1"/>
  <c r="Y7" i="5"/>
  <c r="AA7" i="5" s="1"/>
  <c r="AC7" i="5" s="1"/>
  <c r="AE7" i="5" s="1"/>
  <c r="Y28" i="5"/>
  <c r="AA28" i="5" s="1"/>
  <c r="AC28" i="5" s="1"/>
  <c r="AE28" i="5" s="1"/>
  <c r="X9" i="5"/>
  <c r="Z9" i="5" s="1"/>
  <c r="AB9" i="5" s="1"/>
  <c r="AD9" i="5" s="1"/>
  <c r="X8" i="5"/>
  <c r="Z8" i="5" s="1"/>
  <c r="AB8" i="5" s="1"/>
  <c r="AD8" i="5" s="1"/>
  <c r="Y27" i="5"/>
  <c r="AA27" i="5" s="1"/>
  <c r="AC27" i="5" s="1"/>
  <c r="AE27" i="5" s="1"/>
  <c r="X11" i="5"/>
  <c r="Z11" i="5" s="1"/>
  <c r="AB11" i="5" s="1"/>
  <c r="AD11" i="5" s="1"/>
  <c r="Y25" i="5"/>
  <c r="AA25" i="5" s="1"/>
  <c r="AC25" i="5" s="1"/>
  <c r="AE25" i="5" s="1"/>
  <c r="X25" i="5"/>
  <c r="Z25" i="5" s="1"/>
  <c r="AB25" i="5" s="1"/>
  <c r="AD25" i="5" s="1"/>
  <c r="Y24" i="5"/>
  <c r="AA24" i="5" s="1"/>
  <c r="AC24" i="5" s="1"/>
  <c r="AE24" i="5" s="1"/>
  <c r="X7" i="5"/>
  <c r="Z7" i="5" s="1"/>
  <c r="AB7" i="5" s="1"/>
  <c r="AD7" i="5" s="1"/>
  <c r="Y31" i="5"/>
  <c r="AA31" i="5" s="1"/>
  <c r="AC31" i="5" s="1"/>
  <c r="AE31" i="5" s="1"/>
  <c r="Y11" i="5"/>
  <c r="AA11" i="5" s="1"/>
  <c r="AC11" i="5" s="1"/>
  <c r="AE11" i="5" s="1"/>
  <c r="Y9" i="5"/>
  <c r="AA9" i="5" s="1"/>
  <c r="AC9" i="5" s="1"/>
  <c r="AE9" i="5" s="1"/>
  <c r="Y18" i="5"/>
  <c r="AA18" i="5" s="1"/>
  <c r="AC18" i="5" s="1"/>
  <c r="AE18" i="5" s="1"/>
  <c r="Y12" i="5"/>
  <c r="AA12" i="5" s="1"/>
  <c r="AC12" i="5" s="1"/>
  <c r="AE12" i="5" s="1"/>
  <c r="Y4" i="5"/>
  <c r="AA4" i="5" s="1"/>
  <c r="AC4" i="5" s="1"/>
  <c r="AE4" i="5" s="1"/>
  <c r="X27" i="5"/>
  <c r="Z27" i="5" s="1"/>
  <c r="AB27" i="5" s="1"/>
  <c r="AD27" i="5" s="1"/>
  <c r="Y14" i="5"/>
  <c r="AA14" i="5" s="1"/>
  <c r="AC14" i="5" s="1"/>
  <c r="AE14" i="5" s="1"/>
  <c r="X26" i="5"/>
  <c r="Z26" i="5" s="1"/>
  <c r="AB26" i="5" s="1"/>
  <c r="AD26" i="5" s="1"/>
  <c r="X18" i="5"/>
  <c r="Z18" i="5" s="1"/>
  <c r="AB18" i="5" s="1"/>
  <c r="AD18" i="5" s="1"/>
  <c r="X12" i="5"/>
  <c r="Z12" i="5" s="1"/>
  <c r="AB12" i="5" s="1"/>
  <c r="AD12" i="5" s="1"/>
  <c r="X4" i="5"/>
  <c r="Z4" i="5" s="1"/>
  <c r="AB4" i="5" s="1"/>
  <c r="AD4" i="5" s="1"/>
  <c r="Y21" i="5"/>
  <c r="AA21" i="5" s="1"/>
  <c r="AC21" i="5" s="1"/>
  <c r="AE21" i="5" s="1"/>
  <c r="Y3" i="5"/>
  <c r="AA3" i="5" s="1"/>
  <c r="AC3" i="5" s="1"/>
  <c r="AE3" i="5" s="1"/>
  <c r="X5" i="5"/>
  <c r="Z5" i="5" s="1"/>
  <c r="AB5" i="5" s="1"/>
  <c r="AD5" i="5" s="1"/>
  <c r="Y23" i="5"/>
  <c r="AA23" i="5" s="1"/>
  <c r="AC23" i="5" s="1"/>
  <c r="AE23" i="5" s="1"/>
  <c r="Y22" i="5"/>
  <c r="AA22" i="5" s="1"/>
  <c r="AC22" i="5" s="1"/>
  <c r="AE22" i="5" s="1"/>
  <c r="Y6" i="5"/>
  <c r="AA6" i="5" s="1"/>
  <c r="AC6" i="5" s="1"/>
  <c r="AE6" i="5" s="1"/>
  <c r="U2" i="5"/>
  <c r="X2" i="5" s="1"/>
  <c r="V2" i="5"/>
  <c r="W2" i="5"/>
  <c r="AF2" i="5"/>
  <c r="AG2" i="5"/>
  <c r="Z2" i="5" l="1"/>
  <c r="AB2" i="5" s="1"/>
  <c r="AD2" i="5" s="1"/>
  <c r="Y2" i="5"/>
  <c r="AF9" i="5"/>
  <c r="AG9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G21" i="5"/>
  <c r="AF22" i="5"/>
  <c r="AG22" i="5"/>
  <c r="AF23" i="5"/>
  <c r="AG23" i="5"/>
  <c r="AF24" i="5"/>
  <c r="AG24" i="5"/>
  <c r="AF25" i="5"/>
  <c r="AG25" i="5"/>
  <c r="AF26" i="5"/>
  <c r="AG26" i="5"/>
  <c r="AF27" i="5"/>
  <c r="AG27" i="5"/>
  <c r="AF28" i="5"/>
  <c r="AG28" i="5"/>
  <c r="AF29" i="5"/>
  <c r="AG29" i="5"/>
  <c r="AF31" i="5"/>
  <c r="AG31" i="5"/>
  <c r="AF32" i="5"/>
  <c r="AG32" i="5"/>
  <c r="AA2" i="5" l="1"/>
  <c r="AC2" i="5" s="1"/>
  <c r="AE2" i="5" s="1"/>
  <c r="AF8" i="5"/>
  <c r="AG8" i="5"/>
  <c r="AF7" i="5"/>
  <c r="AG7" i="5"/>
  <c r="AF6" i="5"/>
  <c r="AG6" i="5"/>
  <c r="AF3" i="5"/>
  <c r="AG3" i="5"/>
  <c r="AF4" i="5"/>
  <c r="AG4" i="5"/>
  <c r="AF5" i="5"/>
  <c r="AG5" i="5"/>
  <c r="A30" i="2" l="1"/>
  <c r="B30" i="2"/>
  <c r="C30" i="2"/>
  <c r="O30" i="2"/>
  <c r="R30" i="2" s="1"/>
  <c r="T30" i="2" s="1"/>
  <c r="V30" i="2" s="1"/>
  <c r="X30" i="2" s="1"/>
  <c r="P30" i="2"/>
  <c r="Q30" i="2"/>
  <c r="A31" i="2"/>
  <c r="B31" i="2"/>
  <c r="C31" i="2"/>
  <c r="O31" i="2"/>
  <c r="R31" i="2" s="1"/>
  <c r="T31" i="2" s="1"/>
  <c r="V31" i="2" s="1"/>
  <c r="X31" i="2" s="1"/>
  <c r="P31" i="2"/>
  <c r="Q31" i="2"/>
  <c r="A29" i="2"/>
  <c r="B29" i="2"/>
  <c r="C29" i="2"/>
  <c r="O29" i="2"/>
  <c r="S29" i="2" s="1"/>
  <c r="U29" i="2" s="1"/>
  <c r="W29" i="2" s="1"/>
  <c r="Y29" i="2" s="1"/>
  <c r="P29" i="2"/>
  <c r="Q29" i="2"/>
  <c r="S30" i="2" l="1"/>
  <c r="U30" i="2" s="1"/>
  <c r="W30" i="2" s="1"/>
  <c r="Y30" i="2" s="1"/>
  <c r="S31" i="2"/>
  <c r="U31" i="2" s="1"/>
  <c r="W31" i="2" s="1"/>
  <c r="Y31" i="2" s="1"/>
  <c r="R29" i="2"/>
  <c r="T29" i="2" s="1"/>
  <c r="V29" i="2" s="1"/>
  <c r="X29" i="2" s="1"/>
  <c r="O10" i="2" l="1"/>
  <c r="P10" i="2"/>
  <c r="O11" i="2"/>
  <c r="P11" i="2"/>
  <c r="O12" i="2"/>
  <c r="P12" i="2"/>
  <c r="O13" i="2"/>
  <c r="P13" i="2"/>
  <c r="O14" i="2"/>
  <c r="P14" i="2"/>
  <c r="Q14" i="2"/>
  <c r="S14" i="2" s="1"/>
  <c r="R14" i="2"/>
  <c r="T14" i="2" s="1"/>
  <c r="O15" i="2"/>
  <c r="P15" i="2"/>
  <c r="Q15" i="2"/>
  <c r="S15" i="2" s="1"/>
  <c r="R15" i="2"/>
  <c r="T15" i="2" s="1"/>
  <c r="O16" i="2"/>
  <c r="P16" i="2"/>
  <c r="O17" i="2"/>
  <c r="P17" i="2"/>
  <c r="O18" i="2"/>
  <c r="P18" i="2"/>
  <c r="Q18" i="2"/>
  <c r="S18" i="2" s="1"/>
  <c r="R18" i="2"/>
  <c r="T18" i="2" s="1"/>
  <c r="O19" i="2"/>
  <c r="P19" i="2"/>
  <c r="O20" i="2"/>
  <c r="P20" i="2"/>
  <c r="O21" i="2"/>
  <c r="P21" i="2"/>
  <c r="O22" i="2"/>
  <c r="P22" i="2"/>
  <c r="Q22" i="2"/>
  <c r="S22" i="2" s="1"/>
  <c r="R22" i="2"/>
  <c r="T22" i="2" s="1"/>
  <c r="O23" i="2"/>
  <c r="P23" i="2"/>
  <c r="C18" i="2" l="1"/>
  <c r="C15" i="2" l="1"/>
  <c r="A14" i="2" l="1"/>
  <c r="B14" i="2"/>
  <c r="C14" i="2"/>
  <c r="A16" i="2"/>
  <c r="B16" i="2"/>
  <c r="C16" i="2"/>
  <c r="A22" i="2"/>
  <c r="B22" i="2"/>
  <c r="C22" i="2"/>
  <c r="A23" i="2"/>
  <c r="B23" i="2"/>
  <c r="C23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7" i="2"/>
  <c r="C17" i="2"/>
  <c r="B19" i="2"/>
  <c r="C19" i="2"/>
  <c r="B20" i="2"/>
  <c r="C20" i="2"/>
  <c r="B21" i="2"/>
  <c r="C21" i="2"/>
  <c r="A3" i="2"/>
  <c r="A4" i="2"/>
  <c r="A5" i="2"/>
  <c r="A6" i="2"/>
  <c r="A7" i="2"/>
  <c r="A8" i="2"/>
  <c r="A9" i="2"/>
  <c r="A10" i="2"/>
  <c r="A11" i="2"/>
  <c r="A12" i="2"/>
  <c r="A13" i="2"/>
  <c r="A17" i="2"/>
  <c r="A19" i="2"/>
  <c r="A20" i="2"/>
  <c r="A21" i="2"/>
  <c r="B2" i="2"/>
  <c r="C2" i="2"/>
  <c r="A2" i="2"/>
  <c r="E30" i="3" l="1"/>
  <c r="E26" i="3"/>
  <c r="E25" i="3"/>
  <c r="E24" i="3"/>
  <c r="E23" i="3"/>
  <c r="E22" i="3"/>
  <c r="E21" i="3"/>
  <c r="E12" i="3"/>
  <c r="E4" i="3"/>
  <c r="E5" i="3"/>
  <c r="E6" i="3"/>
  <c r="E7" i="3"/>
  <c r="E8" i="3"/>
  <c r="E3" i="3"/>
  <c r="E11" i="3" l="1"/>
  <c r="F11" i="3" s="1"/>
  <c r="E29" i="3"/>
  <c r="F29" i="3" s="1"/>
  <c r="E14" i="3"/>
  <c r="E32" i="3" l="1"/>
  <c r="O7" i="2"/>
  <c r="P7" i="2"/>
  <c r="O8" i="2"/>
  <c r="P8" i="2"/>
  <c r="O9" i="2"/>
  <c r="P9" i="2"/>
  <c r="P6" i="2"/>
  <c r="P5" i="2"/>
  <c r="O3" i="2"/>
  <c r="O5" i="2"/>
  <c r="O6" i="2"/>
  <c r="I6" i="2"/>
  <c r="R6" i="2" s="1"/>
  <c r="T6" i="2" s="1"/>
  <c r="I7" i="2"/>
  <c r="R7" i="2" s="1"/>
  <c r="T7" i="2" s="1"/>
  <c r="I8" i="2"/>
  <c r="Q8" i="2" s="1"/>
  <c r="S8" i="2" s="1"/>
  <c r="I9" i="2"/>
  <c r="R9" i="2" s="1"/>
  <c r="T9" i="2" s="1"/>
  <c r="I10" i="2"/>
  <c r="I11" i="2"/>
  <c r="I12" i="2"/>
  <c r="I13" i="2"/>
  <c r="I16" i="2"/>
  <c r="I17" i="2"/>
  <c r="I19" i="2"/>
  <c r="I20" i="2"/>
  <c r="I21" i="2"/>
  <c r="I23" i="2"/>
  <c r="I5" i="2"/>
  <c r="R5" i="2" s="1"/>
  <c r="T5" i="2" s="1"/>
  <c r="Q3" i="2"/>
  <c r="S3" i="2" s="1"/>
  <c r="R3" i="2"/>
  <c r="T3" i="2" s="1"/>
  <c r="O2" i="2"/>
  <c r="R2" i="2"/>
  <c r="T2" i="2" s="1"/>
  <c r="Q2" i="2"/>
  <c r="S2" i="2" s="1"/>
  <c r="Q20" i="2" l="1"/>
  <c r="S20" i="2" s="1"/>
  <c r="R20" i="2"/>
  <c r="T20" i="2" s="1"/>
  <c r="Q17" i="2"/>
  <c r="S17" i="2" s="1"/>
  <c r="R17" i="2"/>
  <c r="T17" i="2" s="1"/>
  <c r="R16" i="2"/>
  <c r="T16" i="2" s="1"/>
  <c r="Q16" i="2"/>
  <c r="S16" i="2" s="1"/>
  <c r="R13" i="2"/>
  <c r="T13" i="2" s="1"/>
  <c r="Q13" i="2"/>
  <c r="S13" i="2" s="1"/>
  <c r="Q12" i="2"/>
  <c r="S12" i="2" s="1"/>
  <c r="R12" i="2"/>
  <c r="T12" i="2" s="1"/>
  <c r="Q23" i="2"/>
  <c r="S23" i="2" s="1"/>
  <c r="R23" i="2"/>
  <c r="T23" i="2" s="1"/>
  <c r="Q21" i="2"/>
  <c r="S21" i="2" s="1"/>
  <c r="R21" i="2"/>
  <c r="T21" i="2" s="1"/>
  <c r="Q19" i="2"/>
  <c r="S19" i="2" s="1"/>
  <c r="R19" i="2"/>
  <c r="T19" i="2" s="1"/>
  <c r="R11" i="2"/>
  <c r="T11" i="2" s="1"/>
  <c r="Q11" i="2"/>
  <c r="S11" i="2" s="1"/>
  <c r="R10" i="2"/>
  <c r="T10" i="2" s="1"/>
  <c r="Q10" i="2"/>
  <c r="S10" i="2" s="1"/>
  <c r="R8" i="2"/>
  <c r="T8" i="2" s="1"/>
  <c r="Q9" i="2"/>
  <c r="S9" i="2" s="1"/>
  <c r="Q6" i="2"/>
  <c r="S6" i="2" s="1"/>
  <c r="Q5" i="2"/>
  <c r="S5" i="2" s="1"/>
  <c r="Q7" i="2"/>
  <c r="S7" i="2" s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V1" authorId="0" shapeId="0" xr:uid="{BCC5EB15-A060-4820-BC8C-8F71609409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DATA E NUMERO COPIE QUI DOPO AVER COPIATO I DATI PRESENTI NELLE 3 COLONNE PRECEDENTI</t>
        </r>
      </text>
    </comment>
    <comment ref="AD1" authorId="0" shapeId="0" xr:uid="{A2060912-7121-44FD-AA94-31AA9ADCC5C4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formula dalla cella 4 ! attenzione</t>
        </r>
      </text>
    </comment>
    <comment ref="AE1" authorId="0" shapeId="0" xr:uid="{7017F461-439A-4097-BEE3-3BCC2FD7EF99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fomula dalla cella 4 </t>
        </r>
      </text>
    </comment>
    <comment ref="AO1" authorId="0" shapeId="0" xr:uid="{E28673F1-BEAC-4DB5-ABC4-17F0DB2E0392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colore sfondo se verificati</t>
        </r>
      </text>
    </comment>
    <comment ref="AP1" authorId="0" shapeId="0" xr:uid="{04C5999D-F772-44C3-948F-41881B767974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colore sfondo se verificati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tc={898A6490-503A-4549-84E3-395D39909003}</author>
    <author>Autore</author>
  </authors>
  <commentList>
    <comment ref="R1" authorId="0" shapeId="0" xr:uid="{898A6490-503A-4549-84E3-395D3990900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INSERIRE DATA E NUMERO COPIE QUI DOPO AVER COPIATO I DATI PRESENTI NELLE 3 COLONNE PRECEDENTI</t>
      </text>
    </comment>
    <comment ref="V1" authorId="1" shapeId="0" xr:uid="{011A53F9-41CF-4E17-BCFA-DAEF0202E79B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formula cella n2 da trascinare sotto - anche x altre colonne con lo sfondo</t>
        </r>
      </text>
    </comment>
    <comment ref="Z1" authorId="1" shapeId="0" xr:uid="{F8D38D62-DA81-47C4-B8CC-F74FF01CB10D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formula dalla cella 4 ! attenzione</t>
        </r>
      </text>
    </comment>
    <comment ref="AA1" authorId="1" shapeId="0" xr:uid="{ED8F9DC4-27CD-43AA-9055-95C9734D683E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fomula dalla cella 4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O1" authorId="0" shapeId="0" xr:uid="{93E98BD8-F0FD-42A1-8CD3-9C960303C40A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formula cella n2 da trascinare sotto - anche x altre colonne con lo sfondo</t>
        </r>
      </text>
    </comment>
    <comment ref="S1" authorId="0" shapeId="0" xr:uid="{2DDD6908-4055-4516-9569-0F48075733AE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formula dalla cella 4 ! attenzione</t>
        </r>
      </text>
    </comment>
    <comment ref="T1" authorId="0" shapeId="0" xr:uid="{43EE327C-3FA2-4F9B-AEAB-4CDAF312BDEC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trascinare sotto la fomula dalla cella 4 </t>
        </r>
      </text>
    </comment>
  </commentList>
</comments>
</file>

<file path=xl/sharedStrings.xml><?xml version="1.0" encoding="utf-8"?>
<sst xmlns="http://schemas.openxmlformats.org/spreadsheetml/2006/main" count="829" uniqueCount="358">
  <si>
    <t>SV GOMMA</t>
  </si>
  <si>
    <t>Costo mese</t>
  </si>
  <si>
    <t>Costro Trimestrale</t>
  </si>
  <si>
    <t>-</t>
  </si>
  <si>
    <t>NEW NEV</t>
  </si>
  <si>
    <t>RICOH MPC 2003</t>
  </si>
  <si>
    <t>MARELL</t>
  </si>
  <si>
    <t>NICKERSON</t>
  </si>
  <si>
    <t>JOSUEL BROKER</t>
  </si>
  <si>
    <t>AVV VALVES</t>
  </si>
  <si>
    <t>RICOH MP 2501</t>
  </si>
  <si>
    <t>riscatto 50 euro</t>
  </si>
  <si>
    <t>DELTA</t>
  </si>
  <si>
    <t>TA 2506i</t>
  </si>
  <si>
    <t xml:space="preserve">TA 4006i </t>
  </si>
  <si>
    <t>PIAZZALUNGA</t>
  </si>
  <si>
    <t>GHILARDI ROMANO</t>
  </si>
  <si>
    <t>TIPO MACCHINA</t>
  </si>
  <si>
    <t>DATA INIZIO</t>
  </si>
  <si>
    <t>DATA FINE</t>
  </si>
  <si>
    <t>NOTE</t>
  </si>
  <si>
    <t>DATA PRECED. CONGUAGLIO</t>
  </si>
  <si>
    <t>CLIENTE</t>
  </si>
  <si>
    <t>PERIODICITA FATTURAZIONE</t>
  </si>
  <si>
    <t>DOCUMENTO</t>
  </si>
  <si>
    <t>IMPORTO CANONE</t>
  </si>
  <si>
    <t>PAGAMENTO</t>
  </si>
  <si>
    <t>BIMESTRALE</t>
  </si>
  <si>
    <t>DDT</t>
  </si>
  <si>
    <t>SI</t>
  </si>
  <si>
    <t>DEFAULT</t>
  </si>
  <si>
    <t>MENSILE</t>
  </si>
  <si>
    <t>FATTURA</t>
  </si>
  <si>
    <t>RIBA 30+10NS</t>
  </si>
  <si>
    <t>TRIMESTRALE</t>
  </si>
  <si>
    <t>RIBA 30+15</t>
  </si>
  <si>
    <t>INIMITABLE SERVICE</t>
  </si>
  <si>
    <t>TIPOLOGIA</t>
  </si>
  <si>
    <t xml:space="preserve"> COPIATRICE</t>
  </si>
  <si>
    <t xml:space="preserve"> SERVER</t>
  </si>
  <si>
    <t xml:space="preserve">TA B/N 5056i </t>
  </si>
  <si>
    <t>FATT CON NOC</t>
  </si>
  <si>
    <t>X</t>
  </si>
  <si>
    <t>SMEA</t>
  </si>
  <si>
    <t>x</t>
  </si>
  <si>
    <t>VALLI HOME</t>
  </si>
  <si>
    <t>colore NUMERO COPIE</t>
  </si>
  <si>
    <t>DIGITAL MARKETING 0</t>
  </si>
  <si>
    <t>FILATURA PREALPINA</t>
  </si>
  <si>
    <t>NOTE FATTURAZIONE</t>
  </si>
  <si>
    <t>ACCADEMIA 61</t>
  </si>
  <si>
    <t>FRERI E BRIGNOLI</t>
  </si>
  <si>
    <t>nero  NUMERO COPIE</t>
  </si>
  <si>
    <t>FINAZZI GEOM LORIS</t>
  </si>
  <si>
    <t>DA LUGLIO RIMUOVERE - FINITO CONTRATTO</t>
  </si>
  <si>
    <t>NR PAG NERO PREC CONGUAGLIO</t>
  </si>
  <si>
    <t>NR PAG COLORE PREC CONGUAGLIO</t>
  </si>
  <si>
    <t xml:space="preserve"> DATA ULTIMO CONGUAGLIO</t>
  </si>
  <si>
    <r>
      <t xml:space="preserve">Copie Comprese </t>
    </r>
    <r>
      <rPr>
        <b/>
        <sz val="11"/>
        <color rgb="FFFF0000"/>
        <rFont val="Calibri"/>
        <family val="2"/>
        <scheme val="minor"/>
      </rPr>
      <t>Colore</t>
    </r>
    <r>
      <rPr>
        <b/>
        <sz val="11"/>
        <color theme="1"/>
        <rFont val="Calibri"/>
        <family val="2"/>
        <scheme val="minor"/>
      </rPr>
      <t xml:space="preserve"> PER PERIODO FATTURAZ.</t>
    </r>
  </si>
  <si>
    <r>
      <t xml:space="preserve">Copie comprese </t>
    </r>
    <r>
      <rPr>
        <b/>
        <sz val="11"/>
        <color rgb="FFFF0000"/>
        <rFont val="Calibri"/>
        <family val="2"/>
        <scheme val="minor"/>
      </rPr>
      <t>BN</t>
    </r>
    <r>
      <rPr>
        <b/>
        <sz val="11"/>
        <color theme="1"/>
        <rFont val="Calibri"/>
        <family val="2"/>
        <scheme val="minor"/>
      </rPr>
      <t xml:space="preserve"> PER PERIODO FATTURAZ.</t>
    </r>
  </si>
  <si>
    <r>
      <t xml:space="preserve">Costo </t>
    </r>
    <r>
      <rPr>
        <b/>
        <sz val="11"/>
        <color rgb="FFFF0000"/>
        <rFont val="Calibri"/>
        <family val="2"/>
        <scheme val="minor"/>
      </rPr>
      <t>BN</t>
    </r>
    <r>
      <rPr>
        <b/>
        <sz val="11"/>
        <color theme="1"/>
        <rFont val="Calibri"/>
        <family val="2"/>
        <scheme val="minor"/>
      </rPr>
      <t xml:space="preserve"> ECCEDENZE</t>
    </r>
  </si>
  <si>
    <r>
      <t xml:space="preserve">Costo </t>
    </r>
    <r>
      <rPr>
        <b/>
        <sz val="11"/>
        <color rgb="FFFF0000"/>
        <rFont val="Calibri"/>
        <family val="2"/>
        <scheme val="minor"/>
      </rPr>
      <t>Colore</t>
    </r>
    <r>
      <rPr>
        <b/>
        <sz val="11"/>
        <color theme="1"/>
        <rFont val="Calibri"/>
        <family val="2"/>
        <scheme val="minor"/>
      </rPr>
      <t xml:space="preserve"> ECCEDENZE</t>
    </r>
  </si>
  <si>
    <t>NERO MEDIA  MENSILE</t>
  </si>
  <si>
    <t>COLORE MEDIA  MENSILE</t>
  </si>
  <si>
    <t>NERO MEDIA  MENSILE ECCEDENTE</t>
  </si>
  <si>
    <t>COLORE MEDIA  MENSILE ECCEDENTE</t>
  </si>
  <si>
    <t>NR COPIE colore NEL PERIODO TRA 2 CONGUAGLI</t>
  </si>
  <si>
    <t>NR COPIE nero NEL PERIODO TRA 2 CONGUAGLI</t>
  </si>
  <si>
    <t>bollate eccedenze con utlimo conguaglio</t>
  </si>
  <si>
    <t>RICOH MPC 2011</t>
  </si>
  <si>
    <t>periodicita mesi</t>
  </si>
  <si>
    <t xml:space="preserve">Estensione Garanzia a 3 Anni </t>
  </si>
  <si>
    <t>Cartuccia COLORE 5K</t>
  </si>
  <si>
    <t>Cartuccia Nero 10K</t>
  </si>
  <si>
    <t>WF-C5790DWF + 1 10K NERO + 1 COLORE DA 5K</t>
  </si>
  <si>
    <t>WF-6590DWF + 1 10K NERO + 1 COLORE DA7K</t>
  </si>
  <si>
    <t>Cartuccia COLORE 7K</t>
  </si>
  <si>
    <t>conteggiato in noc - SERVER FISICO FATTURATO COME SERVER VIRTUALE CON NOC</t>
  </si>
  <si>
    <t xml:space="preserve"> SERVER + PLOTTER + NB + PC + FIREWALL</t>
  </si>
  <si>
    <t>SERVER RISCATTO al 10%</t>
  </si>
  <si>
    <t>COLORIFICIO FERRARIS</t>
  </si>
  <si>
    <t>SEFF</t>
  </si>
  <si>
    <t xml:space="preserve">EPSON WF-6590DWF </t>
  </si>
  <si>
    <t>DDT CON EXCHANGE</t>
  </si>
  <si>
    <t>fattura unica x 2</t>
  </si>
  <si>
    <t>FATTURA UNICA INSIEME A WEBROOT E SERVIZI</t>
  </si>
  <si>
    <t>DDT CON OFFICE 365 RICORRENTE tot 335</t>
  </si>
  <si>
    <t>PARROCCHIA DI COSTA</t>
  </si>
  <si>
    <t>STUDIO SOCIETA IMPRESA</t>
  </si>
  <si>
    <t>STUDIO SOC IMPRESA</t>
  </si>
  <si>
    <t>INCEMENTO</t>
  </si>
  <si>
    <t>COPIATRICE USATA</t>
  </si>
  <si>
    <t>RICOH</t>
  </si>
  <si>
    <t>SEMESTRALE</t>
  </si>
  <si>
    <t>LA PRIMA FORNITURA COMPRENDE 2 KIT COLORE E 3 NERI</t>
  </si>
  <si>
    <t>NUMERO MESI TRA I 2 CONGUAGLI</t>
  </si>
  <si>
    <t>tot.fattura conguaglio colore</t>
  </si>
  <si>
    <t>tot.fattura conguaglio nero</t>
  </si>
  <si>
    <t>NR COPIE fattura conguaglio nero</t>
  </si>
  <si>
    <t>NR COPIE fattura conguaglio colore</t>
  </si>
  <si>
    <t>AUTOTRASPORTI PESENTI</t>
  </si>
  <si>
    <t>ok</t>
  </si>
  <si>
    <t>chiusi</t>
  </si>
  <si>
    <t>TERZI GROUP</t>
  </si>
  <si>
    <t>noc</t>
  </si>
  <si>
    <t xml:space="preserve">TA B/N 4056i </t>
  </si>
  <si>
    <t>IMMOBILIARE BRUMANS</t>
  </si>
  <si>
    <t>ALERT</t>
  </si>
  <si>
    <r>
      <t xml:space="preserve">Costo </t>
    </r>
    <r>
      <rPr>
        <sz val="11"/>
        <color rgb="FFFF0000"/>
        <rFont val="Calibri"/>
        <family val="2"/>
        <scheme val="minor"/>
      </rPr>
      <t>Colore</t>
    </r>
    <r>
      <rPr>
        <sz val="11"/>
        <color theme="1"/>
        <rFont val="Calibri"/>
        <family val="2"/>
        <scheme val="minor"/>
      </rPr>
      <t xml:space="preserve"> ECCEDENZE</t>
    </r>
  </si>
  <si>
    <t>FATTO</t>
  </si>
  <si>
    <t>IPOTESI NUMERO TONER NERI USATI ALLA DATA CONGUAGLIO</t>
  </si>
  <si>
    <t>NUMERO COPIE TONER NERO</t>
  </si>
  <si>
    <t>NUMERO COPIE TONER COLORI</t>
  </si>
  <si>
    <t>IPOTESI NUMERO TONER KIT COLORE USATI ALLA DATA CONGUAGLIO</t>
  </si>
  <si>
    <t>officina</t>
  </si>
  <si>
    <t>note stamp</t>
  </si>
  <si>
    <t>SPAM</t>
  </si>
  <si>
    <t xml:space="preserve"> DATA CONGUAGLIO ATTUALE</t>
  </si>
  <si>
    <t xml:space="preserve">TA B/N 4062i </t>
  </si>
  <si>
    <t>primo piano</t>
  </si>
  <si>
    <t>estero</t>
  </si>
  <si>
    <t>italia</t>
  </si>
  <si>
    <t>CHIODINI ROBERTO</t>
  </si>
  <si>
    <t>fare richiesta</t>
  </si>
  <si>
    <t>TA 2507i</t>
  </si>
  <si>
    <t>P-5536i B/N MFP</t>
  </si>
  <si>
    <t>F.O.R.I.A. S.R.L.</t>
  </si>
  <si>
    <t>usare questa formula con il prossimo conteggio da giugno 2020</t>
  </si>
  <si>
    <t>-&gt;</t>
  </si>
  <si>
    <t>nota x chiodini</t>
  </si>
  <si>
    <t>colore</t>
  </si>
  <si>
    <t>nero</t>
  </si>
  <si>
    <t>tot</t>
  </si>
  <si>
    <t>copie al 27/4/2020 - BOLLATO CONGUAGLIO FINE APRILE</t>
  </si>
  <si>
    <t>CHIUSO NOLEGGIO</t>
  </si>
  <si>
    <t>filatura</t>
  </si>
  <si>
    <t>ta 2507</t>
  </si>
  <si>
    <t>utilizzeremo data 1/7 come inizio noleggio anche se consegnata 14-5 anche per conteggi copie usiamo 1/7</t>
  </si>
  <si>
    <t>B/N</t>
  </si>
  <si>
    <t>nr toner neri consegnati alla data conguaglio</t>
  </si>
  <si>
    <t>nr kit toner colore consegnati alla data conguaglio</t>
  </si>
  <si>
    <t>WATER E LIFE LAB</t>
  </si>
  <si>
    <t>R9C0410254</t>
  </si>
  <si>
    <t>R9C0410245</t>
  </si>
  <si>
    <t>F.M. RECUPERI</t>
  </si>
  <si>
    <t>ORTELLI CONSULTING</t>
  </si>
  <si>
    <t>OTO AGENCY</t>
  </si>
  <si>
    <t>CEMIAT</t>
  </si>
  <si>
    <t>TA 5007 CI MFP</t>
  </si>
  <si>
    <t>data controllo</t>
  </si>
  <si>
    <t>mail</t>
  </si>
  <si>
    <t>ME.MO</t>
  </si>
  <si>
    <t>ta2506ciaccademia61@e-send.it</t>
  </si>
  <si>
    <t>amministrazione-pesenti@e-send.it</t>
  </si>
  <si>
    <t>pesenti-ta@e-send.it</t>
  </si>
  <si>
    <t>ta4062pesenti01@e-send.it</t>
  </si>
  <si>
    <t>ta4062pesenti02@e-send.it</t>
  </si>
  <si>
    <t>ta5007CEMIAT@e-send.it</t>
  </si>
  <si>
    <t>ferraris@e-send.it</t>
  </si>
  <si>
    <t>stampantekm0@e-send.it</t>
  </si>
  <si>
    <t>ta2507fmrecuperi@e-send.it</t>
  </si>
  <si>
    <t>ta2507foriasrl@e-send.it</t>
  </si>
  <si>
    <t>ta2507cifilaturaprealpina@e-send.it</t>
  </si>
  <si>
    <t>lfinazzi-ta@e-send.it</t>
  </si>
  <si>
    <t>freribrignoli@e-send.it</t>
  </si>
  <si>
    <t>taghilardi@e-send.it</t>
  </si>
  <si>
    <t>ta2506brumans@e-send.it</t>
  </si>
  <si>
    <t>ta2507ortelliconsulting@e-send.it</t>
  </si>
  <si>
    <t>stampantipiazzalunga@e-send.it</t>
  </si>
  <si>
    <t>ta5007cipiazzalunga@e-send.it</t>
  </si>
  <si>
    <t>ta2507ciseff@e-send.it</t>
  </si>
  <si>
    <t>stampantismea@e-send.it</t>
  </si>
  <si>
    <t>sseita2506@e-send.it</t>
  </si>
  <si>
    <t>stampantisvgomma@e-send.it</t>
  </si>
  <si>
    <t>ta4062svgomma@e-send.it</t>
  </si>
  <si>
    <t>stampanteterzigroup@e-send.it</t>
  </si>
  <si>
    <t>stampantivallihome@e-send.it</t>
  </si>
  <si>
    <t>stampantiwater@e-send.it</t>
  </si>
  <si>
    <t>ta2507colorificioferraris@e-send.it</t>
  </si>
  <si>
    <t>ta2507memo@e-send.it</t>
  </si>
  <si>
    <t>ta4056svgomma@e-send.it</t>
  </si>
  <si>
    <t>nr toner di scorta alla data controllo manuale</t>
  </si>
  <si>
    <t>g477m330244</t>
  </si>
  <si>
    <t>SECONDA</t>
  </si>
  <si>
    <t>FAMITEX</t>
  </si>
  <si>
    <t>ta5536famitex@e-send.it</t>
  </si>
  <si>
    <t>ta2507fondunicampus@e-send.it</t>
  </si>
  <si>
    <t>ta2507immpoloni@e-send.it</t>
  </si>
  <si>
    <t>POLONI IMMOBILIARE</t>
  </si>
  <si>
    <t>finance 1102TB3UT0R9C1617986</t>
  </si>
  <si>
    <t>SOLIVERI</t>
  </si>
  <si>
    <t>RGT1117415</t>
  </si>
  <si>
    <t>RGT1117398</t>
  </si>
  <si>
    <t>costo al mese</t>
  </si>
  <si>
    <t>costo mese/copie comprese</t>
  </si>
  <si>
    <t>ta3508piazzalunga@e-send.it</t>
  </si>
  <si>
    <t>TA 3508 ci</t>
  </si>
  <si>
    <t>H571Z08666</t>
  </si>
  <si>
    <t>RAL-GOM</t>
  </si>
  <si>
    <t>H571Z08754</t>
  </si>
  <si>
    <t xml:space="preserve">1 kit + 1 ciano </t>
  </si>
  <si>
    <t>ASSOCIAZIONE OSFIN (FONDAZIONE UNICAMPUS)</t>
  </si>
  <si>
    <t>DELTA IMPIANTI</t>
  </si>
  <si>
    <t>ta3508ralgom@e-send.it</t>
  </si>
  <si>
    <t>VFL7709758</t>
  </si>
  <si>
    <t>ta3508cideltaimpianti@e-send.it</t>
  </si>
  <si>
    <t>ta2506cideltaimpianti@e-send.it</t>
  </si>
  <si>
    <t>ta3508ciosfin-fp@e-send.it</t>
  </si>
  <si>
    <t>1 magenta  in piu?</t>
  </si>
  <si>
    <t>FINE CONTRATTO</t>
  </si>
  <si>
    <t>mai</t>
  </si>
  <si>
    <t>stampantinewnev@e-send.it</t>
  </si>
  <si>
    <t xml:space="preserve">TA 4006ci </t>
  </si>
  <si>
    <t>TA 2506 usata*</t>
  </si>
  <si>
    <t xml:space="preserve">5058i + DP-7150 + mobiletto (escluso toner): €     3.316,04   </t>
  </si>
  <si>
    <t>Toner</t>
  </si>
  <si>
    <t>H572111562</t>
  </si>
  <si>
    <t xml:space="preserve"> conguagli fatti</t>
  </si>
  <si>
    <t>TA B/N 5058</t>
  </si>
  <si>
    <t>VFL7508690</t>
  </si>
  <si>
    <t>ritirata a fine ottobre</t>
  </si>
  <si>
    <t>H572111587</t>
  </si>
  <si>
    <t>?</t>
  </si>
  <si>
    <t>ta3508-piazzalunga@e-send.it</t>
  </si>
  <si>
    <t>PESENTI TRASPORTI E LOGISTICA S.R.L.</t>
  </si>
  <si>
    <t>VFL8317753</t>
  </si>
  <si>
    <t>RGT1317898</t>
  </si>
  <si>
    <t>H572111536</t>
  </si>
  <si>
    <t>sn</t>
  </si>
  <si>
    <t>grumello</t>
  </si>
  <si>
    <t>1 nero di scorta 99% colori oltre 45%</t>
  </si>
  <si>
    <t>1 nero di scorta 64% - colore oltre 80%</t>
  </si>
  <si>
    <t>jobtain brescia</t>
  </si>
  <si>
    <t>1 kit completo - 73%nero - 53-41-26</t>
  </si>
  <si>
    <t>VFL8720211</t>
  </si>
  <si>
    <t>piano superiore</t>
  </si>
  <si>
    <t>R899502232</t>
  </si>
  <si>
    <t>R899502231</t>
  </si>
  <si>
    <t>1 nero di scorta 42%</t>
  </si>
  <si>
    <t>1 nero di scorta 57%</t>
  </si>
  <si>
    <t>serie toner</t>
  </si>
  <si>
    <t>R9C1617986</t>
  </si>
  <si>
    <t>1 nero di scorta 58%</t>
  </si>
  <si>
    <t>RGQ0Y06193</t>
  </si>
  <si>
    <t>1 nero di scorta 52% - colore 41,31,35</t>
  </si>
  <si>
    <t>VFL7913139</t>
  </si>
  <si>
    <t>RGT9402764</t>
  </si>
  <si>
    <t>1 nero di scorta 70% - colori 60%</t>
  </si>
  <si>
    <r>
      <t>1 nero di scorta</t>
    </r>
    <r>
      <rPr>
        <b/>
        <sz val="11"/>
        <color rgb="FFFF0000"/>
        <rFont val="Calibri"/>
        <family val="2"/>
        <scheme val="minor"/>
      </rPr>
      <t xml:space="preserve"> 12%</t>
    </r>
    <r>
      <rPr>
        <b/>
        <sz val="11"/>
        <color theme="1"/>
        <rFont val="Calibri"/>
        <family val="2"/>
        <scheme val="minor"/>
      </rPr>
      <t xml:space="preserve"> - colore 61-69-42</t>
    </r>
  </si>
  <si>
    <r>
      <t>1 nero di scorta 32% - colori</t>
    </r>
    <r>
      <rPr>
        <b/>
        <sz val="11"/>
        <color rgb="FFFF0000"/>
        <rFont val="Calibri"/>
        <family val="2"/>
        <scheme val="minor"/>
      </rPr>
      <t xml:space="preserve"> 9-12-13</t>
    </r>
    <r>
      <rPr>
        <b/>
        <sz val="11"/>
        <color theme="1"/>
        <rFont val="Calibri"/>
        <family val="2"/>
        <scheme val="minor"/>
      </rPr>
      <t>%</t>
    </r>
  </si>
  <si>
    <t>H572821800</t>
  </si>
  <si>
    <t>H572111567</t>
  </si>
  <si>
    <t>paga SOLO CONGUAGLI x TUTTE LE COPIE FATTE * A FINE AGOSTO 22 X QUESTA A NOLEGGIO AVEVANO INSERITO TUTTI I TONER E 0 DI SCORTA *HANNO ANCHE 2507 DI PROPRIETà DI CUI PAGANO I TONER</t>
  </si>
  <si>
    <t>RGT0512106</t>
  </si>
  <si>
    <t>spedire 1 nero</t>
  </si>
  <si>
    <r>
      <t>1 nero di scorta</t>
    </r>
    <r>
      <rPr>
        <b/>
        <sz val="11"/>
        <color rgb="FFFF0000"/>
        <rFont val="Calibri"/>
        <family val="2"/>
        <scheme val="minor"/>
      </rPr>
      <t xml:space="preserve"> 39%</t>
    </r>
    <r>
      <rPr>
        <b/>
        <sz val="11"/>
        <color theme="1"/>
        <rFont val="Calibri"/>
        <family val="2"/>
        <scheme val="minor"/>
      </rPr>
      <t xml:space="preserve"> - colori 30%</t>
    </r>
  </si>
  <si>
    <t>RGT9X06853</t>
  </si>
  <si>
    <r>
      <t>0 nero di scorta</t>
    </r>
    <r>
      <rPr>
        <b/>
        <sz val="11"/>
        <rFont val="Calibri"/>
        <family val="2"/>
        <scheme val="minor"/>
      </rPr>
      <t xml:space="preserve"> 68% - colori 25,27,30</t>
    </r>
    <r>
      <rPr>
        <b/>
        <sz val="11"/>
        <color theme="1"/>
        <rFont val="Calibri"/>
        <family val="2"/>
        <scheme val="minor"/>
      </rPr>
      <t>%</t>
    </r>
  </si>
  <si>
    <t>spedire 1 kit completo</t>
  </si>
  <si>
    <t>R9C0Z13759</t>
  </si>
  <si>
    <t>0 nero di scorta 64%</t>
  </si>
  <si>
    <t>RGT9X07014</t>
  </si>
  <si>
    <r>
      <rPr>
        <b/>
        <sz val="11"/>
        <color rgb="FFFF0000"/>
        <rFont val="Calibri"/>
        <family val="2"/>
        <scheme val="minor"/>
      </rPr>
      <t>0 scorta</t>
    </r>
    <r>
      <rPr>
        <b/>
        <sz val="11"/>
        <color theme="1"/>
        <rFont val="Calibri"/>
        <family val="2"/>
        <scheme val="minor"/>
      </rPr>
      <t xml:space="preserve"> - nero 100% - 68 colore</t>
    </r>
  </si>
  <si>
    <t>1 nero di scorta 60% - colore 56-66-67%</t>
  </si>
  <si>
    <t>VFL7508161</t>
  </si>
  <si>
    <t>1 nero di scorta 36% - colore 55-47-62%</t>
  </si>
  <si>
    <t>al 16/1/23 toner di scorta:  1 nero  2 giallo 1 magenta 1 ciano</t>
  </si>
  <si>
    <t>VFL7508644</t>
  </si>
  <si>
    <t>1 nero di scorta 40% - colore 15-96-5%</t>
  </si>
  <si>
    <t>al 16/1/23 toner di scorta:  1 nero  1 giallo 1 ciano</t>
  </si>
  <si>
    <t>VFL7609079</t>
  </si>
  <si>
    <r>
      <t xml:space="preserve">0 nero di scorta 33% - colore </t>
    </r>
    <r>
      <rPr>
        <b/>
        <sz val="11"/>
        <color rgb="FFFF0000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-35-26%</t>
    </r>
  </si>
  <si>
    <t>VFL8720189</t>
  </si>
  <si>
    <t>0 nero di scorta 34% - colore 65-67-85%</t>
  </si>
  <si>
    <t>RGT1116980</t>
  </si>
  <si>
    <t>H572111539</t>
  </si>
  <si>
    <t>1 nero di scorta 65% - colore oltre 90%</t>
  </si>
  <si>
    <t>RGT0512157</t>
  </si>
  <si>
    <t>VFL7811819</t>
  </si>
  <si>
    <t>1 nero di scorta 76% - colore oltre 60%</t>
  </si>
  <si>
    <t>ta3508cipiazzalungasrl@e-send.it</t>
  </si>
  <si>
    <t>RGQ0704971</t>
  </si>
  <si>
    <t>1 nero di scorta 33% - colore 12-22-18%</t>
  </si>
  <si>
    <t>1 nero di scorta 42% - colore oltre 80%</t>
  </si>
  <si>
    <t>RGT1117200</t>
  </si>
  <si>
    <t>1 nero di scorta 79% - colore oltre 60%</t>
  </si>
  <si>
    <t>1 nero di scorta 46% - colore oltre 90%</t>
  </si>
  <si>
    <t>TERZA</t>
  </si>
  <si>
    <t>T907</t>
  </si>
  <si>
    <t>NERO DICEMBRE 2022 - COLORI A MAGGIO 2022</t>
  </si>
  <si>
    <t>RGT9503983</t>
  </si>
  <si>
    <t>0 nero di scorta 41% - colore oltre 25%</t>
  </si>
  <si>
    <t>VFL7912605</t>
  </si>
  <si>
    <t>1 nero di scorta 84% - colorI 89%</t>
  </si>
  <si>
    <t>VFL7508687</t>
  </si>
  <si>
    <t>0 nero di scorta 59% - colori oltre 60%</t>
  </si>
  <si>
    <t>H2H2101317</t>
  </si>
  <si>
    <t>VG67403609</t>
  </si>
  <si>
    <t>H571Z07998</t>
  </si>
  <si>
    <t>1 nero scorta - nuova 95%</t>
  </si>
  <si>
    <t>CHIUDO NOLEGGIO</t>
  </si>
  <si>
    <t>VQ18Y03640</t>
  </si>
  <si>
    <t>eliminare QUANDO ADDEBITATO CONGUAGLIO</t>
  </si>
  <si>
    <t>R899903428</t>
  </si>
  <si>
    <t>VFL8720210</t>
  </si>
  <si>
    <t>1 nero di scorta 48% - colore 21-26-29%</t>
  </si>
  <si>
    <t>VFL7709773</t>
  </si>
  <si>
    <t>0 nero di scorta 65% - colore 65-88-35%</t>
  </si>
  <si>
    <t>43 %  1 TONER DI SCORTA</t>
  </si>
  <si>
    <t>66 % 0 TONER DI SCORTA</t>
  </si>
  <si>
    <t>spedire/consegnare</t>
  </si>
  <si>
    <t>90% nero 5 % colori - PROLUNGHIAMO NOLEGGIO FINO A FINE TONER</t>
  </si>
  <si>
    <t>1 kit completo di scorta</t>
  </si>
  <si>
    <t>ANDRIY</t>
  </si>
  <si>
    <t>RITIRA IL CLIENTE 1 NERO E 1 GIALLO</t>
  </si>
  <si>
    <t>3058ci</t>
  </si>
  <si>
    <t>mese</t>
  </si>
  <si>
    <t>trim</t>
  </si>
  <si>
    <t>diff trim</t>
  </si>
  <si>
    <t>diff mese</t>
  </si>
  <si>
    <t>costo diff trim</t>
  </si>
  <si>
    <t>costo diff mese</t>
  </si>
  <si>
    <t>proposta domus 430 al mese</t>
  </si>
  <si>
    <t>AMMINISTRAZIONE</t>
  </si>
  <si>
    <t>COMMERCIALI</t>
  </si>
  <si>
    <t>MAGAZZINO 1P</t>
  </si>
  <si>
    <t>UFF. OPERATIVO</t>
  </si>
  <si>
    <t>VIA ZAMBELLI</t>
  </si>
  <si>
    <t>1 nero di scorta 5%</t>
  </si>
  <si>
    <t>1 nero di scorta 98% - colore oltre 90%</t>
  </si>
  <si>
    <t>19% NERO - 70 % COLORE</t>
  </si>
  <si>
    <t>1 nero di scorta 100%</t>
  </si>
  <si>
    <t>soliveri@e-send.it</t>
  </si>
  <si>
    <t xml:space="preserve">nero  25% - colori 40 - 0 di scorta </t>
  </si>
  <si>
    <t>nero  13% - colori 85% - 1 di scorta</t>
  </si>
  <si>
    <t>ta3508cimedeatsrl@e-sent.it</t>
  </si>
  <si>
    <t>MEDEAT</t>
  </si>
  <si>
    <t>H572719519</t>
  </si>
  <si>
    <t>1382800465</t>
  </si>
  <si>
    <t>H572616573</t>
  </si>
  <si>
    <t>1 nero di scorta -tutti 100%</t>
  </si>
  <si>
    <t>1 nero di scorta 60% - colore 20,20,11%</t>
  </si>
  <si>
    <r>
      <t>1 nero di scorta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57%</t>
    </r>
    <r>
      <rPr>
        <b/>
        <sz val="11"/>
        <color theme="1"/>
        <rFont val="Calibri"/>
        <family val="2"/>
        <scheme val="minor"/>
      </rPr>
      <t xml:space="preserve"> - colore 33-55-59%</t>
    </r>
  </si>
  <si>
    <t>preparato un kit colore da spedire ad aprile</t>
  </si>
  <si>
    <t>tap5536imedeatsrl@e-send.it</t>
  </si>
  <si>
    <t>ta3508ciromas@e-send.it</t>
  </si>
  <si>
    <t>H572718833</t>
  </si>
  <si>
    <t>ROMAS</t>
  </si>
  <si>
    <t>9/5/23 4 TONER NERI DI SCORTA</t>
  </si>
  <si>
    <t>inviato 1 nero e 1 giallo a maggio 2023</t>
  </si>
  <si>
    <t>*</t>
  </si>
  <si>
    <t>proporre 345 ero al mese per la 5536 con 30000 copie al mese comprese anziche 1000 copie a 55 euro</t>
  </si>
  <si>
    <t>cambianica organizzera macchina di riserva x garantire continuità di sevrizio nel weekend</t>
  </si>
  <si>
    <t>proporre 1500 copie colore al mese anziché 100 colore e passa da 130 euro mese a 230 euro mese - nero resta cosi</t>
  </si>
  <si>
    <t>F.LLI GELMINI SRL</t>
  </si>
  <si>
    <t>H572820660</t>
  </si>
  <si>
    <t>ta3508cigelmini@e-send.it</t>
  </si>
  <si>
    <t>rilevate ma non conguagliate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</si>
</sst>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2F2"/>
        <bgColor indexed="64"/>
      </patternFill>
    </fill>
    <fill>
      <patternFill patternType="solid">
        <fgColor rgb="FFCD9E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</cellStyleXfs>
  <cellXfs count="27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44" fontId="2" fillId="0" borderId="0" xfId="1" applyFont="1"/>
    <xf numFmtId="3" fontId="2" fillId="0" borderId="0" xfId="0" applyNumberFormat="1" applyFont="1"/>
    <xf numFmtId="17" fontId="2" fillId="0" borderId="0" xfId="0" applyNumberFormat="1" applyFont="1"/>
    <xf numFmtId="0" fontId="3" fillId="0" borderId="0" xfId="0" applyFont="1"/>
    <xf numFmtId="0" fontId="3" fillId="2" borderId="1" xfId="0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/>
    <xf numFmtId="0" fontId="4" fillId="3" borderId="0" xfId="0" applyFont="1" applyFill="1" applyAlignment="1">
      <alignment horizontal="center" vertical="center" wrapText="1"/>
    </xf>
    <xf numFmtId="44" fontId="4" fillId="3" borderId="0" xfId="1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5" borderId="1" xfId="0" applyFont="1" applyFill="1" applyBorder="1" applyAlignment="1">
      <alignment horizontal="center" wrapText="1"/>
    </xf>
    <xf numFmtId="44" fontId="3" fillId="5" borderId="1" xfId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17" fontId="3" fillId="4" borderId="1" xfId="0" applyNumberFormat="1" applyFont="1" applyFill="1" applyBorder="1" applyAlignment="1">
      <alignment horizontal="center" wrapText="1"/>
    </xf>
    <xf numFmtId="17" fontId="0" fillId="0" borderId="0" xfId="0" applyNumberFormat="1"/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10" borderId="1" xfId="0" applyFont="1" applyFill="1" applyBorder="1" applyAlignment="1">
      <alignment horizontal="center" wrapText="1"/>
    </xf>
    <xf numFmtId="1" fontId="2" fillId="11" borderId="0" xfId="0" applyNumberFormat="1" applyFont="1" applyFill="1"/>
    <xf numFmtId="0" fontId="3" fillId="13" borderId="1" xfId="0" applyFont="1" applyFill="1" applyBorder="1" applyAlignment="1">
      <alignment horizontal="center" wrapText="1"/>
    </xf>
    <xf numFmtId="0" fontId="0" fillId="14" borderId="0" xfId="0" applyFill="1"/>
    <xf numFmtId="0" fontId="3" fillId="15" borderId="1" xfId="0" applyFont="1" applyFill="1" applyBorder="1" applyAlignment="1">
      <alignment horizontal="center" wrapText="1"/>
    </xf>
    <xf numFmtId="1" fontId="9" fillId="12" borderId="0" xfId="0" applyNumberFormat="1" applyFont="1" applyFill="1"/>
    <xf numFmtId="0" fontId="9" fillId="12" borderId="0" xfId="0" applyFont="1" applyFill="1"/>
    <xf numFmtId="1" fontId="3" fillId="4" borderId="1" xfId="0" applyNumberFormat="1" applyFont="1" applyFill="1" applyBorder="1" applyAlignment="1">
      <alignment horizontal="center" wrapText="1"/>
    </xf>
    <xf numFmtId="44" fontId="0" fillId="0" borderId="0" xfId="0" applyNumberFormat="1"/>
    <xf numFmtId="44" fontId="3" fillId="0" borderId="0" xfId="0" applyNumberFormat="1" applyFont="1"/>
    <xf numFmtId="0" fontId="15" fillId="13" borderId="0" xfId="0" applyFont="1" applyFill="1"/>
    <xf numFmtId="17" fontId="0" fillId="13" borderId="0" xfId="0" applyNumberFormat="1" applyFill="1"/>
    <xf numFmtId="17" fontId="0" fillId="13" borderId="0" xfId="0" applyNumberFormat="1" applyFill="1" applyAlignment="1">
      <alignment horizontal="center"/>
    </xf>
    <xf numFmtId="17" fontId="1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7" fillId="0" borderId="0" xfId="0" applyFont="1"/>
    <xf numFmtId="14" fontId="3" fillId="0" borderId="0" xfId="0" applyNumberFormat="1" applyFont="1"/>
    <xf numFmtId="0" fontId="3" fillId="14" borderId="0" xfId="0" applyFont="1" applyFill="1"/>
    <xf numFmtId="14" fontId="0" fillId="0" borderId="0" xfId="0" applyNumberFormat="1"/>
    <xf numFmtId="0" fontId="18" fillId="13" borderId="0" xfId="0" applyFont="1" applyFill="1"/>
    <xf numFmtId="17" fontId="3" fillId="13" borderId="0" xfId="0" applyNumberFormat="1" applyFont="1" applyFill="1" applyAlignment="1">
      <alignment horizontal="center"/>
    </xf>
    <xf numFmtId="17" fontId="3" fillId="13" borderId="0" xfId="0" applyNumberFormat="1" applyFont="1" applyFill="1"/>
    <xf numFmtId="1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2" borderId="0" xfId="0" applyFont="1" applyFill="1"/>
    <xf numFmtId="0" fontId="15" fillId="6" borderId="0" xfId="0" applyFont="1" applyFill="1"/>
    <xf numFmtId="17" fontId="0" fillId="6" borderId="0" xfId="0" applyNumberFormat="1" applyFill="1" applyAlignment="1">
      <alignment horizontal="center"/>
    </xf>
    <xf numFmtId="17" fontId="0" fillId="6" borderId="0" xfId="0" applyNumberFormat="1" applyFill="1"/>
    <xf numFmtId="1" fontId="0" fillId="6" borderId="0" xfId="0" applyNumberFormat="1" applyFill="1" applyAlignment="1">
      <alignment horizontal="center"/>
    </xf>
    <xf numFmtId="3" fontId="2" fillId="6" borderId="0" xfId="0" applyNumberFormat="1" applyFont="1" applyFill="1"/>
    <xf numFmtId="0" fontId="2" fillId="6" borderId="0" xfId="0" applyFont="1" applyFill="1"/>
    <xf numFmtId="14" fontId="2" fillId="6" borderId="0" xfId="0" applyNumberFormat="1" applyFont="1" applyFill="1"/>
    <xf numFmtId="14" fontId="3" fillId="6" borderId="0" xfId="0" applyNumberFormat="1" applyFont="1" applyFill="1"/>
    <xf numFmtId="0" fontId="3" fillId="6" borderId="0" xfId="0" applyFont="1" applyFill="1"/>
    <xf numFmtId="0" fontId="0" fillId="6" borderId="0" xfId="0" applyFill="1"/>
    <xf numFmtId="1" fontId="0" fillId="6" borderId="0" xfId="0" applyNumberFormat="1" applyFill="1"/>
    <xf numFmtId="1" fontId="11" fillId="6" borderId="0" xfId="0" applyNumberFormat="1" applyFont="1" applyFill="1"/>
    <xf numFmtId="44" fontId="11" fillId="6" borderId="0" xfId="1" applyFont="1" applyFill="1"/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9" fillId="16" borderId="0" xfId="0" applyFont="1" applyFill="1"/>
    <xf numFmtId="0" fontId="20" fillId="16" borderId="0" xfId="0" applyFont="1" applyFill="1"/>
    <xf numFmtId="0" fontId="21" fillId="16" borderId="0" xfId="0" applyFont="1" applyFill="1"/>
    <xf numFmtId="17" fontId="20" fillId="16" borderId="0" xfId="0" applyNumberFormat="1" applyFont="1" applyFill="1"/>
    <xf numFmtId="44" fontId="20" fillId="16" borderId="0" xfId="1" applyFont="1" applyFill="1"/>
    <xf numFmtId="0" fontId="21" fillId="16" borderId="0" xfId="0" applyFont="1" applyFill="1" applyAlignment="1">
      <alignment horizontal="center"/>
    </xf>
    <xf numFmtId="0" fontId="17" fillId="17" borderId="0" xfId="0" applyFont="1" applyFill="1"/>
    <xf numFmtId="17" fontId="0" fillId="0" borderId="1" xfId="0" applyNumberFormat="1" applyBorder="1" applyAlignment="1">
      <alignment horizontal="center"/>
    </xf>
    <xf numFmtId="0" fontId="0" fillId="17" borderId="1" xfId="0" applyFill="1" applyBorder="1"/>
    <xf numFmtId="17" fontId="3" fillId="2" borderId="0" xfId="0" applyNumberFormat="1" applyFont="1" applyFill="1"/>
    <xf numFmtId="14" fontId="3" fillId="4" borderId="1" xfId="0" applyNumberFormat="1" applyFont="1" applyFill="1" applyBorder="1" applyAlignment="1">
      <alignment horizontal="center" wrapText="1"/>
    </xf>
    <xf numFmtId="14" fontId="0" fillId="13" borderId="0" xfId="0" applyNumberFormat="1" applyFill="1" applyAlignment="1">
      <alignment horizontal="center"/>
    </xf>
    <xf numFmtId="14" fontId="1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" fontId="3" fillId="8" borderId="1" xfId="0" applyNumberFormat="1" applyFont="1" applyFill="1" applyBorder="1" applyAlignment="1">
      <alignment horizontal="center" wrapText="1"/>
    </xf>
    <xf numFmtId="44" fontId="3" fillId="8" borderId="1" xfId="1" applyFont="1" applyFill="1" applyBorder="1" applyAlignment="1">
      <alignment horizontal="center" wrapText="1"/>
    </xf>
    <xf numFmtId="1" fontId="0" fillId="11" borderId="0" xfId="0" applyNumberFormat="1" applyFill="1"/>
    <xf numFmtId="44" fontId="9" fillId="12" borderId="0" xfId="1" applyFont="1" applyFill="1"/>
    <xf numFmtId="0" fontId="3" fillId="0" borderId="3" xfId="0" applyFont="1" applyBorder="1"/>
    <xf numFmtId="0" fontId="0" fillId="0" borderId="2" xfId="0" applyBorder="1"/>
    <xf numFmtId="0" fontId="3" fillId="18" borderId="1" xfId="0" applyFont="1" applyFill="1" applyBorder="1" applyAlignment="1">
      <alignment horizontal="center" wrapText="1"/>
    </xf>
    <xf numFmtId="2" fontId="3" fillId="18" borderId="1" xfId="0" applyNumberFormat="1" applyFont="1" applyFill="1" applyBorder="1" applyAlignment="1">
      <alignment horizontal="center" wrapText="1"/>
    </xf>
    <xf numFmtId="2" fontId="0" fillId="0" borderId="0" xfId="0" applyNumberFormat="1"/>
    <xf numFmtId="0" fontId="3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1" fontId="3" fillId="2" borderId="0" xfId="0" applyNumberFormat="1" applyFont="1" applyFill="1"/>
    <xf numFmtId="0" fontId="11" fillId="2" borderId="1" xfId="0" applyFont="1" applyFill="1" applyBorder="1" applyAlignment="1">
      <alignment horizontal="center" wrapText="1"/>
    </xf>
    <xf numFmtId="0" fontId="0" fillId="10" borderId="0" xfId="0" applyFill="1"/>
    <xf numFmtId="0" fontId="15" fillId="10" borderId="0" xfId="0" applyFont="1" applyFill="1"/>
    <xf numFmtId="2" fontId="0" fillId="14" borderId="0" xfId="0" applyNumberFormat="1" applyFill="1"/>
    <xf numFmtId="14" fontId="0" fillId="13" borderId="0" xfId="0" applyNumberFormat="1" applyFill="1"/>
    <xf numFmtId="1" fontId="0" fillId="13" borderId="0" xfId="0" applyNumberFormat="1" applyFill="1" applyAlignment="1">
      <alignment horizontal="center"/>
    </xf>
    <xf numFmtId="44" fontId="1" fillId="13" borderId="0" xfId="1" applyFont="1" applyFill="1"/>
    <xf numFmtId="3" fontId="0" fillId="13" borderId="0" xfId="0" applyNumberFormat="1" applyFill="1"/>
    <xf numFmtId="0" fontId="0" fillId="13" borderId="0" xfId="0" applyFill="1"/>
    <xf numFmtId="14" fontId="2" fillId="13" borderId="0" xfId="0" applyNumberFormat="1" applyFont="1" applyFill="1"/>
    <xf numFmtId="44" fontId="2" fillId="13" borderId="0" xfId="1" applyFont="1" applyFill="1"/>
    <xf numFmtId="3" fontId="2" fillId="13" borderId="0" xfId="0" applyNumberFormat="1" applyFont="1" applyFill="1"/>
    <xf numFmtId="0" fontId="2" fillId="13" borderId="0" xfId="0" applyFont="1" applyFill="1"/>
    <xf numFmtId="0" fontId="0" fillId="7" borderId="0" xfId="0" applyFill="1"/>
    <xf numFmtId="0" fontId="2" fillId="7" borderId="0" xfId="0" applyFont="1" applyFill="1"/>
    <xf numFmtId="0" fontId="3" fillId="19" borderId="5" xfId="0" applyFont="1" applyFill="1" applyBorder="1" applyAlignment="1">
      <alignment horizontal="center" wrapText="1"/>
    </xf>
    <xf numFmtId="0" fontId="17" fillId="6" borderId="5" xfId="0" applyFont="1" applyFill="1" applyBorder="1" applyAlignment="1">
      <alignment horizontal="center" wrapText="1"/>
    </xf>
    <xf numFmtId="14" fontId="2" fillId="0" borderId="4" xfId="0" applyNumberFormat="1" applyFont="1" applyBorder="1"/>
    <xf numFmtId="0" fontId="0" fillId="0" borderId="4" xfId="0" applyBorder="1"/>
    <xf numFmtId="0" fontId="17" fillId="16" borderId="4" xfId="0" applyFont="1" applyFill="1" applyBorder="1"/>
    <xf numFmtId="14" fontId="23" fillId="16" borderId="4" xfId="0" applyNumberFormat="1" applyFont="1" applyFill="1" applyBorder="1"/>
    <xf numFmtId="0" fontId="23" fillId="16" borderId="4" xfId="0" applyFont="1" applyFill="1" applyBorder="1"/>
    <xf numFmtId="14" fontId="23" fillId="0" borderId="4" xfId="0" applyNumberFormat="1" applyFont="1" applyBorder="1"/>
    <xf numFmtId="0" fontId="23" fillId="0" borderId="4" xfId="0" applyFont="1" applyBorder="1"/>
    <xf numFmtId="14" fontId="22" fillId="0" borderId="4" xfId="0" applyNumberFormat="1" applyFont="1" applyBorder="1"/>
    <xf numFmtId="0" fontId="22" fillId="16" borderId="4" xfId="0" applyFont="1" applyFill="1" applyBorder="1"/>
    <xf numFmtId="14" fontId="22" fillId="16" borderId="4" xfId="0" applyNumberFormat="1" applyFont="1" applyFill="1" applyBorder="1"/>
    <xf numFmtId="0" fontId="0" fillId="17" borderId="4" xfId="0" applyFill="1" applyBorder="1"/>
    <xf numFmtId="14" fontId="17" fillId="17" borderId="4" xfId="0" applyNumberFormat="1" applyFont="1" applyFill="1" applyBorder="1"/>
    <xf numFmtId="0" fontId="17" fillId="17" borderId="4" xfId="0" applyFont="1" applyFill="1" applyBorder="1"/>
    <xf numFmtId="0" fontId="0" fillId="2" borderId="0" xfId="0" applyFill="1"/>
    <xf numFmtId="2" fontId="10" fillId="20" borderId="0" xfId="0" applyNumberFormat="1" applyFont="1" applyFill="1"/>
    <xf numFmtId="0" fontId="2" fillId="14" borderId="0" xfId="0" applyFont="1" applyFill="1"/>
    <xf numFmtId="0" fontId="24" fillId="0" borderId="0" xfId="0" quotePrefix="1" applyFont="1"/>
    <xf numFmtId="14" fontId="23" fillId="12" borderId="7" xfId="0" applyNumberFormat="1" applyFont="1" applyFill="1" applyBorder="1"/>
    <xf numFmtId="14" fontId="23" fillId="12" borderId="8" xfId="0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2" borderId="14" xfId="0" applyNumberFormat="1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14" fontId="23" fillId="16" borderId="19" xfId="0" applyNumberFormat="1" applyFont="1" applyFill="1" applyBorder="1"/>
    <xf numFmtId="14" fontId="23" fillId="0" borderId="20" xfId="0" applyNumberFormat="1" applyFont="1" applyBorder="1"/>
    <xf numFmtId="0" fontId="12" fillId="0" borderId="0" xfId="0" applyFont="1"/>
    <xf numFmtId="0" fontId="25" fillId="13" borderId="0" xfId="0" applyFont="1" applyFill="1"/>
    <xf numFmtId="14" fontId="12" fillId="13" borderId="0" xfId="0" applyNumberFormat="1" applyFont="1" applyFill="1" applyAlignment="1">
      <alignment horizontal="center"/>
    </xf>
    <xf numFmtId="17" fontId="12" fillId="13" borderId="0" xfId="0" applyNumberFormat="1" applyFont="1" applyFill="1"/>
    <xf numFmtId="14" fontId="12" fillId="13" borderId="0" xfId="0" applyNumberFormat="1" applyFont="1" applyFill="1"/>
    <xf numFmtId="1" fontId="12" fillId="13" borderId="0" xfId="0" applyNumberFormat="1" applyFont="1" applyFill="1" applyAlignment="1">
      <alignment horizontal="center"/>
    </xf>
    <xf numFmtId="44" fontId="12" fillId="13" borderId="0" xfId="1" applyFont="1" applyFill="1"/>
    <xf numFmtId="3" fontId="12" fillId="13" borderId="0" xfId="0" applyNumberFormat="1" applyFont="1" applyFill="1"/>
    <xf numFmtId="0" fontId="12" fillId="7" borderId="0" xfId="0" applyFont="1" applyFill="1"/>
    <xf numFmtId="0" fontId="12" fillId="13" borderId="0" xfId="0" applyFont="1" applyFill="1"/>
    <xf numFmtId="14" fontId="12" fillId="0" borderId="4" xfId="0" applyNumberFormat="1" applyFont="1" applyBorder="1"/>
    <xf numFmtId="0" fontId="12" fillId="16" borderId="4" xfId="0" applyFont="1" applyFill="1" applyBorder="1"/>
    <xf numFmtId="0" fontId="12" fillId="16" borderId="17" xfId="0" applyFont="1" applyFill="1" applyBorder="1"/>
    <xf numFmtId="14" fontId="25" fillId="12" borderId="6" xfId="0" applyNumberFormat="1" applyFont="1" applyFill="1" applyBorder="1"/>
    <xf numFmtId="0" fontId="25" fillId="16" borderId="18" xfId="0" applyFont="1" applyFill="1" applyBorder="1"/>
    <xf numFmtId="0" fontId="25" fillId="16" borderId="4" xfId="0" applyFont="1" applyFill="1" applyBorder="1"/>
    <xf numFmtId="2" fontId="12" fillId="14" borderId="0" xfId="0" applyNumberFormat="1" applyFont="1" applyFill="1"/>
    <xf numFmtId="0" fontId="12" fillId="14" borderId="0" xfId="0" applyFont="1" applyFill="1"/>
    <xf numFmtId="1" fontId="12" fillId="11" borderId="0" xfId="0" applyNumberFormat="1" applyFont="1" applyFill="1"/>
    <xf numFmtId="1" fontId="12" fillId="12" borderId="0" xfId="0" applyNumberFormat="1" applyFont="1" applyFill="1"/>
    <xf numFmtId="1" fontId="25" fillId="2" borderId="0" xfId="0" applyNumberFormat="1" applyFont="1" applyFill="1"/>
    <xf numFmtId="44" fontId="12" fillId="12" borderId="0" xfId="1" applyFont="1" applyFill="1"/>
    <xf numFmtId="2" fontId="12" fillId="0" borderId="0" xfId="0" applyNumberFormat="1" applyFont="1"/>
    <xf numFmtId="0" fontId="18" fillId="2" borderId="0" xfId="0" applyFont="1" applyFill="1"/>
    <xf numFmtId="0" fontId="0" fillId="21" borderId="0" xfId="0" applyFill="1"/>
    <xf numFmtId="0" fontId="26" fillId="21" borderId="0" xfId="0" applyFont="1" applyFill="1"/>
    <xf numFmtId="0" fontId="17" fillId="21" borderId="4" xfId="0" applyFont="1" applyFill="1" applyBorder="1"/>
    <xf numFmtId="17" fontId="0" fillId="21" borderId="0" xfId="0" applyNumberFormat="1" applyFill="1"/>
    <xf numFmtId="0" fontId="23" fillId="21" borderId="4" xfId="0" applyFont="1" applyFill="1" applyBorder="1"/>
    <xf numFmtId="14" fontId="15" fillId="13" borderId="0" xfId="0" applyNumberFormat="1" applyFont="1" applyFill="1"/>
    <xf numFmtId="0" fontId="0" fillId="18" borderId="0" xfId="0" applyFill="1" applyAlignment="1">
      <alignment horizontal="center"/>
    </xf>
    <xf numFmtId="17" fontId="0" fillId="13" borderId="0" xfId="0" applyNumberFormat="1" applyFill="1" applyAlignment="1">
      <alignment horizontal="right"/>
    </xf>
    <xf numFmtId="0" fontId="3" fillId="7" borderId="0" xfId="0" applyFont="1" applyFill="1"/>
    <xf numFmtId="0" fontId="3" fillId="13" borderId="0" xfId="0" applyFont="1" applyFill="1"/>
    <xf numFmtId="3" fontId="3" fillId="13" borderId="0" xfId="0" applyNumberFormat="1" applyFont="1" applyFill="1"/>
    <xf numFmtId="0" fontId="3" fillId="16" borderId="0" xfId="0" applyFont="1" applyFill="1"/>
    <xf numFmtId="0" fontId="18" fillId="16" borderId="0" xfId="0" applyFont="1" applyFill="1"/>
    <xf numFmtId="0" fontId="0" fillId="21" borderId="0" xfId="0" applyFill="1" applyAlignment="1">
      <alignment horizontal="center"/>
    </xf>
    <xf numFmtId="44" fontId="3" fillId="13" borderId="0" xfId="1" applyFont="1" applyFill="1"/>
    <xf numFmtId="0" fontId="11" fillId="0" borderId="0" xfId="0" applyFont="1"/>
    <xf numFmtId="14" fontId="15" fillId="0" borderId="0" xfId="0" applyNumberFormat="1" applyFont="1"/>
    <xf numFmtId="44" fontId="0" fillId="13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2" borderId="0" xfId="0" applyFont="1" applyFill="1"/>
    <xf numFmtId="0" fontId="2" fillId="22" borderId="0" xfId="0" applyFont="1" applyFill="1"/>
    <xf numFmtId="14" fontId="18" fillId="0" borderId="0" xfId="0" applyNumberFormat="1" applyFont="1"/>
    <xf numFmtId="14" fontId="18" fillId="22" borderId="0" xfId="0" applyNumberFormat="1" applyFont="1" applyFill="1"/>
    <xf numFmtId="0" fontId="28" fillId="0" borderId="0" xfId="0" applyFont="1" applyAlignment="1">
      <alignment vertical="center"/>
    </xf>
    <xf numFmtId="14" fontId="18" fillId="16" borderId="4" xfId="0" applyNumberFormat="1" applyFont="1" applyFill="1" applyBorder="1"/>
    <xf numFmtId="14" fontId="9" fillId="13" borderId="0" xfId="0" applyNumberFormat="1" applyFont="1" applyFill="1"/>
    <xf numFmtId="17" fontId="0" fillId="2" borderId="0" xfId="0" applyNumberFormat="1" applyFill="1"/>
    <xf numFmtId="14" fontId="23" fillId="15" borderId="4" xfId="0" applyNumberFormat="1" applyFont="1" applyFill="1" applyBorder="1"/>
    <xf numFmtId="17" fontId="0" fillId="15" borderId="0" xfId="0" applyNumberFormat="1" applyFill="1"/>
    <xf numFmtId="14" fontId="9" fillId="2" borderId="0" xfId="0" applyNumberFormat="1" applyFont="1" applyFill="1"/>
    <xf numFmtId="0" fontId="3" fillId="15" borderId="0" xfId="0" applyFont="1" applyFill="1"/>
    <xf numFmtId="0" fontId="0" fillId="15" borderId="0" xfId="0" applyFill="1"/>
    <xf numFmtId="44" fontId="0" fillId="15" borderId="0" xfId="0" applyNumberFormat="1" applyFill="1"/>
    <xf numFmtId="44" fontId="3" fillId="0" borderId="0" xfId="1" applyFont="1"/>
    <xf numFmtId="0" fontId="23" fillId="16" borderId="0" xfId="0" applyFont="1" applyFill="1"/>
    <xf numFmtId="14" fontId="0" fillId="2" borderId="0" xfId="0" applyNumberFormat="1" applyFill="1" applyAlignment="1">
      <alignment horizontal="center"/>
    </xf>
    <xf numFmtId="0" fontId="0" fillId="23" borderId="0" xfId="0" applyFill="1"/>
    <xf numFmtId="0" fontId="3" fillId="23" borderId="0" xfId="0" applyFont="1" applyFill="1"/>
    <xf numFmtId="17" fontId="0" fillId="23" borderId="0" xfId="0" applyNumberFormat="1" applyFill="1"/>
    <xf numFmtId="14" fontId="0" fillId="23" borderId="0" xfId="0" applyNumberFormat="1" applyFill="1" applyAlignment="1">
      <alignment horizontal="center"/>
    </xf>
    <xf numFmtId="44" fontId="0" fillId="23" borderId="0" xfId="1" applyFont="1" applyFill="1" applyAlignment="1">
      <alignment horizontal="center"/>
    </xf>
    <xf numFmtId="164" fontId="0" fillId="23" borderId="0" xfId="0" applyNumberFormat="1" applyFill="1" applyAlignment="1">
      <alignment horizontal="center"/>
    </xf>
    <xf numFmtId="14" fontId="0" fillId="23" borderId="0" xfId="0" applyNumberFormat="1" applyFill="1"/>
    <xf numFmtId="1" fontId="0" fillId="23" borderId="0" xfId="0" applyNumberFormat="1" applyFill="1" applyAlignment="1">
      <alignment horizontal="center"/>
    </xf>
    <xf numFmtId="44" fontId="2" fillId="23" borderId="0" xfId="1" applyFont="1" applyFill="1"/>
    <xf numFmtId="3" fontId="2" fillId="23" borderId="0" xfId="0" applyNumberFormat="1" applyFont="1" applyFill="1"/>
    <xf numFmtId="0" fontId="2" fillId="23" borderId="0" xfId="0" applyFont="1" applyFill="1"/>
    <xf numFmtId="14" fontId="18" fillId="23" borderId="4" xfId="0" applyNumberFormat="1" applyFont="1" applyFill="1" applyBorder="1"/>
    <xf numFmtId="0" fontId="0" fillId="23" borderId="0" xfId="0" applyFill="1" applyAlignment="1">
      <alignment horizontal="center"/>
    </xf>
    <xf numFmtId="44" fontId="0" fillId="23" borderId="0" xfId="0" applyNumberFormat="1" applyFill="1"/>
    <xf numFmtId="0" fontId="18" fillId="0" borderId="0" xfId="0" applyFont="1"/>
    <xf numFmtId="0" fontId="3" fillId="18" borderId="0" xfId="0" applyFont="1" applyFill="1" applyAlignment="1">
      <alignment horizontal="center"/>
    </xf>
    <xf numFmtId="14" fontId="15" fillId="23" borderId="0" xfId="0" applyNumberFormat="1" applyFont="1" applyFill="1"/>
    <xf numFmtId="17" fontId="3" fillId="4" borderId="1" xfId="0" applyNumberFormat="1" applyFont="1" applyFill="1" applyBorder="1" applyAlignment="1">
      <alignment horizontal="center" vertical="center" wrapText="1"/>
    </xf>
    <xf numFmtId="17" fontId="0" fillId="13" borderId="0" xfId="0" applyNumberFormat="1" applyFill="1" applyAlignment="1">
      <alignment horizontal="center" vertical="center"/>
    </xf>
    <xf numFmtId="17" fontId="0" fillId="21" borderId="0" xfId="0" applyNumberFormat="1" applyFill="1" applyAlignment="1">
      <alignment horizontal="center" vertical="center"/>
    </xf>
    <xf numFmtId="17" fontId="0" fillId="23" borderId="0" xfId="0" applyNumberFormat="1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7" fillId="8" borderId="2" xfId="0" applyFont="1" applyFill="1" applyBorder="1" applyAlignment="1">
      <alignment horizontal="left" vertical="center"/>
    </xf>
    <xf numFmtId="14" fontId="3" fillId="8" borderId="1" xfId="0" applyNumberFormat="1" applyFont="1" applyFill="1" applyBorder="1" applyAlignment="1">
      <alignment horizontal="center" vertical="center" wrapText="1"/>
    </xf>
    <xf numFmtId="44" fontId="3" fillId="8" borderId="1" xfId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3" fillId="18" borderId="1" xfId="0" applyNumberFormat="1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14" fontId="18" fillId="18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15" borderId="0" xfId="0" applyNumberFormat="1" applyFill="1"/>
    <xf numFmtId="0" fontId="18" fillId="16" borderId="4" xfId="0" applyFont="1" applyFill="1" applyBorder="1"/>
    <xf numFmtId="0" fontId="18" fillId="21" borderId="4" xfId="0" applyFont="1" applyFill="1" applyBorder="1"/>
    <xf numFmtId="0" fontId="23" fillId="0" borderId="0" xfId="0" applyFont="1"/>
    <xf numFmtId="0" fontId="23" fillId="15" borderId="0" xfId="0" applyFont="1" applyFill="1"/>
    <xf numFmtId="0" fontId="18" fillId="23" borderId="4" xfId="0" applyFont="1" applyFill="1" applyBorder="1"/>
    <xf numFmtId="17" fontId="0" fillId="12" borderId="0" xfId="0" applyNumberFormat="1" applyFill="1"/>
    <xf numFmtId="0" fontId="3" fillId="7" borderId="0" xfId="0" applyFont="1" applyFill="1" applyAlignment="1">
      <alignment horizontal="center"/>
    </xf>
    <xf numFmtId="0" fontId="0" fillId="12" borderId="0" xfId="0" applyFill="1"/>
    <xf numFmtId="0" fontId="11" fillId="12" borderId="0" xfId="0" applyFont="1" applyFill="1"/>
    <xf numFmtId="0" fontId="3" fillId="24" borderId="0" xfId="0" applyFont="1" applyFill="1"/>
    <xf numFmtId="14" fontId="23" fillId="2" borderId="4" xfId="0" applyNumberFormat="1" applyFont="1" applyFill="1" applyBorder="1"/>
    <xf numFmtId="0" fontId="3" fillId="2" borderId="1" xfId="0" applyFont="1" applyFill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2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3" fillId="0" borderId="25" xfId="0" applyFont="1" applyBorder="1"/>
    <xf numFmtId="0" fontId="3" fillId="17" borderId="0" xfId="0" applyFont="1" applyFill="1" applyAlignment="1">
      <alignment horizontal="center"/>
    </xf>
    <xf numFmtId="0" fontId="31" fillId="0" borderId="0" xfId="3"/>
    <xf numFmtId="14" fontId="32" fillId="22" borderId="0" xfId="0" applyNumberFormat="1" applyFont="1" applyFill="1"/>
    <xf numFmtId="14" fontId="18" fillId="2" borderId="4" xfId="0" applyNumberFormat="1" applyFont="1" applyFill="1" applyBorder="1"/>
    <xf numFmtId="0" fontId="18" fillId="2" borderId="4" xfId="0" applyFont="1" applyFill="1" applyBorder="1"/>
    <xf numFmtId="14" fontId="15" fillId="22" borderId="0" xfId="0" applyNumberFormat="1" applyFont="1" applyFill="1"/>
    <xf numFmtId="17" fontId="3" fillId="0" borderId="0" xfId="0" applyNumberFormat="1" applyFont="1" applyAlignment="1">
      <alignment horizontal="left" vertical="center"/>
    </xf>
    <xf numFmtId="0" fontId="23" fillId="2" borderId="0" xfId="0" applyFont="1" applyFill="1"/>
    <xf numFmtId="0" fontId="23" fillId="2" borderId="4" xfId="0" applyFont="1" applyFill="1" applyBorder="1"/>
    <xf numFmtId="0" fontId="9" fillId="2" borderId="0" xfId="0" applyFont="1" applyFill="1"/>
    <xf numFmtId="17" fontId="0" fillId="0" borderId="0" xfId="0" applyNumberFormat="1" applyAlignment="1">
      <alignment horizontal="center" wrapText="1"/>
    </xf>
  </cellXfs>
  <cellStyles count="4">
    <cellStyle name="Collegamento ipertestuale" xfId="3" builtinId="8"/>
    <cellStyle name="Normale" xfId="0" builtinId="0"/>
    <cellStyle name="Normale 2" xfId="2" xr:uid="{24E2059D-5571-4F5C-B526-06BCF25EAD79}"/>
    <cellStyle name="Valuta" xfId="1" builtinId="4"/>
  </cellStyles>
  <dxfs count="14">
    <dxf>
      <font>
        <color rgb="FFFF9999"/>
      </font>
    </dxf>
    <dxf>
      <font>
        <color rgb="FFFF9999"/>
      </font>
    </dxf>
    <dxf>
      <font>
        <color rgb="FFFF9999"/>
      </font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9999"/>
      </font>
    </dxf>
    <dxf>
      <font>
        <color rgb="FFFF999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colors>
    <mruColors>
      <color rgb="FFCD9ED6"/>
      <color rgb="FFFFCCCC"/>
      <color rgb="FFFF9999"/>
      <color rgb="FFCCECFF"/>
      <color rgb="FFF2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19-06-26T09:23:20.44" personId="{00000000-0000-0000-0000-000000000000}" id="{898A6490-503A-4549-84E3-395D39909003}">
    <text>INSERIRE DATA E NUMERO COPIE QUI DOPO AVER COPIATO I DATI PRESENTI NELLE 3 COLONNE PRECEDENTI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3508cimedeatsrl@e-sent.i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B359-865F-4F88-9F64-23421BF6F746}">
  <dimension ref="A1:AU66"/>
  <sheetViews>
    <sheetView tabSelected="1" topLeftCell="B1" zoomScale="85" zoomScaleNormal="85" workbookViewId="0">
      <pane ySplit="2700" topLeftCell="A18" activePane="bottomLeft"/>
      <selection activeCell="B1" sqref="B1"/>
      <selection pane="bottomLeft" activeCell="B25" sqref="B25"/>
    </sheetView>
  </sheetViews>
  <sheetFormatPr defaultRowHeight="15" outlineLevelCol="1" x14ac:dyDescent="0.25"/>
  <cols>
    <col min="1" max="1" width="6.42578125" hidden="1" customWidth="1"/>
    <col min="2" max="2" width="35.28515625" customWidth="1"/>
    <col min="3" max="3" width="21.28515625" customWidth="1"/>
    <col min="4" max="4" width="16.28515625" style="23" customWidth="1"/>
    <col min="5" max="5" width="7.140625" style="224" customWidth="1" outlineLevel="1"/>
    <col min="6" max="6" width="12.28515625" style="23" customWidth="1" outlineLevel="1"/>
    <col min="7" max="7" width="16.7109375" style="23" customWidth="1" outlineLevel="1"/>
    <col min="8" max="8" width="12.85546875" style="82" customWidth="1"/>
    <col min="9" max="9" width="12.7109375" style="183" hidden="1" customWidth="1"/>
    <col min="10" max="10" width="12.7109375" style="185" hidden="1" customWidth="1"/>
    <col min="11" max="11" width="15.5703125" style="47" customWidth="1" outlineLevel="1"/>
    <col min="12" max="12" width="7" style="42" customWidth="1" outlineLevel="1"/>
    <col min="13" max="13" width="11.7109375" customWidth="1" outlineLevel="1"/>
    <col min="14" max="14" width="10.7109375" customWidth="1" outlineLevel="1"/>
    <col min="15" max="15" width="9.28515625" style="5" customWidth="1" outlineLevel="1" collapsed="1"/>
    <col min="16" max="16" width="8.28515625" style="3" customWidth="1" outlineLevel="1"/>
    <col min="17" max="17" width="7.5703125" style="3" customWidth="1" outlineLevel="1"/>
    <col min="18" max="18" width="8" customWidth="1" outlineLevel="1"/>
    <col min="19" max="19" width="11.85546875" style="3" customWidth="1" outlineLevel="1"/>
    <col min="20" max="20" width="8.140625" style="3" customWidth="1" outlineLevel="1"/>
    <col min="21" max="21" width="8.7109375" style="3" customWidth="1" outlineLevel="1"/>
    <col min="22" max="22" width="12.140625" style="3" customWidth="1"/>
    <col min="23" max="24" width="9.28515625" style="3" bestFit="1" customWidth="1"/>
    <col min="25" max="25" width="11.5703125" style="3" customWidth="1"/>
    <col min="26" max="26" width="9.42578125" style="3" hidden="1" customWidth="1" outlineLevel="1"/>
    <col min="27" max="27" width="9" style="3" hidden="1" customWidth="1" outlineLevel="1"/>
    <col min="28" max="28" width="8.42578125" style="3" hidden="1" customWidth="1" outlineLevel="1"/>
    <col min="29" max="29" width="9.140625" hidden="1" customWidth="1" outlineLevel="1"/>
    <col min="30" max="30" width="9" hidden="1" customWidth="1" outlineLevel="1"/>
    <col min="31" max="31" width="8.5703125" hidden="1" customWidth="1" outlineLevel="1"/>
    <col min="32" max="32" width="9.5703125" style="7" hidden="1" customWidth="1" outlineLevel="1"/>
    <col min="33" max="33" width="8.140625" style="7" hidden="1" customWidth="1" outlineLevel="1"/>
    <col min="34" max="34" width="13.140625" customWidth="1" collapsed="1"/>
    <col min="35" max="35" width="13.140625" customWidth="1"/>
    <col min="36" max="36" width="12" style="91" hidden="1" customWidth="1" outlineLevel="1"/>
    <col min="37" max="37" width="12.5703125" style="91" hidden="1" customWidth="1" outlineLevel="1"/>
    <col min="38" max="39" width="9.140625" hidden="1" customWidth="1" outlineLevel="1"/>
    <col min="40" max="40" width="9.140625" style="2" hidden="1" customWidth="1" outlineLevel="1"/>
    <col min="41" max="41" width="10.140625" style="2" hidden="1" customWidth="1" outlineLevel="1"/>
    <col min="42" max="42" width="10.85546875" style="2" hidden="1" customWidth="1" outlineLevel="1"/>
    <col min="43" max="43" width="10.85546875" style="181" customWidth="1" collapsed="1"/>
    <col min="44" max="44" width="37.28515625" customWidth="1"/>
    <col min="45" max="45" width="24.5703125" customWidth="1"/>
    <col min="46" max="46" width="11.7109375" customWidth="1"/>
  </cols>
  <sheetData>
    <row r="1" spans="1:46" s="245" customFormat="1" ht="114" customHeight="1" x14ac:dyDescent="0.25">
      <c r="A1" s="225" t="s">
        <v>109</v>
      </c>
      <c r="B1" s="220" t="s">
        <v>150</v>
      </c>
      <c r="C1" s="226">
        <f>COUNTA(C2:C54)</f>
        <v>53</v>
      </c>
      <c r="D1" s="220" t="s">
        <v>17</v>
      </c>
      <c r="E1" s="220" t="s">
        <v>138</v>
      </c>
      <c r="F1" s="220" t="s">
        <v>228</v>
      </c>
      <c r="G1" s="220" t="s">
        <v>115</v>
      </c>
      <c r="H1" s="227" t="s">
        <v>18</v>
      </c>
      <c r="I1" s="228" t="s">
        <v>193</v>
      </c>
      <c r="J1" s="229" t="s">
        <v>194</v>
      </c>
      <c r="K1" s="227" t="s">
        <v>19</v>
      </c>
      <c r="L1" s="230" t="s">
        <v>70</v>
      </c>
      <c r="M1" s="231" t="s">
        <v>1</v>
      </c>
      <c r="N1" s="228" t="s">
        <v>2</v>
      </c>
      <c r="O1" s="232" t="s">
        <v>59</v>
      </c>
      <c r="P1" s="233" t="s">
        <v>60</v>
      </c>
      <c r="Q1" s="234" t="s">
        <v>58</v>
      </c>
      <c r="R1" s="235" t="s">
        <v>108</v>
      </c>
      <c r="S1" s="236" t="s">
        <v>21</v>
      </c>
      <c r="T1" s="236" t="s">
        <v>55</v>
      </c>
      <c r="U1" s="236" t="s">
        <v>56</v>
      </c>
      <c r="V1" s="237" t="s">
        <v>117</v>
      </c>
      <c r="W1" s="237" t="s">
        <v>52</v>
      </c>
      <c r="X1" s="237" t="s">
        <v>46</v>
      </c>
      <c r="Y1" s="238" t="s">
        <v>95</v>
      </c>
      <c r="Z1" s="238" t="s">
        <v>67</v>
      </c>
      <c r="AA1" s="238" t="s">
        <v>66</v>
      </c>
      <c r="AB1" s="239" t="s">
        <v>62</v>
      </c>
      <c r="AC1" s="239" t="s">
        <v>63</v>
      </c>
      <c r="AD1" s="240" t="s">
        <v>64</v>
      </c>
      <c r="AE1" s="240" t="s">
        <v>65</v>
      </c>
      <c r="AF1" s="241" t="s">
        <v>98</v>
      </c>
      <c r="AG1" s="241" t="s">
        <v>99</v>
      </c>
      <c r="AH1" s="240" t="s">
        <v>97</v>
      </c>
      <c r="AI1" s="240" t="s">
        <v>96</v>
      </c>
      <c r="AJ1" s="242" t="s">
        <v>110</v>
      </c>
      <c r="AK1" s="242" t="s">
        <v>113</v>
      </c>
      <c r="AL1" s="243" t="s">
        <v>111</v>
      </c>
      <c r="AM1" s="243" t="s">
        <v>112</v>
      </c>
      <c r="AN1" s="243" t="s">
        <v>240</v>
      </c>
      <c r="AO1" s="243" t="s">
        <v>139</v>
      </c>
      <c r="AP1" s="243" t="s">
        <v>140</v>
      </c>
      <c r="AQ1" s="244" t="s">
        <v>149</v>
      </c>
      <c r="AR1" s="243" t="s">
        <v>181</v>
      </c>
      <c r="AS1" s="258" t="s">
        <v>310</v>
      </c>
    </row>
    <row r="2" spans="1:46" x14ac:dyDescent="0.25">
      <c r="B2" s="177" t="s">
        <v>152</v>
      </c>
      <c r="C2" s="174" t="s">
        <v>50</v>
      </c>
      <c r="D2" s="38" t="s">
        <v>13</v>
      </c>
      <c r="E2" s="221"/>
      <c r="F2" s="38" t="s">
        <v>225</v>
      </c>
      <c r="G2" s="38"/>
      <c r="H2" s="80">
        <v>43734</v>
      </c>
      <c r="I2" s="182">
        <f t="shared" ref="I2:I11" si="0">IF(M2="",N2/L2,M2)</f>
        <v>66.666666666666671</v>
      </c>
      <c r="J2" s="184">
        <f t="shared" ref="J2:J11" si="1">I2/(O2/L2)</f>
        <v>6.6666666666666666E-2</v>
      </c>
      <c r="K2" s="99">
        <v>45564</v>
      </c>
      <c r="L2" s="100">
        <v>3</v>
      </c>
      <c r="M2" s="101"/>
      <c r="N2" s="101">
        <v>200</v>
      </c>
      <c r="O2" s="102">
        <v>3000</v>
      </c>
      <c r="P2" s="108">
        <v>0.01</v>
      </c>
      <c r="Q2" s="103">
        <v>300</v>
      </c>
      <c r="R2" s="108">
        <v>0.08</v>
      </c>
      <c r="S2" s="191">
        <v>44732</v>
      </c>
      <c r="T2" s="247">
        <v>145131</v>
      </c>
      <c r="U2" s="247">
        <v>18626</v>
      </c>
      <c r="V2" s="115">
        <v>44927</v>
      </c>
      <c r="W2" s="249">
        <v>166291</v>
      </c>
      <c r="X2" s="249">
        <v>23568</v>
      </c>
      <c r="Y2" s="126">
        <f t="shared" ref="Y2:Y36" si="2">(V2-S2)/30.42</f>
        <v>6.4102564102564097</v>
      </c>
      <c r="Z2" s="30">
        <f t="shared" ref="Z2:Z36" si="3">W2-T2</f>
        <v>21160</v>
      </c>
      <c r="AA2" s="30">
        <f t="shared" ref="AA2:AA36" si="4">X2-U2</f>
        <v>4942</v>
      </c>
      <c r="AB2" s="85">
        <f t="shared" ref="AB2:AB36" si="5">Z2/Y2</f>
        <v>3300.9600000000005</v>
      </c>
      <c r="AC2" s="85">
        <f t="shared" ref="AC2:AC36" si="6">AA2/Y2</f>
        <v>770.95200000000011</v>
      </c>
      <c r="AD2" s="32">
        <f t="shared" ref="AD2:AD36" si="7">AB2-O2/L2</f>
        <v>2300.9600000000005</v>
      </c>
      <c r="AE2" s="32">
        <f t="shared" ref="AE2:AE36" si="8">AC2-Q2/L2</f>
        <v>670.95200000000011</v>
      </c>
      <c r="AF2" s="94">
        <f t="shared" ref="AF2:AF36" si="9">AD2*Y2</f>
        <v>14749.743589743592</v>
      </c>
      <c r="AG2" s="94">
        <f t="shared" ref="AG2:AG36" si="10">AE2*Y2</f>
        <v>4300.9743589743593</v>
      </c>
      <c r="AH2" s="86">
        <f t="shared" ref="AH2:AH36" si="11">AF2*P2</f>
        <v>147.49743589743591</v>
      </c>
      <c r="AI2" s="86">
        <f t="shared" ref="AI2:AI36" si="12">AG2*R2</f>
        <v>344.07794871794874</v>
      </c>
      <c r="AJ2" s="91">
        <f t="shared" ref="AJ2:AK5" si="13">W2/AL2</f>
        <v>8.3145500000000006</v>
      </c>
      <c r="AK2" s="91">
        <f t="shared" si="13"/>
        <v>1.964</v>
      </c>
      <c r="AL2" s="173">
        <v>20000</v>
      </c>
      <c r="AM2" s="173">
        <v>12000</v>
      </c>
      <c r="AN2" s="253">
        <v>8511</v>
      </c>
      <c r="AO2" s="218">
        <v>8</v>
      </c>
      <c r="AP2" s="218">
        <v>4</v>
      </c>
      <c r="AQ2" s="189">
        <v>44937</v>
      </c>
      <c r="AR2" s="7" t="s">
        <v>233</v>
      </c>
      <c r="AT2" s="35"/>
    </row>
    <row r="3" spans="1:46" x14ac:dyDescent="0.25">
      <c r="B3" s="217" t="s">
        <v>186</v>
      </c>
      <c r="C3" s="174" t="s">
        <v>201</v>
      </c>
      <c r="D3" s="38" t="s">
        <v>124</v>
      </c>
      <c r="E3" s="221"/>
      <c r="F3" s="38" t="s">
        <v>226</v>
      </c>
      <c r="G3" s="38" t="s">
        <v>229</v>
      </c>
      <c r="H3" s="80">
        <v>44482</v>
      </c>
      <c r="I3" s="182">
        <f t="shared" si="0"/>
        <v>100</v>
      </c>
      <c r="J3" s="184">
        <f t="shared" si="1"/>
        <v>0.06</v>
      </c>
      <c r="K3" s="99">
        <v>45943</v>
      </c>
      <c r="L3" s="100">
        <v>3</v>
      </c>
      <c r="M3" s="101"/>
      <c r="N3" s="179">
        <v>300</v>
      </c>
      <c r="O3" s="175">
        <v>5000</v>
      </c>
      <c r="P3" s="108">
        <v>0.01</v>
      </c>
      <c r="Q3" s="174">
        <v>500</v>
      </c>
      <c r="R3" s="108">
        <v>0.08</v>
      </c>
      <c r="S3" s="191">
        <v>44713</v>
      </c>
      <c r="T3" s="247">
        <v>6801</v>
      </c>
      <c r="U3" s="247">
        <v>6899</v>
      </c>
      <c r="V3" s="115">
        <v>44930</v>
      </c>
      <c r="W3" s="249">
        <v>9677</v>
      </c>
      <c r="X3" s="249">
        <v>10829</v>
      </c>
      <c r="Y3" s="126">
        <f t="shared" si="2"/>
        <v>7.1334648257725179</v>
      </c>
      <c r="Z3" s="30">
        <f t="shared" si="3"/>
        <v>2876</v>
      </c>
      <c r="AA3" s="30">
        <f t="shared" si="4"/>
        <v>3930</v>
      </c>
      <c r="AB3" s="85">
        <f t="shared" si="5"/>
        <v>403.17013824884793</v>
      </c>
      <c r="AC3" s="85">
        <f t="shared" si="6"/>
        <v>550.92442396313368</v>
      </c>
      <c r="AD3" s="32">
        <f t="shared" si="7"/>
        <v>-1263.4965284178188</v>
      </c>
      <c r="AE3" s="32">
        <f t="shared" si="8"/>
        <v>384.25775729646705</v>
      </c>
      <c r="AF3" s="94">
        <f t="shared" si="9"/>
        <v>-9013.108042954198</v>
      </c>
      <c r="AG3" s="94">
        <f t="shared" si="10"/>
        <v>2741.089195704581</v>
      </c>
      <c r="AH3" s="86">
        <f t="shared" si="11"/>
        <v>-90.131080429541981</v>
      </c>
      <c r="AI3" s="86">
        <f t="shared" si="12"/>
        <v>219.28713565636647</v>
      </c>
      <c r="AJ3" s="91">
        <f t="shared" si="13"/>
        <v>0.48385</v>
      </c>
      <c r="AK3" s="91">
        <f t="shared" si="13"/>
        <v>0.90241666666666664</v>
      </c>
      <c r="AL3" s="173">
        <v>20000</v>
      </c>
      <c r="AM3" s="173">
        <v>12000</v>
      </c>
      <c r="AN3" s="253">
        <v>8511</v>
      </c>
      <c r="AO3" s="218">
        <v>3</v>
      </c>
      <c r="AP3" s="218">
        <v>1</v>
      </c>
      <c r="AQ3" s="189">
        <v>44937</v>
      </c>
      <c r="AR3" s="7" t="s">
        <v>230</v>
      </c>
      <c r="AT3" s="35"/>
    </row>
    <row r="4" spans="1:46" x14ac:dyDescent="0.25">
      <c r="B4" s="7" t="s">
        <v>207</v>
      </c>
      <c r="C4" s="174" t="s">
        <v>201</v>
      </c>
      <c r="D4" s="38" t="s">
        <v>196</v>
      </c>
      <c r="E4" s="221"/>
      <c r="F4" s="38" t="s">
        <v>227</v>
      </c>
      <c r="G4" s="38" t="s">
        <v>232</v>
      </c>
      <c r="H4" s="80">
        <v>44733</v>
      </c>
      <c r="I4" s="182">
        <f t="shared" si="0"/>
        <v>130</v>
      </c>
      <c r="J4" s="184">
        <f t="shared" si="1"/>
        <v>7.8E-2</v>
      </c>
      <c r="K4" s="99">
        <v>46194</v>
      </c>
      <c r="L4" s="100">
        <v>3</v>
      </c>
      <c r="M4" s="105"/>
      <c r="N4" s="105">
        <v>390</v>
      </c>
      <c r="O4" s="106">
        <v>5000</v>
      </c>
      <c r="P4" s="109">
        <v>0.01</v>
      </c>
      <c r="Q4" s="103">
        <v>500</v>
      </c>
      <c r="R4" s="108">
        <v>0.08</v>
      </c>
      <c r="S4" s="191">
        <v>44733</v>
      </c>
      <c r="T4" s="247">
        <v>0</v>
      </c>
      <c r="U4" s="247">
        <v>0</v>
      </c>
      <c r="V4" s="115">
        <v>44935</v>
      </c>
      <c r="W4" s="249">
        <v>4803</v>
      </c>
      <c r="X4" s="249">
        <v>4918</v>
      </c>
      <c r="Y4" s="126">
        <f t="shared" si="2"/>
        <v>6.6403681788297169</v>
      </c>
      <c r="Z4" s="30">
        <f t="shared" si="3"/>
        <v>4803</v>
      </c>
      <c r="AA4" s="30">
        <f t="shared" si="4"/>
        <v>4918</v>
      </c>
      <c r="AB4" s="85">
        <f t="shared" si="5"/>
        <v>723.30326732673268</v>
      </c>
      <c r="AC4" s="85">
        <f t="shared" si="6"/>
        <v>740.62158415841589</v>
      </c>
      <c r="AD4" s="32">
        <f t="shared" si="7"/>
        <v>-943.36339933993406</v>
      </c>
      <c r="AE4" s="32">
        <f t="shared" si="8"/>
        <v>573.95491749174926</v>
      </c>
      <c r="AF4" s="94">
        <f t="shared" si="9"/>
        <v>-6264.2802980495289</v>
      </c>
      <c r="AG4" s="94">
        <f t="shared" si="10"/>
        <v>3811.2719701950473</v>
      </c>
      <c r="AH4" s="86">
        <f t="shared" si="11"/>
        <v>-62.64280298049529</v>
      </c>
      <c r="AI4" s="86">
        <f t="shared" si="12"/>
        <v>304.9017576156038</v>
      </c>
      <c r="AJ4" s="91">
        <f t="shared" si="13"/>
        <v>0.24015</v>
      </c>
      <c r="AK4" s="91">
        <f t="shared" si="13"/>
        <v>0.40983333333333333</v>
      </c>
      <c r="AL4" s="173">
        <v>20000</v>
      </c>
      <c r="AM4" s="173">
        <v>12000</v>
      </c>
      <c r="AN4" s="253">
        <v>8531</v>
      </c>
      <c r="AO4" s="218">
        <v>2</v>
      </c>
      <c r="AP4" s="218">
        <v>1</v>
      </c>
      <c r="AQ4" s="189">
        <v>44937</v>
      </c>
      <c r="AR4" s="7" t="s">
        <v>231</v>
      </c>
      <c r="AT4" s="35"/>
    </row>
    <row r="5" spans="1:46" x14ac:dyDescent="0.25">
      <c r="B5" s="217" t="s">
        <v>154</v>
      </c>
      <c r="C5" s="174" t="s">
        <v>224</v>
      </c>
      <c r="D5" s="38" t="s">
        <v>13</v>
      </c>
      <c r="E5" s="221"/>
      <c r="F5" s="38" t="s">
        <v>234</v>
      </c>
      <c r="G5" s="38" t="s">
        <v>235</v>
      </c>
      <c r="H5" s="80">
        <v>43474</v>
      </c>
      <c r="I5" s="182">
        <f t="shared" si="0"/>
        <v>90</v>
      </c>
      <c r="J5" s="184">
        <f t="shared" si="1"/>
        <v>4.4999999999999998E-2</v>
      </c>
      <c r="K5" s="99">
        <v>45300</v>
      </c>
      <c r="L5" s="100">
        <v>1</v>
      </c>
      <c r="M5" s="101">
        <v>90</v>
      </c>
      <c r="N5" s="101">
        <v>0</v>
      </c>
      <c r="O5" s="175">
        <v>2000</v>
      </c>
      <c r="P5" s="108">
        <v>0.01</v>
      </c>
      <c r="Q5" s="174">
        <v>300</v>
      </c>
      <c r="R5" s="108">
        <v>0.08</v>
      </c>
      <c r="S5" s="191">
        <v>44729</v>
      </c>
      <c r="T5" s="247">
        <v>99720</v>
      </c>
      <c r="U5" s="247">
        <v>22839</v>
      </c>
      <c r="V5" s="115">
        <v>44932</v>
      </c>
      <c r="W5" s="249">
        <v>102382</v>
      </c>
      <c r="X5" s="249">
        <v>23797</v>
      </c>
      <c r="Y5" s="126">
        <f t="shared" si="2"/>
        <v>6.6732412886259036</v>
      </c>
      <c r="Z5" s="30">
        <f t="shared" si="3"/>
        <v>2662</v>
      </c>
      <c r="AA5" s="30">
        <f t="shared" si="4"/>
        <v>958</v>
      </c>
      <c r="AB5" s="85">
        <f t="shared" si="5"/>
        <v>398.9066009852217</v>
      </c>
      <c r="AC5" s="85">
        <f t="shared" si="6"/>
        <v>143.5584236453202</v>
      </c>
      <c r="AD5" s="32">
        <f t="shared" si="7"/>
        <v>-1601.0933990147782</v>
      </c>
      <c r="AE5" s="32">
        <f t="shared" si="8"/>
        <v>-156.4415763546798</v>
      </c>
      <c r="AF5" s="94">
        <f t="shared" si="9"/>
        <v>-10684.482577251807</v>
      </c>
      <c r="AG5" s="94">
        <f t="shared" si="10"/>
        <v>-1043.9723865877711</v>
      </c>
      <c r="AH5" s="86">
        <f t="shared" si="11"/>
        <v>-106.84482577251808</v>
      </c>
      <c r="AI5" s="86">
        <f t="shared" si="12"/>
        <v>-83.517790927021693</v>
      </c>
      <c r="AJ5" s="91">
        <f t="shared" si="13"/>
        <v>5.1191000000000004</v>
      </c>
      <c r="AK5" s="91">
        <f t="shared" si="13"/>
        <v>1.9830833333333333</v>
      </c>
      <c r="AL5" s="173">
        <v>20000</v>
      </c>
      <c r="AM5" s="173">
        <v>12000</v>
      </c>
      <c r="AN5" s="253">
        <v>8511</v>
      </c>
      <c r="AO5" s="218">
        <v>8</v>
      </c>
      <c r="AP5" s="218">
        <v>3</v>
      </c>
      <c r="AQ5" s="189">
        <v>44937</v>
      </c>
      <c r="AR5" s="7" t="s">
        <v>248</v>
      </c>
      <c r="AT5" s="35"/>
    </row>
    <row r="6" spans="1:46" x14ac:dyDescent="0.25">
      <c r="B6" s="217" t="s">
        <v>155</v>
      </c>
      <c r="C6" s="174" t="s">
        <v>224</v>
      </c>
      <c r="D6" s="38" t="s">
        <v>118</v>
      </c>
      <c r="E6" s="222" t="s">
        <v>138</v>
      </c>
      <c r="F6" s="38" t="s">
        <v>236</v>
      </c>
      <c r="G6" s="38" t="s">
        <v>120</v>
      </c>
      <c r="H6" s="80">
        <v>43648</v>
      </c>
      <c r="I6" s="182">
        <f t="shared" si="0"/>
        <v>90</v>
      </c>
      <c r="J6" s="184">
        <f t="shared" si="1"/>
        <v>1.7999999999999999E-2</v>
      </c>
      <c r="K6" s="99">
        <v>45474</v>
      </c>
      <c r="L6" s="100">
        <v>1</v>
      </c>
      <c r="M6" s="101">
        <v>90</v>
      </c>
      <c r="N6" s="101"/>
      <c r="O6" s="102">
        <v>5000</v>
      </c>
      <c r="P6" s="108">
        <v>0.01</v>
      </c>
      <c r="Q6" s="165"/>
      <c r="R6" s="165"/>
      <c r="S6" s="191">
        <v>44731</v>
      </c>
      <c r="T6" s="247">
        <v>208069</v>
      </c>
      <c r="U6" s="248"/>
      <c r="V6" s="115">
        <v>44927</v>
      </c>
      <c r="W6" s="249">
        <v>233707</v>
      </c>
      <c r="X6" s="169"/>
      <c r="Y6" s="126">
        <f t="shared" si="2"/>
        <v>6.4431295200525964</v>
      </c>
      <c r="Z6" s="30">
        <f t="shared" si="3"/>
        <v>25638</v>
      </c>
      <c r="AA6" s="30">
        <f t="shared" si="4"/>
        <v>0</v>
      </c>
      <c r="AB6" s="85">
        <f t="shared" si="5"/>
        <v>3979.1222448979597</v>
      </c>
      <c r="AC6" s="85">
        <f t="shared" si="6"/>
        <v>0</v>
      </c>
      <c r="AD6" s="32">
        <f t="shared" si="7"/>
        <v>-1020.8777551020403</v>
      </c>
      <c r="AE6" s="32">
        <f t="shared" si="8"/>
        <v>0</v>
      </c>
      <c r="AF6" s="94">
        <f t="shared" si="9"/>
        <v>-6577.6476002629806</v>
      </c>
      <c r="AG6" s="94">
        <f t="shared" si="10"/>
        <v>0</v>
      </c>
      <c r="AH6" s="86">
        <f t="shared" si="11"/>
        <v>-65.776476002629806</v>
      </c>
      <c r="AI6" s="86">
        <f t="shared" si="12"/>
        <v>0</v>
      </c>
      <c r="AJ6" s="91">
        <f t="shared" ref="AJ6:AJ12" si="14">W6/AL6</f>
        <v>6.6773428571428575</v>
      </c>
      <c r="AK6" s="167"/>
      <c r="AL6" s="173">
        <v>35000</v>
      </c>
      <c r="AM6" s="256"/>
      <c r="AN6" s="253">
        <v>7513</v>
      </c>
      <c r="AO6" s="218">
        <v>5</v>
      </c>
      <c r="AP6" s="167"/>
      <c r="AQ6" s="189">
        <v>44937</v>
      </c>
      <c r="AR6" s="176" t="s">
        <v>238</v>
      </c>
      <c r="AT6" s="35"/>
    </row>
    <row r="7" spans="1:46" x14ac:dyDescent="0.25">
      <c r="B7" s="217" t="s">
        <v>156</v>
      </c>
      <c r="C7" s="174" t="s">
        <v>224</v>
      </c>
      <c r="D7" s="38" t="s">
        <v>118</v>
      </c>
      <c r="E7" s="222" t="s">
        <v>138</v>
      </c>
      <c r="F7" s="38" t="s">
        <v>237</v>
      </c>
      <c r="G7" s="38" t="s">
        <v>121</v>
      </c>
      <c r="H7" s="80">
        <v>43648</v>
      </c>
      <c r="I7" s="182">
        <f t="shared" si="0"/>
        <v>90</v>
      </c>
      <c r="J7" s="184">
        <f t="shared" si="1"/>
        <v>1.7999999999999999E-2</v>
      </c>
      <c r="K7" s="99">
        <v>45474</v>
      </c>
      <c r="L7" s="100">
        <v>1</v>
      </c>
      <c r="M7" s="101">
        <v>90</v>
      </c>
      <c r="N7" s="101"/>
      <c r="O7" s="102">
        <v>5000</v>
      </c>
      <c r="P7" s="108">
        <v>0.01</v>
      </c>
      <c r="Q7" s="165"/>
      <c r="R7" s="165"/>
      <c r="S7" s="191">
        <v>44731</v>
      </c>
      <c r="T7" s="247">
        <v>93196</v>
      </c>
      <c r="U7" s="248"/>
      <c r="V7" s="115">
        <v>44927</v>
      </c>
      <c r="W7" s="249">
        <v>99415</v>
      </c>
      <c r="X7" s="169"/>
      <c r="Y7" s="126">
        <f t="shared" si="2"/>
        <v>6.4431295200525964</v>
      </c>
      <c r="Z7" s="30">
        <f t="shared" si="3"/>
        <v>6219</v>
      </c>
      <c r="AA7" s="30">
        <f t="shared" si="4"/>
        <v>0</v>
      </c>
      <c r="AB7" s="85">
        <f t="shared" si="5"/>
        <v>965.21418367346951</v>
      </c>
      <c r="AC7" s="85">
        <f t="shared" si="6"/>
        <v>0</v>
      </c>
      <c r="AD7" s="32">
        <f t="shared" si="7"/>
        <v>-4034.7858163265305</v>
      </c>
      <c r="AE7" s="32">
        <f t="shared" si="8"/>
        <v>0</v>
      </c>
      <c r="AF7" s="94">
        <f t="shared" si="9"/>
        <v>-25996.647600262982</v>
      </c>
      <c r="AG7" s="94">
        <f t="shared" si="10"/>
        <v>0</v>
      </c>
      <c r="AH7" s="86">
        <f t="shared" si="11"/>
        <v>-259.9664760026298</v>
      </c>
      <c r="AI7" s="86">
        <f t="shared" si="12"/>
        <v>0</v>
      </c>
      <c r="AJ7" s="91">
        <f t="shared" si="14"/>
        <v>2.8404285714285713</v>
      </c>
      <c r="AK7" s="167"/>
      <c r="AL7" s="173">
        <v>35000</v>
      </c>
      <c r="AM7" s="256"/>
      <c r="AN7" s="253">
        <v>7513</v>
      </c>
      <c r="AO7" s="218">
        <v>3</v>
      </c>
      <c r="AP7" s="167"/>
      <c r="AQ7" s="189">
        <v>44937</v>
      </c>
      <c r="AR7" s="176" t="s">
        <v>239</v>
      </c>
      <c r="AT7" s="35"/>
    </row>
    <row r="8" spans="1:46" x14ac:dyDescent="0.25">
      <c r="B8" s="217" t="s">
        <v>153</v>
      </c>
      <c r="C8" s="174" t="s">
        <v>224</v>
      </c>
      <c r="D8" s="38" t="s">
        <v>125</v>
      </c>
      <c r="E8" s="222" t="s">
        <v>138</v>
      </c>
      <c r="F8" s="38" t="s">
        <v>241</v>
      </c>
      <c r="G8" s="38" t="s">
        <v>189</v>
      </c>
      <c r="H8" s="80">
        <v>44484</v>
      </c>
      <c r="I8" s="182">
        <f t="shared" si="0"/>
        <v>49</v>
      </c>
      <c r="J8" s="184">
        <f t="shared" si="1"/>
        <v>2.4500000000000001E-2</v>
      </c>
      <c r="K8" s="99">
        <v>45580</v>
      </c>
      <c r="L8" s="100">
        <v>1</v>
      </c>
      <c r="M8" s="101">
        <v>49</v>
      </c>
      <c r="N8" s="101"/>
      <c r="O8" s="102">
        <v>2000</v>
      </c>
      <c r="P8" s="108">
        <v>0.01</v>
      </c>
      <c r="Q8" s="165"/>
      <c r="R8" s="165"/>
      <c r="S8" s="191">
        <v>44730</v>
      </c>
      <c r="T8" s="247">
        <v>11396</v>
      </c>
      <c r="U8" s="248"/>
      <c r="V8" s="115">
        <v>44933</v>
      </c>
      <c r="W8" s="249">
        <v>19451</v>
      </c>
      <c r="X8" s="169"/>
      <c r="Y8" s="126">
        <f t="shared" si="2"/>
        <v>6.6732412886259036</v>
      </c>
      <c r="Z8" s="30">
        <f t="shared" si="3"/>
        <v>8055</v>
      </c>
      <c r="AA8" s="30">
        <f t="shared" si="4"/>
        <v>0</v>
      </c>
      <c r="AB8" s="85">
        <f t="shared" si="5"/>
        <v>1207.0596059113302</v>
      </c>
      <c r="AC8" s="85">
        <f t="shared" si="6"/>
        <v>0</v>
      </c>
      <c r="AD8" s="32">
        <f t="shared" si="7"/>
        <v>-792.94039408866979</v>
      </c>
      <c r="AE8" s="32">
        <f t="shared" si="8"/>
        <v>0</v>
      </c>
      <c r="AF8" s="94">
        <f t="shared" si="9"/>
        <v>-5291.482577251807</v>
      </c>
      <c r="AG8" s="94">
        <f t="shared" si="10"/>
        <v>0</v>
      </c>
      <c r="AH8" s="86">
        <f t="shared" si="11"/>
        <v>-52.914825772518071</v>
      </c>
      <c r="AI8" s="86">
        <f t="shared" si="12"/>
        <v>0</v>
      </c>
      <c r="AJ8" s="91">
        <f t="shared" si="14"/>
        <v>0.64836666666666665</v>
      </c>
      <c r="AK8" s="167"/>
      <c r="AL8" s="173">
        <v>30000</v>
      </c>
      <c r="AM8" s="256"/>
      <c r="AN8" s="253">
        <v>3012</v>
      </c>
      <c r="AO8" s="218">
        <v>2</v>
      </c>
      <c r="AP8" s="167"/>
      <c r="AQ8" s="189">
        <v>44937</v>
      </c>
      <c r="AR8" s="176" t="s">
        <v>242</v>
      </c>
      <c r="AT8" s="35"/>
    </row>
    <row r="9" spans="1:46" x14ac:dyDescent="0.25">
      <c r="B9" s="217" t="s">
        <v>157</v>
      </c>
      <c r="C9" s="174" t="s">
        <v>147</v>
      </c>
      <c r="D9" s="38" t="s">
        <v>148</v>
      </c>
      <c r="E9" s="221"/>
      <c r="F9" s="38" t="s">
        <v>243</v>
      </c>
      <c r="G9" s="38"/>
      <c r="H9" s="80">
        <v>44229</v>
      </c>
      <c r="I9" s="182">
        <f t="shared" si="0"/>
        <v>129.66666666666666</v>
      </c>
      <c r="J9" s="184">
        <f t="shared" si="1"/>
        <v>7.7799999999999994E-2</v>
      </c>
      <c r="K9" s="99">
        <v>45690</v>
      </c>
      <c r="L9" s="100">
        <v>3</v>
      </c>
      <c r="M9" s="101"/>
      <c r="N9" s="101">
        <v>389</v>
      </c>
      <c r="O9" s="102">
        <v>5000</v>
      </c>
      <c r="P9" s="109">
        <v>0.01</v>
      </c>
      <c r="Q9" s="103">
        <v>500</v>
      </c>
      <c r="R9" s="173">
        <v>0.09</v>
      </c>
      <c r="S9" s="191">
        <v>44713</v>
      </c>
      <c r="T9" s="247">
        <v>56930</v>
      </c>
      <c r="U9" s="247">
        <v>16064</v>
      </c>
      <c r="V9" s="115">
        <v>44927</v>
      </c>
      <c r="W9" s="249">
        <v>78731</v>
      </c>
      <c r="X9" s="249">
        <v>22266</v>
      </c>
      <c r="Y9" s="126">
        <f t="shared" si="2"/>
        <v>7.0348454963839577</v>
      </c>
      <c r="Z9" s="30">
        <f t="shared" si="3"/>
        <v>21801</v>
      </c>
      <c r="AA9" s="30">
        <f t="shared" si="4"/>
        <v>6202</v>
      </c>
      <c r="AB9" s="85">
        <f t="shared" si="5"/>
        <v>3099.0019626168223</v>
      </c>
      <c r="AC9" s="85">
        <f t="shared" si="6"/>
        <v>881.61140186915895</v>
      </c>
      <c r="AD9" s="32">
        <f t="shared" si="7"/>
        <v>1432.3352959501556</v>
      </c>
      <c r="AE9" s="32">
        <f t="shared" si="8"/>
        <v>714.94473520249232</v>
      </c>
      <c r="AF9" s="94">
        <f t="shared" si="9"/>
        <v>10076.257506026735</v>
      </c>
      <c r="AG9" s="94">
        <f t="shared" si="10"/>
        <v>5029.5257506026746</v>
      </c>
      <c r="AH9" s="86">
        <f t="shared" si="11"/>
        <v>100.76257506026735</v>
      </c>
      <c r="AI9" s="86">
        <f t="shared" si="12"/>
        <v>452.65731755424071</v>
      </c>
      <c r="AJ9" s="91">
        <f t="shared" si="14"/>
        <v>2.6243666666666665</v>
      </c>
      <c r="AK9" s="91">
        <f>X9/AM9</f>
        <v>1.1133</v>
      </c>
      <c r="AL9" s="173">
        <v>30000</v>
      </c>
      <c r="AM9" s="173">
        <v>20000</v>
      </c>
      <c r="AN9" s="253">
        <v>8514</v>
      </c>
      <c r="AO9" s="218">
        <v>7</v>
      </c>
      <c r="AP9" s="218">
        <v>1</v>
      </c>
      <c r="AQ9" s="189">
        <v>44937</v>
      </c>
      <c r="AR9" s="176" t="s">
        <v>244</v>
      </c>
      <c r="AT9" s="35"/>
    </row>
    <row r="10" spans="1:46" x14ac:dyDescent="0.25">
      <c r="B10" s="217" t="s">
        <v>158</v>
      </c>
      <c r="C10" s="174" t="s">
        <v>80</v>
      </c>
      <c r="D10" s="38" t="s">
        <v>13</v>
      </c>
      <c r="E10" s="221"/>
      <c r="F10" s="38" t="s">
        <v>245</v>
      </c>
      <c r="G10" s="38"/>
      <c r="H10" s="80">
        <v>43340</v>
      </c>
      <c r="I10" s="182">
        <f t="shared" si="0"/>
        <v>66.666666666666671</v>
      </c>
      <c r="J10" s="184">
        <f t="shared" si="1"/>
        <v>6.6666666666666666E-2</v>
      </c>
      <c r="K10" s="99">
        <v>45168</v>
      </c>
      <c r="L10" s="100">
        <v>3</v>
      </c>
      <c r="M10" s="101"/>
      <c r="N10" s="101">
        <v>200</v>
      </c>
      <c r="O10" s="102">
        <v>3000</v>
      </c>
      <c r="P10" s="108">
        <v>0.01</v>
      </c>
      <c r="Q10" s="103">
        <v>300</v>
      </c>
      <c r="R10" s="108">
        <v>0.08</v>
      </c>
      <c r="S10" s="191">
        <v>44732</v>
      </c>
      <c r="T10" s="247">
        <v>96723</v>
      </c>
      <c r="U10" s="247">
        <v>18955</v>
      </c>
      <c r="V10" s="115">
        <v>44928</v>
      </c>
      <c r="W10" s="249">
        <v>112125</v>
      </c>
      <c r="X10" s="249">
        <v>19206</v>
      </c>
      <c r="Y10" s="126">
        <f t="shared" si="2"/>
        <v>6.4431295200525964</v>
      </c>
      <c r="Z10" s="30">
        <f t="shared" si="3"/>
        <v>15402</v>
      </c>
      <c r="AA10" s="30">
        <f t="shared" si="4"/>
        <v>251</v>
      </c>
      <c r="AB10" s="85">
        <f t="shared" si="5"/>
        <v>2390.4532653061228</v>
      </c>
      <c r="AC10" s="85">
        <f t="shared" si="6"/>
        <v>38.956224489795922</v>
      </c>
      <c r="AD10" s="32">
        <f t="shared" si="7"/>
        <v>1390.4532653061228</v>
      </c>
      <c r="AE10" s="32">
        <f t="shared" si="8"/>
        <v>-61.043775510204078</v>
      </c>
      <c r="AF10" s="94">
        <f t="shared" si="9"/>
        <v>8958.8704799474053</v>
      </c>
      <c r="AG10" s="94">
        <f t="shared" si="10"/>
        <v>-393.31295200525966</v>
      </c>
      <c r="AH10" s="86">
        <f t="shared" si="11"/>
        <v>89.588704799474058</v>
      </c>
      <c r="AI10" s="86">
        <f t="shared" si="12"/>
        <v>-31.465036160420773</v>
      </c>
      <c r="AJ10" s="91">
        <f t="shared" si="14"/>
        <v>5.6062500000000002</v>
      </c>
      <c r="AK10" s="91">
        <f>X10/AM10</f>
        <v>1.6005</v>
      </c>
      <c r="AL10" s="173">
        <v>20000</v>
      </c>
      <c r="AM10" s="173">
        <v>12000</v>
      </c>
      <c r="AN10" s="253">
        <v>8511</v>
      </c>
      <c r="AO10" s="218">
        <v>7</v>
      </c>
      <c r="AP10" s="218">
        <v>3</v>
      </c>
      <c r="AQ10" s="189">
        <v>44937</v>
      </c>
      <c r="AR10" s="176" t="s">
        <v>249</v>
      </c>
      <c r="AS10" t="s">
        <v>312</v>
      </c>
      <c r="AT10" s="35"/>
    </row>
    <row r="11" spans="1:46" x14ac:dyDescent="0.25">
      <c r="B11" s="217" t="s">
        <v>178</v>
      </c>
      <c r="C11" s="174" t="s">
        <v>80</v>
      </c>
      <c r="D11" s="38" t="s">
        <v>124</v>
      </c>
      <c r="E11" s="221"/>
      <c r="F11" s="38" t="s">
        <v>246</v>
      </c>
      <c r="G11" s="38"/>
      <c r="H11" s="80">
        <v>44011</v>
      </c>
      <c r="I11" s="182">
        <f t="shared" si="0"/>
        <v>66.666666666666671</v>
      </c>
      <c r="J11" s="184">
        <f t="shared" si="1"/>
        <v>6.6666666666666666E-2</v>
      </c>
      <c r="K11" s="99">
        <v>45839</v>
      </c>
      <c r="L11" s="100">
        <v>3</v>
      </c>
      <c r="M11" s="101"/>
      <c r="N11" s="101">
        <v>200</v>
      </c>
      <c r="O11" s="102">
        <v>3000</v>
      </c>
      <c r="P11" s="108">
        <v>0.01</v>
      </c>
      <c r="Q11" s="103">
        <v>300</v>
      </c>
      <c r="R11" s="108">
        <v>0.08</v>
      </c>
      <c r="S11" s="191">
        <v>44732</v>
      </c>
      <c r="T11" s="247">
        <v>21698</v>
      </c>
      <c r="U11" s="247">
        <v>3674</v>
      </c>
      <c r="V11" s="115">
        <v>44927</v>
      </c>
      <c r="W11" s="249">
        <v>26125</v>
      </c>
      <c r="X11" s="249">
        <v>4401</v>
      </c>
      <c r="Y11" s="126">
        <f t="shared" si="2"/>
        <v>6.4102564102564097</v>
      </c>
      <c r="Z11" s="30">
        <f t="shared" si="3"/>
        <v>4427</v>
      </c>
      <c r="AA11" s="30">
        <f t="shared" si="4"/>
        <v>727</v>
      </c>
      <c r="AB11" s="85">
        <f t="shared" si="5"/>
        <v>690.61200000000008</v>
      </c>
      <c r="AC11" s="85">
        <f t="shared" si="6"/>
        <v>113.41200000000001</v>
      </c>
      <c r="AD11" s="32">
        <f t="shared" si="7"/>
        <v>-309.38799999999992</v>
      </c>
      <c r="AE11" s="32">
        <f t="shared" si="8"/>
        <v>13.412000000000006</v>
      </c>
      <c r="AF11" s="94">
        <f t="shared" si="9"/>
        <v>-1983.2564102564095</v>
      </c>
      <c r="AG11" s="94">
        <f t="shared" si="10"/>
        <v>85.974358974359006</v>
      </c>
      <c r="AH11" s="86">
        <f t="shared" si="11"/>
        <v>-19.832564102564096</v>
      </c>
      <c r="AI11" s="86">
        <f t="shared" si="12"/>
        <v>6.8779487179487209</v>
      </c>
      <c r="AJ11" s="91">
        <f t="shared" si="14"/>
        <v>1.3062499999999999</v>
      </c>
      <c r="AK11" s="91">
        <f>X11/AM11</f>
        <v>0.36675000000000002</v>
      </c>
      <c r="AL11" s="173">
        <v>20000</v>
      </c>
      <c r="AM11" s="173">
        <v>12000</v>
      </c>
      <c r="AN11" s="253">
        <v>8511</v>
      </c>
      <c r="AO11" s="218">
        <v>4</v>
      </c>
      <c r="AP11" s="218">
        <v>1</v>
      </c>
      <c r="AQ11" s="189">
        <v>44937</v>
      </c>
      <c r="AR11" s="176" t="s">
        <v>247</v>
      </c>
      <c r="AT11" s="35"/>
    </row>
    <row r="12" spans="1:46" x14ac:dyDescent="0.25">
      <c r="B12" s="7" t="s">
        <v>205</v>
      </c>
      <c r="C12" s="174" t="s">
        <v>202</v>
      </c>
      <c r="D12" s="38" t="s">
        <v>196</v>
      </c>
      <c r="E12" s="221"/>
      <c r="F12" s="38" t="s">
        <v>251</v>
      </c>
      <c r="G12" s="38"/>
      <c r="H12" s="80">
        <v>44735</v>
      </c>
      <c r="I12" s="80">
        <v>44735</v>
      </c>
      <c r="J12" s="80">
        <v>44735</v>
      </c>
      <c r="K12" s="99">
        <v>46196</v>
      </c>
      <c r="L12" s="100">
        <v>3</v>
      </c>
      <c r="M12" s="101"/>
      <c r="N12" s="101">
        <v>390</v>
      </c>
      <c r="O12" s="102">
        <v>5000</v>
      </c>
      <c r="P12" s="108">
        <v>0.01</v>
      </c>
      <c r="Q12" s="103">
        <v>500</v>
      </c>
      <c r="R12" s="108">
        <v>0.08</v>
      </c>
      <c r="S12" s="191">
        <v>44735</v>
      </c>
      <c r="T12" s="247">
        <v>0</v>
      </c>
      <c r="U12" s="247">
        <v>0</v>
      </c>
      <c r="V12" s="115">
        <v>44918</v>
      </c>
      <c r="W12" s="249">
        <v>18120</v>
      </c>
      <c r="X12" s="249">
        <v>7733</v>
      </c>
      <c r="Y12" s="126">
        <f t="shared" si="2"/>
        <v>6.0157790927021697</v>
      </c>
      <c r="Z12" s="30">
        <f t="shared" si="3"/>
        <v>18120</v>
      </c>
      <c r="AA12" s="30">
        <f t="shared" si="4"/>
        <v>7733</v>
      </c>
      <c r="AB12" s="85">
        <f t="shared" si="5"/>
        <v>3012.0786885245902</v>
      </c>
      <c r="AC12" s="85">
        <f t="shared" si="6"/>
        <v>1285.4527868852458</v>
      </c>
      <c r="AD12" s="32">
        <f t="shared" si="7"/>
        <v>1345.4120218579235</v>
      </c>
      <c r="AE12" s="32">
        <f t="shared" si="8"/>
        <v>1118.7861202185791</v>
      </c>
      <c r="AF12" s="94">
        <f t="shared" si="9"/>
        <v>8093.7015121630511</v>
      </c>
      <c r="AG12" s="94">
        <f t="shared" si="10"/>
        <v>6730.3701512163043</v>
      </c>
      <c r="AH12" s="86">
        <f t="shared" si="11"/>
        <v>80.937015121630509</v>
      </c>
      <c r="AI12" s="86">
        <f t="shared" si="12"/>
        <v>538.42961209730436</v>
      </c>
      <c r="AJ12" s="91">
        <f t="shared" si="14"/>
        <v>0.90600000000000003</v>
      </c>
      <c r="AK12" s="91">
        <f>X12/AM12</f>
        <v>0.64441666666666664</v>
      </c>
      <c r="AL12" s="173">
        <v>20000</v>
      </c>
      <c r="AM12" s="173">
        <v>12000</v>
      </c>
      <c r="AN12" s="253">
        <v>8531</v>
      </c>
      <c r="AO12" s="218">
        <v>2</v>
      </c>
      <c r="AP12" s="218">
        <v>1</v>
      </c>
      <c r="AQ12" s="189">
        <v>44939</v>
      </c>
      <c r="AR12" s="53" t="s">
        <v>262</v>
      </c>
      <c r="AS12" s="125" t="s">
        <v>313</v>
      </c>
      <c r="AT12" s="35"/>
    </row>
    <row r="13" spans="1:46" x14ac:dyDescent="0.25">
      <c r="B13" s="7" t="s">
        <v>206</v>
      </c>
      <c r="C13" s="174" t="s">
        <v>202</v>
      </c>
      <c r="D13" s="195" t="s">
        <v>213</v>
      </c>
      <c r="E13" s="221"/>
      <c r="F13" s="38" t="s">
        <v>204</v>
      </c>
      <c r="G13" s="38"/>
      <c r="H13" s="80">
        <v>44729</v>
      </c>
      <c r="I13" s="182">
        <f t="shared" ref="I13:I54" si="15">IF(M13="",N13/L13,M13)</f>
        <v>0</v>
      </c>
      <c r="J13" s="184" t="e">
        <f t="shared" ref="J13:J54" si="16">I13/(O13/L13)</f>
        <v>#DIV/0!</v>
      </c>
      <c r="K13" s="80" t="s">
        <v>210</v>
      </c>
      <c r="L13" s="100">
        <v>6</v>
      </c>
      <c r="M13" s="101">
        <v>0</v>
      </c>
      <c r="N13" s="101">
        <v>0</v>
      </c>
      <c r="O13" s="102">
        <v>0</v>
      </c>
      <c r="P13" s="173">
        <v>0.01</v>
      </c>
      <c r="Q13" s="103">
        <v>0</v>
      </c>
      <c r="R13" s="173">
        <v>0.08</v>
      </c>
      <c r="S13" s="191">
        <v>44721</v>
      </c>
      <c r="T13" s="247">
        <v>121007</v>
      </c>
      <c r="U13" s="247">
        <v>76027</v>
      </c>
      <c r="V13" s="194">
        <v>44928</v>
      </c>
      <c r="W13" s="250">
        <v>125223</v>
      </c>
      <c r="X13" s="250">
        <v>79412</v>
      </c>
      <c r="Y13" s="126">
        <f t="shared" si="2"/>
        <v>6.8047337278106506</v>
      </c>
      <c r="Z13" s="30">
        <f t="shared" si="3"/>
        <v>4216</v>
      </c>
      <c r="AA13" s="30">
        <f t="shared" si="4"/>
        <v>3385</v>
      </c>
      <c r="AB13" s="85">
        <f t="shared" si="5"/>
        <v>619.56869565217391</v>
      </c>
      <c r="AC13" s="85">
        <f t="shared" si="6"/>
        <v>497.44782608695652</v>
      </c>
      <c r="AD13" s="32">
        <f t="shared" si="7"/>
        <v>619.56869565217391</v>
      </c>
      <c r="AE13" s="32">
        <f t="shared" si="8"/>
        <v>497.44782608695652</v>
      </c>
      <c r="AF13" s="94">
        <f t="shared" si="9"/>
        <v>4216</v>
      </c>
      <c r="AG13" s="94">
        <f t="shared" si="10"/>
        <v>3385</v>
      </c>
      <c r="AH13" s="86">
        <f t="shared" si="11"/>
        <v>42.160000000000004</v>
      </c>
      <c r="AI13" s="86">
        <f t="shared" si="12"/>
        <v>270.8</v>
      </c>
      <c r="AJ13" s="246">
        <f>Z13/AL13</f>
        <v>0.21079999999999999</v>
      </c>
      <c r="AK13" s="246">
        <f>AA13/AM13</f>
        <v>0.28208333333333335</v>
      </c>
      <c r="AL13" s="173">
        <v>20000</v>
      </c>
      <c r="AM13" s="173">
        <v>12000</v>
      </c>
      <c r="AN13" s="253">
        <v>8511</v>
      </c>
      <c r="AO13" s="218">
        <v>2</v>
      </c>
      <c r="AP13" s="218">
        <v>1</v>
      </c>
      <c r="AQ13" s="273">
        <v>45056</v>
      </c>
      <c r="AR13" s="197" t="s">
        <v>252</v>
      </c>
      <c r="AS13" s="198" t="s">
        <v>349</v>
      </c>
      <c r="AT13" s="199"/>
    </row>
    <row r="14" spans="1:46" x14ac:dyDescent="0.25">
      <c r="B14" s="7" t="s">
        <v>356</v>
      </c>
      <c r="C14" s="174" t="s">
        <v>354</v>
      </c>
      <c r="D14" s="38" t="s">
        <v>196</v>
      </c>
      <c r="E14" s="221"/>
      <c r="F14" s="38" t="s">
        <v>355</v>
      </c>
      <c r="G14" s="38"/>
      <c r="H14" s="202">
        <v>45069</v>
      </c>
      <c r="I14" s="182"/>
      <c r="J14" s="184"/>
      <c r="K14" s="99">
        <v>46530</v>
      </c>
      <c r="L14" s="100">
        <v>1</v>
      </c>
      <c r="M14" s="101">
        <v>130</v>
      </c>
      <c r="N14" s="101"/>
      <c r="O14" s="102">
        <v>1666</v>
      </c>
      <c r="P14" s="173">
        <v>0.01</v>
      </c>
      <c r="Q14" s="103">
        <v>166</v>
      </c>
      <c r="R14" s="108">
        <v>0.08</v>
      </c>
      <c r="S14" s="271">
        <v>45069</v>
      </c>
      <c r="T14" s="272">
        <v>0</v>
      </c>
      <c r="U14" s="272">
        <v>0</v>
      </c>
      <c r="V14" s="257"/>
      <c r="W14" s="275"/>
      <c r="X14" s="275"/>
      <c r="Y14" s="126">
        <f t="shared" ref="Y14" si="17">(V14-S14)/30.42</f>
        <v>-1481.5581854043392</v>
      </c>
      <c r="Z14" s="30">
        <f t="shared" ref="Z14" si="18">W14-T14</f>
        <v>0</v>
      </c>
      <c r="AA14" s="30">
        <f t="shared" ref="AA14" si="19">X14-U14</f>
        <v>0</v>
      </c>
      <c r="AB14" s="85">
        <f t="shared" ref="AB14" si="20">Z14/Y14</f>
        <v>0</v>
      </c>
      <c r="AC14" s="85">
        <f t="shared" ref="AC14" si="21">AA14/Y14</f>
        <v>0</v>
      </c>
      <c r="AD14" s="32">
        <f t="shared" ref="AD14" si="22">AB14-O14/L14</f>
        <v>-1666</v>
      </c>
      <c r="AE14" s="32">
        <f t="shared" ref="AE14" si="23">AC14-Q14/L14</f>
        <v>-166</v>
      </c>
      <c r="AF14" s="94">
        <f t="shared" ref="AF14" si="24">AD14*Y14</f>
        <v>2468275.9368836288</v>
      </c>
      <c r="AG14" s="94">
        <f t="shared" ref="AG14" si="25">AE14*Y14</f>
        <v>245938.65877712029</v>
      </c>
      <c r="AH14" s="86">
        <f t="shared" ref="AH14" si="26">AF14*P14</f>
        <v>24682.75936883629</v>
      </c>
      <c r="AI14" s="86">
        <f t="shared" ref="AI14" si="27">AG14*R14</f>
        <v>19675.092702169622</v>
      </c>
      <c r="AJ14" s="91">
        <f t="shared" ref="AJ14" si="28">W14/AL14</f>
        <v>0</v>
      </c>
      <c r="AK14" s="91">
        <f>X14/AM14</f>
        <v>0</v>
      </c>
      <c r="AL14" s="173">
        <v>20000</v>
      </c>
      <c r="AM14" s="173">
        <v>12000</v>
      </c>
      <c r="AN14" s="253">
        <v>8531</v>
      </c>
      <c r="AO14" s="218">
        <v>2</v>
      </c>
      <c r="AP14" s="218">
        <v>1</v>
      </c>
      <c r="AQ14" s="273">
        <v>45069</v>
      </c>
      <c r="AR14" s="176"/>
      <c r="AT14" s="35"/>
    </row>
    <row r="15" spans="1:46" x14ac:dyDescent="0.25">
      <c r="B15" s="217" t="s">
        <v>160</v>
      </c>
      <c r="C15" s="174" t="s">
        <v>144</v>
      </c>
      <c r="D15" s="38" t="s">
        <v>124</v>
      </c>
      <c r="E15" s="221"/>
      <c r="F15" s="38" t="s">
        <v>253</v>
      </c>
      <c r="G15" s="38"/>
      <c r="H15" s="80">
        <v>44098</v>
      </c>
      <c r="I15" s="182">
        <f t="shared" si="15"/>
        <v>66.666666666666671</v>
      </c>
      <c r="J15" s="184">
        <f t="shared" si="16"/>
        <v>6.6666666666666666E-2</v>
      </c>
      <c r="K15" s="99">
        <v>45924</v>
      </c>
      <c r="L15" s="100">
        <v>3</v>
      </c>
      <c r="M15" s="101"/>
      <c r="N15" s="101">
        <v>200</v>
      </c>
      <c r="O15" s="102">
        <v>3000</v>
      </c>
      <c r="P15" s="108">
        <v>0.01</v>
      </c>
      <c r="Q15" s="103">
        <v>300</v>
      </c>
      <c r="R15" s="108">
        <v>0.08</v>
      </c>
      <c r="S15" s="191">
        <v>44713</v>
      </c>
      <c r="T15" s="247">
        <v>14746</v>
      </c>
      <c r="U15" s="247">
        <v>10021</v>
      </c>
      <c r="V15" s="115">
        <v>44928</v>
      </c>
      <c r="W15" s="249">
        <v>22097</v>
      </c>
      <c r="X15" s="249">
        <v>14192</v>
      </c>
      <c r="Y15" s="126">
        <f t="shared" si="2"/>
        <v>7.0677186061801445</v>
      </c>
      <c r="Z15" s="30">
        <f t="shared" si="3"/>
        <v>7351</v>
      </c>
      <c r="AA15" s="30">
        <f t="shared" si="4"/>
        <v>4171</v>
      </c>
      <c r="AB15" s="85">
        <f t="shared" si="5"/>
        <v>1040.081023255814</v>
      </c>
      <c r="AC15" s="85">
        <f t="shared" si="6"/>
        <v>590.14800000000002</v>
      </c>
      <c r="AD15" s="32">
        <f t="shared" si="7"/>
        <v>40.081023255813989</v>
      </c>
      <c r="AE15" s="32">
        <f t="shared" si="8"/>
        <v>490.14800000000002</v>
      </c>
      <c r="AF15" s="94">
        <f t="shared" si="9"/>
        <v>283.28139381985562</v>
      </c>
      <c r="AG15" s="94">
        <f t="shared" si="10"/>
        <v>3464.2281393819858</v>
      </c>
      <c r="AH15" s="86">
        <f t="shared" si="11"/>
        <v>2.8328139381985564</v>
      </c>
      <c r="AI15" s="86">
        <f t="shared" si="12"/>
        <v>277.13825115055886</v>
      </c>
      <c r="AJ15" s="91">
        <f>W15/AL15</f>
        <v>1.1048500000000001</v>
      </c>
      <c r="AK15" s="91">
        <f>X15/AM15</f>
        <v>1.1826666666666668</v>
      </c>
      <c r="AL15" s="173">
        <v>20000</v>
      </c>
      <c r="AM15" s="173">
        <v>12000</v>
      </c>
      <c r="AN15" s="253">
        <v>8511</v>
      </c>
      <c r="AO15" s="218">
        <v>3</v>
      </c>
      <c r="AP15" s="218">
        <v>1</v>
      </c>
      <c r="AQ15" s="189">
        <v>44942</v>
      </c>
      <c r="AR15" s="176" t="s">
        <v>255</v>
      </c>
      <c r="AS15" t="s">
        <v>258</v>
      </c>
      <c r="AT15" s="35"/>
    </row>
    <row r="16" spans="1:46" x14ac:dyDescent="0.25">
      <c r="B16" s="217" t="s">
        <v>161</v>
      </c>
      <c r="C16" s="174" t="s">
        <v>126</v>
      </c>
      <c r="D16" s="38" t="s">
        <v>124</v>
      </c>
      <c r="E16" s="221"/>
      <c r="F16" s="38" t="s">
        <v>256</v>
      </c>
      <c r="G16" s="38"/>
      <c r="H16" s="80">
        <v>43864</v>
      </c>
      <c r="I16" s="182">
        <f t="shared" si="15"/>
        <v>66.666666666666671</v>
      </c>
      <c r="J16" s="184">
        <f t="shared" si="16"/>
        <v>6.6666666666666666E-2</v>
      </c>
      <c r="K16" s="99">
        <v>45691</v>
      </c>
      <c r="L16" s="100">
        <v>3</v>
      </c>
      <c r="M16" s="101"/>
      <c r="N16" s="101">
        <v>200</v>
      </c>
      <c r="O16" s="102">
        <v>3000</v>
      </c>
      <c r="P16" s="108">
        <v>0.01</v>
      </c>
      <c r="Q16" s="103">
        <v>300</v>
      </c>
      <c r="R16" s="108">
        <v>0.08</v>
      </c>
      <c r="S16" s="191">
        <v>44713</v>
      </c>
      <c r="T16" s="247">
        <v>17295</v>
      </c>
      <c r="U16" s="247">
        <v>11522</v>
      </c>
      <c r="V16" s="115">
        <v>44927</v>
      </c>
      <c r="W16" s="249">
        <v>25308</v>
      </c>
      <c r="X16" s="249">
        <v>15057</v>
      </c>
      <c r="Y16" s="126">
        <f t="shared" si="2"/>
        <v>7.0348454963839577</v>
      </c>
      <c r="Z16" s="30">
        <f t="shared" si="3"/>
        <v>8013</v>
      </c>
      <c r="AA16" s="30">
        <f t="shared" si="4"/>
        <v>3535</v>
      </c>
      <c r="AB16" s="85">
        <f t="shared" si="5"/>
        <v>1139.0442056074767</v>
      </c>
      <c r="AC16" s="85">
        <f t="shared" si="6"/>
        <v>502.49859813084112</v>
      </c>
      <c r="AD16" s="32">
        <f t="shared" si="7"/>
        <v>139.04420560747667</v>
      </c>
      <c r="AE16" s="32">
        <f t="shared" si="8"/>
        <v>402.49859813084112</v>
      </c>
      <c r="AF16" s="94">
        <f t="shared" si="9"/>
        <v>978.15450361604235</v>
      </c>
      <c r="AG16" s="94">
        <f t="shared" si="10"/>
        <v>2831.5154503616041</v>
      </c>
      <c r="AH16" s="86">
        <f t="shared" si="11"/>
        <v>9.7815450361604235</v>
      </c>
      <c r="AI16" s="86">
        <f t="shared" si="12"/>
        <v>226.52123602892834</v>
      </c>
      <c r="AJ16" s="91">
        <f>W16/AL16</f>
        <v>1.2654000000000001</v>
      </c>
      <c r="AK16" s="91">
        <f>X16/AM16</f>
        <v>1.25475</v>
      </c>
      <c r="AL16" s="173">
        <v>20000</v>
      </c>
      <c r="AM16" s="173">
        <v>12000</v>
      </c>
      <c r="AN16" s="253">
        <v>8511</v>
      </c>
      <c r="AO16" s="218">
        <v>3</v>
      </c>
      <c r="AP16" s="218">
        <v>1</v>
      </c>
      <c r="AQ16" s="189">
        <v>44942</v>
      </c>
      <c r="AR16" s="53" t="s">
        <v>257</v>
      </c>
      <c r="AS16" s="125" t="s">
        <v>258</v>
      </c>
      <c r="AT16" s="35"/>
    </row>
    <row r="17" spans="2:47" x14ac:dyDescent="0.25">
      <c r="B17" s="217" t="s">
        <v>185</v>
      </c>
      <c r="C17" s="174" t="s">
        <v>184</v>
      </c>
      <c r="D17" s="38" t="s">
        <v>125</v>
      </c>
      <c r="E17" s="222" t="s">
        <v>138</v>
      </c>
      <c r="F17" s="38" t="s">
        <v>259</v>
      </c>
      <c r="G17" s="172"/>
      <c r="H17" s="80">
        <v>44253</v>
      </c>
      <c r="I17" s="182">
        <f t="shared" si="15"/>
        <v>39</v>
      </c>
      <c r="J17" s="184">
        <f t="shared" si="16"/>
        <v>3.9E-2</v>
      </c>
      <c r="K17" s="99">
        <v>45348</v>
      </c>
      <c r="L17" s="100">
        <v>3</v>
      </c>
      <c r="M17" s="101"/>
      <c r="N17" s="101">
        <v>117</v>
      </c>
      <c r="O17" s="102">
        <v>3000</v>
      </c>
      <c r="P17" s="108">
        <v>0.01</v>
      </c>
      <c r="Q17" s="165"/>
      <c r="R17" s="165"/>
      <c r="S17" s="191">
        <v>44712</v>
      </c>
      <c r="T17" s="247">
        <v>24883</v>
      </c>
      <c r="U17" s="248"/>
      <c r="V17" s="115">
        <v>44926</v>
      </c>
      <c r="W17" s="116">
        <v>36703</v>
      </c>
      <c r="X17" s="169"/>
      <c r="Y17" s="126">
        <f t="shared" si="2"/>
        <v>7.0348454963839577</v>
      </c>
      <c r="Z17" s="30">
        <f t="shared" si="3"/>
        <v>11820</v>
      </c>
      <c r="AA17" s="30">
        <f t="shared" si="4"/>
        <v>0</v>
      </c>
      <c r="AB17" s="85">
        <f t="shared" si="5"/>
        <v>1680.207476635514</v>
      </c>
      <c r="AC17" s="85">
        <f t="shared" si="6"/>
        <v>0</v>
      </c>
      <c r="AD17" s="32">
        <f t="shared" si="7"/>
        <v>680.20747663551401</v>
      </c>
      <c r="AE17" s="32">
        <f t="shared" si="8"/>
        <v>0</v>
      </c>
      <c r="AF17" s="94">
        <f t="shared" si="9"/>
        <v>4785.1545036160423</v>
      </c>
      <c r="AG17" s="94">
        <f t="shared" si="10"/>
        <v>0</v>
      </c>
      <c r="AH17" s="86">
        <f t="shared" si="11"/>
        <v>47.851545036160424</v>
      </c>
      <c r="AI17" s="86">
        <f t="shared" si="12"/>
        <v>0</v>
      </c>
      <c r="AJ17" s="91">
        <f t="shared" ref="AJ17:AJ54" si="29">W17/AL17</f>
        <v>1.2234333333333334</v>
      </c>
      <c r="AK17" s="165"/>
      <c r="AL17" s="173">
        <v>30000</v>
      </c>
      <c r="AM17" s="256"/>
      <c r="AN17" s="253">
        <v>3012</v>
      </c>
      <c r="AO17" s="218">
        <v>4</v>
      </c>
      <c r="AP17" s="165"/>
      <c r="AQ17" s="189">
        <v>44942</v>
      </c>
      <c r="AR17" s="53" t="s">
        <v>260</v>
      </c>
      <c r="AS17" s="125" t="s">
        <v>254</v>
      </c>
      <c r="AT17" s="35"/>
    </row>
    <row r="18" spans="2:47" x14ac:dyDescent="0.25">
      <c r="B18" s="217" t="s">
        <v>162</v>
      </c>
      <c r="C18" s="174" t="s">
        <v>48</v>
      </c>
      <c r="D18" s="38" t="s">
        <v>124</v>
      </c>
      <c r="E18" s="221"/>
      <c r="F18" s="38" t="s">
        <v>261</v>
      </c>
      <c r="G18" s="38"/>
      <c r="H18" s="80">
        <v>44013</v>
      </c>
      <c r="I18" s="182">
        <f t="shared" si="15"/>
        <v>66.666666666666671</v>
      </c>
      <c r="J18" s="184">
        <f t="shared" si="16"/>
        <v>6.6666666666666666E-2</v>
      </c>
      <c r="K18" s="99">
        <v>45839</v>
      </c>
      <c r="L18" s="100">
        <v>3</v>
      </c>
      <c r="M18" s="101"/>
      <c r="N18" s="101">
        <v>200</v>
      </c>
      <c r="O18" s="102">
        <v>3000</v>
      </c>
      <c r="P18" s="108">
        <v>0.01</v>
      </c>
      <c r="Q18" s="103">
        <v>300</v>
      </c>
      <c r="R18" s="108">
        <v>0.08</v>
      </c>
      <c r="S18" s="191">
        <v>44734</v>
      </c>
      <c r="T18" s="247">
        <v>48380</v>
      </c>
      <c r="U18" s="247">
        <v>3672</v>
      </c>
      <c r="V18" s="115">
        <v>44929</v>
      </c>
      <c r="W18" s="249">
        <v>59203</v>
      </c>
      <c r="X18" s="249">
        <v>4508</v>
      </c>
      <c r="Y18" s="126">
        <f t="shared" si="2"/>
        <v>6.4102564102564097</v>
      </c>
      <c r="Z18" s="30">
        <f t="shared" si="3"/>
        <v>10823</v>
      </c>
      <c r="AA18" s="30">
        <f t="shared" si="4"/>
        <v>836</v>
      </c>
      <c r="AB18" s="85">
        <f t="shared" si="5"/>
        <v>1688.3880000000001</v>
      </c>
      <c r="AC18" s="85">
        <f t="shared" si="6"/>
        <v>130.41600000000003</v>
      </c>
      <c r="AD18" s="32">
        <f t="shared" si="7"/>
        <v>688.38800000000015</v>
      </c>
      <c r="AE18" s="32">
        <f t="shared" si="8"/>
        <v>30.416000000000025</v>
      </c>
      <c r="AF18" s="94">
        <f t="shared" si="9"/>
        <v>4412.7435897435907</v>
      </c>
      <c r="AG18" s="94">
        <f t="shared" si="10"/>
        <v>194.97435897435912</v>
      </c>
      <c r="AH18" s="86">
        <f t="shared" si="11"/>
        <v>44.127435897435909</v>
      </c>
      <c r="AI18" s="86">
        <f t="shared" si="12"/>
        <v>15.59794871794873</v>
      </c>
      <c r="AJ18" s="91">
        <f t="shared" si="29"/>
        <v>2.9601500000000001</v>
      </c>
      <c r="AK18" s="91">
        <f t="shared" ref="AK18:AK44" si="30">X18/AM18</f>
        <v>0.37566666666666665</v>
      </c>
      <c r="AL18" s="173">
        <v>20000</v>
      </c>
      <c r="AM18" s="173">
        <v>12000</v>
      </c>
      <c r="AN18" s="253">
        <v>8511</v>
      </c>
      <c r="AO18" s="218">
        <v>8</v>
      </c>
      <c r="AP18" s="218">
        <v>2</v>
      </c>
      <c r="AQ18" s="189">
        <v>44942</v>
      </c>
      <c r="AR18" s="7" t="s">
        <v>263</v>
      </c>
      <c r="AS18" s="190"/>
      <c r="AT18" s="190"/>
      <c r="AU18" s="190"/>
    </row>
    <row r="19" spans="2:47" x14ac:dyDescent="0.25">
      <c r="B19" s="217" t="s">
        <v>163</v>
      </c>
      <c r="C19" s="174" t="s">
        <v>53</v>
      </c>
      <c r="D19" s="38" t="s">
        <v>13</v>
      </c>
      <c r="E19" s="221"/>
      <c r="F19" s="38" t="s">
        <v>264</v>
      </c>
      <c r="G19" s="38"/>
      <c r="H19" s="80">
        <v>43270</v>
      </c>
      <c r="I19" s="182">
        <f t="shared" si="15"/>
        <v>66.666666666666671</v>
      </c>
      <c r="J19" s="184">
        <f t="shared" si="16"/>
        <v>6.6666666666666666E-2</v>
      </c>
      <c r="K19" s="99">
        <v>45076</v>
      </c>
      <c r="L19" s="100">
        <v>3</v>
      </c>
      <c r="M19" s="101"/>
      <c r="N19" s="101">
        <v>200</v>
      </c>
      <c r="O19" s="102">
        <v>3000</v>
      </c>
      <c r="P19" s="108">
        <v>0.01</v>
      </c>
      <c r="Q19" s="103">
        <v>300</v>
      </c>
      <c r="R19" s="108">
        <v>0.08</v>
      </c>
      <c r="S19" s="191">
        <v>44732</v>
      </c>
      <c r="T19" s="247">
        <v>185634</v>
      </c>
      <c r="U19" s="247">
        <v>35511</v>
      </c>
      <c r="V19" s="115">
        <v>44928</v>
      </c>
      <c r="W19" s="249">
        <v>212345</v>
      </c>
      <c r="X19" s="249">
        <v>37566</v>
      </c>
      <c r="Y19" s="126">
        <f t="shared" si="2"/>
        <v>6.4431295200525964</v>
      </c>
      <c r="Z19" s="30">
        <f t="shared" si="3"/>
        <v>26711</v>
      </c>
      <c r="AA19" s="30">
        <f t="shared" si="4"/>
        <v>2055</v>
      </c>
      <c r="AB19" s="85">
        <f t="shared" si="5"/>
        <v>4145.6562244897959</v>
      </c>
      <c r="AC19" s="85">
        <f t="shared" si="6"/>
        <v>318.94438775510207</v>
      </c>
      <c r="AD19" s="32">
        <f t="shared" si="7"/>
        <v>3145.6562244897959</v>
      </c>
      <c r="AE19" s="32">
        <f t="shared" si="8"/>
        <v>218.94438775510207</v>
      </c>
      <c r="AF19" s="94">
        <f t="shared" si="9"/>
        <v>20267.8704799474</v>
      </c>
      <c r="AG19" s="94">
        <f t="shared" si="10"/>
        <v>1410.6870479947404</v>
      </c>
      <c r="AH19" s="86">
        <f t="shared" si="11"/>
        <v>202.67870479947399</v>
      </c>
      <c r="AI19" s="86">
        <f t="shared" si="12"/>
        <v>112.85496383957923</v>
      </c>
      <c r="AJ19" s="91">
        <f t="shared" si="29"/>
        <v>10.61725</v>
      </c>
      <c r="AK19" s="91">
        <f t="shared" si="30"/>
        <v>3.1305000000000001</v>
      </c>
      <c r="AL19" s="173">
        <v>20000</v>
      </c>
      <c r="AM19" s="173">
        <v>12000</v>
      </c>
      <c r="AN19" s="253">
        <v>8511</v>
      </c>
      <c r="AO19" s="218">
        <v>15</v>
      </c>
      <c r="AP19" s="218">
        <v>4</v>
      </c>
      <c r="AQ19" s="189">
        <v>44942</v>
      </c>
      <c r="AR19" s="7" t="s">
        <v>265</v>
      </c>
      <c r="AS19" t="s">
        <v>266</v>
      </c>
      <c r="AT19" s="35"/>
    </row>
    <row r="20" spans="2:47" x14ac:dyDescent="0.25">
      <c r="B20" s="217" t="s">
        <v>164</v>
      </c>
      <c r="C20" s="174" t="s">
        <v>51</v>
      </c>
      <c r="D20" s="38" t="s">
        <v>13</v>
      </c>
      <c r="E20" s="221"/>
      <c r="F20" s="38" t="s">
        <v>267</v>
      </c>
      <c r="G20" s="38"/>
      <c r="H20" s="80">
        <v>43251</v>
      </c>
      <c r="I20" s="182">
        <f t="shared" si="15"/>
        <v>66.666666666666671</v>
      </c>
      <c r="J20" s="184">
        <f t="shared" si="16"/>
        <v>6.6666666666666666E-2</v>
      </c>
      <c r="K20" s="99">
        <v>45077</v>
      </c>
      <c r="L20" s="100">
        <v>3</v>
      </c>
      <c r="M20" s="101"/>
      <c r="N20" s="101">
        <v>200</v>
      </c>
      <c r="O20" s="102">
        <v>3000</v>
      </c>
      <c r="P20" s="108">
        <v>0.01</v>
      </c>
      <c r="Q20" s="103">
        <v>300</v>
      </c>
      <c r="R20" s="173">
        <v>0.09</v>
      </c>
      <c r="S20" s="191">
        <v>44734</v>
      </c>
      <c r="T20" s="247">
        <v>36309</v>
      </c>
      <c r="U20" s="247">
        <v>27157</v>
      </c>
      <c r="V20" s="115">
        <v>44929</v>
      </c>
      <c r="W20" s="249">
        <v>39417</v>
      </c>
      <c r="X20" s="249">
        <v>31040</v>
      </c>
      <c r="Y20" s="126">
        <f t="shared" si="2"/>
        <v>6.4102564102564097</v>
      </c>
      <c r="Z20" s="30">
        <f t="shared" si="3"/>
        <v>3108</v>
      </c>
      <c r="AA20" s="30">
        <f t="shared" si="4"/>
        <v>3883</v>
      </c>
      <c r="AB20" s="85">
        <f t="shared" si="5"/>
        <v>484.84800000000007</v>
      </c>
      <c r="AC20" s="85">
        <f t="shared" si="6"/>
        <v>605.74800000000005</v>
      </c>
      <c r="AD20" s="32">
        <f t="shared" si="7"/>
        <v>-515.15199999999993</v>
      </c>
      <c r="AE20" s="32">
        <f t="shared" si="8"/>
        <v>505.74800000000005</v>
      </c>
      <c r="AF20" s="94">
        <f t="shared" si="9"/>
        <v>-3302.2564102564097</v>
      </c>
      <c r="AG20" s="94">
        <f t="shared" si="10"/>
        <v>3241.9743589743589</v>
      </c>
      <c r="AH20" s="86">
        <f t="shared" si="11"/>
        <v>-33.022564102564097</v>
      </c>
      <c r="AI20" s="86">
        <f t="shared" si="12"/>
        <v>291.77769230769229</v>
      </c>
      <c r="AJ20" s="91">
        <f t="shared" si="29"/>
        <v>1.97085</v>
      </c>
      <c r="AK20" s="91">
        <f t="shared" si="30"/>
        <v>2.5866666666666664</v>
      </c>
      <c r="AL20" s="173">
        <v>20000</v>
      </c>
      <c r="AM20" s="173">
        <v>12000</v>
      </c>
      <c r="AN20" s="253">
        <v>8511</v>
      </c>
      <c r="AO20" s="218">
        <v>5</v>
      </c>
      <c r="AP20" s="218">
        <v>3</v>
      </c>
      <c r="AQ20" s="189">
        <v>44942</v>
      </c>
      <c r="AR20" s="7" t="s">
        <v>268</v>
      </c>
      <c r="AS20" t="s">
        <v>269</v>
      </c>
      <c r="AT20" s="35"/>
    </row>
    <row r="21" spans="2:47" x14ac:dyDescent="0.25">
      <c r="B21" s="217" t="s">
        <v>165</v>
      </c>
      <c r="C21" s="174" t="s">
        <v>16</v>
      </c>
      <c r="D21" s="38" t="s">
        <v>13</v>
      </c>
      <c r="E21" s="221"/>
      <c r="F21" s="38" t="s">
        <v>270</v>
      </c>
      <c r="G21" s="38"/>
      <c r="H21" s="80">
        <v>43109</v>
      </c>
      <c r="I21" s="182">
        <f t="shared" si="15"/>
        <v>66.666666666666671</v>
      </c>
      <c r="J21" s="184">
        <f t="shared" si="16"/>
        <v>6.6666666666666666E-2</v>
      </c>
      <c r="K21" s="99">
        <v>45291</v>
      </c>
      <c r="L21" s="100">
        <v>3</v>
      </c>
      <c r="M21" s="101"/>
      <c r="N21" s="101">
        <v>200</v>
      </c>
      <c r="O21" s="102">
        <v>3000</v>
      </c>
      <c r="P21" s="108">
        <v>0.01</v>
      </c>
      <c r="Q21" s="103">
        <v>300</v>
      </c>
      <c r="R21" s="173">
        <v>0.09</v>
      </c>
      <c r="S21" s="191">
        <v>44732</v>
      </c>
      <c r="T21" s="247">
        <v>35180</v>
      </c>
      <c r="U21" s="247">
        <v>6508</v>
      </c>
      <c r="V21" s="115">
        <v>44928</v>
      </c>
      <c r="W21" s="249">
        <v>42253</v>
      </c>
      <c r="X21" s="249">
        <v>7451</v>
      </c>
      <c r="Y21" s="126">
        <f t="shared" si="2"/>
        <v>6.4431295200525964</v>
      </c>
      <c r="Z21" s="30">
        <f t="shared" si="3"/>
        <v>7073</v>
      </c>
      <c r="AA21" s="30">
        <f t="shared" si="4"/>
        <v>943</v>
      </c>
      <c r="AB21" s="85">
        <f t="shared" si="5"/>
        <v>1097.7584693877552</v>
      </c>
      <c r="AC21" s="85">
        <f t="shared" si="6"/>
        <v>146.35744897959185</v>
      </c>
      <c r="AD21" s="32">
        <f t="shared" si="7"/>
        <v>97.758469387755213</v>
      </c>
      <c r="AE21" s="32">
        <f t="shared" si="8"/>
        <v>46.357448979591851</v>
      </c>
      <c r="AF21" s="94">
        <f t="shared" si="9"/>
        <v>629.87047994740374</v>
      </c>
      <c r="AG21" s="94">
        <f t="shared" si="10"/>
        <v>298.6870479947404</v>
      </c>
      <c r="AH21" s="86">
        <f t="shared" si="11"/>
        <v>6.2987047994740379</v>
      </c>
      <c r="AI21" s="86">
        <f t="shared" si="12"/>
        <v>26.881834319526636</v>
      </c>
      <c r="AJ21" s="91">
        <f t="shared" si="29"/>
        <v>2.1126499999999999</v>
      </c>
      <c r="AK21" s="91">
        <f t="shared" si="30"/>
        <v>0.62091666666666667</v>
      </c>
      <c r="AL21" s="173">
        <v>20000</v>
      </c>
      <c r="AM21" s="173">
        <v>12000</v>
      </c>
      <c r="AN21" s="253">
        <v>8511</v>
      </c>
      <c r="AO21" s="218">
        <v>3</v>
      </c>
      <c r="AP21" s="218">
        <v>1</v>
      </c>
      <c r="AQ21" s="189">
        <v>44942</v>
      </c>
      <c r="AR21" s="53" t="s">
        <v>271</v>
      </c>
      <c r="AS21" s="125" t="s">
        <v>314</v>
      </c>
      <c r="AT21" s="35"/>
    </row>
    <row r="22" spans="2:47" x14ac:dyDescent="0.25">
      <c r="B22" s="217" t="s">
        <v>166</v>
      </c>
      <c r="C22" s="174" t="s">
        <v>106</v>
      </c>
      <c r="D22" s="38" t="s">
        <v>13</v>
      </c>
      <c r="E22" s="221"/>
      <c r="F22" s="38" t="s">
        <v>272</v>
      </c>
      <c r="G22" s="38"/>
      <c r="H22" s="80">
        <v>43634</v>
      </c>
      <c r="I22" s="182">
        <f t="shared" si="15"/>
        <v>66.666666666666671</v>
      </c>
      <c r="J22" s="184">
        <f t="shared" si="16"/>
        <v>6.6666666666666666E-2</v>
      </c>
      <c r="K22" s="99">
        <v>45473</v>
      </c>
      <c r="L22" s="100">
        <v>3</v>
      </c>
      <c r="M22" s="101"/>
      <c r="N22" s="101">
        <v>200</v>
      </c>
      <c r="O22" s="102">
        <v>3000</v>
      </c>
      <c r="P22" s="108">
        <v>0.01</v>
      </c>
      <c r="Q22" s="103">
        <v>300</v>
      </c>
      <c r="R22" s="108">
        <v>0.08</v>
      </c>
      <c r="S22" s="191">
        <v>44713</v>
      </c>
      <c r="T22" s="247">
        <v>53944</v>
      </c>
      <c r="U22" s="247">
        <v>24103</v>
      </c>
      <c r="V22" s="115">
        <v>44927</v>
      </c>
      <c r="W22" s="249">
        <v>62982</v>
      </c>
      <c r="X22" s="249">
        <v>28742</v>
      </c>
      <c r="Y22" s="126">
        <f t="shared" si="2"/>
        <v>7.0348454963839577</v>
      </c>
      <c r="Z22" s="30">
        <f t="shared" si="3"/>
        <v>9038</v>
      </c>
      <c r="AA22" s="30">
        <f t="shared" si="4"/>
        <v>4639</v>
      </c>
      <c r="AB22" s="85">
        <f t="shared" si="5"/>
        <v>1284.747476635514</v>
      </c>
      <c r="AC22" s="85">
        <f t="shared" si="6"/>
        <v>659.43168224299063</v>
      </c>
      <c r="AD22" s="32">
        <f t="shared" si="7"/>
        <v>284.74747663551398</v>
      </c>
      <c r="AE22" s="32">
        <f t="shared" si="8"/>
        <v>559.43168224299063</v>
      </c>
      <c r="AF22" s="94">
        <f t="shared" si="9"/>
        <v>2003.1545036160417</v>
      </c>
      <c r="AG22" s="94">
        <f t="shared" si="10"/>
        <v>3935.5154503616041</v>
      </c>
      <c r="AH22" s="86">
        <f t="shared" si="11"/>
        <v>20.031545036160416</v>
      </c>
      <c r="AI22" s="86">
        <f t="shared" si="12"/>
        <v>314.84123602892834</v>
      </c>
      <c r="AJ22" s="91">
        <f t="shared" si="29"/>
        <v>3.1490999999999998</v>
      </c>
      <c r="AK22" s="91">
        <f t="shared" si="30"/>
        <v>2.3951666666666669</v>
      </c>
      <c r="AL22" s="173">
        <v>20000</v>
      </c>
      <c r="AM22" s="173">
        <v>12000</v>
      </c>
      <c r="AN22" s="253">
        <v>8511</v>
      </c>
      <c r="AO22" s="218">
        <v>6</v>
      </c>
      <c r="AP22" s="218">
        <v>3</v>
      </c>
      <c r="AQ22" s="189">
        <v>44942</v>
      </c>
      <c r="AR22" s="53" t="s">
        <v>273</v>
      </c>
      <c r="AS22" s="125" t="s">
        <v>254</v>
      </c>
      <c r="AT22" s="35"/>
    </row>
    <row r="23" spans="2:47" x14ac:dyDescent="0.25">
      <c r="B23" s="217" t="s">
        <v>179</v>
      </c>
      <c r="C23" s="174" t="s">
        <v>151</v>
      </c>
      <c r="D23" s="38" t="s">
        <v>124</v>
      </c>
      <c r="E23" s="221"/>
      <c r="F23" s="38" t="s">
        <v>274</v>
      </c>
      <c r="G23" s="38"/>
      <c r="H23" s="80">
        <v>44317</v>
      </c>
      <c r="I23" s="182">
        <f t="shared" si="15"/>
        <v>99</v>
      </c>
      <c r="J23" s="184">
        <f t="shared" si="16"/>
        <v>9.9000000000000005E-2</v>
      </c>
      <c r="K23" s="99">
        <v>45778</v>
      </c>
      <c r="L23" s="100">
        <v>1</v>
      </c>
      <c r="M23" s="101">
        <v>99</v>
      </c>
      <c r="N23" s="101"/>
      <c r="O23" s="102">
        <v>1000</v>
      </c>
      <c r="P23" s="108">
        <v>0.01</v>
      </c>
      <c r="Q23" s="103">
        <v>100</v>
      </c>
      <c r="R23" s="108">
        <v>0.08</v>
      </c>
      <c r="S23" s="191">
        <v>44713</v>
      </c>
      <c r="T23" s="247">
        <v>23281</v>
      </c>
      <c r="U23" s="247">
        <v>7890</v>
      </c>
      <c r="V23" s="115">
        <v>44929</v>
      </c>
      <c r="W23" s="249">
        <v>33100</v>
      </c>
      <c r="X23" s="249">
        <v>10190</v>
      </c>
      <c r="Y23" s="126">
        <f t="shared" si="2"/>
        <v>7.1005917159763312</v>
      </c>
      <c r="Z23" s="30">
        <f t="shared" si="3"/>
        <v>9819</v>
      </c>
      <c r="AA23" s="30">
        <f t="shared" si="4"/>
        <v>2300</v>
      </c>
      <c r="AB23" s="85">
        <f t="shared" si="5"/>
        <v>1382.8425</v>
      </c>
      <c r="AC23" s="85">
        <f t="shared" si="6"/>
        <v>323.91666666666669</v>
      </c>
      <c r="AD23" s="32">
        <f t="shared" si="7"/>
        <v>382.84249999999997</v>
      </c>
      <c r="AE23" s="32">
        <f t="shared" si="8"/>
        <v>223.91666666666669</v>
      </c>
      <c r="AF23" s="94">
        <f t="shared" si="9"/>
        <v>2718.4082840236683</v>
      </c>
      <c r="AG23" s="94">
        <f t="shared" si="10"/>
        <v>1589.9408284023671</v>
      </c>
      <c r="AH23" s="86">
        <f t="shared" si="11"/>
        <v>27.184082840236684</v>
      </c>
      <c r="AI23" s="86">
        <f t="shared" si="12"/>
        <v>127.19526627218937</v>
      </c>
      <c r="AJ23" s="91">
        <f t="shared" si="29"/>
        <v>1.655</v>
      </c>
      <c r="AK23" s="91">
        <f t="shared" si="30"/>
        <v>0.84916666666666663</v>
      </c>
      <c r="AL23" s="173">
        <v>20000</v>
      </c>
      <c r="AM23" s="173">
        <v>12000</v>
      </c>
      <c r="AN23" s="253">
        <v>8511</v>
      </c>
      <c r="AO23" s="218">
        <v>3</v>
      </c>
      <c r="AP23" s="218">
        <v>1</v>
      </c>
      <c r="AQ23" s="270">
        <v>45012</v>
      </c>
      <c r="AR23" s="53" t="s">
        <v>341</v>
      </c>
      <c r="AS23" s="53" t="s">
        <v>343</v>
      </c>
      <c r="AT23" s="35"/>
    </row>
    <row r="24" spans="2:47" x14ac:dyDescent="0.25">
      <c r="B24" s="269" t="s">
        <v>344</v>
      </c>
      <c r="C24" s="174" t="s">
        <v>336</v>
      </c>
      <c r="D24" s="38" t="s">
        <v>125</v>
      </c>
      <c r="E24" s="222" t="s">
        <v>138</v>
      </c>
      <c r="F24" s="38" t="s">
        <v>338</v>
      </c>
      <c r="G24" s="38"/>
      <c r="H24" s="80">
        <v>44971</v>
      </c>
      <c r="I24" s="182">
        <f t="shared" ref="I24" si="31">IF(M24="",N24/L24,M24)</f>
        <v>345</v>
      </c>
      <c r="J24" s="184">
        <f t="shared" ref="J24" si="32">I24/(O24/L24)</f>
        <v>1.15E-2</v>
      </c>
      <c r="K24" s="99">
        <v>46067</v>
      </c>
      <c r="L24" s="100">
        <v>1</v>
      </c>
      <c r="M24" s="101">
        <v>345</v>
      </c>
      <c r="N24" s="101"/>
      <c r="O24" s="102">
        <v>30000</v>
      </c>
      <c r="P24" s="108">
        <v>0.01</v>
      </c>
      <c r="Q24" s="166"/>
      <c r="R24" s="166"/>
      <c r="S24" s="257">
        <v>45005</v>
      </c>
      <c r="T24" s="249">
        <v>28400</v>
      </c>
      <c r="U24" s="248"/>
      <c r="V24" s="257">
        <v>45066</v>
      </c>
      <c r="W24" s="275">
        <v>101728</v>
      </c>
      <c r="X24" s="275"/>
      <c r="Y24" s="126">
        <f t="shared" ref="Y24:Y25" si="33">(V24-S24)/30.42</f>
        <v>2.0052596975673898</v>
      </c>
      <c r="Z24" s="30">
        <f t="shared" ref="Z24:Z25" si="34">W24-T24</f>
        <v>73328</v>
      </c>
      <c r="AA24" s="30">
        <f t="shared" ref="AA24:AA25" si="35">X24-U24</f>
        <v>0</v>
      </c>
      <c r="AB24" s="85">
        <f t="shared" ref="AB24:AB25" si="36">Z24/Y24</f>
        <v>36567.832131147545</v>
      </c>
      <c r="AC24" s="85">
        <f t="shared" ref="AC24:AC25" si="37">AA24/Y24</f>
        <v>0</v>
      </c>
      <c r="AD24" s="32">
        <f t="shared" ref="AD24:AD25" si="38">AB24-O24/L24</f>
        <v>6567.8321311475447</v>
      </c>
      <c r="AE24" s="32">
        <f t="shared" ref="AE24:AE25" si="39">AC24-Q24/L24</f>
        <v>0</v>
      </c>
      <c r="AF24" s="94">
        <f t="shared" ref="AF24:AF25" si="40">AD24*Y24</f>
        <v>13170.20907297831</v>
      </c>
      <c r="AG24" s="94">
        <f t="shared" ref="AG24:AG25" si="41">AE24*Y24</f>
        <v>0</v>
      </c>
      <c r="AH24" s="86">
        <f t="shared" ref="AH24:AH25" si="42">AF24*P24</f>
        <v>131.70209072978309</v>
      </c>
      <c r="AI24" s="86">
        <f t="shared" ref="AI24:AI25" si="43">AG24*R24</f>
        <v>0</v>
      </c>
      <c r="AJ24" s="91">
        <f t="shared" ref="AJ24:AJ25" si="44">W24/AL24</f>
        <v>3.3909333333333334</v>
      </c>
      <c r="AK24" s="165"/>
      <c r="AL24" s="173">
        <v>30000</v>
      </c>
      <c r="AM24" s="256"/>
      <c r="AN24" s="253">
        <v>3012</v>
      </c>
      <c r="AO24" s="2">
        <v>2</v>
      </c>
      <c r="AP24" s="178"/>
      <c r="AR24" s="7" t="s">
        <v>348</v>
      </c>
    </row>
    <row r="25" spans="2:47" x14ac:dyDescent="0.25">
      <c r="B25" s="269" t="s">
        <v>335</v>
      </c>
      <c r="C25" s="174" t="s">
        <v>336</v>
      </c>
      <c r="D25" s="38" t="s">
        <v>196</v>
      </c>
      <c r="E25" s="221"/>
      <c r="F25" s="38" t="s">
        <v>337</v>
      </c>
      <c r="G25" s="38"/>
      <c r="H25" s="80">
        <v>44971</v>
      </c>
      <c r="I25" s="182">
        <f t="shared" ref="I25" si="45">IF(M25="",N25/L25,M25)</f>
        <v>230</v>
      </c>
      <c r="J25" s="184">
        <f t="shared" ref="J25" si="46">I25/(O25/L25)</f>
        <v>0.23</v>
      </c>
      <c r="K25" s="99">
        <v>46432</v>
      </c>
      <c r="L25" s="100">
        <v>1</v>
      </c>
      <c r="M25" s="101">
        <v>230</v>
      </c>
      <c r="N25" s="101"/>
      <c r="O25" s="102">
        <v>1000</v>
      </c>
      <c r="P25" s="108">
        <v>0.01</v>
      </c>
      <c r="Q25" s="174">
        <v>1500</v>
      </c>
      <c r="R25" s="108">
        <v>0.08</v>
      </c>
      <c r="S25" s="257">
        <v>45005</v>
      </c>
      <c r="T25" s="249">
        <v>8491</v>
      </c>
      <c r="U25" s="249">
        <v>9398</v>
      </c>
      <c r="V25" s="257">
        <v>45066</v>
      </c>
      <c r="W25" s="275">
        <v>10769</v>
      </c>
      <c r="X25" s="275">
        <v>13353</v>
      </c>
      <c r="Y25" s="126">
        <f t="shared" si="33"/>
        <v>2.0052596975673898</v>
      </c>
      <c r="Z25" s="30">
        <f t="shared" si="34"/>
        <v>2278</v>
      </c>
      <c r="AA25" s="30">
        <f t="shared" si="35"/>
        <v>3955</v>
      </c>
      <c r="AB25" s="85">
        <f t="shared" si="36"/>
        <v>1136.0124590163934</v>
      </c>
      <c r="AC25" s="85">
        <f t="shared" si="37"/>
        <v>1972.3131147540985</v>
      </c>
      <c r="AD25" s="32">
        <f t="shared" si="38"/>
        <v>136.01245901639345</v>
      </c>
      <c r="AE25" s="32">
        <f t="shared" si="39"/>
        <v>472.31311475409848</v>
      </c>
      <c r="AF25" s="94">
        <f t="shared" si="40"/>
        <v>272.74030243261012</v>
      </c>
      <c r="AG25" s="94">
        <f t="shared" si="41"/>
        <v>947.11045364891538</v>
      </c>
      <c r="AH25" s="86">
        <f t="shared" si="42"/>
        <v>2.7274030243261014</v>
      </c>
      <c r="AI25" s="86">
        <f t="shared" si="43"/>
        <v>75.768836291913232</v>
      </c>
      <c r="AJ25" s="91">
        <f t="shared" si="44"/>
        <v>0.53844999999999998</v>
      </c>
      <c r="AK25" s="91">
        <f>X25/AM25</f>
        <v>1.1127499999999999</v>
      </c>
      <c r="AL25" s="173">
        <v>20000</v>
      </c>
      <c r="AM25" s="173">
        <v>12000</v>
      </c>
      <c r="AN25" s="253">
        <v>8531</v>
      </c>
      <c r="AO25" s="218">
        <v>2</v>
      </c>
      <c r="AP25" s="218">
        <v>2</v>
      </c>
      <c r="AQ25" s="181">
        <v>45069</v>
      </c>
      <c r="AR25" s="7"/>
    </row>
    <row r="26" spans="2:47" x14ac:dyDescent="0.25">
      <c r="B26" s="7" t="s">
        <v>211</v>
      </c>
      <c r="C26" s="174" t="s">
        <v>4</v>
      </c>
      <c r="D26" s="38" t="s">
        <v>196</v>
      </c>
      <c r="E26" s="221"/>
      <c r="F26" s="38" t="s">
        <v>275</v>
      </c>
      <c r="G26" s="38"/>
      <c r="H26" s="80">
        <v>44747</v>
      </c>
      <c r="I26" s="182">
        <f t="shared" si="15"/>
        <v>130</v>
      </c>
      <c r="J26" s="184">
        <f t="shared" si="16"/>
        <v>7.8E-2</v>
      </c>
      <c r="K26" s="99">
        <v>46208</v>
      </c>
      <c r="L26" s="100">
        <v>3</v>
      </c>
      <c r="M26" s="105"/>
      <c r="N26" s="105">
        <v>390</v>
      </c>
      <c r="O26" s="106">
        <v>5000</v>
      </c>
      <c r="P26" s="109">
        <v>0.01</v>
      </c>
      <c r="Q26" s="103">
        <v>500</v>
      </c>
      <c r="R26" s="108">
        <v>0.08</v>
      </c>
      <c r="S26" s="191">
        <v>44747</v>
      </c>
      <c r="T26" s="247">
        <v>0</v>
      </c>
      <c r="U26" s="247">
        <v>0</v>
      </c>
      <c r="V26" s="115">
        <v>44898</v>
      </c>
      <c r="W26" s="249">
        <v>7744</v>
      </c>
      <c r="X26" s="249">
        <v>948</v>
      </c>
      <c r="Y26" s="126">
        <f t="shared" si="2"/>
        <v>4.9638395792241941</v>
      </c>
      <c r="Z26" s="30">
        <f t="shared" si="3"/>
        <v>7744</v>
      </c>
      <c r="AA26" s="30">
        <f t="shared" si="4"/>
        <v>948</v>
      </c>
      <c r="AB26" s="85">
        <f t="shared" si="5"/>
        <v>1560.0826490066227</v>
      </c>
      <c r="AC26" s="85">
        <f t="shared" si="6"/>
        <v>190.98119205298016</v>
      </c>
      <c r="AD26" s="32">
        <f t="shared" si="7"/>
        <v>-106.58401766004408</v>
      </c>
      <c r="AE26" s="32">
        <f t="shared" si="8"/>
        <v>24.314525386313505</v>
      </c>
      <c r="AF26" s="94">
        <f t="shared" si="9"/>
        <v>-529.06596537365726</v>
      </c>
      <c r="AG26" s="94">
        <f t="shared" si="10"/>
        <v>120.69340346263442</v>
      </c>
      <c r="AH26" s="86">
        <f t="shared" si="11"/>
        <v>-5.2906596537365731</v>
      </c>
      <c r="AI26" s="86">
        <f t="shared" si="12"/>
        <v>9.6554722770107535</v>
      </c>
      <c r="AJ26" s="91">
        <f t="shared" si="29"/>
        <v>0.38719999999999999</v>
      </c>
      <c r="AK26" s="91">
        <f t="shared" si="30"/>
        <v>7.9000000000000001E-2</v>
      </c>
      <c r="AL26" s="173">
        <v>20000</v>
      </c>
      <c r="AM26" s="173">
        <v>12000</v>
      </c>
      <c r="AN26" s="253">
        <v>8531</v>
      </c>
      <c r="AO26" s="218">
        <v>2</v>
      </c>
      <c r="AP26" s="218">
        <v>1</v>
      </c>
      <c r="AQ26" s="189">
        <v>44942</v>
      </c>
      <c r="AR26" s="7" t="s">
        <v>276</v>
      </c>
      <c r="AT26" s="35"/>
    </row>
    <row r="27" spans="2:47" x14ac:dyDescent="0.25">
      <c r="B27" s="217" t="s">
        <v>167</v>
      </c>
      <c r="C27" s="174" t="s">
        <v>145</v>
      </c>
      <c r="D27" s="38" t="s">
        <v>124</v>
      </c>
      <c r="E27" s="221"/>
      <c r="F27" s="38" t="s">
        <v>277</v>
      </c>
      <c r="G27" s="38"/>
      <c r="H27" s="80">
        <v>44151</v>
      </c>
      <c r="I27" s="182">
        <f t="shared" si="15"/>
        <v>66.666666666666671</v>
      </c>
      <c r="J27" s="184">
        <f t="shared" si="16"/>
        <v>6.6666666666666666E-2</v>
      </c>
      <c r="K27" s="99">
        <v>45977</v>
      </c>
      <c r="L27" s="100">
        <v>3</v>
      </c>
      <c r="M27" s="101"/>
      <c r="N27" s="101">
        <v>200</v>
      </c>
      <c r="O27" s="102">
        <v>3000</v>
      </c>
      <c r="P27" s="108">
        <v>0.01</v>
      </c>
      <c r="Q27" s="103">
        <v>300</v>
      </c>
      <c r="R27" s="108">
        <v>0.08</v>
      </c>
      <c r="S27" s="191">
        <v>44729</v>
      </c>
      <c r="T27" s="247">
        <v>21873</v>
      </c>
      <c r="U27" s="247">
        <v>26713</v>
      </c>
      <c r="V27" s="115">
        <v>44927</v>
      </c>
      <c r="W27" s="249">
        <v>30105</v>
      </c>
      <c r="X27" s="249">
        <v>34528</v>
      </c>
      <c r="Y27" s="126">
        <f t="shared" si="2"/>
        <v>6.5088757396449699</v>
      </c>
      <c r="Z27" s="30">
        <f t="shared" si="3"/>
        <v>8232</v>
      </c>
      <c r="AA27" s="30">
        <f t="shared" si="4"/>
        <v>7815</v>
      </c>
      <c r="AB27" s="85">
        <f t="shared" si="5"/>
        <v>1264.7345454545455</v>
      </c>
      <c r="AC27" s="85">
        <f t="shared" si="6"/>
        <v>1200.6681818181819</v>
      </c>
      <c r="AD27" s="32">
        <f t="shared" si="7"/>
        <v>264.73454545454547</v>
      </c>
      <c r="AE27" s="32">
        <f t="shared" si="8"/>
        <v>1100.6681818181819</v>
      </c>
      <c r="AF27" s="94">
        <f t="shared" si="9"/>
        <v>1723.1242603550295</v>
      </c>
      <c r="AG27" s="94">
        <f t="shared" si="10"/>
        <v>7164.1124260355027</v>
      </c>
      <c r="AH27" s="86">
        <f t="shared" si="11"/>
        <v>17.231242603550296</v>
      </c>
      <c r="AI27" s="86">
        <f t="shared" si="12"/>
        <v>573.12899408284022</v>
      </c>
      <c r="AJ27" s="91">
        <f t="shared" si="29"/>
        <v>1.50525</v>
      </c>
      <c r="AK27" s="91">
        <f t="shared" si="30"/>
        <v>2.8773333333333335</v>
      </c>
      <c r="AL27" s="173">
        <v>20000</v>
      </c>
      <c r="AM27" s="173">
        <v>12000</v>
      </c>
      <c r="AN27" s="253">
        <v>8511</v>
      </c>
      <c r="AO27" s="218">
        <v>4</v>
      </c>
      <c r="AP27" s="218">
        <v>2</v>
      </c>
      <c r="AQ27" s="270">
        <v>45012</v>
      </c>
      <c r="AR27" s="53" t="s">
        <v>342</v>
      </c>
      <c r="AS27" s="53" t="s">
        <v>343</v>
      </c>
      <c r="AT27" s="35"/>
    </row>
    <row r="28" spans="2:47" x14ac:dyDescent="0.25">
      <c r="B28" s="217" t="s">
        <v>159</v>
      </c>
      <c r="C28" s="174" t="s">
        <v>146</v>
      </c>
      <c r="D28" s="38" t="s">
        <v>13</v>
      </c>
      <c r="E28" s="221"/>
      <c r="F28" s="38" t="s">
        <v>278</v>
      </c>
      <c r="G28" s="38"/>
      <c r="H28" s="80">
        <v>43223</v>
      </c>
      <c r="I28" s="182">
        <f t="shared" si="15"/>
        <v>66.666666666666671</v>
      </c>
      <c r="J28" s="184">
        <f t="shared" si="16"/>
        <v>6.6666666666666666E-2</v>
      </c>
      <c r="K28" s="99">
        <v>45046</v>
      </c>
      <c r="L28" s="100">
        <v>3</v>
      </c>
      <c r="M28" s="101"/>
      <c r="N28" s="101">
        <v>200</v>
      </c>
      <c r="O28" s="102">
        <v>3000</v>
      </c>
      <c r="P28" s="108">
        <v>0.01</v>
      </c>
      <c r="Q28" s="103">
        <v>300</v>
      </c>
      <c r="R28" s="108">
        <v>0.08</v>
      </c>
      <c r="S28" s="191">
        <v>44732</v>
      </c>
      <c r="T28" s="247">
        <v>21909</v>
      </c>
      <c r="U28" s="247">
        <v>14867</v>
      </c>
      <c r="V28" s="115">
        <v>44928</v>
      </c>
      <c r="W28" s="249">
        <v>23583</v>
      </c>
      <c r="X28" s="249">
        <v>16299</v>
      </c>
      <c r="Y28" s="126">
        <f t="shared" si="2"/>
        <v>6.4431295200525964</v>
      </c>
      <c r="Z28" s="30">
        <f t="shared" si="3"/>
        <v>1674</v>
      </c>
      <c r="AA28" s="30">
        <f t="shared" si="4"/>
        <v>1432</v>
      </c>
      <c r="AB28" s="85">
        <f t="shared" si="5"/>
        <v>259.81163265306122</v>
      </c>
      <c r="AC28" s="85">
        <f t="shared" si="6"/>
        <v>222.2522448979592</v>
      </c>
      <c r="AD28" s="32">
        <f t="shared" si="7"/>
        <v>-740.18836734693878</v>
      </c>
      <c r="AE28" s="32">
        <f t="shared" si="8"/>
        <v>122.2522448979592</v>
      </c>
      <c r="AF28" s="94">
        <f t="shared" si="9"/>
        <v>-4769.1295200525965</v>
      </c>
      <c r="AG28" s="94">
        <f t="shared" si="10"/>
        <v>787.6870479947404</v>
      </c>
      <c r="AH28" s="86">
        <f t="shared" si="11"/>
        <v>-47.691295200525964</v>
      </c>
      <c r="AI28" s="86">
        <f t="shared" si="12"/>
        <v>63.014963839579231</v>
      </c>
      <c r="AJ28" s="91">
        <f t="shared" si="29"/>
        <v>1.1791499999999999</v>
      </c>
      <c r="AK28" s="91">
        <f t="shared" si="30"/>
        <v>1.35825</v>
      </c>
      <c r="AL28" s="173">
        <v>20000</v>
      </c>
      <c r="AM28" s="173">
        <v>12000</v>
      </c>
      <c r="AN28" s="253">
        <v>8511</v>
      </c>
      <c r="AO28" s="218">
        <v>5</v>
      </c>
      <c r="AP28" s="218">
        <v>3</v>
      </c>
      <c r="AQ28" s="189">
        <v>44942</v>
      </c>
      <c r="AR28" s="7" t="s">
        <v>279</v>
      </c>
      <c r="AT28" s="35"/>
    </row>
    <row r="29" spans="2:47" x14ac:dyDescent="0.25">
      <c r="B29" s="96"/>
      <c r="C29" s="174" t="s">
        <v>87</v>
      </c>
      <c r="D29" s="38" t="s">
        <v>13</v>
      </c>
      <c r="E29" s="221"/>
      <c r="F29" s="252"/>
      <c r="G29" s="38"/>
      <c r="H29" s="80">
        <v>43418</v>
      </c>
      <c r="I29" s="182">
        <f t="shared" si="15"/>
        <v>66.666666666666671</v>
      </c>
      <c r="J29" s="184">
        <f t="shared" si="16"/>
        <v>6.6666666666666666E-2</v>
      </c>
      <c r="K29" s="104">
        <v>45231</v>
      </c>
      <c r="L29" s="100">
        <v>3</v>
      </c>
      <c r="M29" s="105"/>
      <c r="N29" s="105">
        <v>200</v>
      </c>
      <c r="O29" s="106">
        <v>3000</v>
      </c>
      <c r="P29" s="108">
        <v>0.01</v>
      </c>
      <c r="Q29" s="103">
        <v>300</v>
      </c>
      <c r="R29" s="108">
        <v>0.08</v>
      </c>
      <c r="S29" s="191">
        <v>44741</v>
      </c>
      <c r="T29" s="247">
        <v>73291</v>
      </c>
      <c r="U29" s="247">
        <v>55897</v>
      </c>
      <c r="V29" s="115">
        <v>44985</v>
      </c>
      <c r="W29" s="249">
        <v>102759</v>
      </c>
      <c r="X29" s="249">
        <v>79981</v>
      </c>
      <c r="Y29" s="126">
        <f t="shared" si="2"/>
        <v>8.021038790269559</v>
      </c>
      <c r="Z29" s="30">
        <f t="shared" si="3"/>
        <v>29468</v>
      </c>
      <c r="AA29" s="30">
        <f t="shared" si="4"/>
        <v>24084</v>
      </c>
      <c r="AB29" s="85">
        <f t="shared" si="5"/>
        <v>3673.8383606557381</v>
      </c>
      <c r="AC29" s="85">
        <f t="shared" si="6"/>
        <v>3002.6036065573771</v>
      </c>
      <c r="AD29" s="32">
        <f t="shared" si="7"/>
        <v>2673.8383606557381</v>
      </c>
      <c r="AE29" s="32">
        <f t="shared" si="8"/>
        <v>2902.6036065573771</v>
      </c>
      <c r="AF29" s="94">
        <f t="shared" si="9"/>
        <v>21446.961209730442</v>
      </c>
      <c r="AG29" s="94">
        <f t="shared" si="10"/>
        <v>23281.896120973044</v>
      </c>
      <c r="AH29" s="86">
        <f t="shared" si="11"/>
        <v>214.46961209730443</v>
      </c>
      <c r="AI29" s="86">
        <f t="shared" si="12"/>
        <v>1862.5516896778436</v>
      </c>
      <c r="AJ29" s="91">
        <f t="shared" si="29"/>
        <v>5.13795</v>
      </c>
      <c r="AK29" s="91">
        <f t="shared" si="30"/>
        <v>6.6650833333333335</v>
      </c>
      <c r="AL29" s="173">
        <v>20000</v>
      </c>
      <c r="AM29" s="173">
        <v>12000</v>
      </c>
      <c r="AN29" s="253">
        <v>8511</v>
      </c>
      <c r="AO29" s="218">
        <v>18</v>
      </c>
      <c r="AP29" s="218">
        <v>13</v>
      </c>
      <c r="AQ29" s="189">
        <v>44942</v>
      </c>
      <c r="AR29" s="255" t="s">
        <v>222</v>
      </c>
      <c r="AT29" s="35"/>
    </row>
    <row r="30" spans="2:47" x14ac:dyDescent="0.25">
      <c r="B30" s="7" t="s">
        <v>169</v>
      </c>
      <c r="C30" s="174" t="s">
        <v>15</v>
      </c>
      <c r="D30" s="38" t="s">
        <v>148</v>
      </c>
      <c r="E30" s="221"/>
      <c r="F30" s="38" t="s">
        <v>281</v>
      </c>
      <c r="G30" s="38" t="s">
        <v>323</v>
      </c>
      <c r="H30" s="80">
        <v>44187</v>
      </c>
      <c r="I30" s="182">
        <f t="shared" si="15"/>
        <v>120</v>
      </c>
      <c r="J30" s="184">
        <f t="shared" si="16"/>
        <v>7.1999999999999995E-2</v>
      </c>
      <c r="K30" s="99">
        <v>45648</v>
      </c>
      <c r="L30" s="100">
        <v>3</v>
      </c>
      <c r="M30" s="105"/>
      <c r="N30" s="105">
        <v>360</v>
      </c>
      <c r="O30" s="106">
        <v>5000</v>
      </c>
      <c r="P30" s="187">
        <v>8.9999999999999993E-3</v>
      </c>
      <c r="Q30" s="107">
        <v>500</v>
      </c>
      <c r="R30" s="186">
        <v>8.1000000000000003E-2</v>
      </c>
      <c r="S30" s="191">
        <v>44734</v>
      </c>
      <c r="T30" s="247">
        <v>77286</v>
      </c>
      <c r="U30" s="247">
        <v>42942</v>
      </c>
      <c r="V30" s="115">
        <v>44927</v>
      </c>
      <c r="W30" s="249">
        <v>99843</v>
      </c>
      <c r="X30" s="249">
        <v>62959</v>
      </c>
      <c r="Y30" s="126">
        <f t="shared" si="2"/>
        <v>6.3445101906640362</v>
      </c>
      <c r="Z30" s="30">
        <f t="shared" si="3"/>
        <v>22557</v>
      </c>
      <c r="AA30" s="30">
        <f t="shared" si="4"/>
        <v>20017</v>
      </c>
      <c r="AB30" s="85">
        <f t="shared" si="5"/>
        <v>3555.3572020725392</v>
      </c>
      <c r="AC30" s="85">
        <f t="shared" si="6"/>
        <v>3155.011088082902</v>
      </c>
      <c r="AD30" s="32">
        <f t="shared" si="7"/>
        <v>1888.6905354058724</v>
      </c>
      <c r="AE30" s="32">
        <f t="shared" si="8"/>
        <v>2988.3444214162355</v>
      </c>
      <c r="AF30" s="94">
        <f t="shared" si="9"/>
        <v>11982.816348893271</v>
      </c>
      <c r="AG30" s="94">
        <f t="shared" si="10"/>
        <v>18959.581634889328</v>
      </c>
      <c r="AH30" s="86">
        <f t="shared" si="11"/>
        <v>107.84534714003944</v>
      </c>
      <c r="AI30" s="86">
        <f t="shared" si="12"/>
        <v>1535.7261124260356</v>
      </c>
      <c r="AJ30" s="91">
        <f t="shared" si="29"/>
        <v>3.3281000000000001</v>
      </c>
      <c r="AK30" s="91">
        <f t="shared" si="30"/>
        <v>3.1479499999999998</v>
      </c>
      <c r="AL30" s="173">
        <v>30000</v>
      </c>
      <c r="AM30" s="173">
        <v>20000</v>
      </c>
      <c r="AN30" s="253">
        <v>8514</v>
      </c>
      <c r="AO30" s="218">
        <v>8</v>
      </c>
      <c r="AP30" s="218">
        <v>2</v>
      </c>
      <c r="AQ30" s="189">
        <v>44942</v>
      </c>
      <c r="AR30" s="7" t="s">
        <v>282</v>
      </c>
      <c r="AT30" s="35"/>
    </row>
    <row r="31" spans="2:47" x14ac:dyDescent="0.25">
      <c r="B31" s="7" t="s">
        <v>195</v>
      </c>
      <c r="C31" s="174" t="s">
        <v>15</v>
      </c>
      <c r="D31" s="38" t="s">
        <v>196</v>
      </c>
      <c r="E31" s="221"/>
      <c r="F31" s="38" t="s">
        <v>197</v>
      </c>
      <c r="G31" s="38" t="s">
        <v>324</v>
      </c>
      <c r="H31" s="80">
        <v>44635</v>
      </c>
      <c r="I31" s="182">
        <f t="shared" si="15"/>
        <v>130</v>
      </c>
      <c r="J31" s="184">
        <f t="shared" si="16"/>
        <v>7.8E-2</v>
      </c>
      <c r="K31" s="99">
        <v>46096</v>
      </c>
      <c r="L31" s="100">
        <v>3</v>
      </c>
      <c r="M31" s="105"/>
      <c r="N31" s="105">
        <v>390</v>
      </c>
      <c r="O31" s="106">
        <v>5000</v>
      </c>
      <c r="P31" s="109">
        <v>0.01</v>
      </c>
      <c r="Q31" s="103">
        <v>500</v>
      </c>
      <c r="R31" s="108">
        <v>0.08</v>
      </c>
      <c r="S31" s="191">
        <v>44713</v>
      </c>
      <c r="T31" s="247">
        <v>2574</v>
      </c>
      <c r="U31" s="247">
        <v>2006</v>
      </c>
      <c r="V31" s="115">
        <v>44927</v>
      </c>
      <c r="W31" s="249">
        <v>8738</v>
      </c>
      <c r="X31" s="249">
        <v>4788</v>
      </c>
      <c r="Y31" s="126">
        <f t="shared" si="2"/>
        <v>7.0348454963839577</v>
      </c>
      <c r="Z31" s="30">
        <f t="shared" si="3"/>
        <v>6164</v>
      </c>
      <c r="AA31" s="30">
        <f t="shared" si="4"/>
        <v>2782</v>
      </c>
      <c r="AB31" s="85">
        <f t="shared" si="5"/>
        <v>876.20971962616829</v>
      </c>
      <c r="AC31" s="85">
        <f t="shared" si="6"/>
        <v>395.46000000000004</v>
      </c>
      <c r="AD31" s="32">
        <f t="shared" si="7"/>
        <v>-790.45694704049845</v>
      </c>
      <c r="AE31" s="32">
        <f t="shared" si="8"/>
        <v>228.79333333333338</v>
      </c>
      <c r="AF31" s="94">
        <f t="shared" si="9"/>
        <v>-5560.7424939732628</v>
      </c>
      <c r="AG31" s="94">
        <f t="shared" si="10"/>
        <v>1609.525750602674</v>
      </c>
      <c r="AH31" s="86">
        <f t="shared" si="11"/>
        <v>-55.607424939732631</v>
      </c>
      <c r="AI31" s="86">
        <f t="shared" si="12"/>
        <v>128.76206004821393</v>
      </c>
      <c r="AJ31" s="91">
        <f t="shared" si="29"/>
        <v>0.43690000000000001</v>
      </c>
      <c r="AK31" s="91">
        <f t="shared" si="30"/>
        <v>0.39900000000000002</v>
      </c>
      <c r="AL31" s="173">
        <v>20000</v>
      </c>
      <c r="AM31" s="173">
        <v>12000</v>
      </c>
      <c r="AN31" s="253">
        <v>8531</v>
      </c>
      <c r="AO31" s="218">
        <v>2</v>
      </c>
      <c r="AP31" s="218">
        <v>1</v>
      </c>
      <c r="AQ31" s="189">
        <v>44942</v>
      </c>
      <c r="AR31" s="7" t="s">
        <v>283</v>
      </c>
      <c r="AT31" s="35"/>
    </row>
    <row r="32" spans="2:47" x14ac:dyDescent="0.25">
      <c r="B32" s="7" t="s">
        <v>280</v>
      </c>
      <c r="C32" s="174" t="s">
        <v>15</v>
      </c>
      <c r="D32" s="38" t="s">
        <v>196</v>
      </c>
      <c r="E32" s="221"/>
      <c r="F32" s="38" t="s">
        <v>216</v>
      </c>
      <c r="G32" s="38" t="s">
        <v>325</v>
      </c>
      <c r="H32" s="80">
        <v>44804</v>
      </c>
      <c r="I32" s="182">
        <f t="shared" si="15"/>
        <v>130</v>
      </c>
      <c r="J32" s="184">
        <f t="shared" si="16"/>
        <v>7.8E-2</v>
      </c>
      <c r="K32" s="99">
        <v>46265</v>
      </c>
      <c r="L32" s="100">
        <v>3</v>
      </c>
      <c r="M32" s="105"/>
      <c r="N32" s="105">
        <v>390</v>
      </c>
      <c r="O32" s="106">
        <v>5000</v>
      </c>
      <c r="P32" s="109">
        <v>0.01</v>
      </c>
      <c r="Q32" s="103">
        <v>500</v>
      </c>
      <c r="R32" s="108">
        <v>0.08</v>
      </c>
      <c r="S32" s="191">
        <v>44804</v>
      </c>
      <c r="T32" s="247">
        <v>0</v>
      </c>
      <c r="U32" s="247">
        <v>0</v>
      </c>
      <c r="V32" s="115">
        <v>44949</v>
      </c>
      <c r="W32" s="249">
        <v>19368</v>
      </c>
      <c r="X32" s="249">
        <v>2267</v>
      </c>
      <c r="Y32" s="126">
        <f t="shared" si="2"/>
        <v>4.7666009204470736</v>
      </c>
      <c r="Z32" s="30">
        <f t="shared" si="3"/>
        <v>19368</v>
      </c>
      <c r="AA32" s="30">
        <f t="shared" si="4"/>
        <v>2267</v>
      </c>
      <c r="AB32" s="85">
        <f t="shared" si="5"/>
        <v>4063.2728275862073</v>
      </c>
      <c r="AC32" s="85">
        <f t="shared" si="6"/>
        <v>475.60096551724143</v>
      </c>
      <c r="AD32" s="32">
        <f t="shared" si="7"/>
        <v>2396.6061609195403</v>
      </c>
      <c r="AE32" s="32">
        <f t="shared" si="8"/>
        <v>308.93429885057481</v>
      </c>
      <c r="AF32" s="94">
        <f t="shared" si="9"/>
        <v>11423.665132588209</v>
      </c>
      <c r="AG32" s="94">
        <f t="shared" si="10"/>
        <v>1472.5665132588213</v>
      </c>
      <c r="AH32" s="86">
        <f t="shared" si="11"/>
        <v>114.23665132588209</v>
      </c>
      <c r="AI32" s="86">
        <f t="shared" si="12"/>
        <v>117.80532106070571</v>
      </c>
      <c r="AJ32" s="91">
        <f t="shared" si="29"/>
        <v>0.96840000000000004</v>
      </c>
      <c r="AK32" s="91">
        <f t="shared" si="30"/>
        <v>0.18891666666666668</v>
      </c>
      <c r="AL32" s="173">
        <v>20000</v>
      </c>
      <c r="AM32" s="173">
        <v>12000</v>
      </c>
      <c r="AN32" s="253">
        <v>8531</v>
      </c>
      <c r="AO32" s="218">
        <v>3</v>
      </c>
      <c r="AP32" s="218">
        <v>1</v>
      </c>
      <c r="AQ32" s="189">
        <v>44942</v>
      </c>
      <c r="AR32" s="7" t="s">
        <v>329</v>
      </c>
      <c r="AS32" s="7"/>
      <c r="AT32" s="35"/>
    </row>
    <row r="33" spans="2:46" x14ac:dyDescent="0.25">
      <c r="B33" s="7" t="s">
        <v>223</v>
      </c>
      <c r="C33" s="174" t="s">
        <v>15</v>
      </c>
      <c r="D33" s="38" t="s">
        <v>196</v>
      </c>
      <c r="E33" s="221"/>
      <c r="F33" s="38" t="s">
        <v>221</v>
      </c>
      <c r="G33" s="38" t="s">
        <v>326</v>
      </c>
      <c r="H33" s="202">
        <v>44929</v>
      </c>
      <c r="I33" s="182">
        <f t="shared" si="15"/>
        <v>130</v>
      </c>
      <c r="J33" s="184">
        <f t="shared" si="16"/>
        <v>7.8E-2</v>
      </c>
      <c r="K33" s="99">
        <v>46390</v>
      </c>
      <c r="L33" s="100">
        <v>3</v>
      </c>
      <c r="M33" s="105"/>
      <c r="N33" s="105">
        <v>390</v>
      </c>
      <c r="O33" s="106">
        <v>5000</v>
      </c>
      <c r="P33" s="109">
        <v>0.01</v>
      </c>
      <c r="Q33" s="103">
        <v>500</v>
      </c>
      <c r="R33" s="108">
        <v>0.08</v>
      </c>
      <c r="S33" s="271">
        <v>44929</v>
      </c>
      <c r="T33" s="272">
        <v>0</v>
      </c>
      <c r="U33" s="272">
        <v>0</v>
      </c>
      <c r="V33" s="257">
        <v>44942</v>
      </c>
      <c r="W33" s="275">
        <v>0</v>
      </c>
      <c r="X33" s="275">
        <v>0</v>
      </c>
      <c r="Y33" s="126">
        <f t="shared" si="2"/>
        <v>0.42735042735042733</v>
      </c>
      <c r="Z33" s="30">
        <f t="shared" si="3"/>
        <v>0</v>
      </c>
      <c r="AA33" s="30">
        <f t="shared" si="4"/>
        <v>0</v>
      </c>
      <c r="AB33" s="85">
        <f t="shared" si="5"/>
        <v>0</v>
      </c>
      <c r="AC33" s="85">
        <f t="shared" si="6"/>
        <v>0</v>
      </c>
      <c r="AD33" s="32">
        <f t="shared" si="7"/>
        <v>-1666.6666666666667</v>
      </c>
      <c r="AE33" s="32">
        <f t="shared" si="8"/>
        <v>-166.66666666666666</v>
      </c>
      <c r="AF33" s="94">
        <f t="shared" si="9"/>
        <v>-712.25071225071224</v>
      </c>
      <c r="AG33" s="94">
        <f t="shared" si="10"/>
        <v>-71.225071225071218</v>
      </c>
      <c r="AH33" s="86">
        <f t="shared" si="11"/>
        <v>-7.1225071225071224</v>
      </c>
      <c r="AI33" s="86">
        <f t="shared" si="12"/>
        <v>-5.6980056980056979</v>
      </c>
      <c r="AJ33" s="91">
        <f t="shared" si="29"/>
        <v>0</v>
      </c>
      <c r="AK33" s="91">
        <f t="shared" si="30"/>
        <v>0</v>
      </c>
      <c r="AL33" s="173">
        <v>20000</v>
      </c>
      <c r="AM33" s="173">
        <v>12000</v>
      </c>
      <c r="AN33" s="253">
        <v>8531</v>
      </c>
      <c r="AO33" s="218">
        <v>2</v>
      </c>
      <c r="AP33" s="218">
        <v>1</v>
      </c>
      <c r="AQ33" s="189">
        <v>44942</v>
      </c>
      <c r="AR33" s="7" t="s">
        <v>331</v>
      </c>
      <c r="AT33" s="35"/>
    </row>
    <row r="34" spans="2:46" x14ac:dyDescent="0.25">
      <c r="B34" s="7" t="s">
        <v>168</v>
      </c>
      <c r="C34" s="174" t="s">
        <v>15</v>
      </c>
      <c r="D34" s="195" t="s">
        <v>213</v>
      </c>
      <c r="E34" s="221"/>
      <c r="F34" s="38" t="s">
        <v>219</v>
      </c>
      <c r="G34" s="38" t="s">
        <v>327</v>
      </c>
      <c r="H34" s="80">
        <v>44830</v>
      </c>
      <c r="I34" s="182">
        <f t="shared" si="15"/>
        <v>20</v>
      </c>
      <c r="J34" s="184" t="e">
        <f t="shared" si="16"/>
        <v>#DIV/0!</v>
      </c>
      <c r="K34" s="99" t="s">
        <v>210</v>
      </c>
      <c r="L34" s="100">
        <v>3</v>
      </c>
      <c r="M34" s="105"/>
      <c r="N34" s="105">
        <v>60</v>
      </c>
      <c r="O34" s="106">
        <v>0</v>
      </c>
      <c r="P34" s="109">
        <v>0.01</v>
      </c>
      <c r="Q34" s="103">
        <v>0</v>
      </c>
      <c r="R34" s="108">
        <v>0.08</v>
      </c>
      <c r="S34" s="191">
        <v>44825</v>
      </c>
      <c r="T34" s="247">
        <v>182363</v>
      </c>
      <c r="U34" s="247">
        <v>17616</v>
      </c>
      <c r="V34" s="194">
        <v>44950</v>
      </c>
      <c r="W34" s="250">
        <v>182364</v>
      </c>
      <c r="X34" s="250">
        <v>17620</v>
      </c>
      <c r="Y34" s="126">
        <f t="shared" si="2"/>
        <v>4.1091387245233397</v>
      </c>
      <c r="Z34" s="30">
        <f t="shared" si="3"/>
        <v>1</v>
      </c>
      <c r="AA34" s="30">
        <f t="shared" si="4"/>
        <v>4</v>
      </c>
      <c r="AB34" s="85">
        <f t="shared" si="5"/>
        <v>0.24336000000000002</v>
      </c>
      <c r="AC34" s="85">
        <f t="shared" si="6"/>
        <v>0.97344000000000008</v>
      </c>
      <c r="AD34" s="32">
        <f t="shared" si="7"/>
        <v>0.24336000000000002</v>
      </c>
      <c r="AE34" s="32">
        <f t="shared" si="8"/>
        <v>0.97344000000000008</v>
      </c>
      <c r="AF34" s="94">
        <f t="shared" si="9"/>
        <v>1</v>
      </c>
      <c r="AG34" s="94">
        <f t="shared" si="10"/>
        <v>4</v>
      </c>
      <c r="AH34" s="86">
        <f t="shared" si="11"/>
        <v>0.01</v>
      </c>
      <c r="AI34" s="86">
        <f t="shared" si="12"/>
        <v>0.32</v>
      </c>
      <c r="AJ34" s="91">
        <f t="shared" si="29"/>
        <v>9.1181999999999999</v>
      </c>
      <c r="AK34" s="91">
        <f t="shared" si="30"/>
        <v>1.4683333333333333</v>
      </c>
      <c r="AL34" s="173">
        <v>20000</v>
      </c>
      <c r="AM34" s="173">
        <v>12000</v>
      </c>
      <c r="AN34" s="253">
        <v>8511</v>
      </c>
      <c r="AO34" s="218">
        <v>1</v>
      </c>
      <c r="AP34" s="218">
        <v>1</v>
      </c>
      <c r="AQ34" s="189">
        <v>44942</v>
      </c>
      <c r="AR34" s="7" t="s">
        <v>330</v>
      </c>
      <c r="AT34" s="35"/>
    </row>
    <row r="35" spans="2:46" x14ac:dyDescent="0.25">
      <c r="B35" s="7" t="s">
        <v>187</v>
      </c>
      <c r="C35" s="174" t="s">
        <v>188</v>
      </c>
      <c r="D35" s="38" t="s">
        <v>124</v>
      </c>
      <c r="E35" s="221"/>
      <c r="F35" s="38" t="s">
        <v>284</v>
      </c>
      <c r="G35" s="38"/>
      <c r="H35" s="80">
        <v>44482</v>
      </c>
      <c r="I35" s="182">
        <f t="shared" si="15"/>
        <v>100</v>
      </c>
      <c r="J35" s="184">
        <f t="shared" si="16"/>
        <v>0.06</v>
      </c>
      <c r="K35" s="99">
        <v>45943</v>
      </c>
      <c r="L35" s="100">
        <v>3</v>
      </c>
      <c r="M35" s="101"/>
      <c r="N35" s="179">
        <v>300</v>
      </c>
      <c r="O35" s="175">
        <v>5000</v>
      </c>
      <c r="P35" s="108">
        <v>0.01</v>
      </c>
      <c r="Q35" s="174">
        <v>500</v>
      </c>
      <c r="R35" s="108">
        <v>0.08</v>
      </c>
      <c r="S35" s="191">
        <v>44713</v>
      </c>
      <c r="T35" s="247">
        <v>9266</v>
      </c>
      <c r="U35" s="247">
        <v>1668</v>
      </c>
      <c r="V35" s="115">
        <v>44935</v>
      </c>
      <c r="W35" s="249">
        <v>15119</v>
      </c>
      <c r="X35" s="249">
        <v>2941</v>
      </c>
      <c r="Y35" s="126">
        <f t="shared" si="2"/>
        <v>7.2978303747534516</v>
      </c>
      <c r="Z35" s="30">
        <f t="shared" si="3"/>
        <v>5853</v>
      </c>
      <c r="AA35" s="30">
        <f t="shared" si="4"/>
        <v>1273</v>
      </c>
      <c r="AB35" s="85">
        <f t="shared" si="5"/>
        <v>802.01918918918921</v>
      </c>
      <c r="AC35" s="85">
        <f t="shared" si="6"/>
        <v>174.43540540540542</v>
      </c>
      <c r="AD35" s="32">
        <f t="shared" si="7"/>
        <v>-864.64747747747754</v>
      </c>
      <c r="AE35" s="32">
        <f t="shared" si="8"/>
        <v>7.7687387387387616</v>
      </c>
      <c r="AF35" s="94">
        <f t="shared" si="9"/>
        <v>-6310.0506245890865</v>
      </c>
      <c r="AG35" s="94">
        <f t="shared" si="10"/>
        <v>56.694937541091555</v>
      </c>
      <c r="AH35" s="86">
        <f t="shared" si="11"/>
        <v>-63.10050624589087</v>
      </c>
      <c r="AI35" s="86">
        <f t="shared" si="12"/>
        <v>4.5355950032873249</v>
      </c>
      <c r="AJ35" s="91">
        <f t="shared" si="29"/>
        <v>0.75595000000000001</v>
      </c>
      <c r="AK35" s="91">
        <f t="shared" si="30"/>
        <v>0.24508333333333332</v>
      </c>
      <c r="AL35" s="173">
        <v>20000</v>
      </c>
      <c r="AM35" s="173">
        <v>12000</v>
      </c>
      <c r="AN35" s="253">
        <v>8511</v>
      </c>
      <c r="AO35" s="218">
        <v>3</v>
      </c>
      <c r="AP35" s="218">
        <v>1</v>
      </c>
      <c r="AQ35" s="189">
        <v>44942</v>
      </c>
      <c r="AR35" s="7" t="s">
        <v>285</v>
      </c>
      <c r="AT35" s="35"/>
    </row>
    <row r="36" spans="2:46" x14ac:dyDescent="0.25">
      <c r="B36" s="7" t="s">
        <v>203</v>
      </c>
      <c r="C36" s="174" t="s">
        <v>198</v>
      </c>
      <c r="D36" s="38" t="s">
        <v>196</v>
      </c>
      <c r="E36" s="221"/>
      <c r="F36" s="38" t="s">
        <v>199</v>
      </c>
      <c r="G36" s="38"/>
      <c r="H36" s="80">
        <v>44652</v>
      </c>
      <c r="I36" s="182">
        <f t="shared" si="15"/>
        <v>110</v>
      </c>
      <c r="J36" s="184">
        <f t="shared" si="16"/>
        <v>6.6000000000000003E-2</v>
      </c>
      <c r="K36" s="99">
        <v>46112</v>
      </c>
      <c r="L36" s="100">
        <v>1</v>
      </c>
      <c r="M36" s="105">
        <v>110</v>
      </c>
      <c r="N36" s="105"/>
      <c r="O36" s="106">
        <f>5000/3</f>
        <v>1666.6666666666667</v>
      </c>
      <c r="P36" s="109">
        <v>0.01</v>
      </c>
      <c r="Q36" s="103">
        <f>250/3</f>
        <v>83.333333333333329</v>
      </c>
      <c r="R36" s="108">
        <v>0.08</v>
      </c>
      <c r="S36" s="191">
        <v>44713</v>
      </c>
      <c r="T36" s="247">
        <v>9844</v>
      </c>
      <c r="U36" s="247">
        <v>294</v>
      </c>
      <c r="V36" s="115">
        <v>44927</v>
      </c>
      <c r="W36" s="249">
        <v>36893</v>
      </c>
      <c r="X36" s="249">
        <v>2133</v>
      </c>
      <c r="Y36" s="126">
        <f t="shared" si="2"/>
        <v>7.0348454963839577</v>
      </c>
      <c r="Z36" s="30">
        <f t="shared" si="3"/>
        <v>27049</v>
      </c>
      <c r="AA36" s="30">
        <f t="shared" si="4"/>
        <v>1839</v>
      </c>
      <c r="AB36" s="85">
        <f t="shared" si="5"/>
        <v>3845.0027102803738</v>
      </c>
      <c r="AC36" s="85">
        <f t="shared" si="6"/>
        <v>261.4129906542056</v>
      </c>
      <c r="AD36" s="32">
        <f t="shared" si="7"/>
        <v>2178.3360436137073</v>
      </c>
      <c r="AE36" s="32">
        <f t="shared" si="8"/>
        <v>178.07965732087229</v>
      </c>
      <c r="AF36" s="94">
        <f t="shared" si="9"/>
        <v>15324.257506026737</v>
      </c>
      <c r="AG36" s="94">
        <f t="shared" si="10"/>
        <v>1252.7628753013369</v>
      </c>
      <c r="AH36" s="86">
        <f t="shared" si="11"/>
        <v>153.24257506026737</v>
      </c>
      <c r="AI36" s="86">
        <f t="shared" si="12"/>
        <v>100.22103002410695</v>
      </c>
      <c r="AJ36" s="91">
        <f t="shared" si="29"/>
        <v>1.8446499999999999</v>
      </c>
      <c r="AK36" s="91">
        <f t="shared" si="30"/>
        <v>0.17774999999999999</v>
      </c>
      <c r="AL36" s="173">
        <v>20000</v>
      </c>
      <c r="AM36" s="173">
        <v>12000</v>
      </c>
      <c r="AN36" s="253">
        <v>8531</v>
      </c>
      <c r="AO36" s="218">
        <v>3</v>
      </c>
      <c r="AP36" s="218">
        <v>1</v>
      </c>
      <c r="AQ36" s="189">
        <v>44942</v>
      </c>
      <c r="AR36" s="7" t="s">
        <v>286</v>
      </c>
      <c r="AT36" s="35"/>
    </row>
    <row r="37" spans="2:46" x14ac:dyDescent="0.25">
      <c r="B37" s="7" t="s">
        <v>345</v>
      </c>
      <c r="C37" s="174" t="s">
        <v>347</v>
      </c>
      <c r="D37" s="38" t="s">
        <v>196</v>
      </c>
      <c r="E37" s="221"/>
      <c r="F37" s="38" t="s">
        <v>346</v>
      </c>
      <c r="G37" s="38"/>
      <c r="H37" s="202">
        <v>45051</v>
      </c>
      <c r="I37" s="182"/>
      <c r="J37" s="184"/>
      <c r="K37" s="99">
        <v>46511</v>
      </c>
      <c r="L37" s="100">
        <v>3</v>
      </c>
      <c r="M37" s="105"/>
      <c r="N37" s="105">
        <v>390</v>
      </c>
      <c r="O37" s="106">
        <v>5000</v>
      </c>
      <c r="P37" s="109">
        <v>0.01</v>
      </c>
      <c r="Q37" s="103">
        <v>500</v>
      </c>
      <c r="R37" s="108">
        <v>0.08</v>
      </c>
      <c r="S37" s="271">
        <v>46512</v>
      </c>
      <c r="T37" s="272">
        <v>0</v>
      </c>
      <c r="U37" s="272">
        <v>0</v>
      </c>
      <c r="V37" s="257"/>
      <c r="W37" s="275"/>
      <c r="X37" s="275"/>
      <c r="Y37" s="126"/>
      <c r="Z37" s="30"/>
      <c r="AA37" s="30"/>
      <c r="AB37" s="85"/>
      <c r="AC37" s="85"/>
      <c r="AD37" s="32"/>
      <c r="AE37" s="32"/>
      <c r="AF37" s="94"/>
      <c r="AG37" s="94"/>
      <c r="AH37" s="86"/>
      <c r="AI37" s="86"/>
      <c r="AJ37" s="91">
        <f t="shared" ref="AJ37" si="47">W37/AL37</f>
        <v>0</v>
      </c>
      <c r="AK37" s="91">
        <f t="shared" ref="AK37" si="48">X37/AM37</f>
        <v>0</v>
      </c>
      <c r="AL37" s="173">
        <v>20000</v>
      </c>
      <c r="AM37" s="173">
        <v>12000</v>
      </c>
      <c r="AN37" s="253">
        <v>8531</v>
      </c>
      <c r="AO37" s="218">
        <v>2</v>
      </c>
      <c r="AP37" s="218">
        <v>1</v>
      </c>
      <c r="AQ37" s="189"/>
      <c r="AR37" s="7"/>
      <c r="AT37" s="35"/>
    </row>
    <row r="38" spans="2:46" x14ac:dyDescent="0.25">
      <c r="B38" s="97"/>
      <c r="C38" s="174" t="s">
        <v>81</v>
      </c>
      <c r="D38" s="38" t="s">
        <v>82</v>
      </c>
      <c r="E38" s="221"/>
      <c r="F38" s="252"/>
      <c r="G38" s="38" t="s">
        <v>183</v>
      </c>
      <c r="H38" s="80">
        <v>44247</v>
      </c>
      <c r="I38" s="182">
        <f t="shared" si="15"/>
        <v>50</v>
      </c>
      <c r="J38" s="184">
        <f t="shared" si="16"/>
        <v>0.05</v>
      </c>
      <c r="K38" s="104">
        <v>45342</v>
      </c>
      <c r="L38" s="100">
        <v>3</v>
      </c>
      <c r="M38" s="105"/>
      <c r="N38" s="105">
        <v>150</v>
      </c>
      <c r="O38" s="106">
        <v>3000</v>
      </c>
      <c r="P38" s="109">
        <v>0.01</v>
      </c>
      <c r="Q38" s="103">
        <v>300</v>
      </c>
      <c r="R38" s="173">
        <v>0.09</v>
      </c>
      <c r="S38" s="191">
        <v>44732</v>
      </c>
      <c r="T38" s="247">
        <v>1648</v>
      </c>
      <c r="U38" s="247">
        <v>6111</v>
      </c>
      <c r="V38" s="115">
        <v>44943</v>
      </c>
      <c r="W38" s="249">
        <v>2218</v>
      </c>
      <c r="X38" s="249">
        <v>8129</v>
      </c>
      <c r="Y38" s="126">
        <f t="shared" ref="Y38:Y54" si="49">(V38-S38)/30.42</f>
        <v>6.9362261669953975</v>
      </c>
      <c r="Z38" s="30">
        <f t="shared" ref="Z38:Z54" si="50">W38-T38</f>
        <v>570</v>
      </c>
      <c r="AA38" s="30">
        <f t="shared" ref="AA38:AA54" si="51">X38-U38</f>
        <v>2018</v>
      </c>
      <c r="AB38" s="85">
        <f t="shared" ref="AB38:AB54" si="52">Z38/Y38</f>
        <v>82.17725118483412</v>
      </c>
      <c r="AC38" s="85">
        <f t="shared" ref="AC38:AC54" si="53">AA38/Y38</f>
        <v>290.93630331753553</v>
      </c>
      <c r="AD38" s="32">
        <f t="shared" ref="AD38:AD54" si="54">AB38-O38/L38</f>
        <v>-917.82274881516582</v>
      </c>
      <c r="AE38" s="32">
        <f t="shared" ref="AE38:AE54" si="55">AC38-Q38/L38</f>
        <v>190.93630331753553</v>
      </c>
      <c r="AF38" s="94">
        <f t="shared" ref="AF38:AF54" si="56">AD38*Y38</f>
        <v>-6366.2261669953969</v>
      </c>
      <c r="AG38" s="94">
        <f t="shared" ref="AG38:AG54" si="57">AE38*Y38</f>
        <v>1324.37738330046</v>
      </c>
      <c r="AH38" s="86">
        <f t="shared" ref="AH38:AH54" si="58">AF38*P38</f>
        <v>-63.662261669953971</v>
      </c>
      <c r="AI38" s="86">
        <f t="shared" ref="AI38:AI54" si="59">AG38*R38</f>
        <v>119.19396449704139</v>
      </c>
      <c r="AJ38" s="91">
        <f t="shared" si="29"/>
        <v>0.44359999999999999</v>
      </c>
      <c r="AK38" s="91">
        <f t="shared" si="30"/>
        <v>2.0322499999999999</v>
      </c>
      <c r="AL38" s="173">
        <v>5000</v>
      </c>
      <c r="AM38" s="173">
        <v>4000</v>
      </c>
      <c r="AN38" s="253" t="s">
        <v>288</v>
      </c>
      <c r="AO38" s="218">
        <v>3</v>
      </c>
      <c r="AP38" s="218">
        <v>2</v>
      </c>
      <c r="AQ38" s="189">
        <v>44942</v>
      </c>
      <c r="AR38" s="254"/>
      <c r="AT38" s="35"/>
    </row>
    <row r="39" spans="2:46" x14ac:dyDescent="0.25">
      <c r="B39" s="96"/>
      <c r="C39" s="174" t="s">
        <v>81</v>
      </c>
      <c r="D39" s="38" t="s">
        <v>82</v>
      </c>
      <c r="E39" s="221"/>
      <c r="F39" s="252"/>
      <c r="G39" s="38" t="s">
        <v>287</v>
      </c>
      <c r="H39" s="80">
        <v>44440</v>
      </c>
      <c r="I39" s="182">
        <f t="shared" si="15"/>
        <v>50</v>
      </c>
      <c r="J39" s="184">
        <f t="shared" si="16"/>
        <v>0.05</v>
      </c>
      <c r="K39" s="170">
        <v>45536</v>
      </c>
      <c r="L39" s="100">
        <v>3</v>
      </c>
      <c r="M39" s="105"/>
      <c r="N39" s="105">
        <v>150</v>
      </c>
      <c r="O39" s="106">
        <v>3000</v>
      </c>
      <c r="P39" s="109">
        <v>0.01</v>
      </c>
      <c r="Q39" s="103">
        <v>300</v>
      </c>
      <c r="R39" s="173">
        <v>0.09</v>
      </c>
      <c r="S39" s="191">
        <v>44732</v>
      </c>
      <c r="T39" s="247">
        <v>6045</v>
      </c>
      <c r="U39" s="247">
        <v>3148</v>
      </c>
      <c r="V39" s="115">
        <v>44943</v>
      </c>
      <c r="W39" s="249">
        <v>9757</v>
      </c>
      <c r="X39" s="249">
        <v>5548</v>
      </c>
      <c r="Y39" s="126">
        <f t="shared" si="49"/>
        <v>6.9362261669953975</v>
      </c>
      <c r="Z39" s="30">
        <f t="shared" si="50"/>
        <v>3712</v>
      </c>
      <c r="AA39" s="30">
        <f t="shared" si="51"/>
        <v>2400</v>
      </c>
      <c r="AB39" s="85">
        <f t="shared" si="52"/>
        <v>535.16132701421805</v>
      </c>
      <c r="AC39" s="85">
        <f t="shared" si="53"/>
        <v>346.00947867298578</v>
      </c>
      <c r="AD39" s="32">
        <f t="shared" si="54"/>
        <v>-464.83867298578195</v>
      </c>
      <c r="AE39" s="32">
        <f t="shared" si="55"/>
        <v>246.00947867298578</v>
      </c>
      <c r="AF39" s="94">
        <f t="shared" si="56"/>
        <v>-3224.2261669953973</v>
      </c>
      <c r="AG39" s="94">
        <f t="shared" si="57"/>
        <v>1706.3773833004602</v>
      </c>
      <c r="AH39" s="86">
        <f t="shared" si="58"/>
        <v>-32.242261669953976</v>
      </c>
      <c r="AI39" s="86">
        <f t="shared" si="59"/>
        <v>153.5739644970414</v>
      </c>
      <c r="AJ39" s="91">
        <f t="shared" si="29"/>
        <v>1.9514</v>
      </c>
      <c r="AK39" s="91">
        <f t="shared" si="30"/>
        <v>1.387</v>
      </c>
      <c r="AL39" s="173">
        <v>5000</v>
      </c>
      <c r="AM39" s="173">
        <v>4000</v>
      </c>
      <c r="AN39" s="253" t="s">
        <v>288</v>
      </c>
      <c r="AO39" s="218">
        <v>2</v>
      </c>
      <c r="AP39" s="218">
        <v>2</v>
      </c>
      <c r="AQ39" s="189">
        <v>44942</v>
      </c>
      <c r="AR39" s="254" t="s">
        <v>289</v>
      </c>
      <c r="AT39" s="35"/>
    </row>
    <row r="40" spans="2:46" x14ac:dyDescent="0.25">
      <c r="B40" s="7" t="s">
        <v>170</v>
      </c>
      <c r="C40" s="174" t="s">
        <v>81</v>
      </c>
      <c r="D40" s="38" t="s">
        <v>124</v>
      </c>
      <c r="E40" s="221"/>
      <c r="F40" s="38" t="s">
        <v>290</v>
      </c>
      <c r="G40" s="38"/>
      <c r="H40" s="80">
        <v>43833</v>
      </c>
      <c r="I40" s="182">
        <f t="shared" si="15"/>
        <v>66.666666666666671</v>
      </c>
      <c r="J40" s="184">
        <f t="shared" si="16"/>
        <v>6.6666666666666666E-2</v>
      </c>
      <c r="K40" s="104">
        <v>45657</v>
      </c>
      <c r="L40" s="100">
        <v>3</v>
      </c>
      <c r="M40" s="105"/>
      <c r="N40" s="105">
        <v>200</v>
      </c>
      <c r="O40" s="106">
        <v>3000</v>
      </c>
      <c r="P40" s="109">
        <v>0.01</v>
      </c>
      <c r="Q40" s="103">
        <v>300</v>
      </c>
      <c r="R40" s="108">
        <v>0.08</v>
      </c>
      <c r="S40" s="191">
        <v>44733</v>
      </c>
      <c r="T40" s="247">
        <v>50095</v>
      </c>
      <c r="U40" s="247">
        <v>28240</v>
      </c>
      <c r="V40" s="115">
        <v>44929</v>
      </c>
      <c r="W40" s="249">
        <v>58746</v>
      </c>
      <c r="X40" s="249">
        <v>34899</v>
      </c>
      <c r="Y40" s="126">
        <f t="shared" si="49"/>
        <v>6.4431295200525964</v>
      </c>
      <c r="Z40" s="30">
        <f t="shared" si="50"/>
        <v>8651</v>
      </c>
      <c r="AA40" s="30">
        <f t="shared" si="51"/>
        <v>6659</v>
      </c>
      <c r="AB40" s="85">
        <f t="shared" si="52"/>
        <v>1342.6705102040817</v>
      </c>
      <c r="AC40" s="85">
        <f t="shared" si="53"/>
        <v>1033.5039795918369</v>
      </c>
      <c r="AD40" s="32">
        <f t="shared" si="54"/>
        <v>342.67051020408167</v>
      </c>
      <c r="AE40" s="32">
        <f t="shared" si="55"/>
        <v>933.50397959183692</v>
      </c>
      <c r="AF40" s="94">
        <f t="shared" si="56"/>
        <v>2207.8704799474031</v>
      </c>
      <c r="AG40" s="94">
        <f t="shared" si="57"/>
        <v>6014.6870479947411</v>
      </c>
      <c r="AH40" s="86">
        <f t="shared" si="58"/>
        <v>22.078704799474032</v>
      </c>
      <c r="AI40" s="86">
        <f t="shared" si="59"/>
        <v>481.17496383957928</v>
      </c>
      <c r="AJ40" s="91">
        <f t="shared" si="29"/>
        <v>2.9373</v>
      </c>
      <c r="AK40" s="91">
        <f t="shared" si="30"/>
        <v>2.9082499999999998</v>
      </c>
      <c r="AL40" s="173">
        <v>20000</v>
      </c>
      <c r="AM40" s="173">
        <v>12000</v>
      </c>
      <c r="AN40" s="253">
        <v>8511</v>
      </c>
      <c r="AO40" s="218">
        <v>6</v>
      </c>
      <c r="AP40" s="218">
        <v>3</v>
      </c>
      <c r="AQ40" s="189">
        <v>44942</v>
      </c>
      <c r="AR40" s="53" t="s">
        <v>291</v>
      </c>
      <c r="AS40" s="125" t="s">
        <v>313</v>
      </c>
      <c r="AT40" s="35"/>
    </row>
    <row r="41" spans="2:46" x14ac:dyDescent="0.25">
      <c r="B41" s="7" t="s">
        <v>171</v>
      </c>
      <c r="C41" s="174" t="s">
        <v>43</v>
      </c>
      <c r="D41" s="38" t="s">
        <v>196</v>
      </c>
      <c r="E41" s="221"/>
      <c r="F41" s="38" t="s">
        <v>339</v>
      </c>
      <c r="G41" s="38"/>
      <c r="H41" s="202">
        <v>44979</v>
      </c>
      <c r="I41" s="182">
        <f t="shared" ref="I41" si="60">IF(M41="",N41/L41,M41)</f>
        <v>130</v>
      </c>
      <c r="J41" s="184">
        <f t="shared" ref="J41" si="61">I41/(O41/L41)</f>
        <v>7.8E-2</v>
      </c>
      <c r="K41" s="99">
        <v>46440</v>
      </c>
      <c r="L41" s="100">
        <v>3</v>
      </c>
      <c r="M41" s="105"/>
      <c r="N41" s="105">
        <v>390</v>
      </c>
      <c r="O41" s="106">
        <v>5000</v>
      </c>
      <c r="P41" s="109">
        <v>0.01</v>
      </c>
      <c r="Q41" s="103">
        <v>500</v>
      </c>
      <c r="R41" s="108">
        <v>0.08</v>
      </c>
      <c r="S41" s="257">
        <v>44979</v>
      </c>
      <c r="T41" s="275">
        <v>0</v>
      </c>
      <c r="U41" s="275">
        <v>0</v>
      </c>
      <c r="V41" s="257"/>
      <c r="W41" s="275"/>
      <c r="X41" s="275"/>
      <c r="Y41" s="126">
        <f t="shared" ref="Y41" si="62">(V41-S41)/30.42</f>
        <v>-1478.5996055226824</v>
      </c>
      <c r="Z41" s="30">
        <f t="shared" ref="Z41" si="63">W41-T41</f>
        <v>0</v>
      </c>
      <c r="AA41" s="30">
        <f t="shared" ref="AA41" si="64">X41-U41</f>
        <v>0</v>
      </c>
      <c r="AB41" s="85">
        <f t="shared" ref="AB41" si="65">Z41/Y41</f>
        <v>0</v>
      </c>
      <c r="AC41" s="85">
        <f t="shared" ref="AC41" si="66">AA41/Y41</f>
        <v>0</v>
      </c>
      <c r="AD41" s="32">
        <f t="shared" ref="AD41" si="67">AB41-O41/L41</f>
        <v>-1666.6666666666667</v>
      </c>
      <c r="AE41" s="32">
        <f t="shared" ref="AE41" si="68">AC41-Q41/L41</f>
        <v>-166.66666666666666</v>
      </c>
      <c r="AF41" s="94">
        <f t="shared" ref="AF41" si="69">AD41*Y41</f>
        <v>2464332.6758711375</v>
      </c>
      <c r="AG41" s="94">
        <f t="shared" ref="AG41" si="70">AE41*Y41</f>
        <v>246433.26758711372</v>
      </c>
      <c r="AH41" s="86">
        <f t="shared" ref="AH41" si="71">AF41*P41</f>
        <v>24643.326758711377</v>
      </c>
      <c r="AI41" s="86">
        <f t="shared" ref="AI41" si="72">AG41*R41</f>
        <v>19714.661406969099</v>
      </c>
      <c r="AJ41" s="91">
        <f>T41/AL41</f>
        <v>0</v>
      </c>
      <c r="AK41" s="91">
        <f>U41/AM41</f>
        <v>0</v>
      </c>
      <c r="AL41" s="173">
        <v>20000</v>
      </c>
      <c r="AM41" s="173">
        <v>12000</v>
      </c>
      <c r="AN41" s="253">
        <v>8531</v>
      </c>
      <c r="AO41" s="218">
        <v>2</v>
      </c>
      <c r="AP41" s="218">
        <v>1</v>
      </c>
      <c r="AQ41" s="189">
        <v>44979</v>
      </c>
      <c r="AR41" s="7" t="s">
        <v>340</v>
      </c>
      <c r="AT41" s="35"/>
    </row>
    <row r="42" spans="2:46" x14ac:dyDescent="0.25">
      <c r="B42" s="7" t="s">
        <v>332</v>
      </c>
      <c r="C42" s="174" t="s">
        <v>190</v>
      </c>
      <c r="D42" s="38" t="s">
        <v>124</v>
      </c>
      <c r="E42" s="221"/>
      <c r="F42" s="38" t="s">
        <v>191</v>
      </c>
      <c r="G42" s="38"/>
      <c r="H42" s="80">
        <v>44539</v>
      </c>
      <c r="I42" s="182">
        <f t="shared" si="15"/>
        <v>100</v>
      </c>
      <c r="J42" s="184">
        <f t="shared" si="16"/>
        <v>0.06</v>
      </c>
      <c r="K42" s="99">
        <v>46000</v>
      </c>
      <c r="L42" s="100">
        <v>3</v>
      </c>
      <c r="M42" s="101"/>
      <c r="N42" s="179">
        <v>300</v>
      </c>
      <c r="O42" s="175">
        <v>5000</v>
      </c>
      <c r="P42" s="108">
        <v>0.01</v>
      </c>
      <c r="Q42" s="174">
        <v>500</v>
      </c>
      <c r="R42" s="108">
        <v>0.08</v>
      </c>
      <c r="S42" s="191">
        <v>44735</v>
      </c>
      <c r="T42" s="247">
        <v>30323</v>
      </c>
      <c r="U42" s="247">
        <v>7216</v>
      </c>
      <c r="V42" s="115">
        <v>44942</v>
      </c>
      <c r="W42" s="249">
        <v>58083</v>
      </c>
      <c r="X42" s="249">
        <v>10994</v>
      </c>
      <c r="Y42" s="126">
        <f t="shared" si="49"/>
        <v>6.8047337278106506</v>
      </c>
      <c r="Z42" s="30">
        <f t="shared" si="50"/>
        <v>27760</v>
      </c>
      <c r="AA42" s="30">
        <f t="shared" si="51"/>
        <v>3778</v>
      </c>
      <c r="AB42" s="85">
        <f t="shared" si="52"/>
        <v>4079.5130434782609</v>
      </c>
      <c r="AC42" s="85">
        <f t="shared" si="53"/>
        <v>555.20173913043482</v>
      </c>
      <c r="AD42" s="32">
        <f t="shared" si="54"/>
        <v>2412.8463768115944</v>
      </c>
      <c r="AE42" s="32">
        <f t="shared" si="55"/>
        <v>388.53507246376819</v>
      </c>
      <c r="AF42" s="94">
        <f t="shared" si="56"/>
        <v>16418.777120315583</v>
      </c>
      <c r="AG42" s="94">
        <f t="shared" si="57"/>
        <v>2643.8777120315585</v>
      </c>
      <c r="AH42" s="86">
        <f t="shared" si="58"/>
        <v>164.18777120315582</v>
      </c>
      <c r="AI42" s="86">
        <f t="shared" si="59"/>
        <v>211.51021696252468</v>
      </c>
      <c r="AJ42" s="91">
        <f t="shared" si="29"/>
        <v>2.90415</v>
      </c>
      <c r="AK42" s="91">
        <f t="shared" si="30"/>
        <v>0.91616666666666668</v>
      </c>
      <c r="AL42" s="173">
        <v>20000</v>
      </c>
      <c r="AM42" s="173">
        <v>12000</v>
      </c>
      <c r="AN42" s="253">
        <v>8511</v>
      </c>
      <c r="AO42" s="218">
        <v>3</v>
      </c>
      <c r="AP42" s="218">
        <v>1</v>
      </c>
      <c r="AQ42" s="189">
        <v>44942</v>
      </c>
      <c r="AR42" s="7" t="s">
        <v>333</v>
      </c>
      <c r="AT42" s="35"/>
    </row>
    <row r="43" spans="2:46" x14ac:dyDescent="0.25">
      <c r="B43" s="7" t="s">
        <v>332</v>
      </c>
      <c r="C43" s="174" t="s">
        <v>190</v>
      </c>
      <c r="D43" s="38" t="s">
        <v>124</v>
      </c>
      <c r="E43" s="221"/>
      <c r="F43" s="38" t="s">
        <v>192</v>
      </c>
      <c r="G43" s="38"/>
      <c r="H43" s="80">
        <v>44539</v>
      </c>
      <c r="I43" s="182">
        <f t="shared" si="15"/>
        <v>100</v>
      </c>
      <c r="J43" s="184">
        <f t="shared" si="16"/>
        <v>0.06</v>
      </c>
      <c r="K43" s="99">
        <v>46000</v>
      </c>
      <c r="L43" s="100">
        <v>3</v>
      </c>
      <c r="M43" s="101"/>
      <c r="N43" s="179">
        <v>300</v>
      </c>
      <c r="O43" s="175">
        <v>5000</v>
      </c>
      <c r="P43" s="108">
        <v>0.01</v>
      </c>
      <c r="Q43" s="174">
        <v>500</v>
      </c>
      <c r="R43" s="108">
        <v>0.08</v>
      </c>
      <c r="S43" s="191">
        <v>44735</v>
      </c>
      <c r="T43" s="247">
        <v>13038</v>
      </c>
      <c r="U43" s="247">
        <v>1038</v>
      </c>
      <c r="V43" s="115">
        <v>44915</v>
      </c>
      <c r="W43" s="249">
        <v>24483</v>
      </c>
      <c r="X43" s="249">
        <v>4376</v>
      </c>
      <c r="Y43" s="126">
        <f t="shared" si="49"/>
        <v>5.9171597633136095</v>
      </c>
      <c r="Z43" s="30">
        <f t="shared" si="50"/>
        <v>11445</v>
      </c>
      <c r="AA43" s="30">
        <f t="shared" si="51"/>
        <v>3338</v>
      </c>
      <c r="AB43" s="85">
        <f t="shared" si="52"/>
        <v>1934.2049999999999</v>
      </c>
      <c r="AC43" s="85">
        <f t="shared" si="53"/>
        <v>564.12199999999996</v>
      </c>
      <c r="AD43" s="32">
        <f t="shared" si="54"/>
        <v>267.53833333333318</v>
      </c>
      <c r="AE43" s="32">
        <f t="shared" si="55"/>
        <v>397.45533333333333</v>
      </c>
      <c r="AF43" s="94">
        <f t="shared" si="56"/>
        <v>1583.0670611439834</v>
      </c>
      <c r="AG43" s="94">
        <f t="shared" si="57"/>
        <v>2351.8067061143984</v>
      </c>
      <c r="AH43" s="86">
        <f t="shared" si="58"/>
        <v>15.830670611439835</v>
      </c>
      <c r="AI43" s="86">
        <f t="shared" si="59"/>
        <v>188.14453648915188</v>
      </c>
      <c r="AJ43" s="91">
        <f t="shared" si="29"/>
        <v>1.2241500000000001</v>
      </c>
      <c r="AK43" s="91">
        <f t="shared" si="30"/>
        <v>0.36466666666666664</v>
      </c>
      <c r="AL43" s="173">
        <v>20000</v>
      </c>
      <c r="AM43" s="173">
        <v>12000</v>
      </c>
      <c r="AN43" s="253">
        <v>8511</v>
      </c>
      <c r="AO43" s="218">
        <v>1</v>
      </c>
      <c r="AP43" s="218">
        <v>1</v>
      </c>
      <c r="AQ43" s="189">
        <v>44942</v>
      </c>
      <c r="AR43" s="53" t="s">
        <v>334</v>
      </c>
      <c r="AT43" s="35"/>
    </row>
    <row r="44" spans="2:46" x14ac:dyDescent="0.25">
      <c r="B44" s="7" t="s">
        <v>172</v>
      </c>
      <c r="C44" s="174" t="s">
        <v>89</v>
      </c>
      <c r="D44" s="38" t="s">
        <v>13</v>
      </c>
      <c r="E44" s="221"/>
      <c r="F44" s="38" t="s">
        <v>294</v>
      </c>
      <c r="G44" s="38"/>
      <c r="H44" s="80">
        <v>43440</v>
      </c>
      <c r="I44" s="182">
        <f t="shared" si="15"/>
        <v>66.666666666666671</v>
      </c>
      <c r="J44" s="184">
        <f t="shared" si="16"/>
        <v>6.6666666666666666E-2</v>
      </c>
      <c r="K44" s="104">
        <v>45261</v>
      </c>
      <c r="L44" s="100">
        <v>3</v>
      </c>
      <c r="M44" s="105"/>
      <c r="N44" s="105">
        <v>200</v>
      </c>
      <c r="O44" s="106">
        <v>3000</v>
      </c>
      <c r="P44" s="109">
        <v>0.01</v>
      </c>
      <c r="Q44" s="103">
        <v>300</v>
      </c>
      <c r="R44" s="186">
        <v>8.1000000000000003E-2</v>
      </c>
      <c r="S44" s="191">
        <v>44713</v>
      </c>
      <c r="T44" s="247">
        <v>101516</v>
      </c>
      <c r="U44" s="247">
        <v>27324</v>
      </c>
      <c r="V44" s="115">
        <v>44928</v>
      </c>
      <c r="W44" s="249">
        <v>110511</v>
      </c>
      <c r="X44" s="249">
        <v>28981</v>
      </c>
      <c r="Y44" s="126">
        <f t="shared" si="49"/>
        <v>7.0677186061801445</v>
      </c>
      <c r="Z44" s="30">
        <f t="shared" si="50"/>
        <v>8995</v>
      </c>
      <c r="AA44" s="30">
        <f t="shared" si="51"/>
        <v>1657</v>
      </c>
      <c r="AB44" s="85">
        <f t="shared" si="52"/>
        <v>1272.6879069767442</v>
      </c>
      <c r="AC44" s="85">
        <f t="shared" si="53"/>
        <v>234.44623255813954</v>
      </c>
      <c r="AD44" s="32">
        <f t="shared" si="54"/>
        <v>272.68790697674422</v>
      </c>
      <c r="AE44" s="32">
        <f t="shared" si="55"/>
        <v>134.44623255813954</v>
      </c>
      <c r="AF44" s="94">
        <f t="shared" si="56"/>
        <v>1927.2813938198556</v>
      </c>
      <c r="AG44" s="94">
        <f t="shared" si="57"/>
        <v>950.22813938198556</v>
      </c>
      <c r="AH44" s="86">
        <f t="shared" si="58"/>
        <v>19.272813938198556</v>
      </c>
      <c r="AI44" s="86">
        <f t="shared" si="59"/>
        <v>76.968479289940831</v>
      </c>
      <c r="AJ44" s="91">
        <f t="shared" si="29"/>
        <v>5.52555</v>
      </c>
      <c r="AK44" s="91">
        <f t="shared" si="30"/>
        <v>2.4150833333333335</v>
      </c>
      <c r="AL44" s="173">
        <v>20000</v>
      </c>
      <c r="AM44" s="173">
        <v>12000</v>
      </c>
      <c r="AN44" s="253">
        <v>8511</v>
      </c>
      <c r="AO44" s="218">
        <v>7</v>
      </c>
      <c r="AP44" s="218">
        <v>2</v>
      </c>
      <c r="AQ44" s="189">
        <v>44942</v>
      </c>
      <c r="AR44" s="53" t="s">
        <v>295</v>
      </c>
      <c r="AS44" s="125" t="s">
        <v>313</v>
      </c>
      <c r="AT44" s="35"/>
    </row>
    <row r="45" spans="2:46" x14ac:dyDescent="0.25">
      <c r="B45" s="7" t="s">
        <v>173</v>
      </c>
      <c r="C45" s="174" t="s">
        <v>0</v>
      </c>
      <c r="D45" s="38" t="s">
        <v>218</v>
      </c>
      <c r="E45" s="222" t="s">
        <v>138</v>
      </c>
      <c r="F45" s="38" t="s">
        <v>296</v>
      </c>
      <c r="G45" s="38"/>
      <c r="H45" s="80">
        <v>44813</v>
      </c>
      <c r="I45" s="182">
        <f t="shared" si="15"/>
        <v>170</v>
      </c>
      <c r="J45" s="184">
        <f t="shared" si="16"/>
        <v>2.8333333333333332E-2</v>
      </c>
      <c r="K45" s="99">
        <v>46274</v>
      </c>
      <c r="L45" s="100">
        <v>1</v>
      </c>
      <c r="M45" s="101">
        <v>170</v>
      </c>
      <c r="N45" s="105">
        <v>0</v>
      </c>
      <c r="O45" s="106">
        <v>6000</v>
      </c>
      <c r="P45" s="109">
        <v>0.01</v>
      </c>
      <c r="Q45" s="165"/>
      <c r="R45" s="165"/>
      <c r="S45" s="191">
        <v>44813</v>
      </c>
      <c r="T45" s="247">
        <v>0</v>
      </c>
      <c r="U45" s="169"/>
      <c r="V45" s="115">
        <v>44951</v>
      </c>
      <c r="W45" s="249">
        <v>26664</v>
      </c>
      <c r="X45" s="248"/>
      <c r="Y45" s="126">
        <f t="shared" si="49"/>
        <v>4.5364891518737673</v>
      </c>
      <c r="Z45" s="30">
        <f t="shared" si="50"/>
        <v>26664</v>
      </c>
      <c r="AA45" s="30">
        <f t="shared" si="51"/>
        <v>0</v>
      </c>
      <c r="AB45" s="85">
        <f t="shared" si="52"/>
        <v>5877.6730434782612</v>
      </c>
      <c r="AC45" s="85">
        <f t="shared" si="53"/>
        <v>0</v>
      </c>
      <c r="AD45" s="32">
        <f t="shared" si="54"/>
        <v>-122.32695652173879</v>
      </c>
      <c r="AE45" s="32">
        <f t="shared" si="55"/>
        <v>0</v>
      </c>
      <c r="AF45" s="94">
        <f t="shared" si="56"/>
        <v>-554.93491124260208</v>
      </c>
      <c r="AG45" s="94">
        <f t="shared" si="57"/>
        <v>0</v>
      </c>
      <c r="AH45" s="86">
        <f t="shared" si="58"/>
        <v>-5.5493491124260208</v>
      </c>
      <c r="AI45" s="86">
        <f t="shared" si="59"/>
        <v>0</v>
      </c>
      <c r="AJ45" s="91">
        <f t="shared" si="29"/>
        <v>0.66659999999999997</v>
      </c>
      <c r="AK45" s="165"/>
      <c r="AL45" s="173">
        <v>40000</v>
      </c>
      <c r="AM45" s="256"/>
      <c r="AN45" s="253">
        <v>7530</v>
      </c>
      <c r="AO45" s="218">
        <v>3</v>
      </c>
      <c r="AP45" s="165"/>
      <c r="AQ45" s="189">
        <v>44942</v>
      </c>
      <c r="AR45" s="7" t="s">
        <v>328</v>
      </c>
      <c r="AT45" s="35"/>
    </row>
    <row r="46" spans="2:46" x14ac:dyDescent="0.25">
      <c r="B46" s="7" t="s">
        <v>173</v>
      </c>
      <c r="C46" s="174" t="s">
        <v>0</v>
      </c>
      <c r="D46" s="38" t="s">
        <v>196</v>
      </c>
      <c r="E46" s="221"/>
      <c r="F46" s="38" t="s">
        <v>250</v>
      </c>
      <c r="G46" s="38"/>
      <c r="H46" s="202">
        <v>44939</v>
      </c>
      <c r="I46" s="182">
        <f t="shared" si="15"/>
        <v>130</v>
      </c>
      <c r="J46" s="184">
        <f t="shared" si="16"/>
        <v>2.5999999999999999E-2</v>
      </c>
      <c r="K46" s="99">
        <v>46400</v>
      </c>
      <c r="L46" s="100">
        <v>1</v>
      </c>
      <c r="M46" s="105">
        <v>130</v>
      </c>
      <c r="N46" s="105"/>
      <c r="O46" s="106">
        <v>5000</v>
      </c>
      <c r="P46" s="109">
        <v>0.01</v>
      </c>
      <c r="Q46" s="103">
        <v>500</v>
      </c>
      <c r="R46" s="108">
        <v>0.08</v>
      </c>
      <c r="S46" s="271">
        <v>44939</v>
      </c>
      <c r="T46" s="272">
        <v>0</v>
      </c>
      <c r="U46" s="276">
        <v>0</v>
      </c>
      <c r="V46" s="257">
        <v>44942</v>
      </c>
      <c r="W46" s="272">
        <v>0</v>
      </c>
      <c r="X46" s="272">
        <v>0</v>
      </c>
      <c r="Y46" s="126">
        <f t="shared" si="49"/>
        <v>9.8619329388560148E-2</v>
      </c>
      <c r="Z46" s="30">
        <f t="shared" si="50"/>
        <v>0</v>
      </c>
      <c r="AA46" s="30">
        <f t="shared" si="51"/>
        <v>0</v>
      </c>
      <c r="AB46" s="85">
        <f t="shared" si="52"/>
        <v>0</v>
      </c>
      <c r="AC46" s="85">
        <f t="shared" si="53"/>
        <v>0</v>
      </c>
      <c r="AD46" s="32">
        <f t="shared" si="54"/>
        <v>-5000</v>
      </c>
      <c r="AE46" s="32">
        <f t="shared" si="55"/>
        <v>-500</v>
      </c>
      <c r="AF46" s="94">
        <f t="shared" si="56"/>
        <v>-493.09664694280076</v>
      </c>
      <c r="AG46" s="94">
        <f t="shared" si="57"/>
        <v>-49.309664694280073</v>
      </c>
      <c r="AH46" s="86">
        <f t="shared" si="58"/>
        <v>-4.9309664694280073</v>
      </c>
      <c r="AI46" s="86">
        <f t="shared" si="59"/>
        <v>-3.944773175542406</v>
      </c>
      <c r="AJ46" s="91">
        <f t="shared" si="29"/>
        <v>0</v>
      </c>
      <c r="AK46" s="91">
        <f>X46/AM46</f>
        <v>0</v>
      </c>
      <c r="AL46" s="173">
        <v>20000</v>
      </c>
      <c r="AM46" s="173">
        <v>12000</v>
      </c>
      <c r="AN46" s="253">
        <v>8531</v>
      </c>
      <c r="AO46" s="218">
        <v>2</v>
      </c>
      <c r="AP46" s="218">
        <v>1</v>
      </c>
      <c r="AQ46" s="189">
        <v>44942</v>
      </c>
      <c r="AR46" s="7" t="s">
        <v>299</v>
      </c>
      <c r="AT46" s="35"/>
    </row>
    <row r="47" spans="2:46" x14ac:dyDescent="0.25">
      <c r="B47" s="7" t="s">
        <v>173</v>
      </c>
      <c r="C47" s="174" t="s">
        <v>0</v>
      </c>
      <c r="D47" s="38" t="s">
        <v>196</v>
      </c>
      <c r="E47" s="221"/>
      <c r="F47" s="38" t="s">
        <v>298</v>
      </c>
      <c r="G47" s="38"/>
      <c r="H47" s="80">
        <v>44762</v>
      </c>
      <c r="I47" s="182">
        <f t="shared" si="15"/>
        <v>130</v>
      </c>
      <c r="J47" s="184">
        <f t="shared" si="16"/>
        <v>2.5999999999999999E-2</v>
      </c>
      <c r="K47" s="99">
        <v>46223</v>
      </c>
      <c r="L47" s="100">
        <v>1</v>
      </c>
      <c r="M47" s="105">
        <v>130</v>
      </c>
      <c r="N47" s="105"/>
      <c r="O47" s="106">
        <v>5000</v>
      </c>
      <c r="P47" s="109">
        <v>0.01</v>
      </c>
      <c r="Q47" s="103">
        <v>500</v>
      </c>
      <c r="R47" s="108">
        <v>0.08</v>
      </c>
      <c r="S47" s="191">
        <v>44762</v>
      </c>
      <c r="T47" s="247">
        <v>0</v>
      </c>
      <c r="U47" s="247">
        <v>0</v>
      </c>
      <c r="V47" s="115">
        <v>44929</v>
      </c>
      <c r="W47" s="249">
        <v>8811</v>
      </c>
      <c r="X47" s="249">
        <v>4802</v>
      </c>
      <c r="Y47" s="126">
        <f t="shared" si="49"/>
        <v>5.4898093359631819</v>
      </c>
      <c r="Z47" s="30">
        <f t="shared" si="50"/>
        <v>8811</v>
      </c>
      <c r="AA47" s="30">
        <f t="shared" si="51"/>
        <v>4802</v>
      </c>
      <c r="AB47" s="85">
        <f t="shared" si="52"/>
        <v>1604.9737724550898</v>
      </c>
      <c r="AC47" s="85">
        <f t="shared" si="53"/>
        <v>874.71161676646716</v>
      </c>
      <c r="AD47" s="32">
        <f t="shared" si="54"/>
        <v>-3395.0262275449104</v>
      </c>
      <c r="AE47" s="32">
        <f t="shared" si="55"/>
        <v>374.71161676646716</v>
      </c>
      <c r="AF47" s="94">
        <f t="shared" si="56"/>
        <v>-18638.04667981591</v>
      </c>
      <c r="AG47" s="94">
        <f t="shared" si="57"/>
        <v>2057.0953320184094</v>
      </c>
      <c r="AH47" s="86">
        <f t="shared" si="58"/>
        <v>-186.38046679815912</v>
      </c>
      <c r="AI47" s="86">
        <f t="shared" si="59"/>
        <v>164.56762656147276</v>
      </c>
      <c r="AJ47" s="91">
        <f t="shared" si="29"/>
        <v>0.44055</v>
      </c>
      <c r="AK47" s="91">
        <f>X47/AM47</f>
        <v>0.40016666666666667</v>
      </c>
      <c r="AL47" s="173">
        <v>20000</v>
      </c>
      <c r="AM47" s="173">
        <v>12000</v>
      </c>
      <c r="AN47" s="253">
        <v>8531</v>
      </c>
      <c r="AO47" s="218">
        <v>3</v>
      </c>
      <c r="AP47" s="218">
        <v>2</v>
      </c>
      <c r="AQ47" s="189">
        <v>44942</v>
      </c>
      <c r="AR47" s="7" t="s">
        <v>283</v>
      </c>
      <c r="AT47" s="35"/>
    </row>
    <row r="48" spans="2:46" x14ac:dyDescent="0.25">
      <c r="B48" s="7" t="s">
        <v>173</v>
      </c>
      <c r="C48" s="174" t="s">
        <v>0</v>
      </c>
      <c r="D48" s="38" t="s">
        <v>212</v>
      </c>
      <c r="E48" s="221"/>
      <c r="F48" s="38" t="s">
        <v>297</v>
      </c>
      <c r="G48" s="38"/>
      <c r="H48" s="80">
        <v>43009</v>
      </c>
      <c r="I48" s="182">
        <f t="shared" si="15"/>
        <v>140</v>
      </c>
      <c r="J48" s="184">
        <f t="shared" si="16"/>
        <v>2.8000000000000001E-2</v>
      </c>
      <c r="K48" s="104">
        <v>45107</v>
      </c>
      <c r="L48" s="100">
        <v>1</v>
      </c>
      <c r="M48" s="105">
        <v>140</v>
      </c>
      <c r="N48" s="105">
        <v>0</v>
      </c>
      <c r="O48" s="106">
        <v>5000</v>
      </c>
      <c r="P48" s="109">
        <v>0.01</v>
      </c>
      <c r="Q48" s="107">
        <v>300</v>
      </c>
      <c r="R48" s="173">
        <v>0.09</v>
      </c>
      <c r="S48" s="191">
        <v>44716</v>
      </c>
      <c r="T48" s="247">
        <v>329636</v>
      </c>
      <c r="U48" s="247">
        <v>16482</v>
      </c>
      <c r="V48" s="115">
        <v>44928</v>
      </c>
      <c r="W48" s="249">
        <v>366411</v>
      </c>
      <c r="X48" s="249">
        <v>18624</v>
      </c>
      <c r="Y48" s="126">
        <f t="shared" si="49"/>
        <v>6.9690992767915843</v>
      </c>
      <c r="Z48" s="30">
        <f t="shared" si="50"/>
        <v>36775</v>
      </c>
      <c r="AA48" s="30">
        <f t="shared" si="51"/>
        <v>2142</v>
      </c>
      <c r="AB48" s="85">
        <f t="shared" si="52"/>
        <v>5276.8655660377362</v>
      </c>
      <c r="AC48" s="85">
        <f t="shared" si="53"/>
        <v>307.35679245283018</v>
      </c>
      <c r="AD48" s="32">
        <f t="shared" si="54"/>
        <v>276.86556603773624</v>
      </c>
      <c r="AE48" s="32">
        <f t="shared" si="55"/>
        <v>7.3567924528301774</v>
      </c>
      <c r="AF48" s="94">
        <f t="shared" si="56"/>
        <v>1929.5036160420802</v>
      </c>
      <c r="AG48" s="94">
        <f t="shared" si="57"/>
        <v>51.270216962524572</v>
      </c>
      <c r="AH48" s="86">
        <f t="shared" si="58"/>
        <v>19.295036160420803</v>
      </c>
      <c r="AI48" s="86">
        <f t="shared" si="59"/>
        <v>4.6143195266272112</v>
      </c>
      <c r="AJ48" s="91">
        <f t="shared" si="29"/>
        <v>12.213699999999999</v>
      </c>
      <c r="AK48" s="91">
        <f>X48/AM48</f>
        <v>0.93120000000000003</v>
      </c>
      <c r="AL48" s="173">
        <v>30000</v>
      </c>
      <c r="AM48" s="173">
        <v>20000</v>
      </c>
      <c r="AN48" s="268">
        <v>8513</v>
      </c>
      <c r="AO48" s="218">
        <v>13</v>
      </c>
      <c r="AP48" s="218">
        <v>2</v>
      </c>
      <c r="AQ48" s="189">
        <v>44942</v>
      </c>
      <c r="AR48" s="7" t="s">
        <v>311</v>
      </c>
      <c r="AT48" s="35"/>
    </row>
    <row r="49" spans="2:46" x14ac:dyDescent="0.25">
      <c r="B49" s="7" t="s">
        <v>180</v>
      </c>
      <c r="C49" s="174" t="s">
        <v>0</v>
      </c>
      <c r="D49" s="38" t="s">
        <v>105</v>
      </c>
      <c r="E49" s="222" t="s">
        <v>138</v>
      </c>
      <c r="F49" s="38" t="s">
        <v>301</v>
      </c>
      <c r="G49" s="38"/>
      <c r="H49" s="80">
        <v>43630</v>
      </c>
      <c r="I49" s="182">
        <f t="shared" si="15"/>
        <v>120</v>
      </c>
      <c r="J49" s="184">
        <f t="shared" si="16"/>
        <v>1.2E-2</v>
      </c>
      <c r="K49" s="104">
        <v>45458</v>
      </c>
      <c r="L49" s="100">
        <v>1</v>
      </c>
      <c r="M49" s="105">
        <v>120</v>
      </c>
      <c r="N49" s="105">
        <v>0</v>
      </c>
      <c r="O49" s="106">
        <v>10000</v>
      </c>
      <c r="P49" s="108">
        <v>0.01</v>
      </c>
      <c r="Q49" s="165"/>
      <c r="R49" s="165"/>
      <c r="S49" s="191">
        <v>44713</v>
      </c>
      <c r="T49" s="247">
        <v>137376</v>
      </c>
      <c r="U49" s="169"/>
      <c r="V49" s="115">
        <v>44935</v>
      </c>
      <c r="W49" s="249">
        <v>158730</v>
      </c>
      <c r="X49" s="248"/>
      <c r="Y49" s="126">
        <f t="shared" si="49"/>
        <v>7.2978303747534516</v>
      </c>
      <c r="Z49" s="30">
        <f t="shared" si="50"/>
        <v>21354</v>
      </c>
      <c r="AA49" s="30">
        <f t="shared" si="51"/>
        <v>0</v>
      </c>
      <c r="AB49" s="85">
        <f t="shared" si="52"/>
        <v>2926.075135135135</v>
      </c>
      <c r="AC49" s="85">
        <f t="shared" si="53"/>
        <v>0</v>
      </c>
      <c r="AD49" s="32">
        <f t="shared" si="54"/>
        <v>-7073.9248648648645</v>
      </c>
      <c r="AE49" s="32">
        <f t="shared" si="55"/>
        <v>0</v>
      </c>
      <c r="AF49" s="94">
        <f t="shared" si="56"/>
        <v>-51624.303747534512</v>
      </c>
      <c r="AG49" s="94">
        <f t="shared" si="57"/>
        <v>0</v>
      </c>
      <c r="AH49" s="86">
        <f t="shared" si="58"/>
        <v>-516.24303747534509</v>
      </c>
      <c r="AI49" s="86">
        <f t="shared" si="59"/>
        <v>0</v>
      </c>
      <c r="AJ49" s="91">
        <f t="shared" si="29"/>
        <v>4.5351428571428576</v>
      </c>
      <c r="AK49" s="165"/>
      <c r="AL49" s="173">
        <v>35000</v>
      </c>
      <c r="AM49" s="256"/>
      <c r="AN49" s="253">
        <v>7514</v>
      </c>
      <c r="AO49" s="218">
        <v>25</v>
      </c>
      <c r="AP49" s="165"/>
      <c r="AQ49" s="189">
        <v>44942</v>
      </c>
      <c r="AT49" s="35"/>
    </row>
    <row r="50" spans="2:46" x14ac:dyDescent="0.25">
      <c r="B50" s="7" t="s">
        <v>174</v>
      </c>
      <c r="C50" s="174" t="s">
        <v>0</v>
      </c>
      <c r="D50" s="38" t="s">
        <v>118</v>
      </c>
      <c r="E50" s="222" t="s">
        <v>138</v>
      </c>
      <c r="F50" s="38" t="s">
        <v>303</v>
      </c>
      <c r="G50" s="38"/>
      <c r="H50" s="80">
        <v>43875</v>
      </c>
      <c r="I50" s="182">
        <f t="shared" si="15"/>
        <v>80</v>
      </c>
      <c r="J50" s="184">
        <f t="shared" si="16"/>
        <v>1.3333333333333334E-2</v>
      </c>
      <c r="K50" s="104">
        <v>45702</v>
      </c>
      <c r="L50" s="100">
        <v>3</v>
      </c>
      <c r="M50" s="105"/>
      <c r="N50" s="105">
        <v>240</v>
      </c>
      <c r="O50" s="106">
        <v>18000</v>
      </c>
      <c r="P50" s="108">
        <v>0.01</v>
      </c>
      <c r="Q50" s="165"/>
      <c r="R50" s="165"/>
      <c r="S50" s="191">
        <v>44713</v>
      </c>
      <c r="T50" s="247">
        <v>129837</v>
      </c>
      <c r="U50" s="169"/>
      <c r="V50" s="115">
        <v>44927</v>
      </c>
      <c r="W50" s="249">
        <v>149832</v>
      </c>
      <c r="X50" s="248"/>
      <c r="Y50" s="126">
        <f t="shared" si="49"/>
        <v>7.0348454963839577</v>
      </c>
      <c r="Z50" s="30">
        <f t="shared" si="50"/>
        <v>19995</v>
      </c>
      <c r="AA50" s="30">
        <f t="shared" si="51"/>
        <v>0</v>
      </c>
      <c r="AB50" s="85">
        <f t="shared" si="52"/>
        <v>2842.2799065420563</v>
      </c>
      <c r="AC50" s="85">
        <f t="shared" si="53"/>
        <v>0</v>
      </c>
      <c r="AD50" s="32">
        <f t="shared" si="54"/>
        <v>-3157.7200934579437</v>
      </c>
      <c r="AE50" s="32">
        <f t="shared" si="55"/>
        <v>0</v>
      </c>
      <c r="AF50" s="94">
        <f t="shared" si="56"/>
        <v>-22214.072978303746</v>
      </c>
      <c r="AG50" s="94">
        <f t="shared" si="57"/>
        <v>0</v>
      </c>
      <c r="AH50" s="86">
        <f t="shared" si="58"/>
        <v>-222.14072978303747</v>
      </c>
      <c r="AI50" s="86">
        <f t="shared" si="59"/>
        <v>0</v>
      </c>
      <c r="AJ50" s="91">
        <f t="shared" si="29"/>
        <v>4.2809142857142861</v>
      </c>
      <c r="AK50" s="165"/>
      <c r="AL50" s="173">
        <v>35000</v>
      </c>
      <c r="AM50" s="256"/>
      <c r="AN50" s="253">
        <v>7513</v>
      </c>
      <c r="AO50" s="218">
        <v>6</v>
      </c>
      <c r="AP50" s="165"/>
      <c r="AQ50" s="189">
        <v>44942</v>
      </c>
      <c r="AT50" s="35"/>
    </row>
    <row r="51" spans="2:46" x14ac:dyDescent="0.25">
      <c r="B51" s="7" t="s">
        <v>175</v>
      </c>
      <c r="C51" s="174" t="s">
        <v>103</v>
      </c>
      <c r="D51" s="38" t="s">
        <v>13</v>
      </c>
      <c r="E51" s="221"/>
      <c r="F51" s="38" t="s">
        <v>304</v>
      </c>
      <c r="G51" s="38"/>
      <c r="H51" s="80">
        <v>43579</v>
      </c>
      <c r="I51" s="182">
        <f t="shared" si="15"/>
        <v>66.666666666666671</v>
      </c>
      <c r="J51" s="184">
        <f t="shared" si="16"/>
        <v>6.6666666666666666E-2</v>
      </c>
      <c r="K51" s="104">
        <v>45413</v>
      </c>
      <c r="L51" s="100">
        <v>3</v>
      </c>
      <c r="M51" s="105"/>
      <c r="N51" s="105">
        <v>200</v>
      </c>
      <c r="O51" s="106">
        <v>3000</v>
      </c>
      <c r="P51" s="108">
        <v>0.01</v>
      </c>
      <c r="Q51" s="103">
        <v>300</v>
      </c>
      <c r="R51" s="108">
        <v>0.08</v>
      </c>
      <c r="S51" s="191">
        <v>44733</v>
      </c>
      <c r="T51" s="247">
        <v>28771</v>
      </c>
      <c r="U51" s="247">
        <v>4362</v>
      </c>
      <c r="V51" s="115">
        <v>44928</v>
      </c>
      <c r="W51" s="249">
        <v>33663</v>
      </c>
      <c r="X51" s="249">
        <v>5225</v>
      </c>
      <c r="Y51" s="126">
        <f t="shared" si="49"/>
        <v>6.4102564102564097</v>
      </c>
      <c r="Z51" s="30">
        <f t="shared" si="50"/>
        <v>4892</v>
      </c>
      <c r="AA51" s="30">
        <f t="shared" si="51"/>
        <v>863</v>
      </c>
      <c r="AB51" s="85">
        <f t="shared" si="52"/>
        <v>763.15200000000004</v>
      </c>
      <c r="AC51" s="85">
        <f t="shared" si="53"/>
        <v>134.62800000000001</v>
      </c>
      <c r="AD51" s="32">
        <f t="shared" si="54"/>
        <v>-236.84799999999996</v>
      </c>
      <c r="AE51" s="32">
        <f t="shared" si="55"/>
        <v>34.628000000000014</v>
      </c>
      <c r="AF51" s="94">
        <f t="shared" si="56"/>
        <v>-1518.2564102564099</v>
      </c>
      <c r="AG51" s="94">
        <f t="shared" si="57"/>
        <v>221.97435897435903</v>
      </c>
      <c r="AH51" s="86">
        <f t="shared" si="58"/>
        <v>-15.1825641025641</v>
      </c>
      <c r="AI51" s="86">
        <f t="shared" si="59"/>
        <v>17.757948717948722</v>
      </c>
      <c r="AJ51" s="91">
        <f t="shared" si="29"/>
        <v>1.6831499999999999</v>
      </c>
      <c r="AK51" s="91">
        <f>X51/AM51</f>
        <v>0.43541666666666667</v>
      </c>
      <c r="AL51" s="173">
        <v>20000</v>
      </c>
      <c r="AM51" s="173">
        <v>12000</v>
      </c>
      <c r="AN51" s="253">
        <v>8511</v>
      </c>
      <c r="AO51" s="218">
        <v>4</v>
      </c>
      <c r="AP51" s="218">
        <v>1</v>
      </c>
      <c r="AQ51" s="189">
        <v>44942</v>
      </c>
      <c r="AR51" s="7" t="s">
        <v>305</v>
      </c>
      <c r="AT51" s="35"/>
    </row>
    <row r="52" spans="2:46" x14ac:dyDescent="0.25">
      <c r="B52" s="7" t="s">
        <v>176</v>
      </c>
      <c r="C52" s="174" t="s">
        <v>45</v>
      </c>
      <c r="D52" s="38" t="s">
        <v>13</v>
      </c>
      <c r="E52" s="221"/>
      <c r="F52" s="38" t="s">
        <v>306</v>
      </c>
      <c r="G52" s="38"/>
      <c r="H52" s="80">
        <v>43191</v>
      </c>
      <c r="I52" s="182">
        <f t="shared" si="15"/>
        <v>66.666666666666671</v>
      </c>
      <c r="J52" s="184">
        <f t="shared" si="16"/>
        <v>6.6666666666666666E-2</v>
      </c>
      <c r="K52" s="104">
        <v>45107</v>
      </c>
      <c r="L52" s="100">
        <v>3</v>
      </c>
      <c r="M52" s="105"/>
      <c r="N52" s="105">
        <v>200</v>
      </c>
      <c r="O52" s="106">
        <v>3000</v>
      </c>
      <c r="P52" s="109">
        <v>0.01</v>
      </c>
      <c r="Q52" s="107">
        <v>300</v>
      </c>
      <c r="R52" s="108">
        <v>0.08</v>
      </c>
      <c r="S52" s="191">
        <v>44732</v>
      </c>
      <c r="T52" s="247">
        <v>82233</v>
      </c>
      <c r="U52" s="247">
        <v>36070</v>
      </c>
      <c r="V52" s="115">
        <v>44928</v>
      </c>
      <c r="W52" s="249">
        <v>92806</v>
      </c>
      <c r="X52" s="249">
        <v>39759</v>
      </c>
      <c r="Y52" s="126">
        <f t="shared" si="49"/>
        <v>6.4431295200525964</v>
      </c>
      <c r="Z52" s="30">
        <f t="shared" si="50"/>
        <v>10573</v>
      </c>
      <c r="AA52" s="30">
        <f t="shared" si="51"/>
        <v>3689</v>
      </c>
      <c r="AB52" s="85">
        <f t="shared" si="52"/>
        <v>1640.972755102041</v>
      </c>
      <c r="AC52" s="85">
        <f t="shared" si="53"/>
        <v>572.5478571428572</v>
      </c>
      <c r="AD52" s="32">
        <f t="shared" si="54"/>
        <v>640.97275510204099</v>
      </c>
      <c r="AE52" s="32">
        <f t="shared" si="55"/>
        <v>472.5478571428572</v>
      </c>
      <c r="AF52" s="94">
        <f t="shared" si="56"/>
        <v>4129.8704799474035</v>
      </c>
      <c r="AG52" s="94">
        <f t="shared" si="57"/>
        <v>3044.6870479947402</v>
      </c>
      <c r="AH52" s="86">
        <f t="shared" si="58"/>
        <v>41.298704799474038</v>
      </c>
      <c r="AI52" s="86">
        <f t="shared" si="59"/>
        <v>243.57496383957923</v>
      </c>
      <c r="AJ52" s="91">
        <f t="shared" si="29"/>
        <v>4.6402999999999999</v>
      </c>
      <c r="AK52" s="91">
        <f>X52/AM52</f>
        <v>3.31325</v>
      </c>
      <c r="AL52" s="173">
        <v>20000</v>
      </c>
      <c r="AM52" s="173">
        <v>12000</v>
      </c>
      <c r="AN52" s="253">
        <v>8511</v>
      </c>
      <c r="AO52" s="218">
        <v>8</v>
      </c>
      <c r="AP52" s="218">
        <v>5</v>
      </c>
      <c r="AQ52" s="189">
        <v>44942</v>
      </c>
      <c r="AR52" s="53" t="s">
        <v>307</v>
      </c>
      <c r="AS52" s="125" t="s">
        <v>313</v>
      </c>
      <c r="AT52" s="35"/>
    </row>
    <row r="53" spans="2:46" x14ac:dyDescent="0.25">
      <c r="B53" s="7" t="s">
        <v>177</v>
      </c>
      <c r="C53" s="174" t="s">
        <v>141</v>
      </c>
      <c r="D53" s="38" t="s">
        <v>125</v>
      </c>
      <c r="E53" s="222" t="s">
        <v>138</v>
      </c>
      <c r="F53" s="38" t="s">
        <v>143</v>
      </c>
      <c r="G53" s="38"/>
      <c r="H53" s="80">
        <v>44075</v>
      </c>
      <c r="I53" s="182">
        <f t="shared" si="15"/>
        <v>30.8</v>
      </c>
      <c r="J53" s="184">
        <f t="shared" si="16"/>
        <v>3.0800000000000001E-2</v>
      </c>
      <c r="K53" s="99">
        <v>45170</v>
      </c>
      <c r="L53" s="100">
        <v>1</v>
      </c>
      <c r="M53" s="101">
        <v>30.8</v>
      </c>
      <c r="N53" s="101"/>
      <c r="O53" s="102">
        <v>1000</v>
      </c>
      <c r="P53" s="108">
        <v>0.01</v>
      </c>
      <c r="Q53" s="166"/>
      <c r="R53" s="166"/>
      <c r="S53" s="191">
        <v>44712</v>
      </c>
      <c r="T53" s="247">
        <v>183125</v>
      </c>
      <c r="U53" s="169"/>
      <c r="V53" s="115">
        <v>45291</v>
      </c>
      <c r="W53" s="249">
        <v>192512</v>
      </c>
      <c r="X53" s="248"/>
      <c r="Y53" s="126">
        <f t="shared" si="49"/>
        <v>19.03353057199211</v>
      </c>
      <c r="Z53" s="30">
        <f t="shared" si="50"/>
        <v>9387</v>
      </c>
      <c r="AA53" s="30">
        <f t="shared" si="51"/>
        <v>0</v>
      </c>
      <c r="AB53" s="85">
        <f t="shared" si="52"/>
        <v>493.18227979274616</v>
      </c>
      <c r="AC53" s="85">
        <f t="shared" si="53"/>
        <v>0</v>
      </c>
      <c r="AD53" s="32">
        <f t="shared" si="54"/>
        <v>-506.81772020725384</v>
      </c>
      <c r="AE53" s="32">
        <f t="shared" si="55"/>
        <v>0</v>
      </c>
      <c r="AF53" s="94">
        <f t="shared" si="56"/>
        <v>-9646.5305719921089</v>
      </c>
      <c r="AG53" s="94">
        <f t="shared" si="57"/>
        <v>0</v>
      </c>
      <c r="AH53" s="86">
        <f t="shared" si="58"/>
        <v>-96.465305719921091</v>
      </c>
      <c r="AI53" s="86">
        <f t="shared" si="59"/>
        <v>0</v>
      </c>
      <c r="AJ53" s="91">
        <f t="shared" si="29"/>
        <v>6.4170666666666669</v>
      </c>
      <c r="AK53" s="165"/>
      <c r="AL53" s="173">
        <v>30000</v>
      </c>
      <c r="AM53" s="256"/>
      <c r="AN53" s="253">
        <v>3012</v>
      </c>
      <c r="AO53" s="218">
        <v>7</v>
      </c>
      <c r="AP53" s="178"/>
      <c r="AQ53" s="189">
        <v>44942</v>
      </c>
      <c r="AR53" s="176" t="s">
        <v>308</v>
      </c>
      <c r="AT53" s="35"/>
    </row>
    <row r="54" spans="2:46" x14ac:dyDescent="0.25">
      <c r="B54" s="7" t="s">
        <v>177</v>
      </c>
      <c r="C54" s="174" t="s">
        <v>141</v>
      </c>
      <c r="D54" s="38" t="s">
        <v>125</v>
      </c>
      <c r="E54" s="222" t="s">
        <v>138</v>
      </c>
      <c r="F54" s="38" t="s">
        <v>142</v>
      </c>
      <c r="G54" s="38"/>
      <c r="H54" s="80">
        <v>44075</v>
      </c>
      <c r="I54" s="182">
        <f t="shared" si="15"/>
        <v>30.8</v>
      </c>
      <c r="J54" s="184">
        <f t="shared" si="16"/>
        <v>3.0800000000000001E-2</v>
      </c>
      <c r="K54" s="99">
        <v>45170</v>
      </c>
      <c r="L54" s="100">
        <v>1</v>
      </c>
      <c r="M54" s="101">
        <v>30.8</v>
      </c>
      <c r="N54" s="101"/>
      <c r="O54" s="102">
        <v>1000</v>
      </c>
      <c r="P54" s="108">
        <v>0.01</v>
      </c>
      <c r="Q54" s="166"/>
      <c r="R54" s="166"/>
      <c r="S54" s="191">
        <v>44725</v>
      </c>
      <c r="T54" s="247">
        <v>110303</v>
      </c>
      <c r="U54" s="169"/>
      <c r="V54" s="115">
        <v>45291</v>
      </c>
      <c r="W54" s="249">
        <v>139322</v>
      </c>
      <c r="X54" s="248"/>
      <c r="Y54" s="126">
        <f t="shared" si="49"/>
        <v>18.606180144641684</v>
      </c>
      <c r="Z54" s="30">
        <f t="shared" si="50"/>
        <v>29019</v>
      </c>
      <c r="AA54" s="30">
        <f t="shared" si="51"/>
        <v>0</v>
      </c>
      <c r="AB54" s="85">
        <f t="shared" si="52"/>
        <v>1559.643074204947</v>
      </c>
      <c r="AC54" s="85">
        <f t="shared" si="53"/>
        <v>0</v>
      </c>
      <c r="AD54" s="32">
        <f t="shared" si="54"/>
        <v>559.64307420494697</v>
      </c>
      <c r="AE54" s="32">
        <f t="shared" si="55"/>
        <v>0</v>
      </c>
      <c r="AF54" s="94">
        <f t="shared" si="56"/>
        <v>10412.819855358317</v>
      </c>
      <c r="AG54" s="94">
        <f t="shared" si="57"/>
        <v>0</v>
      </c>
      <c r="AH54" s="86">
        <f t="shared" si="58"/>
        <v>104.12819855358318</v>
      </c>
      <c r="AI54" s="86">
        <f t="shared" si="59"/>
        <v>0</v>
      </c>
      <c r="AJ54" s="91">
        <f t="shared" si="29"/>
        <v>4.6440666666666663</v>
      </c>
      <c r="AK54" s="165"/>
      <c r="AL54" s="173">
        <v>30000</v>
      </c>
      <c r="AM54" s="256"/>
      <c r="AN54" s="253">
        <v>3012</v>
      </c>
      <c r="AO54" s="218">
        <v>5</v>
      </c>
      <c r="AP54" s="178"/>
      <c r="AQ54" s="189">
        <v>44942</v>
      </c>
      <c r="AR54" s="176" t="s">
        <v>309</v>
      </c>
      <c r="AT54" s="35"/>
    </row>
    <row r="60" spans="2:46" x14ac:dyDescent="0.25">
      <c r="B60" s="7" t="s">
        <v>171</v>
      </c>
      <c r="C60" s="174" t="s">
        <v>43</v>
      </c>
      <c r="D60" s="38" t="s">
        <v>13</v>
      </c>
      <c r="E60" s="221"/>
      <c r="F60" s="38" t="s">
        <v>292</v>
      </c>
      <c r="G60" s="38"/>
      <c r="H60" s="80">
        <v>43182</v>
      </c>
      <c r="I60" s="182">
        <f t="shared" ref="I60" si="73">IF(M60="",N60/L60,M60)</f>
        <v>66.666666666666671</v>
      </c>
      <c r="J60" s="184">
        <f t="shared" ref="J60" si="74">I60/(O60/L60)</f>
        <v>6.6666666666666666E-2</v>
      </c>
      <c r="K60" s="104">
        <v>45015</v>
      </c>
      <c r="L60" s="100">
        <v>3</v>
      </c>
      <c r="M60" s="105"/>
      <c r="N60" s="105">
        <v>200</v>
      </c>
      <c r="O60" s="106">
        <v>3000</v>
      </c>
      <c r="P60" s="109">
        <v>0.01</v>
      </c>
      <c r="Q60" s="103">
        <v>300</v>
      </c>
      <c r="R60" s="173">
        <v>0.09</v>
      </c>
      <c r="S60" s="115">
        <v>44928</v>
      </c>
      <c r="T60" s="249">
        <v>60389</v>
      </c>
      <c r="U60" s="249">
        <v>17867</v>
      </c>
      <c r="V60" s="115">
        <v>44973</v>
      </c>
      <c r="W60" s="249">
        <v>62077</v>
      </c>
      <c r="X60" s="249">
        <v>18213</v>
      </c>
      <c r="Y60" s="126">
        <f t="shared" ref="Y60" si="75">(V60-S60)/30.42</f>
        <v>1.4792899408284024</v>
      </c>
      <c r="Z60" s="30">
        <f t="shared" ref="Z60" si="76">W60-T60</f>
        <v>1688</v>
      </c>
      <c r="AA60" s="30">
        <f t="shared" ref="AA60" si="77">X60-U60</f>
        <v>346</v>
      </c>
      <c r="AB60" s="85">
        <f t="shared" ref="AB60" si="78">Z60/Y60</f>
        <v>1141.088</v>
      </c>
      <c r="AC60" s="85">
        <f t="shared" ref="AC60" si="79">AA60/Y60</f>
        <v>233.89599999999999</v>
      </c>
      <c r="AD60" s="32">
        <f t="shared" ref="AD60" si="80">AB60-O60/L60</f>
        <v>141.08799999999997</v>
      </c>
      <c r="AE60" s="32">
        <f t="shared" ref="AE60" si="81">AC60-Q60/L60</f>
        <v>133.89599999999999</v>
      </c>
      <c r="AF60" s="94">
        <f t="shared" ref="AF60" si="82">AD60*Y60</f>
        <v>208.71005917159758</v>
      </c>
      <c r="AG60" s="94">
        <f t="shared" ref="AG60" si="83">AE60*Y60</f>
        <v>198.07100591715974</v>
      </c>
      <c r="AH60" s="86">
        <f t="shared" ref="AH60" si="84">AF60*P60</f>
        <v>2.0871005917159757</v>
      </c>
      <c r="AI60" s="86">
        <f t="shared" ref="AI60" si="85">AG60*R60</f>
        <v>17.826390532544377</v>
      </c>
      <c r="AJ60" s="91">
        <f>T60/AL60</f>
        <v>3.01945</v>
      </c>
      <c r="AK60" s="91">
        <f>U60/AM60</f>
        <v>1.4889166666666667</v>
      </c>
      <c r="AL60" s="173">
        <v>20000</v>
      </c>
      <c r="AM60" s="173">
        <v>12000</v>
      </c>
      <c r="AN60" s="253">
        <v>8511</v>
      </c>
      <c r="AO60" s="218">
        <v>6</v>
      </c>
      <c r="AP60" s="218">
        <v>3</v>
      </c>
      <c r="AQ60" s="189">
        <v>44942</v>
      </c>
      <c r="AR60" s="7" t="s">
        <v>293</v>
      </c>
      <c r="AT60" s="35"/>
    </row>
    <row r="63" spans="2:46" x14ac:dyDescent="0.25">
      <c r="E63" s="274"/>
    </row>
    <row r="64" spans="2:46" x14ac:dyDescent="0.25">
      <c r="D64" s="193" t="s">
        <v>350</v>
      </c>
      <c r="E64" s="274" t="s">
        <v>351</v>
      </c>
      <c r="S64" s="196">
        <v>45036</v>
      </c>
      <c r="T64" s="277">
        <v>64822</v>
      </c>
      <c r="U64" s="277"/>
      <c r="V64" t="s">
        <v>357</v>
      </c>
    </row>
    <row r="65" spans="4:22" x14ac:dyDescent="0.25">
      <c r="D65" s="193" t="s">
        <v>350</v>
      </c>
      <c r="E65" s="274" t="s">
        <v>353</v>
      </c>
      <c r="S65" s="196">
        <v>45036</v>
      </c>
      <c r="T65" s="277">
        <v>9630</v>
      </c>
      <c r="U65" s="277">
        <v>11761</v>
      </c>
      <c r="V65" t="s">
        <v>357</v>
      </c>
    </row>
    <row r="66" spans="4:22" x14ac:dyDescent="0.25">
      <c r="E66" s="274" t="s">
        <v>352</v>
      </c>
    </row>
  </sheetData>
  <autoFilter ref="A1:AS54" xr:uid="{54E5B359-865F-4F88-9F64-23421BF6F746}"/>
  <phoneticPr fontId="30" type="noConversion"/>
  <conditionalFormatting sqref="AD1:AI55 AD67:AI1048576">
    <cfRule type="cellIs" dxfId="13" priority="10" operator="lessThanOrEqual">
      <formula>0</formula>
    </cfRule>
  </conditionalFormatting>
  <conditionalFormatting sqref="AD60:AI60">
    <cfRule type="cellIs" dxfId="12" priority="1" operator="lessThanOrEqual">
      <formula>0</formula>
    </cfRule>
  </conditionalFormatting>
  <conditionalFormatting sqref="AO2:AO102">
    <cfRule type="expression" dxfId="11" priority="9">
      <formula>$AO2&lt;$AJ2</formula>
    </cfRule>
  </conditionalFormatting>
  <conditionalFormatting sqref="AP2:AP102">
    <cfRule type="expression" dxfId="10" priority="8">
      <formula>$AP2&lt;$AK2</formula>
    </cfRule>
  </conditionalFormatting>
  <hyperlinks>
    <hyperlink ref="B25" r:id="rId1" display="mailto:ta3508cimedeatsrl@e-sent.it" xr:uid="{673162C9-7AC5-4C52-925A-18BFDCE261D6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4CA2-3C5F-4834-943F-3E43CFE46ECE}">
  <dimension ref="B1:AT10"/>
  <sheetViews>
    <sheetView workbookViewId="0">
      <selection activeCell="B18" sqref="B18"/>
    </sheetView>
  </sheetViews>
  <sheetFormatPr defaultRowHeight="15" x14ac:dyDescent="0.25"/>
  <cols>
    <col min="2" max="2" width="25.140625" customWidth="1"/>
    <col min="7" max="7" width="29.28515625" customWidth="1"/>
    <col min="10" max="10" width="23.28515625" customWidth="1"/>
  </cols>
  <sheetData>
    <row r="1" spans="2:46" x14ac:dyDescent="0.25">
      <c r="B1" s="96"/>
      <c r="C1" s="174" t="s">
        <v>0</v>
      </c>
      <c r="D1" s="38" t="s">
        <v>69</v>
      </c>
      <c r="E1" s="38"/>
      <c r="F1" s="38" t="s">
        <v>182</v>
      </c>
      <c r="G1" s="80">
        <v>42917</v>
      </c>
      <c r="H1" s="182">
        <f>IF(L1="",M1/K1,L1)</f>
        <v>66.666666666666671</v>
      </c>
      <c r="I1" s="184">
        <f>H1/(N1/K1)</f>
        <v>6.6666666666666666E-2</v>
      </c>
      <c r="J1" s="192">
        <v>44742</v>
      </c>
      <c r="K1" s="100">
        <v>3</v>
      </c>
      <c r="L1" s="105"/>
      <c r="M1" s="105">
        <v>200</v>
      </c>
      <c r="N1" s="106">
        <v>3000</v>
      </c>
      <c r="O1" s="109">
        <v>0.01</v>
      </c>
      <c r="P1" s="107">
        <v>300</v>
      </c>
      <c r="Q1" s="173">
        <v>0.09</v>
      </c>
      <c r="R1" s="115">
        <v>44578</v>
      </c>
      <c r="S1" s="116">
        <v>117523</v>
      </c>
      <c r="T1" s="116">
        <v>28265</v>
      </c>
      <c r="U1" s="191">
        <v>44732</v>
      </c>
      <c r="V1" s="116">
        <v>125464</v>
      </c>
      <c r="W1" s="116">
        <v>32565</v>
      </c>
      <c r="X1" s="126">
        <f>(U1-R1)/30.42</f>
        <v>5.0624589086127543</v>
      </c>
      <c r="Y1" s="30">
        <f t="shared" ref="Y1:Z3" si="0">V1-S1</f>
        <v>7941</v>
      </c>
      <c r="Z1" s="30">
        <f t="shared" si="0"/>
        <v>4300</v>
      </c>
      <c r="AA1" s="85">
        <f>Y1/X1</f>
        <v>1568.6053246753249</v>
      </c>
      <c r="AB1" s="85">
        <f>Z1/X1</f>
        <v>849.38961038961043</v>
      </c>
      <c r="AC1" s="32">
        <f>AA1-N1/K1</f>
        <v>568.60532467532494</v>
      </c>
      <c r="AD1" s="32">
        <f>AB1-P1/K1</f>
        <v>749.38961038961043</v>
      </c>
      <c r="AE1" s="94">
        <f>AC1*X1</f>
        <v>2878.5410913872461</v>
      </c>
      <c r="AF1" s="94">
        <f>AD1*X1</f>
        <v>3793.7541091387243</v>
      </c>
      <c r="AG1" s="86">
        <f>AE1*O1</f>
        <v>28.785410913872461</v>
      </c>
      <c r="AH1" s="86">
        <f>AF1*Q1</f>
        <v>341.4378698224852</v>
      </c>
      <c r="AI1" s="91">
        <f t="shared" ref="AI1:AJ3" si="1">V1/AK1</f>
        <v>6.2732000000000001</v>
      </c>
      <c r="AJ1" s="91">
        <f t="shared" si="1"/>
        <v>2.7137500000000001</v>
      </c>
      <c r="AK1" s="108">
        <v>20000</v>
      </c>
      <c r="AL1" s="108">
        <v>12000</v>
      </c>
      <c r="AM1" s="171">
        <v>4</v>
      </c>
      <c r="AN1" s="171">
        <v>3</v>
      </c>
      <c r="AO1" s="177"/>
      <c r="AP1" s="188">
        <v>44574</v>
      </c>
      <c r="AS1" s="35"/>
    </row>
    <row r="2" spans="2:46" x14ac:dyDescent="0.25">
      <c r="B2" s="96"/>
      <c r="C2" s="174" t="s">
        <v>4</v>
      </c>
      <c r="D2" s="38" t="s">
        <v>69</v>
      </c>
      <c r="E2" s="38"/>
      <c r="F2" s="38"/>
      <c r="G2" s="80">
        <v>42929</v>
      </c>
      <c r="H2" s="182">
        <f>IF(L2="",M2/K2,L2)</f>
        <v>66.666666666666671</v>
      </c>
      <c r="I2" s="184">
        <f>H2/(N2/K2)</f>
        <v>6.6666666666666666E-2</v>
      </c>
      <c r="J2" s="192">
        <v>44742</v>
      </c>
      <c r="K2" s="100">
        <v>3</v>
      </c>
      <c r="L2" s="101"/>
      <c r="M2" s="101">
        <v>200</v>
      </c>
      <c r="N2" s="102">
        <v>3000</v>
      </c>
      <c r="O2" s="108">
        <v>0.01</v>
      </c>
      <c r="P2" s="103">
        <v>300</v>
      </c>
      <c r="Q2" s="173">
        <v>0.09</v>
      </c>
      <c r="R2" s="115">
        <v>44562</v>
      </c>
      <c r="S2" s="116">
        <v>70160</v>
      </c>
      <c r="T2" s="116">
        <v>18618</v>
      </c>
      <c r="U2" s="191">
        <v>44732</v>
      </c>
      <c r="V2" s="116">
        <v>77785</v>
      </c>
      <c r="W2" s="116">
        <v>21123</v>
      </c>
      <c r="X2" s="126">
        <f>(U2-R2)/30.42</f>
        <v>5.5884286653517421</v>
      </c>
      <c r="Y2" s="30">
        <f t="shared" si="0"/>
        <v>7625</v>
      </c>
      <c r="Z2" s="30">
        <f t="shared" si="0"/>
        <v>2505</v>
      </c>
      <c r="AA2" s="85">
        <f>Y2/X2</f>
        <v>1364.4264705882354</v>
      </c>
      <c r="AB2" s="85">
        <f>Z2/X2</f>
        <v>448.24764705882353</v>
      </c>
      <c r="AC2" s="32">
        <f>AA2-N2/K2</f>
        <v>364.42647058823536</v>
      </c>
      <c r="AD2" s="32">
        <f>AB2-P2/K2</f>
        <v>348.24764705882353</v>
      </c>
      <c r="AE2" s="94">
        <f>AC2*X2</f>
        <v>2036.571334648258</v>
      </c>
      <c r="AF2" s="94">
        <f>AD2*X2</f>
        <v>1946.1571334648256</v>
      </c>
      <c r="AG2" s="86">
        <f>AE2*O2</f>
        <v>20.365713346482579</v>
      </c>
      <c r="AH2" s="86">
        <f>AF2*Q2</f>
        <v>175.1541420118343</v>
      </c>
      <c r="AI2" s="91">
        <f t="shared" si="1"/>
        <v>3.8892500000000001</v>
      </c>
      <c r="AJ2" s="91">
        <f t="shared" si="1"/>
        <v>1.7602500000000001</v>
      </c>
      <c r="AK2" s="108">
        <v>20000</v>
      </c>
      <c r="AL2" s="108">
        <v>12000</v>
      </c>
      <c r="AM2" s="171">
        <v>4</v>
      </c>
      <c r="AN2" s="171">
        <v>2</v>
      </c>
      <c r="AO2" s="177"/>
      <c r="AP2" s="189"/>
      <c r="AQ2" s="7" t="s">
        <v>209</v>
      </c>
      <c r="AS2" s="35"/>
    </row>
    <row r="3" spans="2:46" x14ac:dyDescent="0.25">
      <c r="B3" t="s">
        <v>168</v>
      </c>
      <c r="C3" s="174" t="s">
        <v>15</v>
      </c>
      <c r="D3" s="38" t="s">
        <v>13</v>
      </c>
      <c r="E3" s="38"/>
      <c r="F3" s="38" t="s">
        <v>114</v>
      </c>
      <c r="G3" s="80">
        <v>43335</v>
      </c>
      <c r="H3" s="182">
        <f>IF(L3="",M3/K3,L3)</f>
        <v>96.666666666666671</v>
      </c>
      <c r="I3" s="184">
        <f>H3/(N3/K3)</f>
        <v>5.8000000000000003E-2</v>
      </c>
      <c r="J3" s="196">
        <v>44804</v>
      </c>
      <c r="K3" s="100">
        <v>3</v>
      </c>
      <c r="L3" s="105"/>
      <c r="M3" s="105">
        <v>290</v>
      </c>
      <c r="N3" s="175">
        <v>5000</v>
      </c>
      <c r="O3" s="187">
        <v>8.9999999999999993E-3</v>
      </c>
      <c r="P3" s="174">
        <v>500</v>
      </c>
      <c r="Q3" s="186">
        <v>8.1000000000000003E-2</v>
      </c>
      <c r="R3" s="191">
        <v>44734</v>
      </c>
      <c r="S3" s="116">
        <v>172662</v>
      </c>
      <c r="T3" s="116">
        <v>16727</v>
      </c>
      <c r="U3" s="191">
        <v>44804</v>
      </c>
      <c r="V3" s="116">
        <v>182359</v>
      </c>
      <c r="W3" s="116">
        <v>17595</v>
      </c>
      <c r="X3" s="126">
        <f>(U3-R3)/30.42</f>
        <v>2.3011176857330704</v>
      </c>
      <c r="Y3" s="30">
        <f t="shared" si="0"/>
        <v>9697</v>
      </c>
      <c r="Z3" s="30">
        <f t="shared" si="0"/>
        <v>868</v>
      </c>
      <c r="AA3" s="85">
        <f>Y3/X3</f>
        <v>4214.0391428571429</v>
      </c>
      <c r="AB3" s="85">
        <f>Z3/X3</f>
        <v>377.20799999999997</v>
      </c>
      <c r="AC3" s="32">
        <f>AA3-N3/K3</f>
        <v>2547.3724761904759</v>
      </c>
      <c r="AD3" s="32">
        <f>AB3-P3/K3</f>
        <v>210.54133333333331</v>
      </c>
      <c r="AE3" s="94">
        <f>AC3*X3</f>
        <v>5861.8038571115494</v>
      </c>
      <c r="AF3" s="94">
        <f>AD3*X3</f>
        <v>484.4803857111549</v>
      </c>
      <c r="AG3" s="86">
        <f>AE3*O3</f>
        <v>52.756234714003938</v>
      </c>
      <c r="AH3" s="86">
        <f>AF3*Q3</f>
        <v>39.242911242603547</v>
      </c>
      <c r="AI3" s="91">
        <f t="shared" si="1"/>
        <v>9.1179500000000004</v>
      </c>
      <c r="AJ3" s="91">
        <f t="shared" si="1"/>
        <v>1.4662500000000001</v>
      </c>
      <c r="AK3" s="108">
        <v>20000</v>
      </c>
      <c r="AL3" s="108">
        <v>12000</v>
      </c>
      <c r="AM3" s="171">
        <v>10</v>
      </c>
      <c r="AN3" s="171">
        <v>2</v>
      </c>
      <c r="AO3" s="177"/>
      <c r="AP3" s="189">
        <v>44706</v>
      </c>
      <c r="AQ3" s="180" t="s">
        <v>200</v>
      </c>
      <c r="AS3" s="35"/>
    </row>
    <row r="4" spans="2:46" x14ac:dyDescent="0.25">
      <c r="D4" s="23"/>
      <c r="E4" s="23"/>
      <c r="F4" s="23"/>
      <c r="G4" s="82"/>
      <c r="H4" s="183"/>
      <c r="I4" s="185"/>
      <c r="J4" s="47" t="s">
        <v>217</v>
      </c>
      <c r="K4" s="42"/>
      <c r="N4" s="5"/>
      <c r="O4" s="3"/>
      <c r="P4" s="3"/>
      <c r="R4" s="3"/>
      <c r="S4" s="3"/>
      <c r="T4" s="3"/>
      <c r="U4" s="3"/>
      <c r="V4" s="3"/>
      <c r="W4" s="3"/>
      <c r="X4" s="3"/>
      <c r="Y4" s="3"/>
      <c r="Z4" s="3"/>
      <c r="AA4" s="3"/>
      <c r="AE4" s="7"/>
      <c r="AF4" s="7"/>
      <c r="AI4" s="91"/>
      <c r="AJ4" s="91"/>
      <c r="AM4" s="2"/>
      <c r="AN4" s="2"/>
      <c r="AO4" s="7"/>
      <c r="AP4" s="181"/>
    </row>
    <row r="5" spans="2:46" x14ac:dyDescent="0.25">
      <c r="B5" t="s">
        <v>173</v>
      </c>
      <c r="C5" s="174" t="s">
        <v>0</v>
      </c>
      <c r="D5" s="38" t="s">
        <v>40</v>
      </c>
      <c r="E5" s="168" t="s">
        <v>138</v>
      </c>
      <c r="F5" s="38"/>
      <c r="G5" s="80">
        <v>42992</v>
      </c>
      <c r="H5" s="182">
        <f>IF(L5="",M5/K5,L5)</f>
        <v>140</v>
      </c>
      <c r="I5" s="184">
        <f>H5/(N5/K5)</f>
        <v>2.8000000000000001E-2</v>
      </c>
      <c r="J5" s="192">
        <v>44803</v>
      </c>
      <c r="K5" s="100">
        <v>1</v>
      </c>
      <c r="L5" s="105">
        <v>140</v>
      </c>
      <c r="M5" s="105">
        <v>0</v>
      </c>
      <c r="N5" s="106">
        <v>5000</v>
      </c>
      <c r="O5" s="109">
        <v>0.01</v>
      </c>
      <c r="P5" s="165"/>
      <c r="Q5" s="165"/>
      <c r="R5" s="191">
        <v>44734</v>
      </c>
      <c r="S5" s="116">
        <v>455905</v>
      </c>
      <c r="T5" s="169"/>
      <c r="U5" s="191">
        <v>44815</v>
      </c>
      <c r="V5" s="116">
        <v>471202</v>
      </c>
      <c r="W5" s="169"/>
      <c r="X5" s="126">
        <f>(U5-R5)/30.42</f>
        <v>2.6627218934911241</v>
      </c>
      <c r="Y5" s="30">
        <f>V5-S5</f>
        <v>15297</v>
      </c>
      <c r="Z5" s="30">
        <f>W5-T5</f>
        <v>0</v>
      </c>
      <c r="AA5" s="85">
        <f>Y5/X5</f>
        <v>5744.8733333333339</v>
      </c>
      <c r="AB5" s="85">
        <f>Z5/X5</f>
        <v>0</v>
      </c>
      <c r="AC5" s="32">
        <f>AA5-N5/K5</f>
        <v>744.8733333333339</v>
      </c>
      <c r="AD5" s="32">
        <f>AB5-P5/K5</f>
        <v>0</v>
      </c>
      <c r="AE5" s="94">
        <f>AC5*X5</f>
        <v>1983.39053254438</v>
      </c>
      <c r="AF5" s="94">
        <f>AD5*X5</f>
        <v>0</v>
      </c>
      <c r="AG5" s="86">
        <f>AE5*O5</f>
        <v>19.833905325443801</v>
      </c>
      <c r="AH5" s="86">
        <f>AF5*Q5</f>
        <v>0</v>
      </c>
      <c r="AI5" s="91">
        <f>V5/AK5</f>
        <v>23.560099999999998</v>
      </c>
      <c r="AJ5" s="91">
        <f>W5/AL5</f>
        <v>0</v>
      </c>
      <c r="AK5" s="108">
        <v>20000</v>
      </c>
      <c r="AL5" s="108">
        <v>12000</v>
      </c>
      <c r="AM5" s="171">
        <v>10</v>
      </c>
      <c r="AN5" s="171">
        <v>2</v>
      </c>
      <c r="AO5" s="177"/>
      <c r="AP5" s="188"/>
      <c r="AS5" s="35"/>
    </row>
    <row r="6" spans="2:46" x14ac:dyDescent="0.25">
      <c r="D6" s="23"/>
      <c r="E6" s="23"/>
      <c r="F6" s="23"/>
      <c r="G6" s="82"/>
      <c r="H6" s="183"/>
      <c r="I6" s="185"/>
      <c r="J6" s="47" t="s">
        <v>217</v>
      </c>
      <c r="K6" s="42"/>
      <c r="N6" s="5"/>
      <c r="O6" s="3"/>
      <c r="P6" s="3"/>
      <c r="R6" s="3"/>
      <c r="S6" s="3"/>
      <c r="T6" s="3"/>
      <c r="U6" s="3"/>
      <c r="V6" s="3"/>
      <c r="W6" s="3"/>
      <c r="X6" s="3"/>
      <c r="Y6" s="3"/>
      <c r="Z6" s="3"/>
      <c r="AA6" s="3"/>
      <c r="AE6" s="7"/>
      <c r="AF6" s="7"/>
      <c r="AI6" s="91"/>
      <c r="AJ6" s="91"/>
      <c r="AM6" s="2"/>
      <c r="AN6" s="2"/>
      <c r="AO6" s="7"/>
      <c r="AP6" s="181"/>
    </row>
    <row r="7" spans="2:46" x14ac:dyDescent="0.25">
      <c r="B7" s="53" t="s">
        <v>220</v>
      </c>
      <c r="C7" s="53" t="s">
        <v>8</v>
      </c>
      <c r="D7" s="193" t="s">
        <v>69</v>
      </c>
      <c r="E7" s="38"/>
      <c r="F7" s="38"/>
      <c r="G7" s="80">
        <v>43011</v>
      </c>
      <c r="H7" s="182">
        <f>IF(L7="",M7/K7,L7)</f>
        <v>66.666666666666671</v>
      </c>
      <c r="I7" s="184">
        <f>H7/(N7/K7)</f>
        <v>6.6666666666666666E-2</v>
      </c>
      <c r="J7" s="99">
        <v>44834</v>
      </c>
      <c r="K7" s="100">
        <v>3</v>
      </c>
      <c r="L7" s="101"/>
      <c r="M7" s="101">
        <v>200</v>
      </c>
      <c r="N7" s="102">
        <v>3000</v>
      </c>
      <c r="O7" s="108">
        <v>0.01</v>
      </c>
      <c r="P7" s="103">
        <v>300</v>
      </c>
      <c r="Q7" s="173">
        <v>0.09</v>
      </c>
      <c r="R7" s="191">
        <v>44732</v>
      </c>
      <c r="S7" s="116">
        <v>143595</v>
      </c>
      <c r="T7" s="116">
        <v>10893</v>
      </c>
      <c r="U7" s="191">
        <v>44867</v>
      </c>
      <c r="V7" s="116">
        <f>SUM(V8:V9)</f>
        <v>152214</v>
      </c>
      <c r="W7" s="116">
        <f>SUM(W8:W10)</f>
        <v>237684</v>
      </c>
      <c r="X7" s="126">
        <f>(U7-R7)/30.42</f>
        <v>4.4378698224852071</v>
      </c>
      <c r="Y7" s="30">
        <f>V7-S7</f>
        <v>8619</v>
      </c>
      <c r="Z7" s="30">
        <f>W7-T7</f>
        <v>226791</v>
      </c>
      <c r="AA7" s="85">
        <f>Y7/X7</f>
        <v>1942.1479999999999</v>
      </c>
      <c r="AB7" s="85">
        <f>Z7/X7</f>
        <v>51103.572</v>
      </c>
      <c r="AC7" s="32">
        <f>AA7-N7/K7</f>
        <v>942.14799999999991</v>
      </c>
      <c r="AD7" s="32">
        <f>AB7-P7/K7</f>
        <v>51003.572</v>
      </c>
      <c r="AE7" s="94">
        <f>AC7*X7</f>
        <v>4181.1301775147922</v>
      </c>
      <c r="AF7" s="94">
        <f>AD7*X7</f>
        <v>226347.21301775149</v>
      </c>
      <c r="AG7" s="86">
        <f>AE7*O7</f>
        <v>41.811301775147925</v>
      </c>
      <c r="AH7" s="86">
        <f>AF7*Q7</f>
        <v>20371.249171597632</v>
      </c>
      <c r="AI7" s="91">
        <f>V7/AK7</f>
        <v>7.6106999999999996</v>
      </c>
      <c r="AJ7" s="91">
        <f>W7/AL7</f>
        <v>19.806999999999999</v>
      </c>
      <c r="AK7" s="108">
        <v>20000</v>
      </c>
      <c r="AL7" s="108">
        <v>12000</v>
      </c>
      <c r="AM7" s="171">
        <v>6</v>
      </c>
      <c r="AN7" s="171">
        <v>3</v>
      </c>
      <c r="AO7" s="7"/>
      <c r="AP7" s="189">
        <v>44734</v>
      </c>
      <c r="AQ7" t="s">
        <v>208</v>
      </c>
      <c r="AS7" s="35"/>
    </row>
    <row r="8" spans="2:46" x14ac:dyDescent="0.25">
      <c r="D8" s="23"/>
      <c r="E8" s="23"/>
      <c r="F8" s="23"/>
      <c r="G8" s="82"/>
      <c r="H8" s="183"/>
      <c r="I8" s="185"/>
      <c r="J8" s="47" t="s">
        <v>217</v>
      </c>
      <c r="K8" s="42"/>
      <c r="N8" s="5"/>
      <c r="O8" s="3"/>
      <c r="P8" s="3"/>
      <c r="R8" s="3"/>
      <c r="S8" s="3"/>
      <c r="T8" s="3"/>
      <c r="U8" s="3"/>
      <c r="V8">
        <v>147782</v>
      </c>
      <c r="W8" s="3">
        <v>11110</v>
      </c>
      <c r="X8" s="3"/>
      <c r="Y8" s="3"/>
      <c r="Z8" s="3"/>
      <c r="AA8" s="3"/>
      <c r="AE8" s="7"/>
      <c r="AF8" s="7"/>
      <c r="AI8" s="91"/>
      <c r="AJ8" s="91"/>
      <c r="AM8" s="2"/>
      <c r="AN8" s="2"/>
      <c r="AO8" s="7"/>
      <c r="AP8" s="181"/>
    </row>
    <row r="9" spans="2:46" x14ac:dyDescent="0.25">
      <c r="D9" s="23"/>
      <c r="E9" s="23"/>
      <c r="F9" s="23"/>
      <c r="G9" s="82"/>
      <c r="H9" s="183"/>
      <c r="I9" s="185"/>
      <c r="J9" s="47"/>
      <c r="K9" s="42"/>
      <c r="N9" s="5"/>
      <c r="O9" s="3"/>
      <c r="P9" s="3"/>
      <c r="R9" s="3"/>
      <c r="S9" s="3"/>
      <c r="T9" s="3"/>
      <c r="U9" s="3"/>
      <c r="V9" s="201">
        <v>4432</v>
      </c>
      <c r="W9" s="3">
        <v>47</v>
      </c>
      <c r="X9" s="3"/>
      <c r="Y9" s="3"/>
      <c r="Z9" s="3"/>
      <c r="AA9" s="3"/>
      <c r="AE9" s="7"/>
      <c r="AF9" s="7"/>
      <c r="AI9" s="91"/>
      <c r="AJ9" s="91"/>
      <c r="AM9" s="2"/>
      <c r="AN9" s="2"/>
      <c r="AO9" s="7"/>
      <c r="AP9" s="181"/>
    </row>
    <row r="10" spans="2:46" s="203" customFormat="1" x14ac:dyDescent="0.25">
      <c r="B10" s="7" t="s">
        <v>173</v>
      </c>
      <c r="C10" s="204" t="s">
        <v>0</v>
      </c>
      <c r="D10" s="205" t="s">
        <v>13</v>
      </c>
      <c r="E10" s="223"/>
      <c r="F10" s="205" t="s">
        <v>300</v>
      </c>
      <c r="G10" s="205"/>
      <c r="H10" s="206">
        <v>43101</v>
      </c>
      <c r="I10" s="207">
        <f>IF(M10="",N10/L10,M10)</f>
        <v>66.666666666666671</v>
      </c>
      <c r="J10" s="208">
        <f>I10/(O10/L10)</f>
        <v>6.6666666666666666E-2</v>
      </c>
      <c r="K10" s="209">
        <v>44926</v>
      </c>
      <c r="L10" s="210">
        <v>3</v>
      </c>
      <c r="M10" s="211"/>
      <c r="N10" s="211">
        <v>200</v>
      </c>
      <c r="O10" s="212">
        <v>3000</v>
      </c>
      <c r="P10" s="213">
        <v>0.01</v>
      </c>
      <c r="Q10" s="213">
        <v>300</v>
      </c>
      <c r="R10" s="204">
        <v>0.09</v>
      </c>
      <c r="S10" s="214">
        <v>44734</v>
      </c>
      <c r="T10" s="251">
        <v>207448</v>
      </c>
      <c r="U10" s="251">
        <v>25528</v>
      </c>
      <c r="V10" s="214">
        <v>44917</v>
      </c>
      <c r="W10" s="251">
        <v>226527</v>
      </c>
      <c r="X10" s="251">
        <v>27586</v>
      </c>
      <c r="Y10" s="126">
        <f>(V10-S10)/30.42</f>
        <v>6.0157790927021697</v>
      </c>
      <c r="Z10" s="30">
        <f>W10-T10</f>
        <v>19079</v>
      </c>
      <c r="AA10" s="30">
        <f>X10-U10</f>
        <v>2058</v>
      </c>
      <c r="AB10" s="85">
        <f>Z10/Y10</f>
        <v>3171.492786885246</v>
      </c>
      <c r="AC10" s="85">
        <f>AA10/Y10</f>
        <v>342.10032786885245</v>
      </c>
      <c r="AD10" s="32">
        <f>AB10-O10/L10</f>
        <v>2171.492786885246</v>
      </c>
      <c r="AE10" s="32">
        <f>AC10-Q10/L10</f>
        <v>242.10032786885245</v>
      </c>
      <c r="AF10" s="94">
        <f>AD10*Y10</f>
        <v>13063.220907297831</v>
      </c>
      <c r="AG10" s="94">
        <f>AE10*Y10</f>
        <v>1456.4220907297829</v>
      </c>
      <c r="AH10" s="86">
        <f>AF10*P10</f>
        <v>130.63220907297833</v>
      </c>
      <c r="AI10" s="86">
        <f>AG10*R10</f>
        <v>131.07798816568047</v>
      </c>
      <c r="AJ10" s="91"/>
      <c r="AK10" s="91"/>
      <c r="AN10" s="215"/>
      <c r="AO10" s="215"/>
      <c r="AP10" s="215"/>
      <c r="AQ10" s="219"/>
      <c r="AR10" s="203" t="s">
        <v>302</v>
      </c>
      <c r="AT10" s="216"/>
    </row>
  </sheetData>
  <conditionalFormatting sqref="AC1:AH9">
    <cfRule type="cellIs" dxfId="9" priority="6" operator="lessThanOrEqual">
      <formula>0</formula>
    </cfRule>
  </conditionalFormatting>
  <conditionalFormatting sqref="AD10:AI10">
    <cfRule type="cellIs" dxfId="8" priority="3" operator="lessThanOrEqual">
      <formula>0</formula>
    </cfRule>
  </conditionalFormatting>
  <conditionalFormatting sqref="AM1:AM9">
    <cfRule type="expression" dxfId="7" priority="5">
      <formula>$AM1&lt;$AI1</formula>
    </cfRule>
  </conditionalFormatting>
  <conditionalFormatting sqref="AN1:AN9">
    <cfRule type="expression" dxfId="6" priority="4">
      <formula>$AN1&lt;$AJ1</formula>
    </cfRule>
  </conditionalFormatting>
  <conditionalFormatting sqref="AO10">
    <cfRule type="expression" dxfId="5" priority="2">
      <formula>$AO10&lt;$AJ10</formula>
    </cfRule>
  </conditionalFormatting>
  <conditionalFormatting sqref="AP10">
    <cfRule type="expression" dxfId="4" priority="1">
      <formula>$AP10&lt;$AK10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4728-E5A1-4351-92B0-C7E0F9DF76F3}">
  <dimension ref="E3:W17"/>
  <sheetViews>
    <sheetView workbookViewId="0">
      <selection activeCell="E27" sqref="E27"/>
    </sheetView>
  </sheetViews>
  <sheetFormatPr defaultRowHeight="15" x14ac:dyDescent="0.25"/>
  <cols>
    <col min="5" max="5" width="28.42578125" customWidth="1"/>
    <col min="6" max="6" width="11" style="1" bestFit="1" customWidth="1"/>
    <col min="7" max="7" width="11" bestFit="1" customWidth="1"/>
    <col min="18" max="18" width="13.5703125" customWidth="1"/>
  </cols>
  <sheetData>
    <row r="3" spans="5:23" x14ac:dyDescent="0.25">
      <c r="K3" s="259"/>
      <c r="L3" s="260"/>
      <c r="M3" s="260"/>
      <c r="N3" s="260"/>
      <c r="O3" s="260"/>
      <c r="P3" s="260"/>
      <c r="Q3" s="260"/>
      <c r="R3" s="261"/>
      <c r="S3" s="260"/>
      <c r="T3" s="260"/>
      <c r="U3" s="260"/>
      <c r="V3" s="260"/>
      <c r="W3" s="262"/>
    </row>
    <row r="4" spans="5:23" x14ac:dyDescent="0.25">
      <c r="F4" s="200">
        <f>SUM(F6:F8)</f>
        <v>4582</v>
      </c>
      <c r="K4" s="263"/>
      <c r="R4" s="125"/>
      <c r="V4" s="125"/>
      <c r="W4" s="264"/>
    </row>
    <row r="5" spans="5:23" x14ac:dyDescent="0.25">
      <c r="K5" s="263"/>
      <c r="R5" s="125" t="s">
        <v>320</v>
      </c>
      <c r="V5" s="125" t="s">
        <v>321</v>
      </c>
      <c r="W5" s="264"/>
    </row>
    <row r="6" spans="5:23" x14ac:dyDescent="0.25">
      <c r="E6" t="s">
        <v>214</v>
      </c>
      <c r="F6" s="1">
        <v>3317</v>
      </c>
      <c r="K6" s="263"/>
      <c r="R6" s="125"/>
      <c r="V6" s="125"/>
      <c r="W6" s="264"/>
    </row>
    <row r="7" spans="5:23" x14ac:dyDescent="0.25">
      <c r="E7" t="s">
        <v>215</v>
      </c>
      <c r="F7" s="1">
        <v>115</v>
      </c>
      <c r="K7" s="263"/>
      <c r="L7" t="s">
        <v>316</v>
      </c>
      <c r="M7" t="s">
        <v>317</v>
      </c>
      <c r="N7" t="s">
        <v>317</v>
      </c>
      <c r="O7" t="s">
        <v>317</v>
      </c>
      <c r="Q7" t="s">
        <v>318</v>
      </c>
      <c r="R7" s="125"/>
      <c r="S7" t="s">
        <v>319</v>
      </c>
      <c r="V7" s="125"/>
      <c r="W7" s="264"/>
    </row>
    <row r="8" spans="5:23" x14ac:dyDescent="0.25">
      <c r="E8" t="s">
        <v>215</v>
      </c>
      <c r="F8" s="1">
        <f>F7*10</f>
        <v>1150</v>
      </c>
      <c r="K8" s="263" t="s">
        <v>315</v>
      </c>
      <c r="L8" s="7">
        <v>130</v>
      </c>
      <c r="M8">
        <f>L8*3</f>
        <v>390</v>
      </c>
      <c r="N8" s="7">
        <v>5000</v>
      </c>
      <c r="O8">
        <v>6000</v>
      </c>
      <c r="Q8" s="7">
        <f>O8-N8</f>
        <v>1000</v>
      </c>
      <c r="R8" s="125">
        <f>U8*Q8</f>
        <v>10</v>
      </c>
      <c r="S8">
        <f>Q8/3</f>
        <v>333.33333333333331</v>
      </c>
      <c r="U8">
        <v>0.01</v>
      </c>
      <c r="V8" s="125">
        <f>S8*U8</f>
        <v>3.333333333333333</v>
      </c>
      <c r="W8" s="264"/>
    </row>
    <row r="9" spans="5:23" x14ac:dyDescent="0.25">
      <c r="K9" s="263"/>
      <c r="N9" s="7">
        <v>500</v>
      </c>
      <c r="O9">
        <v>12000</v>
      </c>
      <c r="Q9" s="7">
        <f>O9-N9</f>
        <v>11500</v>
      </c>
      <c r="R9" s="125">
        <f>U9*Q9</f>
        <v>920</v>
      </c>
      <c r="S9">
        <f>Q9/3</f>
        <v>3833.3333333333335</v>
      </c>
      <c r="U9">
        <v>0.08</v>
      </c>
      <c r="V9" s="125">
        <f>S9*U9</f>
        <v>306.66666666666669</v>
      </c>
      <c r="W9" s="264"/>
    </row>
    <row r="10" spans="5:23" x14ac:dyDescent="0.25">
      <c r="K10" s="263"/>
      <c r="R10" s="125"/>
      <c r="V10" s="125"/>
      <c r="W10" s="264"/>
    </row>
    <row r="11" spans="5:23" x14ac:dyDescent="0.25">
      <c r="F11" s="1">
        <f>170*48</f>
        <v>8160</v>
      </c>
      <c r="G11" s="35">
        <f>F11-F4</f>
        <v>3578</v>
      </c>
      <c r="K11" s="263"/>
      <c r="R11" s="125"/>
      <c r="V11" s="125"/>
      <c r="W11" s="264"/>
    </row>
    <row r="12" spans="5:23" x14ac:dyDescent="0.25">
      <c r="K12" s="263"/>
      <c r="R12" s="125"/>
      <c r="W12" s="264"/>
    </row>
    <row r="13" spans="5:23" x14ac:dyDescent="0.25">
      <c r="K13" s="263"/>
      <c r="R13" s="125"/>
      <c r="W13" s="264"/>
    </row>
    <row r="14" spans="5:23" x14ac:dyDescent="0.25">
      <c r="K14" s="263"/>
      <c r="W14" s="264"/>
    </row>
    <row r="15" spans="5:23" x14ac:dyDescent="0.25">
      <c r="K15" s="267" t="s">
        <v>322</v>
      </c>
      <c r="L15" s="7"/>
      <c r="M15" s="7"/>
      <c r="O15">
        <f>V8+V9+L8</f>
        <v>440</v>
      </c>
      <c r="W15" s="264"/>
    </row>
    <row r="16" spans="5:23" x14ac:dyDescent="0.25">
      <c r="K16" s="263"/>
      <c r="W16" s="264"/>
    </row>
    <row r="17" spans="11:23" x14ac:dyDescent="0.25">
      <c r="K17" s="265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8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24C6-E5BD-48D9-B69A-08FCFA2DE1DA}">
  <dimension ref="A1:AJ38"/>
  <sheetViews>
    <sheetView zoomScale="85" zoomScaleNormal="85" workbookViewId="0">
      <pane xSplit="3" topLeftCell="D1" activePane="topRight" state="frozen"/>
      <selection pane="topRight" activeCell="B20" sqref="B20"/>
    </sheetView>
  </sheetViews>
  <sheetFormatPr defaultRowHeight="15" x14ac:dyDescent="0.25"/>
  <cols>
    <col min="1" max="1" width="6.42578125" hidden="1" customWidth="1"/>
    <col min="2" max="2" width="6.85546875" customWidth="1"/>
    <col min="3" max="3" width="24.140625" customWidth="1"/>
    <col min="4" max="4" width="14.5703125" style="82" customWidth="1"/>
    <col min="5" max="5" width="17.42578125" style="23" customWidth="1"/>
    <col min="6" max="6" width="7.85546875" style="23" customWidth="1"/>
    <col min="7" max="7" width="12.140625" style="47" customWidth="1"/>
    <col min="8" max="8" width="7" style="42" customWidth="1"/>
    <col min="9" max="9" width="11" bestFit="1" customWidth="1"/>
    <col min="10" max="10" width="10.85546875" customWidth="1"/>
    <col min="11" max="11" width="10.140625" style="5" customWidth="1"/>
    <col min="12" max="12" width="6.42578125" style="3" customWidth="1"/>
    <col min="13" max="13" width="10.7109375" style="3" customWidth="1"/>
    <col min="14" max="14" width="8.7109375" customWidth="1"/>
    <col min="15" max="15" width="11.85546875" style="3" customWidth="1"/>
    <col min="16" max="16" width="9.42578125" style="3" customWidth="1"/>
    <col min="17" max="17" width="9.85546875" style="3" customWidth="1"/>
    <col min="18" max="18" width="12.140625" style="3" customWidth="1"/>
    <col min="19" max="20" width="9.28515625" style="3" bestFit="1" customWidth="1"/>
    <col min="21" max="21" width="11.5703125" style="3" customWidth="1"/>
    <col min="22" max="22" width="9.42578125" style="3" customWidth="1"/>
    <col min="23" max="23" width="9" style="3" customWidth="1"/>
    <col min="24" max="24" width="8.42578125" style="3" customWidth="1"/>
    <col min="25" max="25" width="9.140625" customWidth="1"/>
    <col min="26" max="26" width="9" customWidth="1"/>
    <col min="27" max="27" width="8.5703125" customWidth="1"/>
    <col min="28" max="28" width="9.5703125" style="7" customWidth="1"/>
    <col min="29" max="29" width="8.140625" style="7" customWidth="1"/>
    <col min="30" max="30" width="10.5703125" customWidth="1"/>
    <col min="31" max="31" width="10.28515625" customWidth="1"/>
    <col min="32" max="32" width="16" style="91" customWidth="1"/>
    <col min="33" max="33" width="16.7109375" style="91" customWidth="1"/>
  </cols>
  <sheetData>
    <row r="1" spans="1:36" ht="114" customHeight="1" x14ac:dyDescent="0.25">
      <c r="A1" s="87" t="s">
        <v>109</v>
      </c>
      <c r="B1" s="88"/>
      <c r="C1" s="13" t="s">
        <v>22</v>
      </c>
      <c r="D1" s="79" t="s">
        <v>18</v>
      </c>
      <c r="E1" s="22" t="s">
        <v>17</v>
      </c>
      <c r="F1" s="22" t="s">
        <v>115</v>
      </c>
      <c r="G1" s="79" t="s">
        <v>19</v>
      </c>
      <c r="H1" s="83" t="s">
        <v>70</v>
      </c>
      <c r="I1" s="25" t="s">
        <v>1</v>
      </c>
      <c r="J1" s="84" t="s">
        <v>2</v>
      </c>
      <c r="K1" s="9" t="s">
        <v>59</v>
      </c>
      <c r="L1" s="8" t="s">
        <v>60</v>
      </c>
      <c r="M1" s="92" t="s">
        <v>58</v>
      </c>
      <c r="N1" s="93" t="s">
        <v>108</v>
      </c>
      <c r="O1" s="110" t="s">
        <v>21</v>
      </c>
      <c r="P1" s="110" t="s">
        <v>55</v>
      </c>
      <c r="Q1" s="110" t="s">
        <v>56</v>
      </c>
      <c r="R1" s="111" t="s">
        <v>117</v>
      </c>
      <c r="S1" s="111" t="s">
        <v>52</v>
      </c>
      <c r="T1" s="111" t="s">
        <v>46</v>
      </c>
      <c r="U1" s="31" t="s">
        <v>95</v>
      </c>
      <c r="V1" s="31" t="s">
        <v>67</v>
      </c>
      <c r="W1" s="31" t="s">
        <v>66</v>
      </c>
      <c r="X1" s="26" t="s">
        <v>62</v>
      </c>
      <c r="Y1" s="26" t="s">
        <v>63</v>
      </c>
      <c r="Z1" s="27" t="s">
        <v>64</v>
      </c>
      <c r="AA1" s="27" t="s">
        <v>65</v>
      </c>
      <c r="AB1" s="95" t="s">
        <v>98</v>
      </c>
      <c r="AC1" s="95" t="s">
        <v>99</v>
      </c>
      <c r="AD1" s="27" t="s">
        <v>97</v>
      </c>
      <c r="AE1" s="27" t="s">
        <v>96</v>
      </c>
      <c r="AF1" s="90" t="s">
        <v>110</v>
      </c>
      <c r="AG1" s="90" t="s">
        <v>113</v>
      </c>
      <c r="AH1" s="89" t="s">
        <v>111</v>
      </c>
      <c r="AI1" s="89" t="s">
        <v>112</v>
      </c>
      <c r="AJ1" s="89"/>
    </row>
    <row r="2" spans="1:36" x14ac:dyDescent="0.25">
      <c r="B2" t="s">
        <v>107</v>
      </c>
      <c r="C2" s="48" t="s">
        <v>50</v>
      </c>
      <c r="D2" s="80">
        <v>43734</v>
      </c>
      <c r="E2" s="38" t="s">
        <v>13</v>
      </c>
      <c r="F2" s="38"/>
      <c r="G2" s="99">
        <v>45564</v>
      </c>
      <c r="H2" s="100">
        <v>3</v>
      </c>
      <c r="I2" s="101"/>
      <c r="J2" s="101">
        <v>200</v>
      </c>
      <c r="K2" s="102">
        <v>3000</v>
      </c>
      <c r="L2" s="108">
        <v>0.01</v>
      </c>
      <c r="M2" s="103">
        <v>300</v>
      </c>
      <c r="N2" s="108">
        <v>0.08</v>
      </c>
      <c r="O2" s="112">
        <v>43734</v>
      </c>
      <c r="P2" s="113">
        <v>0</v>
      </c>
      <c r="Q2" s="113">
        <v>0</v>
      </c>
      <c r="R2" s="115">
        <v>43840</v>
      </c>
      <c r="S2" s="116">
        <v>11109</v>
      </c>
      <c r="T2" s="116">
        <v>2605</v>
      </c>
      <c r="U2" s="98">
        <f t="shared" ref="U2:U32" si="0">DAYS360(O2,R2)/30.41</f>
        <v>3.419927655376521</v>
      </c>
      <c r="V2" s="30">
        <f t="shared" ref="V2:V32" si="1">S2-P2</f>
        <v>11109</v>
      </c>
      <c r="W2" s="30">
        <f t="shared" ref="W2:W32" si="2">T2-Q2</f>
        <v>2605</v>
      </c>
      <c r="X2" s="85">
        <f t="shared" ref="X2:X32" si="3">V2/U2</f>
        <v>3248.3143269230768</v>
      </c>
      <c r="Y2" s="85">
        <f t="shared" ref="Y2:Y32" si="4">W2/U2</f>
        <v>761.71201923076922</v>
      </c>
      <c r="Z2" s="32">
        <f t="shared" ref="Z2:Z32" si="5">X2-K2/H2</f>
        <v>2248.3143269230768</v>
      </c>
      <c r="AA2" s="32">
        <f t="shared" ref="AA2:AA32" si="6">Y2-M2/H2</f>
        <v>661.71201923076922</v>
      </c>
      <c r="AB2" s="94">
        <f t="shared" ref="AB2:AB32" si="7">Z2*U2</f>
        <v>7689.0723446234788</v>
      </c>
      <c r="AC2" s="94">
        <f t="shared" ref="AC2:AC32" si="8">AA2*U2</f>
        <v>2263.0072344623482</v>
      </c>
      <c r="AD2" s="86">
        <f t="shared" ref="AD2:AD32" si="9">AB2*L2</f>
        <v>76.890723446234787</v>
      </c>
      <c r="AE2" s="86">
        <f t="shared" ref="AE2:AE32" si="10">AC2*N2</f>
        <v>181.04057875698786</v>
      </c>
      <c r="AF2" s="91">
        <f t="shared" ref="AF2" si="11">S2/AH2</f>
        <v>0.55545</v>
      </c>
      <c r="AG2" s="91">
        <f t="shared" ref="AG2" si="12">T2/AI2</f>
        <v>0.21708333333333332</v>
      </c>
      <c r="AH2" s="108">
        <v>20000</v>
      </c>
      <c r="AI2" s="108">
        <v>12000</v>
      </c>
    </row>
    <row r="3" spans="1:36" x14ac:dyDescent="0.25">
      <c r="B3" t="s">
        <v>107</v>
      </c>
      <c r="C3" s="48" t="s">
        <v>100</v>
      </c>
      <c r="D3" s="80">
        <v>43668</v>
      </c>
      <c r="E3" s="38" t="s">
        <v>125</v>
      </c>
      <c r="F3" s="38"/>
      <c r="G3" s="99">
        <v>44764</v>
      </c>
      <c r="H3" s="100">
        <v>1</v>
      </c>
      <c r="I3" s="101">
        <v>49</v>
      </c>
      <c r="J3" s="101"/>
      <c r="K3" s="102">
        <v>2000</v>
      </c>
      <c r="L3" s="108">
        <v>0.01</v>
      </c>
      <c r="M3" s="103"/>
      <c r="N3" s="108"/>
      <c r="O3" s="121">
        <v>43668</v>
      </c>
      <c r="P3" s="120">
        <v>0</v>
      </c>
      <c r="Q3" s="120">
        <v>0</v>
      </c>
      <c r="R3" s="115">
        <v>43824</v>
      </c>
      <c r="S3" s="116">
        <v>18943</v>
      </c>
      <c r="T3" s="114"/>
      <c r="U3" s="98">
        <f t="shared" si="0"/>
        <v>5.0312397237750739</v>
      </c>
      <c r="V3" s="30">
        <f t="shared" si="1"/>
        <v>18943</v>
      </c>
      <c r="W3" s="30">
        <f t="shared" si="2"/>
        <v>0</v>
      </c>
      <c r="X3" s="85">
        <f t="shared" si="3"/>
        <v>3765.0760130718954</v>
      </c>
      <c r="Y3" s="85">
        <f t="shared" si="4"/>
        <v>0</v>
      </c>
      <c r="Z3" s="32">
        <f t="shared" si="5"/>
        <v>1765.0760130718954</v>
      </c>
      <c r="AA3" s="32">
        <f t="shared" si="6"/>
        <v>0</v>
      </c>
      <c r="AB3" s="94">
        <f t="shared" si="7"/>
        <v>8880.5205524498524</v>
      </c>
      <c r="AC3" s="94">
        <f t="shared" si="8"/>
        <v>0</v>
      </c>
      <c r="AD3" s="86">
        <f t="shared" si="9"/>
        <v>88.805205524498533</v>
      </c>
      <c r="AE3" s="86">
        <f t="shared" si="10"/>
        <v>0</v>
      </c>
      <c r="AF3" s="91">
        <f t="shared" ref="AF3" si="13">S3/AH3</f>
        <v>0.94715000000000005</v>
      </c>
      <c r="AG3" s="91">
        <f t="shared" ref="AG3" si="14">T3/AI3</f>
        <v>0</v>
      </c>
      <c r="AH3" s="108">
        <v>20000</v>
      </c>
      <c r="AI3" s="108">
        <v>12000</v>
      </c>
    </row>
    <row r="4" spans="1:36" x14ac:dyDescent="0.25">
      <c r="B4" t="s">
        <v>107</v>
      </c>
      <c r="C4" s="48" t="s">
        <v>100</v>
      </c>
      <c r="D4" s="80">
        <v>43474</v>
      </c>
      <c r="E4" s="38" t="s">
        <v>13</v>
      </c>
      <c r="F4" s="38" t="s">
        <v>119</v>
      </c>
      <c r="G4" s="99">
        <v>45291</v>
      </c>
      <c r="H4" s="100">
        <v>1</v>
      </c>
      <c r="I4" s="101">
        <v>66.66</v>
      </c>
      <c r="J4" s="101">
        <v>0</v>
      </c>
      <c r="K4" s="102">
        <v>1000</v>
      </c>
      <c r="L4" s="108">
        <v>0.01</v>
      </c>
      <c r="M4" s="103">
        <v>100</v>
      </c>
      <c r="N4" s="108">
        <v>0.08</v>
      </c>
      <c r="O4" s="115">
        <v>43641</v>
      </c>
      <c r="P4" s="116">
        <v>30737</v>
      </c>
      <c r="Q4" s="116">
        <v>5980</v>
      </c>
      <c r="R4" s="117">
        <v>43830</v>
      </c>
      <c r="S4" s="118">
        <v>44129</v>
      </c>
      <c r="T4" s="118">
        <v>10900</v>
      </c>
      <c r="U4" s="98">
        <f t="shared" si="0"/>
        <v>6.1164090759618546</v>
      </c>
      <c r="V4" s="30">
        <f t="shared" si="1"/>
        <v>13392</v>
      </c>
      <c r="W4" s="30">
        <f t="shared" si="2"/>
        <v>4920</v>
      </c>
      <c r="X4" s="85">
        <f t="shared" si="3"/>
        <v>2189.52</v>
      </c>
      <c r="Y4" s="85">
        <f t="shared" si="4"/>
        <v>804.39354838709676</v>
      </c>
      <c r="Z4" s="32">
        <f t="shared" si="5"/>
        <v>1189.52</v>
      </c>
      <c r="AA4" s="32">
        <f t="shared" si="6"/>
        <v>704.39354838709676</v>
      </c>
      <c r="AB4" s="94">
        <f t="shared" si="7"/>
        <v>7275.5909240381452</v>
      </c>
      <c r="AC4" s="94">
        <f t="shared" si="8"/>
        <v>4308.3590924038144</v>
      </c>
      <c r="AD4" s="86">
        <f t="shared" si="9"/>
        <v>72.755909240381456</v>
      </c>
      <c r="AE4" s="86">
        <f t="shared" si="10"/>
        <v>344.66872739230519</v>
      </c>
      <c r="AF4" s="91">
        <f t="shared" ref="AF4:AF5" si="15">S4/AH4</f>
        <v>1.7651600000000001</v>
      </c>
      <c r="AG4" s="91">
        <f t="shared" ref="AG4:AG5" si="16">T4/AI4</f>
        <v>0.90833333333333333</v>
      </c>
      <c r="AH4" s="108">
        <v>25000</v>
      </c>
      <c r="AI4" s="108">
        <v>12000</v>
      </c>
    </row>
    <row r="5" spans="1:36" x14ac:dyDescent="0.25">
      <c r="B5" t="s">
        <v>107</v>
      </c>
      <c r="C5" s="48" t="s">
        <v>100</v>
      </c>
      <c r="D5" s="80">
        <v>44014</v>
      </c>
      <c r="E5" s="38" t="s">
        <v>118</v>
      </c>
      <c r="F5" s="38" t="s">
        <v>120</v>
      </c>
      <c r="G5" s="99">
        <v>45474</v>
      </c>
      <c r="H5" s="100">
        <v>1</v>
      </c>
      <c r="I5" s="101">
        <v>90</v>
      </c>
      <c r="J5" s="101"/>
      <c r="K5" s="102">
        <v>5000</v>
      </c>
      <c r="L5" s="108">
        <v>0.01</v>
      </c>
      <c r="M5" s="103"/>
      <c r="N5" s="108"/>
      <c r="O5" s="119">
        <v>43648</v>
      </c>
      <c r="P5" s="120">
        <v>0</v>
      </c>
      <c r="Q5" s="120">
        <v>0</v>
      </c>
      <c r="R5" s="115">
        <v>43828</v>
      </c>
      <c r="S5" s="116">
        <v>46902</v>
      </c>
      <c r="T5" s="114"/>
      <c r="U5" s="98">
        <f>(DAYS360(O5,R5)/30.41)</f>
        <v>5.8204537980927329</v>
      </c>
      <c r="V5" s="30">
        <f t="shared" si="1"/>
        <v>46902</v>
      </c>
      <c r="W5" s="30">
        <f t="shared" si="2"/>
        <v>0</v>
      </c>
      <c r="X5" s="85">
        <f t="shared" si="3"/>
        <v>8058.1345762711862</v>
      </c>
      <c r="Y5" s="85">
        <f t="shared" si="4"/>
        <v>0</v>
      </c>
      <c r="Z5" s="32">
        <f t="shared" si="5"/>
        <v>3058.1345762711862</v>
      </c>
      <c r="AA5" s="32">
        <f t="shared" si="6"/>
        <v>0</v>
      </c>
      <c r="AB5" s="94">
        <f t="shared" si="7"/>
        <v>17799.731009536335</v>
      </c>
      <c r="AC5" s="94">
        <f t="shared" si="8"/>
        <v>0</v>
      </c>
      <c r="AD5" s="86">
        <f t="shared" si="9"/>
        <v>177.99731009536336</v>
      </c>
      <c r="AE5" s="86">
        <f t="shared" si="10"/>
        <v>0</v>
      </c>
      <c r="AF5" s="91">
        <f t="shared" si="15"/>
        <v>1.87608</v>
      </c>
      <c r="AG5" s="91">
        <f t="shared" si="16"/>
        <v>0</v>
      </c>
      <c r="AH5" s="108">
        <v>25000</v>
      </c>
      <c r="AI5" s="108">
        <v>12000</v>
      </c>
    </row>
    <row r="6" spans="1:36" ht="15.75" thickBot="1" x14ac:dyDescent="0.3">
      <c r="B6" t="s">
        <v>107</v>
      </c>
      <c r="C6" s="48" t="s">
        <v>100</v>
      </c>
      <c r="D6" s="80">
        <v>43648</v>
      </c>
      <c r="E6" s="38" t="s">
        <v>118</v>
      </c>
      <c r="F6" s="38" t="s">
        <v>121</v>
      </c>
      <c r="G6" s="99">
        <v>45474</v>
      </c>
      <c r="H6" s="100">
        <v>1</v>
      </c>
      <c r="I6" s="101">
        <v>90</v>
      </c>
      <c r="J6" s="101"/>
      <c r="K6" s="102">
        <v>5000</v>
      </c>
      <c r="L6" s="108">
        <v>0.01</v>
      </c>
      <c r="M6" s="103"/>
      <c r="N6" s="108"/>
      <c r="O6" s="121">
        <v>43648</v>
      </c>
      <c r="P6" s="120">
        <v>0</v>
      </c>
      <c r="Q6" s="120">
        <v>0</v>
      </c>
      <c r="R6" s="139">
        <v>43828</v>
      </c>
      <c r="S6" s="116">
        <v>32444</v>
      </c>
      <c r="T6" s="114"/>
      <c r="U6" s="98">
        <f t="shared" si="0"/>
        <v>5.8204537980927329</v>
      </c>
      <c r="V6" s="30">
        <f t="shared" si="1"/>
        <v>32444</v>
      </c>
      <c r="W6" s="30">
        <f t="shared" si="2"/>
        <v>0</v>
      </c>
      <c r="X6" s="85">
        <f t="shared" si="3"/>
        <v>5574.1358192090393</v>
      </c>
      <c r="Y6" s="85">
        <f t="shared" si="4"/>
        <v>0</v>
      </c>
      <c r="Z6" s="32">
        <f t="shared" si="5"/>
        <v>574.13581920903925</v>
      </c>
      <c r="AA6" s="32">
        <f t="shared" si="6"/>
        <v>0</v>
      </c>
      <c r="AB6" s="94">
        <f t="shared" si="7"/>
        <v>3341.731009536335</v>
      </c>
      <c r="AC6" s="94">
        <f t="shared" si="8"/>
        <v>0</v>
      </c>
      <c r="AD6" s="86">
        <f t="shared" si="9"/>
        <v>33.417310095363348</v>
      </c>
      <c r="AE6" s="86">
        <f t="shared" si="10"/>
        <v>0</v>
      </c>
      <c r="AF6" s="91">
        <f t="shared" ref="AF6" si="17">S6/AH6</f>
        <v>1.6222000000000001</v>
      </c>
      <c r="AG6" s="91">
        <f t="shared" ref="AG6" si="18">T6/AI6</f>
        <v>0</v>
      </c>
      <c r="AH6" s="108">
        <v>20000</v>
      </c>
      <c r="AI6" s="108">
        <v>12000</v>
      </c>
    </row>
    <row r="7" spans="1:36" s="141" customFormat="1" ht="15.75" thickBot="1" x14ac:dyDescent="0.3">
      <c r="B7" s="141" t="s">
        <v>107</v>
      </c>
      <c r="C7" s="142" t="s">
        <v>122</v>
      </c>
      <c r="D7" s="143">
        <v>43704</v>
      </c>
      <c r="E7" s="144" t="s">
        <v>13</v>
      </c>
      <c r="F7" s="144"/>
      <c r="G7" s="145">
        <v>45531</v>
      </c>
      <c r="H7" s="146">
        <v>3</v>
      </c>
      <c r="I7" s="147"/>
      <c r="J7" s="147">
        <v>207</v>
      </c>
      <c r="K7" s="148">
        <v>3000</v>
      </c>
      <c r="L7" s="149">
        <v>0.01</v>
      </c>
      <c r="M7" s="150">
        <v>300</v>
      </c>
      <c r="N7" s="149">
        <v>0.08</v>
      </c>
      <c r="O7" s="151">
        <v>43801</v>
      </c>
      <c r="P7" s="152">
        <v>4151</v>
      </c>
      <c r="Q7" s="153">
        <v>735</v>
      </c>
      <c r="R7" s="154">
        <v>43921</v>
      </c>
      <c r="S7" s="155">
        <v>10355</v>
      </c>
      <c r="T7" s="156">
        <v>1479</v>
      </c>
      <c r="U7" s="157">
        <f t="shared" si="0"/>
        <v>3.9131864518250574</v>
      </c>
      <c r="V7" s="158">
        <f t="shared" si="1"/>
        <v>6204</v>
      </c>
      <c r="W7" s="158">
        <f t="shared" si="2"/>
        <v>744</v>
      </c>
      <c r="X7" s="159">
        <f t="shared" si="3"/>
        <v>1585.4087394957983</v>
      </c>
      <c r="Y7" s="159">
        <f t="shared" si="4"/>
        <v>190.12638655462186</v>
      </c>
      <c r="Z7" s="160">
        <f t="shared" si="5"/>
        <v>585.40873949579827</v>
      </c>
      <c r="AA7" s="160">
        <f t="shared" si="6"/>
        <v>90.12638655462186</v>
      </c>
      <c r="AB7" s="161">
        <f t="shared" si="7"/>
        <v>2290.8135481749423</v>
      </c>
      <c r="AC7" s="161">
        <f t="shared" si="8"/>
        <v>352.68135481749425</v>
      </c>
      <c r="AD7" s="162">
        <f t="shared" si="9"/>
        <v>22.908135481749422</v>
      </c>
      <c r="AE7" s="162">
        <f t="shared" si="10"/>
        <v>28.21450838539954</v>
      </c>
      <c r="AF7" s="163">
        <f t="shared" ref="AF7" si="19">S7/AH7</f>
        <v>0.51775000000000004</v>
      </c>
      <c r="AG7" s="163">
        <f t="shared" ref="AG7" si="20">T7/AI7</f>
        <v>0.12325</v>
      </c>
      <c r="AH7" s="149">
        <v>20000</v>
      </c>
      <c r="AI7" s="149">
        <v>12000</v>
      </c>
    </row>
    <row r="8" spans="1:36" x14ac:dyDescent="0.25">
      <c r="B8" t="s">
        <v>107</v>
      </c>
      <c r="C8" s="48" t="s">
        <v>80</v>
      </c>
      <c r="D8" s="80">
        <v>43340</v>
      </c>
      <c r="E8" s="38" t="s">
        <v>13</v>
      </c>
      <c r="F8" s="38"/>
      <c r="G8" s="99">
        <v>45168</v>
      </c>
      <c r="H8" s="100">
        <v>3</v>
      </c>
      <c r="I8" s="101"/>
      <c r="J8" s="101">
        <v>200</v>
      </c>
      <c r="K8" s="102">
        <v>3000</v>
      </c>
      <c r="L8" s="108">
        <v>0.01</v>
      </c>
      <c r="M8" s="103">
        <v>300</v>
      </c>
      <c r="N8" s="108">
        <v>0.08</v>
      </c>
      <c r="O8" s="115">
        <v>43640</v>
      </c>
      <c r="P8" s="116">
        <v>6215</v>
      </c>
      <c r="Q8" s="116">
        <v>14118</v>
      </c>
      <c r="R8" s="140">
        <v>43829</v>
      </c>
      <c r="S8" s="116">
        <v>17630</v>
      </c>
      <c r="T8" s="118">
        <v>16282</v>
      </c>
      <c r="U8" s="98">
        <f t="shared" si="0"/>
        <v>6.1164090759618546</v>
      </c>
      <c r="V8" s="30">
        <f t="shared" si="1"/>
        <v>11415</v>
      </c>
      <c r="W8" s="30">
        <f t="shared" si="2"/>
        <v>2164</v>
      </c>
      <c r="X8" s="85">
        <f t="shared" si="3"/>
        <v>1866.2911290322581</v>
      </c>
      <c r="Y8" s="85">
        <f t="shared" si="4"/>
        <v>353.80236559139786</v>
      </c>
      <c r="Z8" s="32">
        <f t="shared" si="5"/>
        <v>866.29112903225814</v>
      </c>
      <c r="AA8" s="32">
        <f t="shared" si="6"/>
        <v>253.80236559139786</v>
      </c>
      <c r="AB8" s="94">
        <f t="shared" si="7"/>
        <v>5298.5909240381461</v>
      </c>
      <c r="AC8" s="94">
        <f t="shared" si="8"/>
        <v>1552.3590924038147</v>
      </c>
      <c r="AD8" s="86">
        <f t="shared" si="9"/>
        <v>52.98590924038146</v>
      </c>
      <c r="AE8" s="86">
        <f t="shared" si="10"/>
        <v>124.18872739230518</v>
      </c>
      <c r="AF8" s="91">
        <f t="shared" ref="AF8" si="21">S8/AH8</f>
        <v>0.88149999999999995</v>
      </c>
      <c r="AG8" s="91">
        <f t="shared" ref="AG8" si="22">T8/AI8</f>
        <v>1.3568333333333333</v>
      </c>
      <c r="AH8" s="108">
        <v>20000</v>
      </c>
      <c r="AI8" s="108">
        <v>12000</v>
      </c>
    </row>
    <row r="9" spans="1:36" x14ac:dyDescent="0.25">
      <c r="B9" t="s">
        <v>107</v>
      </c>
      <c r="C9" s="48" t="s">
        <v>47</v>
      </c>
      <c r="D9" s="80">
        <v>43223</v>
      </c>
      <c r="E9" s="38" t="s">
        <v>13</v>
      </c>
      <c r="F9" s="38"/>
      <c r="G9" s="99">
        <v>45046</v>
      </c>
      <c r="H9" s="100">
        <v>3</v>
      </c>
      <c r="I9" s="101"/>
      <c r="J9" s="101">
        <v>200</v>
      </c>
      <c r="K9" s="102">
        <v>3000</v>
      </c>
      <c r="L9" s="108">
        <v>0.01</v>
      </c>
      <c r="M9" s="103">
        <v>300</v>
      </c>
      <c r="N9" s="108">
        <v>0.08</v>
      </c>
      <c r="O9" s="115">
        <v>43641</v>
      </c>
      <c r="P9" s="116">
        <v>10273</v>
      </c>
      <c r="Q9" s="116">
        <v>5400</v>
      </c>
      <c r="R9" s="117">
        <v>43829</v>
      </c>
      <c r="S9" s="116">
        <v>13377</v>
      </c>
      <c r="T9" s="118">
        <v>7434</v>
      </c>
      <c r="U9" s="98">
        <f t="shared" si="0"/>
        <v>6.0835251561986192</v>
      </c>
      <c r="V9" s="30">
        <f t="shared" si="1"/>
        <v>3104</v>
      </c>
      <c r="W9" s="30">
        <f t="shared" si="2"/>
        <v>2034</v>
      </c>
      <c r="X9" s="85">
        <f t="shared" si="3"/>
        <v>510.23048648648648</v>
      </c>
      <c r="Y9" s="85">
        <f t="shared" si="4"/>
        <v>334.3456216216216</v>
      </c>
      <c r="Z9" s="32">
        <f t="shared" si="5"/>
        <v>-489.76951351351352</v>
      </c>
      <c r="AA9" s="32">
        <f t="shared" si="6"/>
        <v>234.3456216216216</v>
      </c>
      <c r="AB9" s="94">
        <f t="shared" si="7"/>
        <v>-2979.5251561986192</v>
      </c>
      <c r="AC9" s="94">
        <f t="shared" si="8"/>
        <v>1425.6474843801382</v>
      </c>
      <c r="AD9" s="86">
        <f t="shared" si="9"/>
        <v>-29.795251561986191</v>
      </c>
      <c r="AE9" s="86">
        <f t="shared" si="10"/>
        <v>114.05179875041105</v>
      </c>
      <c r="AF9" s="91">
        <f t="shared" ref="AF9:AF32" si="23">S9/AH9</f>
        <v>0.66884999999999994</v>
      </c>
      <c r="AG9" s="91">
        <f t="shared" ref="AG9:AG32" si="24">T9/AI9</f>
        <v>0.61950000000000005</v>
      </c>
      <c r="AH9" s="108">
        <v>20000</v>
      </c>
      <c r="AI9" s="108">
        <v>12000</v>
      </c>
    </row>
    <row r="10" spans="1:36" x14ac:dyDescent="0.25">
      <c r="B10" t="s">
        <v>107</v>
      </c>
      <c r="C10" s="48" t="s">
        <v>126</v>
      </c>
      <c r="D10" s="80">
        <v>43864</v>
      </c>
      <c r="E10" s="38" t="s">
        <v>124</v>
      </c>
      <c r="F10" s="38"/>
      <c r="G10" s="99">
        <v>45691</v>
      </c>
      <c r="H10" s="100">
        <v>3</v>
      </c>
      <c r="I10" s="101"/>
      <c r="J10" s="101">
        <v>200</v>
      </c>
      <c r="K10" s="102">
        <v>3000</v>
      </c>
      <c r="L10" s="108">
        <v>0.01</v>
      </c>
      <c r="M10" s="103">
        <v>300</v>
      </c>
      <c r="N10" s="108">
        <v>0.08</v>
      </c>
      <c r="O10" s="115">
        <v>43864</v>
      </c>
      <c r="P10" s="116"/>
      <c r="Q10" s="116"/>
      <c r="R10" s="117"/>
      <c r="S10" s="116"/>
      <c r="T10" s="118"/>
      <c r="U10" s="98"/>
      <c r="V10" s="30"/>
      <c r="W10" s="30"/>
      <c r="X10" s="85"/>
      <c r="Y10" s="85"/>
      <c r="Z10" s="32"/>
      <c r="AA10" s="32"/>
      <c r="AB10" s="94"/>
      <c r="AC10" s="94"/>
      <c r="AD10" s="86"/>
      <c r="AE10" s="86"/>
      <c r="AH10" s="108"/>
      <c r="AI10" s="108"/>
    </row>
    <row r="11" spans="1:36" x14ac:dyDescent="0.25">
      <c r="B11" t="s">
        <v>116</v>
      </c>
      <c r="C11" s="164" t="s">
        <v>48</v>
      </c>
      <c r="D11" s="80">
        <v>43202</v>
      </c>
      <c r="E11" s="38" t="s">
        <v>13</v>
      </c>
      <c r="F11" s="38"/>
      <c r="G11" s="99">
        <v>45015</v>
      </c>
      <c r="H11" s="100">
        <v>3</v>
      </c>
      <c r="I11" s="101"/>
      <c r="J11" s="101">
        <v>200</v>
      </c>
      <c r="K11" s="102">
        <v>3000</v>
      </c>
      <c r="L11" s="108">
        <v>0.01</v>
      </c>
      <c r="M11" s="103">
        <v>300</v>
      </c>
      <c r="N11" s="108">
        <v>0.09</v>
      </c>
      <c r="O11" s="115">
        <v>43640</v>
      </c>
      <c r="P11" s="116">
        <v>30934</v>
      </c>
      <c r="Q11" s="116">
        <v>950</v>
      </c>
      <c r="R11" s="117">
        <v>43829</v>
      </c>
      <c r="S11" s="116">
        <v>42990</v>
      </c>
      <c r="T11" s="118">
        <v>1522</v>
      </c>
      <c r="U11" s="98">
        <f t="shared" si="0"/>
        <v>6.1164090759618546</v>
      </c>
      <c r="V11" s="30">
        <f t="shared" si="1"/>
        <v>12056</v>
      </c>
      <c r="W11" s="30">
        <f t="shared" si="2"/>
        <v>572</v>
      </c>
      <c r="X11" s="85">
        <f t="shared" si="3"/>
        <v>1971.0911827956988</v>
      </c>
      <c r="Y11" s="85">
        <f t="shared" si="4"/>
        <v>93.518924731182793</v>
      </c>
      <c r="Z11" s="32">
        <f t="shared" si="5"/>
        <v>971.09118279569884</v>
      </c>
      <c r="AA11" s="32">
        <f t="shared" si="6"/>
        <v>-6.4810752688172073</v>
      </c>
      <c r="AB11" s="94">
        <f t="shared" si="7"/>
        <v>5939.5909240381452</v>
      </c>
      <c r="AC11" s="94">
        <f t="shared" si="8"/>
        <v>-39.640907596185485</v>
      </c>
      <c r="AD11" s="86">
        <f t="shared" si="9"/>
        <v>59.395909240381457</v>
      </c>
      <c r="AE11" s="86">
        <f t="shared" si="10"/>
        <v>-3.5676816836566934</v>
      </c>
      <c r="AF11" s="91">
        <f t="shared" si="23"/>
        <v>2.1495000000000002</v>
      </c>
      <c r="AG11" s="91">
        <f t="shared" si="24"/>
        <v>0.12683333333333333</v>
      </c>
      <c r="AH11" s="108">
        <v>20000</v>
      </c>
      <c r="AI11" s="108">
        <v>12000</v>
      </c>
    </row>
    <row r="12" spans="1:36" x14ac:dyDescent="0.25">
      <c r="B12" t="s">
        <v>107</v>
      </c>
      <c r="C12" s="48" t="s">
        <v>53</v>
      </c>
      <c r="D12" s="80">
        <v>43270</v>
      </c>
      <c r="E12" s="38" t="s">
        <v>13</v>
      </c>
      <c r="F12" s="38"/>
      <c r="G12" s="99">
        <v>45076</v>
      </c>
      <c r="H12" s="100">
        <v>3</v>
      </c>
      <c r="I12" s="101"/>
      <c r="J12" s="101">
        <v>200</v>
      </c>
      <c r="K12" s="102">
        <v>3000</v>
      </c>
      <c r="L12" s="108">
        <v>0.01</v>
      </c>
      <c r="M12" s="103">
        <v>300</v>
      </c>
      <c r="N12" s="108">
        <v>0.08</v>
      </c>
      <c r="O12" s="115">
        <v>43640</v>
      </c>
      <c r="P12" s="116">
        <v>25491</v>
      </c>
      <c r="Q12" s="116">
        <v>17629</v>
      </c>
      <c r="R12" s="117">
        <v>43829</v>
      </c>
      <c r="S12" s="116">
        <v>49133</v>
      </c>
      <c r="T12" s="118">
        <v>20020</v>
      </c>
      <c r="U12" s="98">
        <f t="shared" si="0"/>
        <v>6.1164090759618546</v>
      </c>
      <c r="V12" s="30">
        <f t="shared" si="1"/>
        <v>23642</v>
      </c>
      <c r="W12" s="30">
        <f t="shared" si="2"/>
        <v>2391</v>
      </c>
      <c r="X12" s="85">
        <f t="shared" si="3"/>
        <v>3865.3398924731182</v>
      </c>
      <c r="Y12" s="85">
        <f t="shared" si="4"/>
        <v>390.91564516129034</v>
      </c>
      <c r="Z12" s="32">
        <f t="shared" si="5"/>
        <v>2865.3398924731182</v>
      </c>
      <c r="AA12" s="32">
        <f t="shared" si="6"/>
        <v>290.91564516129034</v>
      </c>
      <c r="AB12" s="94">
        <f t="shared" si="7"/>
        <v>17525.590924038144</v>
      </c>
      <c r="AC12" s="94">
        <f t="shared" si="8"/>
        <v>1779.3590924038147</v>
      </c>
      <c r="AD12" s="86">
        <f t="shared" si="9"/>
        <v>175.25590924038144</v>
      </c>
      <c r="AE12" s="86">
        <f t="shared" si="10"/>
        <v>142.34872739230516</v>
      </c>
      <c r="AF12" s="91">
        <f t="shared" si="23"/>
        <v>2.4566499999999998</v>
      </c>
      <c r="AG12" s="91">
        <f t="shared" si="24"/>
        <v>1.6683333333333332</v>
      </c>
      <c r="AH12" s="108">
        <v>20000</v>
      </c>
      <c r="AI12" s="108">
        <v>12000</v>
      </c>
    </row>
    <row r="13" spans="1:36" x14ac:dyDescent="0.25">
      <c r="B13" t="s">
        <v>107</v>
      </c>
      <c r="C13" s="48" t="s">
        <v>51</v>
      </c>
      <c r="D13" s="80">
        <v>43251</v>
      </c>
      <c r="E13" s="38" t="s">
        <v>13</v>
      </c>
      <c r="F13" s="38"/>
      <c r="G13" s="99">
        <v>45077</v>
      </c>
      <c r="H13" s="100">
        <v>3</v>
      </c>
      <c r="I13" s="101"/>
      <c r="J13" s="101">
        <v>200</v>
      </c>
      <c r="K13" s="102">
        <v>3000</v>
      </c>
      <c r="L13" s="108">
        <v>0.01</v>
      </c>
      <c r="M13" s="103">
        <v>300</v>
      </c>
      <c r="N13" s="108">
        <v>0.09</v>
      </c>
      <c r="O13" s="115">
        <v>43640</v>
      </c>
      <c r="P13" s="116">
        <v>7942</v>
      </c>
      <c r="Q13" s="116">
        <v>9576</v>
      </c>
      <c r="R13" s="117">
        <v>43822</v>
      </c>
      <c r="S13" s="116">
        <v>10600</v>
      </c>
      <c r="T13" s="118">
        <v>15429</v>
      </c>
      <c r="U13" s="98">
        <f t="shared" si="0"/>
        <v>5.8862216376192045</v>
      </c>
      <c r="V13" s="30">
        <f t="shared" si="1"/>
        <v>2658</v>
      </c>
      <c r="W13" s="30">
        <f t="shared" si="2"/>
        <v>5853</v>
      </c>
      <c r="X13" s="85">
        <f t="shared" si="3"/>
        <v>451.56301675977653</v>
      </c>
      <c r="Y13" s="85">
        <f t="shared" si="4"/>
        <v>994.35603351955308</v>
      </c>
      <c r="Z13" s="32">
        <f t="shared" si="5"/>
        <v>-548.43698324022353</v>
      </c>
      <c r="AA13" s="32">
        <f t="shared" si="6"/>
        <v>894.35603351955308</v>
      </c>
      <c r="AB13" s="94">
        <f t="shared" si="7"/>
        <v>-3228.2216376192046</v>
      </c>
      <c r="AC13" s="94">
        <f t="shared" si="8"/>
        <v>5264.3778362380799</v>
      </c>
      <c r="AD13" s="86">
        <f t="shared" si="9"/>
        <v>-32.282216376192046</v>
      </c>
      <c r="AE13" s="86">
        <f t="shared" si="10"/>
        <v>473.79400526142717</v>
      </c>
      <c r="AF13" s="91">
        <f t="shared" si="23"/>
        <v>0.53</v>
      </c>
      <c r="AG13" s="91">
        <f t="shared" si="24"/>
        <v>1.2857499999999999</v>
      </c>
      <c r="AH13" s="108">
        <v>20000</v>
      </c>
      <c r="AI13" s="108">
        <v>12000</v>
      </c>
    </row>
    <row r="14" spans="1:36" x14ac:dyDescent="0.25">
      <c r="B14" t="s">
        <v>107</v>
      </c>
      <c r="C14" s="48" t="s">
        <v>16</v>
      </c>
      <c r="D14" s="80">
        <v>43109</v>
      </c>
      <c r="E14" s="38" t="s">
        <v>13</v>
      </c>
      <c r="F14" s="38"/>
      <c r="G14" s="99">
        <v>44926</v>
      </c>
      <c r="H14" s="100">
        <v>3</v>
      </c>
      <c r="I14" s="101"/>
      <c r="J14" s="101">
        <v>200</v>
      </c>
      <c r="K14" s="102">
        <v>3000</v>
      </c>
      <c r="L14" s="108">
        <v>0.01</v>
      </c>
      <c r="M14" s="103">
        <v>300</v>
      </c>
      <c r="N14" s="108">
        <v>0.09</v>
      </c>
      <c r="O14" s="115">
        <v>43641</v>
      </c>
      <c r="P14" s="116">
        <v>9379</v>
      </c>
      <c r="Q14" s="116">
        <v>2099</v>
      </c>
      <c r="R14" s="117">
        <v>43829</v>
      </c>
      <c r="S14" s="116">
        <v>11487</v>
      </c>
      <c r="T14" s="118">
        <v>2499</v>
      </c>
      <c r="U14" s="98">
        <f t="shared" si="0"/>
        <v>6.0835251561986192</v>
      </c>
      <c r="V14" s="30">
        <f t="shared" si="1"/>
        <v>2108</v>
      </c>
      <c r="W14" s="30">
        <f t="shared" si="2"/>
        <v>400</v>
      </c>
      <c r="X14" s="85">
        <f t="shared" si="3"/>
        <v>346.50962162162159</v>
      </c>
      <c r="Y14" s="85">
        <f t="shared" si="4"/>
        <v>65.751351351351346</v>
      </c>
      <c r="Z14" s="32">
        <f t="shared" si="5"/>
        <v>-653.49037837837841</v>
      </c>
      <c r="AA14" s="32">
        <f t="shared" si="6"/>
        <v>-34.248648648648654</v>
      </c>
      <c r="AB14" s="94">
        <f t="shared" si="7"/>
        <v>-3975.5251561986192</v>
      </c>
      <c r="AC14" s="94">
        <f t="shared" si="8"/>
        <v>-208.35251561986192</v>
      </c>
      <c r="AD14" s="86">
        <f t="shared" si="9"/>
        <v>-39.755251561986192</v>
      </c>
      <c r="AE14" s="86">
        <f t="shared" si="10"/>
        <v>-18.751726405787572</v>
      </c>
      <c r="AF14" s="91">
        <f t="shared" si="23"/>
        <v>0.57435000000000003</v>
      </c>
      <c r="AG14" s="91">
        <f t="shared" si="24"/>
        <v>0.20824999999999999</v>
      </c>
      <c r="AH14" s="108">
        <v>20000</v>
      </c>
      <c r="AI14" s="108">
        <v>12000</v>
      </c>
    </row>
    <row r="15" spans="1:36" x14ac:dyDescent="0.25">
      <c r="B15" t="s">
        <v>107</v>
      </c>
      <c r="C15" s="48" t="s">
        <v>106</v>
      </c>
      <c r="D15" s="80">
        <v>43634</v>
      </c>
      <c r="E15" s="38" t="s">
        <v>13</v>
      </c>
      <c r="F15" s="38"/>
      <c r="G15" s="99">
        <v>45473</v>
      </c>
      <c r="H15" s="100">
        <v>3</v>
      </c>
      <c r="I15" s="101"/>
      <c r="J15" s="101">
        <v>200</v>
      </c>
      <c r="K15" s="102">
        <v>3000</v>
      </c>
      <c r="L15" s="108">
        <v>0.01</v>
      </c>
      <c r="M15" s="103">
        <v>300</v>
      </c>
      <c r="N15" s="108">
        <v>0.08</v>
      </c>
      <c r="O15" s="115">
        <v>43634</v>
      </c>
      <c r="P15" s="116">
        <v>0</v>
      </c>
      <c r="Q15" s="116">
        <v>0</v>
      </c>
      <c r="R15" s="117">
        <v>43831</v>
      </c>
      <c r="S15" s="116">
        <v>8776</v>
      </c>
      <c r="T15" s="118">
        <v>2896</v>
      </c>
      <c r="U15" s="98">
        <f t="shared" si="0"/>
        <v>6.3465965143045047</v>
      </c>
      <c r="V15" s="30">
        <f t="shared" si="1"/>
        <v>8776</v>
      </c>
      <c r="W15" s="30">
        <f t="shared" si="2"/>
        <v>2896</v>
      </c>
      <c r="X15" s="85">
        <f t="shared" si="3"/>
        <v>1382.7883937823835</v>
      </c>
      <c r="Y15" s="85">
        <f t="shared" si="4"/>
        <v>456.30756476683939</v>
      </c>
      <c r="Z15" s="32">
        <f t="shared" si="5"/>
        <v>382.78839378238354</v>
      </c>
      <c r="AA15" s="32">
        <f t="shared" si="6"/>
        <v>356.30756476683939</v>
      </c>
      <c r="AB15" s="94">
        <f t="shared" si="7"/>
        <v>2429.4034856954954</v>
      </c>
      <c r="AC15" s="94">
        <f t="shared" si="8"/>
        <v>2261.3403485695494</v>
      </c>
      <c r="AD15" s="86">
        <f t="shared" si="9"/>
        <v>24.294034856954955</v>
      </c>
      <c r="AE15" s="86">
        <f t="shared" si="10"/>
        <v>180.90722788556397</v>
      </c>
      <c r="AF15" s="91">
        <f t="shared" si="23"/>
        <v>0.43880000000000002</v>
      </c>
      <c r="AG15" s="91">
        <f t="shared" si="24"/>
        <v>0.24133333333333334</v>
      </c>
      <c r="AH15" s="108">
        <v>20000</v>
      </c>
      <c r="AI15" s="108">
        <v>12000</v>
      </c>
    </row>
    <row r="16" spans="1:36" x14ac:dyDescent="0.25">
      <c r="B16" s="96"/>
      <c r="C16" s="48" t="s">
        <v>8</v>
      </c>
      <c r="D16" s="80">
        <v>43011</v>
      </c>
      <c r="E16" s="38" t="s">
        <v>69</v>
      </c>
      <c r="F16" s="38"/>
      <c r="G16" s="99">
        <v>44834</v>
      </c>
      <c r="H16" s="100">
        <v>3</v>
      </c>
      <c r="I16" s="101"/>
      <c r="J16" s="101">
        <v>200</v>
      </c>
      <c r="K16" s="102">
        <v>3000</v>
      </c>
      <c r="L16" s="108">
        <v>0.01</v>
      </c>
      <c r="M16" s="103">
        <v>300</v>
      </c>
      <c r="N16" s="108">
        <v>0.09</v>
      </c>
      <c r="O16" s="115">
        <v>43641</v>
      </c>
      <c r="P16" s="116">
        <v>53176</v>
      </c>
      <c r="Q16" s="116">
        <v>4068</v>
      </c>
      <c r="R16" s="117">
        <v>43839</v>
      </c>
      <c r="S16" s="116">
        <v>68528</v>
      </c>
      <c r="T16" s="118">
        <v>4979</v>
      </c>
      <c r="U16" s="98">
        <f t="shared" si="0"/>
        <v>6.3794804340677409</v>
      </c>
      <c r="V16" s="30">
        <f t="shared" si="1"/>
        <v>15352</v>
      </c>
      <c r="W16" s="30">
        <f t="shared" si="2"/>
        <v>911</v>
      </c>
      <c r="X16" s="85">
        <f t="shared" si="3"/>
        <v>2406.4655670103093</v>
      </c>
      <c r="Y16" s="85">
        <f t="shared" si="4"/>
        <v>142.80159793814434</v>
      </c>
      <c r="Z16" s="32">
        <f t="shared" si="5"/>
        <v>1406.4655670103093</v>
      </c>
      <c r="AA16" s="32">
        <f t="shared" si="6"/>
        <v>42.80159793814434</v>
      </c>
      <c r="AB16" s="94">
        <f t="shared" si="7"/>
        <v>8972.5195659322599</v>
      </c>
      <c r="AC16" s="94">
        <f t="shared" si="8"/>
        <v>273.05195659322595</v>
      </c>
      <c r="AD16" s="86">
        <f t="shared" si="9"/>
        <v>89.725195659322594</v>
      </c>
      <c r="AE16" s="86">
        <f t="shared" si="10"/>
        <v>24.574676093390334</v>
      </c>
      <c r="AF16" s="91">
        <f t="shared" si="23"/>
        <v>4.5685333333333329</v>
      </c>
      <c r="AG16" s="91">
        <f t="shared" si="24"/>
        <v>0.41491666666666666</v>
      </c>
      <c r="AH16" s="108">
        <v>15000</v>
      </c>
      <c r="AI16" s="108">
        <v>12000</v>
      </c>
    </row>
    <row r="17" spans="2:35" x14ac:dyDescent="0.25">
      <c r="B17" s="96"/>
      <c r="C17" s="48" t="s">
        <v>4</v>
      </c>
      <c r="D17" s="80">
        <v>42929</v>
      </c>
      <c r="E17" s="38" t="s">
        <v>69</v>
      </c>
      <c r="F17" s="38"/>
      <c r="G17" s="99">
        <v>44742</v>
      </c>
      <c r="H17" s="100">
        <v>3</v>
      </c>
      <c r="I17" s="101"/>
      <c r="J17" s="101">
        <v>200</v>
      </c>
      <c r="K17" s="102">
        <v>3000</v>
      </c>
      <c r="L17" s="108">
        <v>0.01</v>
      </c>
      <c r="M17" s="103">
        <v>300</v>
      </c>
      <c r="N17" s="108">
        <v>0.09</v>
      </c>
      <c r="O17" s="115">
        <v>43641</v>
      </c>
      <c r="P17" s="116">
        <v>39739</v>
      </c>
      <c r="Q17" s="116">
        <v>5194</v>
      </c>
      <c r="R17" s="117">
        <v>43839</v>
      </c>
      <c r="S17" s="116">
        <v>48021</v>
      </c>
      <c r="T17" s="118">
        <v>8015</v>
      </c>
      <c r="U17" s="98">
        <f t="shared" si="0"/>
        <v>6.3794804340677409</v>
      </c>
      <c r="V17" s="30">
        <f t="shared" si="1"/>
        <v>8282</v>
      </c>
      <c r="W17" s="30">
        <f t="shared" si="2"/>
        <v>2821</v>
      </c>
      <c r="X17" s="85">
        <f t="shared" si="3"/>
        <v>1298.2248453608247</v>
      </c>
      <c r="Y17" s="85">
        <f t="shared" si="4"/>
        <v>442.19902061855669</v>
      </c>
      <c r="Z17" s="32">
        <f t="shared" si="5"/>
        <v>298.2248453608247</v>
      </c>
      <c r="AA17" s="32">
        <f t="shared" si="6"/>
        <v>342.19902061855669</v>
      </c>
      <c r="AB17" s="94">
        <f t="shared" si="7"/>
        <v>1902.519565932259</v>
      </c>
      <c r="AC17" s="94">
        <f t="shared" si="8"/>
        <v>2183.0519565932259</v>
      </c>
      <c r="AD17" s="86">
        <f t="shared" si="9"/>
        <v>19.025195659322591</v>
      </c>
      <c r="AE17" s="86">
        <f t="shared" si="10"/>
        <v>196.47467609339031</v>
      </c>
      <c r="AF17" s="91">
        <f t="shared" si="23"/>
        <v>3.2014</v>
      </c>
      <c r="AG17" s="91">
        <f t="shared" si="24"/>
        <v>0.66791666666666671</v>
      </c>
      <c r="AH17" s="108">
        <v>15000</v>
      </c>
      <c r="AI17" s="108">
        <v>12000</v>
      </c>
    </row>
    <row r="18" spans="2:35" x14ac:dyDescent="0.25">
      <c r="B18" s="97" t="s">
        <v>123</v>
      </c>
      <c r="C18" s="48" t="s">
        <v>87</v>
      </c>
      <c r="D18" s="80">
        <v>43418</v>
      </c>
      <c r="E18" s="38" t="s">
        <v>13</v>
      </c>
      <c r="F18" s="38"/>
      <c r="G18" s="104">
        <v>45231</v>
      </c>
      <c r="H18" s="100">
        <v>3</v>
      </c>
      <c r="I18" s="105"/>
      <c r="J18" s="105">
        <v>200</v>
      </c>
      <c r="K18" s="106">
        <v>3000</v>
      </c>
      <c r="L18" s="108">
        <v>0.01</v>
      </c>
      <c r="M18" s="103">
        <v>300</v>
      </c>
      <c r="N18" s="108">
        <v>0.08</v>
      </c>
      <c r="O18" s="115">
        <v>43644</v>
      </c>
      <c r="P18" s="116">
        <v>11251</v>
      </c>
      <c r="Q18" s="116">
        <v>11236</v>
      </c>
      <c r="R18" s="117">
        <v>43822</v>
      </c>
      <c r="S18" s="116">
        <v>19204</v>
      </c>
      <c r="T18" s="118">
        <v>15237</v>
      </c>
      <c r="U18" s="98">
        <f t="shared" si="0"/>
        <v>5.7546859585662613</v>
      </c>
      <c r="V18" s="30">
        <f t="shared" si="1"/>
        <v>7953</v>
      </c>
      <c r="W18" s="30">
        <f t="shared" si="2"/>
        <v>4001</v>
      </c>
      <c r="X18" s="85">
        <f t="shared" si="3"/>
        <v>1382.0041714285715</v>
      </c>
      <c r="Y18" s="85">
        <f t="shared" si="4"/>
        <v>695.25948571428569</v>
      </c>
      <c r="Z18" s="32">
        <f t="shared" si="5"/>
        <v>382.00417142857145</v>
      </c>
      <c r="AA18" s="32">
        <f t="shared" si="6"/>
        <v>595.25948571428569</v>
      </c>
      <c r="AB18" s="94">
        <f t="shared" si="7"/>
        <v>2198.314041433739</v>
      </c>
      <c r="AC18" s="94">
        <f t="shared" si="8"/>
        <v>3425.5314041433739</v>
      </c>
      <c r="AD18" s="86">
        <f t="shared" si="9"/>
        <v>21.983140414337392</v>
      </c>
      <c r="AE18" s="86">
        <f t="shared" si="10"/>
        <v>274.04251233146994</v>
      </c>
      <c r="AF18" s="91">
        <f t="shared" si="23"/>
        <v>0.96020000000000005</v>
      </c>
      <c r="AG18" s="91">
        <f t="shared" si="24"/>
        <v>1.2697499999999999</v>
      </c>
      <c r="AH18" s="108">
        <v>20000</v>
      </c>
      <c r="AI18" s="108">
        <v>12000</v>
      </c>
    </row>
    <row r="19" spans="2:35" x14ac:dyDescent="0.25">
      <c r="B19" t="s">
        <v>107</v>
      </c>
      <c r="C19" s="48" t="s">
        <v>15</v>
      </c>
      <c r="D19" s="80">
        <v>43089</v>
      </c>
      <c r="E19" s="38" t="s">
        <v>13</v>
      </c>
      <c r="F19" s="38"/>
      <c r="G19" s="104">
        <v>44926</v>
      </c>
      <c r="H19" s="100">
        <v>3</v>
      </c>
      <c r="I19" s="105"/>
      <c r="J19" s="105">
        <v>290</v>
      </c>
      <c r="K19" s="106">
        <v>5000</v>
      </c>
      <c r="L19" s="109">
        <v>0.01</v>
      </c>
      <c r="M19" s="107">
        <v>500</v>
      </c>
      <c r="N19" s="108">
        <v>0.09</v>
      </c>
      <c r="O19" s="115">
        <v>43628</v>
      </c>
      <c r="P19" s="116">
        <v>44574</v>
      </c>
      <c r="Q19" s="116">
        <v>23433</v>
      </c>
      <c r="R19" s="117">
        <v>43829</v>
      </c>
      <c r="S19" s="116">
        <v>66582</v>
      </c>
      <c r="T19" s="118">
        <v>32708</v>
      </c>
      <c r="U19" s="98">
        <f t="shared" si="0"/>
        <v>6.5110161131206841</v>
      </c>
      <c r="V19" s="30">
        <f t="shared" si="1"/>
        <v>22008</v>
      </c>
      <c r="W19" s="30">
        <f t="shared" si="2"/>
        <v>9275</v>
      </c>
      <c r="X19" s="85">
        <f t="shared" si="3"/>
        <v>3380.1175757575757</v>
      </c>
      <c r="Y19" s="85">
        <f t="shared" si="4"/>
        <v>1424.5088383838383</v>
      </c>
      <c r="Z19" s="32">
        <f t="shared" si="5"/>
        <v>1713.4509090909089</v>
      </c>
      <c r="AA19" s="32">
        <f t="shared" si="6"/>
        <v>1257.8421717171716</v>
      </c>
      <c r="AB19" s="94">
        <f t="shared" si="7"/>
        <v>11156.306478132192</v>
      </c>
      <c r="AC19" s="94">
        <f t="shared" si="8"/>
        <v>8189.830647813219</v>
      </c>
      <c r="AD19" s="86">
        <f t="shared" si="9"/>
        <v>111.56306478132193</v>
      </c>
      <c r="AE19" s="86">
        <f t="shared" si="10"/>
        <v>737.08475830318969</v>
      </c>
      <c r="AF19" s="91">
        <f t="shared" si="23"/>
        <v>3.3290999999999999</v>
      </c>
      <c r="AG19" s="91">
        <f t="shared" si="24"/>
        <v>2.7256666666666667</v>
      </c>
      <c r="AH19" s="108">
        <v>20000</v>
      </c>
      <c r="AI19" s="108">
        <v>12000</v>
      </c>
    </row>
    <row r="20" spans="2:35" x14ac:dyDescent="0.25">
      <c r="B20" t="s">
        <v>107</v>
      </c>
      <c r="C20" s="48" t="s">
        <v>15</v>
      </c>
      <c r="D20" s="80">
        <v>43335</v>
      </c>
      <c r="E20" s="38" t="s">
        <v>13</v>
      </c>
      <c r="F20" s="38" t="s">
        <v>114</v>
      </c>
      <c r="G20" s="104">
        <v>45169</v>
      </c>
      <c r="H20" s="100">
        <v>3</v>
      </c>
      <c r="I20" s="105"/>
      <c r="J20" s="105">
        <v>290</v>
      </c>
      <c r="K20" s="106">
        <v>5000</v>
      </c>
      <c r="L20" s="109">
        <v>0.01</v>
      </c>
      <c r="M20" s="107">
        <v>500</v>
      </c>
      <c r="N20" s="108">
        <v>0.09</v>
      </c>
      <c r="O20" s="115">
        <v>43628</v>
      </c>
      <c r="P20" s="116">
        <v>29826</v>
      </c>
      <c r="Q20" s="116">
        <v>3213</v>
      </c>
      <c r="R20" s="117">
        <v>43829</v>
      </c>
      <c r="S20" s="116">
        <v>56170</v>
      </c>
      <c r="T20" s="118">
        <v>5326</v>
      </c>
      <c r="U20" s="98">
        <f t="shared" si="0"/>
        <v>6.5110161131206841</v>
      </c>
      <c r="V20" s="30">
        <f t="shared" si="1"/>
        <v>26344</v>
      </c>
      <c r="W20" s="30">
        <f t="shared" si="2"/>
        <v>2113</v>
      </c>
      <c r="X20" s="85">
        <f t="shared" si="3"/>
        <v>4046.0658585858587</v>
      </c>
      <c r="Y20" s="85">
        <f t="shared" si="4"/>
        <v>324.52691919191921</v>
      </c>
      <c r="Z20" s="32">
        <f t="shared" si="5"/>
        <v>2379.3991919191922</v>
      </c>
      <c r="AA20" s="32">
        <f t="shared" si="6"/>
        <v>157.86025252525255</v>
      </c>
      <c r="AB20" s="94">
        <f t="shared" si="7"/>
        <v>15492.306478132195</v>
      </c>
      <c r="AC20" s="94">
        <f t="shared" si="8"/>
        <v>1027.8306478132195</v>
      </c>
      <c r="AD20" s="86">
        <f t="shared" si="9"/>
        <v>154.92306478132195</v>
      </c>
      <c r="AE20" s="86">
        <f t="shared" si="10"/>
        <v>92.504758303189746</v>
      </c>
      <c r="AF20" s="91">
        <f t="shared" si="23"/>
        <v>2.8085</v>
      </c>
      <c r="AG20" s="91">
        <f t="shared" si="24"/>
        <v>0.44383333333333336</v>
      </c>
      <c r="AH20" s="108">
        <v>20000</v>
      </c>
      <c r="AI20" s="108">
        <v>12000</v>
      </c>
    </row>
    <row r="21" spans="2:35" x14ac:dyDescent="0.25">
      <c r="B21" s="96"/>
      <c r="C21" s="48" t="s">
        <v>81</v>
      </c>
      <c r="D21" s="80">
        <v>43314</v>
      </c>
      <c r="E21" s="38" t="s">
        <v>82</v>
      </c>
      <c r="F21" s="38"/>
      <c r="G21" s="104">
        <v>44408</v>
      </c>
      <c r="H21" s="100">
        <v>3</v>
      </c>
      <c r="I21" s="105"/>
      <c r="J21" s="105">
        <v>150</v>
      </c>
      <c r="K21" s="106">
        <v>3000</v>
      </c>
      <c r="L21" s="109">
        <v>0.01</v>
      </c>
      <c r="M21" s="103">
        <v>300</v>
      </c>
      <c r="N21" s="108">
        <v>0.09</v>
      </c>
      <c r="O21" s="115">
        <v>43641</v>
      </c>
      <c r="P21" s="116">
        <v>1463</v>
      </c>
      <c r="Q21" s="116">
        <v>283</v>
      </c>
      <c r="R21" s="117">
        <v>43839</v>
      </c>
      <c r="S21" s="116">
        <v>1783</v>
      </c>
      <c r="T21" s="118">
        <v>569</v>
      </c>
      <c r="U21" s="98">
        <f t="shared" si="0"/>
        <v>6.3794804340677409</v>
      </c>
      <c r="V21" s="30">
        <f t="shared" si="1"/>
        <v>320</v>
      </c>
      <c r="W21" s="30">
        <f t="shared" si="2"/>
        <v>286</v>
      </c>
      <c r="X21" s="85">
        <f t="shared" si="3"/>
        <v>50.160824742268041</v>
      </c>
      <c r="Y21" s="85">
        <f t="shared" si="4"/>
        <v>44.831237113402061</v>
      </c>
      <c r="Z21" s="32">
        <f t="shared" si="5"/>
        <v>-949.83917525773199</v>
      </c>
      <c r="AA21" s="32">
        <f t="shared" si="6"/>
        <v>-55.168762886597939</v>
      </c>
      <c r="AB21" s="94">
        <f t="shared" si="7"/>
        <v>-6059.480434067741</v>
      </c>
      <c r="AC21" s="94">
        <f t="shared" si="8"/>
        <v>-351.9480434067741</v>
      </c>
      <c r="AD21" s="86">
        <f t="shared" si="9"/>
        <v>-60.594804340677413</v>
      </c>
      <c r="AE21" s="86">
        <f t="shared" si="10"/>
        <v>-31.67532390660967</v>
      </c>
      <c r="AF21" s="91">
        <f t="shared" si="23"/>
        <v>8.9149999999999993E-2</v>
      </c>
      <c r="AG21" s="91">
        <f t="shared" si="24"/>
        <v>4.7416666666666669E-2</v>
      </c>
      <c r="AH21" s="108">
        <v>20000</v>
      </c>
      <c r="AI21" s="108">
        <v>12000</v>
      </c>
    </row>
    <row r="22" spans="2:35" x14ac:dyDescent="0.25">
      <c r="B22" t="s">
        <v>107</v>
      </c>
      <c r="C22" s="48" t="s">
        <v>81</v>
      </c>
      <c r="D22" s="80">
        <v>43833</v>
      </c>
      <c r="E22" s="38" t="s">
        <v>124</v>
      </c>
      <c r="F22" s="38"/>
      <c r="G22" s="104">
        <v>45657</v>
      </c>
      <c r="H22" s="100">
        <v>3</v>
      </c>
      <c r="I22" s="105"/>
      <c r="J22" s="105">
        <v>200</v>
      </c>
      <c r="K22" s="106">
        <v>3000</v>
      </c>
      <c r="L22" s="109">
        <v>0.01</v>
      </c>
      <c r="M22" s="103">
        <v>300</v>
      </c>
      <c r="N22" s="108">
        <v>0.08</v>
      </c>
      <c r="O22" s="112">
        <v>43833</v>
      </c>
      <c r="P22" s="122">
        <v>0</v>
      </c>
      <c r="Q22" s="122">
        <v>0</v>
      </c>
      <c r="R22" s="123"/>
      <c r="S22" s="124"/>
      <c r="T22" s="124"/>
      <c r="U22" s="98">
        <f t="shared" si="0"/>
        <v>-1420.6839855310752</v>
      </c>
      <c r="V22" s="30">
        <f t="shared" si="1"/>
        <v>0</v>
      </c>
      <c r="W22" s="30">
        <f t="shared" si="2"/>
        <v>0</v>
      </c>
      <c r="X22" s="85">
        <f t="shared" si="3"/>
        <v>0</v>
      </c>
      <c r="Y22" s="85">
        <f t="shared" si="4"/>
        <v>0</v>
      </c>
      <c r="Z22" s="32">
        <f t="shared" si="5"/>
        <v>-1000</v>
      </c>
      <c r="AA22" s="32">
        <f t="shared" si="6"/>
        <v>-100</v>
      </c>
      <c r="AB22" s="94">
        <f t="shared" si="7"/>
        <v>1420683.9855310752</v>
      </c>
      <c r="AC22" s="94">
        <f t="shared" si="8"/>
        <v>142068.39855310752</v>
      </c>
      <c r="AD22" s="86">
        <f t="shared" si="9"/>
        <v>14206.839855310753</v>
      </c>
      <c r="AE22" s="86">
        <f t="shared" si="10"/>
        <v>11365.471884248602</v>
      </c>
      <c r="AF22" s="91">
        <f t="shared" si="23"/>
        <v>0</v>
      </c>
      <c r="AG22" s="91">
        <f t="shared" si="24"/>
        <v>0</v>
      </c>
      <c r="AH22" s="108">
        <v>20000</v>
      </c>
      <c r="AI22" s="108">
        <v>12000</v>
      </c>
    </row>
    <row r="23" spans="2:35" x14ac:dyDescent="0.25">
      <c r="B23" t="s">
        <v>107</v>
      </c>
      <c r="C23" s="48" t="s">
        <v>43</v>
      </c>
      <c r="D23" s="80">
        <v>43182</v>
      </c>
      <c r="E23" s="38" t="s">
        <v>13</v>
      </c>
      <c r="F23" s="38"/>
      <c r="G23" s="104">
        <v>45015</v>
      </c>
      <c r="H23" s="100">
        <v>3</v>
      </c>
      <c r="I23" s="105"/>
      <c r="J23" s="105">
        <v>200</v>
      </c>
      <c r="K23" s="106">
        <v>3000</v>
      </c>
      <c r="L23" s="109">
        <v>0.01</v>
      </c>
      <c r="M23" s="103">
        <v>300</v>
      </c>
      <c r="N23" s="108">
        <v>0.09</v>
      </c>
      <c r="O23" s="115">
        <v>43640</v>
      </c>
      <c r="P23" s="116">
        <v>9222</v>
      </c>
      <c r="Q23" s="116">
        <v>11066</v>
      </c>
      <c r="R23" s="117">
        <v>44195</v>
      </c>
      <c r="S23" s="116">
        <v>14986</v>
      </c>
      <c r="T23" s="118">
        <v>12356</v>
      </c>
      <c r="U23" s="98">
        <f t="shared" si="0"/>
        <v>17.954620190726736</v>
      </c>
      <c r="V23" s="30">
        <f t="shared" si="1"/>
        <v>5764</v>
      </c>
      <c r="W23" s="30">
        <f t="shared" si="2"/>
        <v>1290</v>
      </c>
      <c r="X23" s="85">
        <f t="shared" si="3"/>
        <v>321.03157509157506</v>
      </c>
      <c r="Y23" s="85">
        <f t="shared" si="4"/>
        <v>71.847802197802196</v>
      </c>
      <c r="Z23" s="32">
        <f t="shared" si="5"/>
        <v>-678.96842490842494</v>
      </c>
      <c r="AA23" s="32">
        <f t="shared" si="6"/>
        <v>-28.152197802197804</v>
      </c>
      <c r="AB23" s="94">
        <f t="shared" si="7"/>
        <v>-12190.620190726737</v>
      </c>
      <c r="AC23" s="94">
        <f t="shared" si="8"/>
        <v>-505.46201907267351</v>
      </c>
      <c r="AD23" s="86">
        <f t="shared" si="9"/>
        <v>-121.90620190726737</v>
      </c>
      <c r="AE23" s="86">
        <f t="shared" si="10"/>
        <v>-45.491581716540615</v>
      </c>
      <c r="AF23" s="91">
        <f t="shared" si="23"/>
        <v>0.74929999999999997</v>
      </c>
      <c r="AG23" s="91">
        <f t="shared" si="24"/>
        <v>1.0296666666666667</v>
      </c>
      <c r="AH23" s="108">
        <v>20000</v>
      </c>
      <c r="AI23" s="108">
        <v>12000</v>
      </c>
    </row>
    <row r="24" spans="2:35" x14ac:dyDescent="0.25">
      <c r="B24" t="s">
        <v>107</v>
      </c>
      <c r="C24" s="48" t="s">
        <v>89</v>
      </c>
      <c r="D24" s="80">
        <v>43440</v>
      </c>
      <c r="E24" s="38" t="s">
        <v>13</v>
      </c>
      <c r="F24" s="38"/>
      <c r="G24" s="104">
        <v>45261</v>
      </c>
      <c r="H24" s="100">
        <v>3</v>
      </c>
      <c r="I24" s="105"/>
      <c r="J24" s="105">
        <v>200</v>
      </c>
      <c r="K24" s="106">
        <v>3000</v>
      </c>
      <c r="L24" s="109">
        <v>0.01</v>
      </c>
      <c r="M24" s="103">
        <v>300</v>
      </c>
      <c r="N24" s="108">
        <v>0.09</v>
      </c>
      <c r="O24" s="115">
        <v>43640</v>
      </c>
      <c r="P24" s="116">
        <v>18160</v>
      </c>
      <c r="Q24" s="116">
        <v>2056</v>
      </c>
      <c r="R24" s="117">
        <v>43829</v>
      </c>
      <c r="S24" s="116">
        <v>38651</v>
      </c>
      <c r="T24" s="118">
        <v>13179</v>
      </c>
      <c r="U24" s="98">
        <f t="shared" si="0"/>
        <v>6.1164090759618546</v>
      </c>
      <c r="V24" s="30">
        <f t="shared" si="1"/>
        <v>20491</v>
      </c>
      <c r="W24" s="30">
        <f t="shared" si="2"/>
        <v>11123</v>
      </c>
      <c r="X24" s="85">
        <f t="shared" si="3"/>
        <v>3350.1683333333335</v>
      </c>
      <c r="Y24" s="85">
        <f t="shared" si="4"/>
        <v>1818.5506989247313</v>
      </c>
      <c r="Z24" s="32">
        <f t="shared" si="5"/>
        <v>2350.1683333333335</v>
      </c>
      <c r="AA24" s="32">
        <f t="shared" si="6"/>
        <v>1718.5506989247313</v>
      </c>
      <c r="AB24" s="94">
        <f t="shared" si="7"/>
        <v>14374.590924038146</v>
      </c>
      <c r="AC24" s="94">
        <f t="shared" si="8"/>
        <v>10511.359092403814</v>
      </c>
      <c r="AD24" s="86">
        <f t="shared" si="9"/>
        <v>143.74590924038145</v>
      </c>
      <c r="AE24" s="86">
        <f t="shared" si="10"/>
        <v>946.02231831634322</v>
      </c>
      <c r="AF24" s="91">
        <f t="shared" si="23"/>
        <v>1.93255</v>
      </c>
      <c r="AG24" s="91">
        <f t="shared" si="24"/>
        <v>1.0982499999999999</v>
      </c>
      <c r="AH24" s="108">
        <v>20000</v>
      </c>
      <c r="AI24" s="108">
        <v>12000</v>
      </c>
    </row>
    <row r="25" spans="2:35" x14ac:dyDescent="0.25">
      <c r="B25" s="96"/>
      <c r="C25" s="48" t="s">
        <v>0</v>
      </c>
      <c r="D25" s="80">
        <v>42917</v>
      </c>
      <c r="E25" s="38" t="s">
        <v>69</v>
      </c>
      <c r="F25" s="38"/>
      <c r="G25" s="104">
        <v>44742</v>
      </c>
      <c r="H25" s="100">
        <v>3</v>
      </c>
      <c r="I25" s="105"/>
      <c r="J25" s="105">
        <v>200</v>
      </c>
      <c r="K25" s="106">
        <v>3000</v>
      </c>
      <c r="L25" s="109">
        <v>0.01</v>
      </c>
      <c r="M25" s="107">
        <v>300</v>
      </c>
      <c r="N25" s="108">
        <v>0.09</v>
      </c>
      <c r="O25" s="115">
        <v>43641</v>
      </c>
      <c r="P25" s="116">
        <v>65665</v>
      </c>
      <c r="Q25" s="116">
        <v>8199</v>
      </c>
      <c r="R25" s="117">
        <v>43812</v>
      </c>
      <c r="S25" s="118">
        <v>79768</v>
      </c>
      <c r="T25" s="118">
        <v>11479</v>
      </c>
      <c r="U25" s="98">
        <f t="shared" si="0"/>
        <v>5.5244985202236103</v>
      </c>
      <c r="V25" s="30">
        <f t="shared" si="1"/>
        <v>14103</v>
      </c>
      <c r="W25" s="30">
        <f t="shared" si="2"/>
        <v>3280</v>
      </c>
      <c r="X25" s="85">
        <f t="shared" si="3"/>
        <v>2552.8108928571428</v>
      </c>
      <c r="Y25" s="85">
        <f t="shared" si="4"/>
        <v>593.71904761904761</v>
      </c>
      <c r="Z25" s="32">
        <f t="shared" si="5"/>
        <v>1552.8108928571428</v>
      </c>
      <c r="AA25" s="32">
        <f t="shared" si="6"/>
        <v>493.71904761904761</v>
      </c>
      <c r="AB25" s="94">
        <f t="shared" si="7"/>
        <v>8578.5014797763888</v>
      </c>
      <c r="AC25" s="94">
        <f t="shared" si="8"/>
        <v>2727.550147977639</v>
      </c>
      <c r="AD25" s="86">
        <f t="shared" si="9"/>
        <v>85.785014797763893</v>
      </c>
      <c r="AE25" s="86">
        <f t="shared" si="10"/>
        <v>245.47951331798751</v>
      </c>
      <c r="AF25" s="91">
        <f t="shared" si="23"/>
        <v>5.3178666666666663</v>
      </c>
      <c r="AG25" s="91">
        <f t="shared" si="24"/>
        <v>0.95658333333333334</v>
      </c>
      <c r="AH25" s="108">
        <v>15000</v>
      </c>
      <c r="AI25" s="108">
        <v>12000</v>
      </c>
    </row>
    <row r="26" spans="2:35" x14ac:dyDescent="0.25">
      <c r="B26" t="s">
        <v>107</v>
      </c>
      <c r="C26" s="48" t="s">
        <v>0</v>
      </c>
      <c r="D26" s="80">
        <v>42992</v>
      </c>
      <c r="E26" s="38" t="s">
        <v>40</v>
      </c>
      <c r="F26" s="38"/>
      <c r="G26" s="104">
        <v>44803</v>
      </c>
      <c r="H26" s="100">
        <v>1</v>
      </c>
      <c r="I26" s="105">
        <v>140</v>
      </c>
      <c r="J26" s="105">
        <v>0</v>
      </c>
      <c r="K26" s="106">
        <v>5000</v>
      </c>
      <c r="L26" s="109">
        <v>0.01</v>
      </c>
      <c r="M26" s="103"/>
      <c r="N26" s="108"/>
      <c r="O26" s="115">
        <v>43640</v>
      </c>
      <c r="P26" s="116">
        <v>185635</v>
      </c>
      <c r="Q26" s="116"/>
      <c r="R26" s="117">
        <v>43831</v>
      </c>
      <c r="S26" s="118">
        <v>233320</v>
      </c>
      <c r="T26" s="118"/>
      <c r="U26" s="98">
        <f t="shared" si="0"/>
        <v>6.1492929957250908</v>
      </c>
      <c r="V26" s="30">
        <f t="shared" si="1"/>
        <v>47685</v>
      </c>
      <c r="W26" s="30">
        <f t="shared" si="2"/>
        <v>0</v>
      </c>
      <c r="X26" s="85">
        <f t="shared" si="3"/>
        <v>7754.5499999999993</v>
      </c>
      <c r="Y26" s="85">
        <f t="shared" si="4"/>
        <v>0</v>
      </c>
      <c r="Z26" s="32">
        <f t="shared" si="5"/>
        <v>2754.5499999999993</v>
      </c>
      <c r="AA26" s="32">
        <f t="shared" si="6"/>
        <v>0</v>
      </c>
      <c r="AB26" s="94">
        <f t="shared" si="7"/>
        <v>16938.535021374544</v>
      </c>
      <c r="AC26" s="94">
        <f t="shared" si="8"/>
        <v>0</v>
      </c>
      <c r="AD26" s="86">
        <f t="shared" si="9"/>
        <v>169.38535021374545</v>
      </c>
      <c r="AE26" s="86">
        <f t="shared" si="10"/>
        <v>0</v>
      </c>
      <c r="AF26" s="91">
        <f t="shared" si="23"/>
        <v>11.666</v>
      </c>
      <c r="AG26" s="91">
        <f t="shared" si="24"/>
        <v>0</v>
      </c>
      <c r="AH26" s="108">
        <v>20000</v>
      </c>
      <c r="AI26" s="108">
        <v>12000</v>
      </c>
    </row>
    <row r="27" spans="2:35" x14ac:dyDescent="0.25">
      <c r="B27" t="s">
        <v>107</v>
      </c>
      <c r="C27" s="48" t="s">
        <v>0</v>
      </c>
      <c r="D27" s="80">
        <v>43009</v>
      </c>
      <c r="E27" s="38" t="s">
        <v>14</v>
      </c>
      <c r="F27" s="38"/>
      <c r="G27" s="104">
        <v>44834</v>
      </c>
      <c r="H27" s="100">
        <v>1</v>
      </c>
      <c r="I27" s="105">
        <v>140</v>
      </c>
      <c r="J27" s="105">
        <v>0</v>
      </c>
      <c r="K27" s="106">
        <v>5000</v>
      </c>
      <c r="L27" s="109">
        <v>0.01</v>
      </c>
      <c r="M27" s="107">
        <v>300</v>
      </c>
      <c r="N27" s="108">
        <v>0.09</v>
      </c>
      <c r="O27" s="115">
        <v>43642</v>
      </c>
      <c r="P27" s="116">
        <v>139212</v>
      </c>
      <c r="Q27" s="116">
        <v>5979</v>
      </c>
      <c r="R27" s="117">
        <v>43831</v>
      </c>
      <c r="S27" s="118">
        <v>178408</v>
      </c>
      <c r="T27" s="118">
        <v>8304</v>
      </c>
      <c r="U27" s="98">
        <f t="shared" si="0"/>
        <v>6.0835251561986192</v>
      </c>
      <c r="V27" s="30">
        <f t="shared" si="1"/>
        <v>39196</v>
      </c>
      <c r="W27" s="30">
        <f t="shared" si="2"/>
        <v>2325</v>
      </c>
      <c r="X27" s="85">
        <f t="shared" si="3"/>
        <v>6442.9749189189188</v>
      </c>
      <c r="Y27" s="85">
        <f t="shared" si="4"/>
        <v>382.17972972972973</v>
      </c>
      <c r="Z27" s="32">
        <f t="shared" si="5"/>
        <v>1442.9749189189188</v>
      </c>
      <c r="AA27" s="32">
        <f t="shared" si="6"/>
        <v>82.179729729729729</v>
      </c>
      <c r="AB27" s="94">
        <f t="shared" si="7"/>
        <v>8778.3742190069061</v>
      </c>
      <c r="AC27" s="94">
        <f t="shared" si="8"/>
        <v>499.94245314041439</v>
      </c>
      <c r="AD27" s="86">
        <f t="shared" si="9"/>
        <v>87.783742190069063</v>
      </c>
      <c r="AE27" s="86">
        <f t="shared" si="10"/>
        <v>44.994820782637291</v>
      </c>
      <c r="AF27" s="91">
        <f t="shared" si="23"/>
        <v>8.9204000000000008</v>
      </c>
      <c r="AG27" s="91">
        <f t="shared" si="24"/>
        <v>0.69199999999999995</v>
      </c>
      <c r="AH27" s="108">
        <v>20000</v>
      </c>
      <c r="AI27" s="108">
        <v>12000</v>
      </c>
    </row>
    <row r="28" spans="2:35" x14ac:dyDescent="0.25">
      <c r="B28" t="s">
        <v>107</v>
      </c>
      <c r="C28" s="48" t="s">
        <v>0</v>
      </c>
      <c r="D28" s="80">
        <v>43101</v>
      </c>
      <c r="E28" s="38" t="s">
        <v>13</v>
      </c>
      <c r="F28" s="38"/>
      <c r="G28" s="104">
        <v>44926</v>
      </c>
      <c r="H28" s="100">
        <v>3</v>
      </c>
      <c r="I28" s="105"/>
      <c r="J28" s="105">
        <v>200</v>
      </c>
      <c r="K28" s="106">
        <v>3000</v>
      </c>
      <c r="L28" s="109">
        <v>0.01</v>
      </c>
      <c r="M28" s="107">
        <v>300</v>
      </c>
      <c r="N28" s="108">
        <v>0.09</v>
      </c>
      <c r="O28" s="115">
        <v>43635</v>
      </c>
      <c r="P28" s="116">
        <v>76454</v>
      </c>
      <c r="Q28" s="116">
        <v>8860</v>
      </c>
      <c r="R28" s="117">
        <v>43845</v>
      </c>
      <c r="S28" s="118">
        <v>100912</v>
      </c>
      <c r="T28" s="118">
        <v>12413</v>
      </c>
      <c r="U28" s="98">
        <f t="shared" si="0"/>
        <v>6.7740874712265704</v>
      </c>
      <c r="V28" s="30">
        <f t="shared" si="1"/>
        <v>24458</v>
      </c>
      <c r="W28" s="30">
        <f t="shared" si="2"/>
        <v>3553</v>
      </c>
      <c r="X28" s="85">
        <f t="shared" si="3"/>
        <v>3610.5232038834952</v>
      </c>
      <c r="Y28" s="85">
        <f t="shared" si="4"/>
        <v>524.49868932038828</v>
      </c>
      <c r="Z28" s="32">
        <f t="shared" si="5"/>
        <v>2610.5232038834952</v>
      </c>
      <c r="AA28" s="32">
        <f t="shared" si="6"/>
        <v>424.49868932038828</v>
      </c>
      <c r="AB28" s="94">
        <f t="shared" si="7"/>
        <v>17683.912528773431</v>
      </c>
      <c r="AC28" s="94">
        <f t="shared" si="8"/>
        <v>2875.5912528773424</v>
      </c>
      <c r="AD28" s="86">
        <f t="shared" si="9"/>
        <v>176.8391252877343</v>
      </c>
      <c r="AE28" s="86">
        <f t="shared" si="10"/>
        <v>258.8032127589608</v>
      </c>
      <c r="AF28" s="91">
        <f t="shared" si="23"/>
        <v>5.0456000000000003</v>
      </c>
      <c r="AG28" s="91">
        <f t="shared" si="24"/>
        <v>1.0344166666666668</v>
      </c>
      <c r="AH28" s="108">
        <v>20000</v>
      </c>
      <c r="AI28" s="108">
        <v>12000</v>
      </c>
    </row>
    <row r="29" spans="2:35" x14ac:dyDescent="0.25">
      <c r="B29" t="s">
        <v>107</v>
      </c>
      <c r="C29" s="48" t="s">
        <v>0</v>
      </c>
      <c r="D29" s="80">
        <v>43630</v>
      </c>
      <c r="E29" s="38" t="s">
        <v>105</v>
      </c>
      <c r="F29" s="38"/>
      <c r="G29" s="104">
        <v>45458</v>
      </c>
      <c r="H29" s="100">
        <v>1</v>
      </c>
      <c r="I29" s="105">
        <v>120</v>
      </c>
      <c r="J29" s="105">
        <v>0</v>
      </c>
      <c r="K29" s="106">
        <v>10000</v>
      </c>
      <c r="L29" s="108">
        <v>0.01</v>
      </c>
      <c r="M29" s="103"/>
      <c r="N29" s="108"/>
      <c r="O29" s="115">
        <v>43630</v>
      </c>
      <c r="P29" s="116">
        <v>0</v>
      </c>
      <c r="Q29" s="116">
        <v>0</v>
      </c>
      <c r="R29" s="117">
        <v>43831</v>
      </c>
      <c r="S29" s="118">
        <v>23876</v>
      </c>
      <c r="T29" s="118"/>
      <c r="U29" s="98">
        <f t="shared" si="0"/>
        <v>6.4781321933574478</v>
      </c>
      <c r="V29" s="30">
        <f t="shared" si="1"/>
        <v>23876</v>
      </c>
      <c r="W29" s="30">
        <f t="shared" si="2"/>
        <v>0</v>
      </c>
      <c r="X29" s="85">
        <f t="shared" si="3"/>
        <v>3685.6302538071068</v>
      </c>
      <c r="Y29" s="85">
        <f t="shared" si="4"/>
        <v>0</v>
      </c>
      <c r="Z29" s="32">
        <f t="shared" si="5"/>
        <v>-6314.3697461928932</v>
      </c>
      <c r="AA29" s="32">
        <f t="shared" si="6"/>
        <v>0</v>
      </c>
      <c r="AB29" s="94">
        <f t="shared" si="7"/>
        <v>-40905.32193357448</v>
      </c>
      <c r="AC29" s="94">
        <f t="shared" si="8"/>
        <v>0</v>
      </c>
      <c r="AD29" s="86">
        <f t="shared" si="9"/>
        <v>-409.05321933574481</v>
      </c>
      <c r="AE29" s="86">
        <f t="shared" si="10"/>
        <v>0</v>
      </c>
      <c r="AF29" s="91">
        <f t="shared" si="23"/>
        <v>1.1938</v>
      </c>
      <c r="AG29" s="91">
        <f t="shared" si="24"/>
        <v>0</v>
      </c>
      <c r="AH29" s="108">
        <v>20000</v>
      </c>
      <c r="AI29" s="108">
        <v>12000</v>
      </c>
    </row>
    <row r="30" spans="2:35" x14ac:dyDescent="0.25">
      <c r="B30" s="125"/>
      <c r="C30" s="48" t="s">
        <v>0</v>
      </c>
      <c r="D30" s="80">
        <v>43875</v>
      </c>
      <c r="E30" s="38" t="s">
        <v>118</v>
      </c>
      <c r="F30" s="38"/>
      <c r="G30" s="104">
        <v>45702</v>
      </c>
      <c r="H30" s="100">
        <v>3</v>
      </c>
      <c r="I30" s="105"/>
      <c r="J30" s="105">
        <v>240</v>
      </c>
      <c r="K30" s="106">
        <v>18000</v>
      </c>
      <c r="L30" s="108">
        <v>0.01</v>
      </c>
      <c r="M30" s="103"/>
      <c r="N30" s="108"/>
      <c r="O30" s="115"/>
      <c r="P30" s="116"/>
      <c r="Q30" s="116"/>
      <c r="R30" s="117"/>
      <c r="S30" s="118"/>
      <c r="T30" s="118"/>
      <c r="U30" s="98"/>
      <c r="V30" s="30"/>
      <c r="W30" s="30"/>
      <c r="X30" s="85"/>
      <c r="Y30" s="85"/>
      <c r="Z30" s="32"/>
      <c r="AA30" s="32"/>
      <c r="AB30" s="94"/>
      <c r="AC30" s="94"/>
      <c r="AD30" s="86"/>
      <c r="AE30" s="86"/>
      <c r="AH30" s="108"/>
      <c r="AI30" s="108"/>
    </row>
    <row r="31" spans="2:35" x14ac:dyDescent="0.25">
      <c r="B31" t="s">
        <v>107</v>
      </c>
      <c r="C31" s="48" t="s">
        <v>103</v>
      </c>
      <c r="D31" s="80">
        <v>43579</v>
      </c>
      <c r="E31" s="38" t="s">
        <v>13</v>
      </c>
      <c r="F31" s="38"/>
      <c r="G31" s="104">
        <v>45413</v>
      </c>
      <c r="H31" s="100">
        <v>3</v>
      </c>
      <c r="I31" s="105"/>
      <c r="J31" s="105">
        <v>200</v>
      </c>
      <c r="K31" s="106">
        <v>3000</v>
      </c>
      <c r="L31" s="108">
        <v>0.01</v>
      </c>
      <c r="M31" s="103">
        <v>300</v>
      </c>
      <c r="N31" s="108">
        <v>0.08</v>
      </c>
      <c r="O31" s="115">
        <v>43641</v>
      </c>
      <c r="P31" s="116">
        <v>1353</v>
      </c>
      <c r="Q31" s="116">
        <v>33</v>
      </c>
      <c r="R31" s="117">
        <v>43829</v>
      </c>
      <c r="S31" s="118">
        <v>5574</v>
      </c>
      <c r="T31" s="118">
        <v>393</v>
      </c>
      <c r="U31" s="98">
        <f t="shared" si="0"/>
        <v>6.0835251561986192</v>
      </c>
      <c r="V31" s="30">
        <f t="shared" si="1"/>
        <v>4221</v>
      </c>
      <c r="W31" s="30">
        <f t="shared" si="2"/>
        <v>360</v>
      </c>
      <c r="X31" s="85">
        <f t="shared" si="3"/>
        <v>693.84113513513512</v>
      </c>
      <c r="Y31" s="85">
        <f t="shared" si="4"/>
        <v>59.176216216216211</v>
      </c>
      <c r="Z31" s="32">
        <f t="shared" si="5"/>
        <v>-306.15886486486488</v>
      </c>
      <c r="AA31" s="32">
        <f t="shared" si="6"/>
        <v>-40.823783783783789</v>
      </c>
      <c r="AB31" s="94">
        <f t="shared" si="7"/>
        <v>-1862.525156198619</v>
      </c>
      <c r="AC31" s="94">
        <f t="shared" si="8"/>
        <v>-248.35251561986192</v>
      </c>
      <c r="AD31" s="86">
        <f t="shared" si="9"/>
        <v>-18.62525156198619</v>
      </c>
      <c r="AE31" s="86">
        <f t="shared" si="10"/>
        <v>-19.868201249588953</v>
      </c>
      <c r="AF31" s="91">
        <f t="shared" si="23"/>
        <v>0.2787</v>
      </c>
      <c r="AG31" s="91">
        <f t="shared" si="24"/>
        <v>3.2750000000000001E-2</v>
      </c>
      <c r="AH31" s="108">
        <v>20000</v>
      </c>
      <c r="AI31" s="108">
        <v>12000</v>
      </c>
    </row>
    <row r="32" spans="2:35" x14ac:dyDescent="0.25">
      <c r="B32" t="s">
        <v>107</v>
      </c>
      <c r="C32" s="48" t="s">
        <v>45</v>
      </c>
      <c r="D32" s="80">
        <v>43191</v>
      </c>
      <c r="E32" s="38" t="s">
        <v>13</v>
      </c>
      <c r="F32" s="38"/>
      <c r="G32" s="104">
        <v>44986</v>
      </c>
      <c r="H32" s="100">
        <v>3</v>
      </c>
      <c r="I32" s="105"/>
      <c r="J32" s="105">
        <v>200</v>
      </c>
      <c r="K32" s="106">
        <v>3000</v>
      </c>
      <c r="L32" s="109">
        <v>0.01</v>
      </c>
      <c r="M32" s="107">
        <v>300</v>
      </c>
      <c r="N32" s="108">
        <v>0.08</v>
      </c>
      <c r="O32" s="115">
        <v>43642</v>
      </c>
      <c r="P32" s="116">
        <v>26000</v>
      </c>
      <c r="Q32" s="116">
        <v>8651</v>
      </c>
      <c r="R32" s="117">
        <v>43829</v>
      </c>
      <c r="S32" s="118">
        <v>36135</v>
      </c>
      <c r="T32" s="118">
        <v>13146</v>
      </c>
      <c r="U32" s="98">
        <f t="shared" si="0"/>
        <v>6.050641236435383</v>
      </c>
      <c r="V32" s="30">
        <f t="shared" si="1"/>
        <v>10135</v>
      </c>
      <c r="W32" s="30">
        <f t="shared" si="2"/>
        <v>4495</v>
      </c>
      <c r="X32" s="85">
        <f t="shared" si="3"/>
        <v>1675.0290760869566</v>
      </c>
      <c r="Y32" s="85">
        <f t="shared" si="4"/>
        <v>742.89646739130433</v>
      </c>
      <c r="Z32" s="32">
        <f t="shared" si="5"/>
        <v>675.02907608695659</v>
      </c>
      <c r="AA32" s="32">
        <f t="shared" si="6"/>
        <v>642.89646739130433</v>
      </c>
      <c r="AB32" s="94">
        <f t="shared" si="7"/>
        <v>4084.3587635646172</v>
      </c>
      <c r="AC32" s="94">
        <f t="shared" si="8"/>
        <v>3889.9358763564614</v>
      </c>
      <c r="AD32" s="86">
        <f t="shared" si="9"/>
        <v>40.843587635646173</v>
      </c>
      <c r="AE32" s="86">
        <f t="shared" si="10"/>
        <v>311.19487010851691</v>
      </c>
      <c r="AF32" s="91">
        <f t="shared" si="23"/>
        <v>1.8067500000000001</v>
      </c>
      <c r="AG32" s="91">
        <f t="shared" si="24"/>
        <v>1.0954999999999999</v>
      </c>
      <c r="AH32" s="108">
        <v>20000</v>
      </c>
      <c r="AI32" s="108">
        <v>12000</v>
      </c>
    </row>
    <row r="33" spans="3:26" x14ac:dyDescent="0.25">
      <c r="D33" s="81"/>
      <c r="O33" s="10"/>
      <c r="P33"/>
      <c r="Q33"/>
      <c r="R33" s="47"/>
      <c r="S33"/>
      <c r="T33"/>
      <c r="U33" s="126">
        <f>(DAYS360(O33,R33)+5)/30.41</f>
        <v>0.16441959881617887</v>
      </c>
    </row>
    <row r="34" spans="3:26" ht="47.25" thickBot="1" x14ac:dyDescent="0.75">
      <c r="O34" s="10"/>
      <c r="R34" s="47"/>
      <c r="S34"/>
      <c r="T34" s="128" t="s">
        <v>128</v>
      </c>
      <c r="U34" s="46" t="s">
        <v>127</v>
      </c>
      <c r="V34" s="127"/>
      <c r="W34" s="127"/>
      <c r="X34" s="127"/>
      <c r="Y34" s="30"/>
      <c r="Z34" s="30"/>
    </row>
    <row r="35" spans="3:26" ht="15.75" thickBot="1" x14ac:dyDescent="0.3">
      <c r="O35" s="91" t="s">
        <v>134</v>
      </c>
      <c r="P35" s="129" t="s">
        <v>129</v>
      </c>
      <c r="Q35" s="130"/>
      <c r="R35" s="47"/>
      <c r="S35"/>
      <c r="T35"/>
      <c r="U35"/>
    </row>
    <row r="36" spans="3:26" x14ac:dyDescent="0.25">
      <c r="C36" s="53" t="s">
        <v>135</v>
      </c>
      <c r="D36" s="82">
        <v>44013</v>
      </c>
      <c r="E36" s="23" t="s">
        <v>136</v>
      </c>
      <c r="F36" s="278" t="s">
        <v>137</v>
      </c>
      <c r="G36" s="278"/>
      <c r="H36" s="278"/>
      <c r="I36" s="278"/>
      <c r="J36" s="278"/>
      <c r="O36" s="136" t="s">
        <v>133</v>
      </c>
      <c r="P36" s="137"/>
      <c r="Q36" s="138"/>
      <c r="R36" s="10"/>
    </row>
    <row r="37" spans="3:26" x14ac:dyDescent="0.25">
      <c r="C37" s="7"/>
      <c r="O37" s="131">
        <v>11834</v>
      </c>
      <c r="P37" s="14">
        <v>10355</v>
      </c>
      <c r="Q37" s="132">
        <v>1479</v>
      </c>
      <c r="R37" s="10"/>
    </row>
    <row r="38" spans="3:26" ht="15.75" thickBot="1" x14ac:dyDescent="0.3">
      <c r="O38" s="133" t="s">
        <v>132</v>
      </c>
      <c r="P38" s="134" t="s">
        <v>131</v>
      </c>
      <c r="Q38" s="135" t="s">
        <v>130</v>
      </c>
    </row>
  </sheetData>
  <autoFilter ref="B1:AE1" xr:uid="{16F19F9D-9957-4A08-9A35-E985E6B78D5C}">
    <sortState xmlns:xlrd2="http://schemas.microsoft.com/office/spreadsheetml/2017/richdata2" ref="B2:AE32">
      <sortCondition ref="C1"/>
    </sortState>
  </autoFilter>
  <mergeCells count="1">
    <mergeCell ref="F36:J36"/>
  </mergeCells>
  <conditionalFormatting sqref="A1:A1048576">
    <cfRule type="cellIs" dxfId="3" priority="1" operator="equal">
      <formula>"X"</formula>
    </cfRule>
  </conditionalFormatting>
  <conditionalFormatting sqref="AH1:AI1 Z1:AE1048576">
    <cfRule type="cellIs" dxfId="2" priority="9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zoomScale="85" zoomScaleNormal="85" workbookViewId="0">
      <pane ySplit="750" activePane="bottomLeft"/>
      <selection activeCell="L1" sqref="L1:L1048576"/>
      <selection pane="bottomLeft" activeCell="E24" sqref="E24"/>
    </sheetView>
  </sheetViews>
  <sheetFormatPr defaultRowHeight="15" x14ac:dyDescent="0.25"/>
  <cols>
    <col min="1" max="1" width="16.5703125" style="16" customWidth="1"/>
    <col min="2" max="2" width="9.7109375" style="3" customWidth="1"/>
    <col min="3" max="3" width="23.85546875" style="7" customWidth="1"/>
    <col min="4" max="4" width="13" style="3" customWidth="1"/>
    <col min="5" max="5" width="11.42578125" style="3" customWidth="1"/>
    <col min="6" max="6" width="20.28515625" style="3" bestFit="1" customWidth="1"/>
    <col min="7" max="7" width="17" style="4" customWidth="1"/>
    <col min="8" max="8" width="19" style="4" bestFit="1" customWidth="1"/>
    <col min="9" max="9" width="19.140625" style="3" customWidth="1"/>
    <col min="10" max="10" width="14.5703125" style="3" customWidth="1"/>
    <col min="11" max="11" width="12.42578125" style="3" customWidth="1"/>
    <col min="12" max="12" width="13.5703125" style="4" customWidth="1"/>
    <col min="13" max="13" width="15.7109375" style="3" customWidth="1"/>
    <col min="14" max="14" width="18.5703125" style="3" customWidth="1"/>
    <col min="15" max="16384" width="9.140625" style="3"/>
  </cols>
  <sheetData>
    <row r="1" spans="1:17" s="14" customFormat="1" ht="25.5" x14ac:dyDescent="0.25">
      <c r="A1" s="20" t="s">
        <v>37</v>
      </c>
      <c r="B1" s="13">
        <f>COUNTA(B3:B30)</f>
        <v>26</v>
      </c>
      <c r="C1" s="13" t="s">
        <v>22</v>
      </c>
      <c r="D1" s="13" t="s">
        <v>18</v>
      </c>
      <c r="E1" s="13" t="s">
        <v>19</v>
      </c>
      <c r="F1" s="8" t="s">
        <v>17</v>
      </c>
      <c r="G1" s="18" t="s">
        <v>1</v>
      </c>
      <c r="H1" s="19" t="s">
        <v>2</v>
      </c>
      <c r="I1" s="19" t="s">
        <v>20</v>
      </c>
      <c r="J1" s="11" t="s">
        <v>23</v>
      </c>
      <c r="K1" s="11" t="s">
        <v>24</v>
      </c>
      <c r="L1" s="12" t="s">
        <v>25</v>
      </c>
      <c r="M1" s="11" t="s">
        <v>26</v>
      </c>
      <c r="N1" s="11" t="s">
        <v>49</v>
      </c>
    </row>
    <row r="2" spans="1:17" s="14" customFormat="1" x14ac:dyDescent="0.25">
      <c r="A2" s="15" t="s">
        <v>38</v>
      </c>
      <c r="B2" t="s">
        <v>42</v>
      </c>
      <c r="C2" s="75" t="s">
        <v>100</v>
      </c>
      <c r="D2" s="6">
        <v>43474</v>
      </c>
      <c r="E2" s="6">
        <v>45291</v>
      </c>
      <c r="F2" s="3" t="s">
        <v>13</v>
      </c>
      <c r="G2" s="4">
        <v>66.66</v>
      </c>
      <c r="H2" s="4">
        <v>0</v>
      </c>
      <c r="I2" s="3"/>
      <c r="J2" t="s">
        <v>31</v>
      </c>
      <c r="K2" t="s">
        <v>28</v>
      </c>
      <c r="L2" s="4">
        <v>66</v>
      </c>
      <c r="M2" t="s">
        <v>30</v>
      </c>
      <c r="N2" s="3"/>
      <c r="O2" s="3"/>
      <c r="P2" s="3"/>
      <c r="Q2" s="3"/>
    </row>
    <row r="3" spans="1:17" x14ac:dyDescent="0.25">
      <c r="A3" s="15" t="s">
        <v>38</v>
      </c>
      <c r="B3" t="s">
        <v>42</v>
      </c>
      <c r="C3" s="44" t="s">
        <v>80</v>
      </c>
      <c r="D3" s="6">
        <v>43344</v>
      </c>
      <c r="E3" s="6">
        <v>45138</v>
      </c>
      <c r="F3" s="3" t="s">
        <v>13</v>
      </c>
      <c r="H3" s="4">
        <v>200</v>
      </c>
      <c r="J3" t="s">
        <v>34</v>
      </c>
      <c r="K3" t="s">
        <v>28</v>
      </c>
      <c r="L3" s="4">
        <v>200</v>
      </c>
      <c r="M3" t="s">
        <v>30</v>
      </c>
    </row>
    <row r="4" spans="1:17" x14ac:dyDescent="0.25">
      <c r="A4" s="15" t="s">
        <v>38</v>
      </c>
      <c r="B4" t="s">
        <v>42</v>
      </c>
      <c r="C4" s="44" t="s">
        <v>47</v>
      </c>
      <c r="D4" s="6">
        <v>43221</v>
      </c>
      <c r="E4" s="6">
        <v>45015</v>
      </c>
      <c r="F4" s="3" t="s">
        <v>13</v>
      </c>
      <c r="G4" s="4">
        <v>0</v>
      </c>
      <c r="H4" s="4">
        <v>200</v>
      </c>
      <c r="J4" t="s">
        <v>34</v>
      </c>
      <c r="K4" t="s">
        <v>28</v>
      </c>
      <c r="L4" s="4">
        <v>200</v>
      </c>
      <c r="M4" t="s">
        <v>30</v>
      </c>
      <c r="N4" t="s">
        <v>86</v>
      </c>
    </row>
    <row r="5" spans="1:17" x14ac:dyDescent="0.25">
      <c r="A5" s="15" t="s">
        <v>38</v>
      </c>
      <c r="B5" t="s">
        <v>42</v>
      </c>
      <c r="C5" s="44" t="s">
        <v>48</v>
      </c>
      <c r="D5" s="6">
        <v>43191</v>
      </c>
      <c r="E5" s="6">
        <v>45015</v>
      </c>
      <c r="F5" s="3" t="s">
        <v>13</v>
      </c>
      <c r="H5" s="4">
        <v>200</v>
      </c>
      <c r="J5" t="s">
        <v>34</v>
      </c>
      <c r="K5" t="s">
        <v>28</v>
      </c>
      <c r="L5" s="4">
        <v>200</v>
      </c>
      <c r="M5" t="s">
        <v>30</v>
      </c>
    </row>
    <row r="6" spans="1:17" x14ac:dyDescent="0.25">
      <c r="A6" s="15" t="s">
        <v>38</v>
      </c>
      <c r="B6" t="s">
        <v>42</v>
      </c>
      <c r="C6" s="75" t="s">
        <v>53</v>
      </c>
      <c r="D6" s="6">
        <v>43252</v>
      </c>
      <c r="E6" s="6">
        <v>45076</v>
      </c>
      <c r="F6" s="3" t="s">
        <v>13</v>
      </c>
      <c r="H6" s="4">
        <v>200</v>
      </c>
      <c r="J6" t="s">
        <v>34</v>
      </c>
      <c r="K6" t="s">
        <v>28</v>
      </c>
      <c r="L6" s="4">
        <v>200</v>
      </c>
      <c r="M6" t="s">
        <v>30</v>
      </c>
    </row>
    <row r="7" spans="1:17" x14ac:dyDescent="0.25">
      <c r="A7" s="15" t="s">
        <v>38</v>
      </c>
      <c r="B7" t="s">
        <v>42</v>
      </c>
      <c r="C7" s="44" t="s">
        <v>51</v>
      </c>
      <c r="D7" s="6">
        <v>43221</v>
      </c>
      <c r="E7" s="6">
        <v>45046</v>
      </c>
      <c r="F7" s="3" t="s">
        <v>13</v>
      </c>
      <c r="H7" s="4">
        <v>200</v>
      </c>
      <c r="J7" t="s">
        <v>34</v>
      </c>
      <c r="K7" t="s">
        <v>28</v>
      </c>
      <c r="L7" s="4">
        <v>200</v>
      </c>
      <c r="M7" t="s">
        <v>30</v>
      </c>
    </row>
    <row r="8" spans="1:17" x14ac:dyDescent="0.25">
      <c r="A8" s="15" t="s">
        <v>38</v>
      </c>
      <c r="B8" t="s">
        <v>42</v>
      </c>
      <c r="C8" s="44" t="s">
        <v>16</v>
      </c>
      <c r="D8" s="6">
        <v>43101</v>
      </c>
      <c r="E8" s="6">
        <v>44926</v>
      </c>
      <c r="F8" s="3" t="s">
        <v>13</v>
      </c>
      <c r="G8" s="1" t="s">
        <v>3</v>
      </c>
      <c r="H8" s="4">
        <v>200</v>
      </c>
      <c r="J8" t="s">
        <v>34</v>
      </c>
      <c r="K8" s="43" t="s">
        <v>32</v>
      </c>
      <c r="L8" s="4">
        <v>200</v>
      </c>
      <c r="M8" t="s">
        <v>30</v>
      </c>
    </row>
    <row r="9" spans="1:17" x14ac:dyDescent="0.25">
      <c r="A9" s="15" t="s">
        <v>38</v>
      </c>
      <c r="B9" t="s">
        <v>42</v>
      </c>
      <c r="C9" s="44" t="s">
        <v>106</v>
      </c>
      <c r="D9" s="78">
        <v>43617</v>
      </c>
      <c r="E9" s="6">
        <v>45444</v>
      </c>
      <c r="F9" s="3" t="s">
        <v>13</v>
      </c>
      <c r="G9" s="1" t="s">
        <v>3</v>
      </c>
      <c r="H9" s="4">
        <v>200</v>
      </c>
      <c r="J9" t="s">
        <v>34</v>
      </c>
      <c r="K9" t="s">
        <v>28</v>
      </c>
      <c r="L9" s="4">
        <v>200</v>
      </c>
      <c r="M9" t="s">
        <v>30</v>
      </c>
    </row>
    <row r="10" spans="1:17" x14ac:dyDescent="0.25">
      <c r="A10" s="15" t="s">
        <v>38</v>
      </c>
      <c r="B10" t="s">
        <v>42</v>
      </c>
      <c r="C10" s="75" t="s">
        <v>8</v>
      </c>
      <c r="D10" s="6">
        <v>43009</v>
      </c>
      <c r="E10" s="6">
        <v>44805</v>
      </c>
      <c r="F10" t="s">
        <v>69</v>
      </c>
      <c r="G10" s="4">
        <v>0</v>
      </c>
      <c r="H10" s="4">
        <v>200</v>
      </c>
      <c r="J10" t="s">
        <v>34</v>
      </c>
      <c r="K10" s="43" t="s">
        <v>32</v>
      </c>
      <c r="L10" s="4">
        <v>200</v>
      </c>
      <c r="M10" t="s">
        <v>30</v>
      </c>
    </row>
    <row r="11" spans="1:17" x14ac:dyDescent="0.25">
      <c r="A11" s="15" t="s">
        <v>38</v>
      </c>
      <c r="B11" t="s">
        <v>42</v>
      </c>
      <c r="C11" s="75" t="s">
        <v>4</v>
      </c>
      <c r="D11" s="6">
        <v>42917</v>
      </c>
      <c r="E11" s="6">
        <v>44713</v>
      </c>
      <c r="F11" s="3" t="s">
        <v>5</v>
      </c>
      <c r="G11" s="4">
        <v>0</v>
      </c>
      <c r="H11" s="4">
        <v>200</v>
      </c>
      <c r="J11" t="s">
        <v>34</v>
      </c>
      <c r="K11" t="s">
        <v>28</v>
      </c>
      <c r="L11" s="4">
        <v>200</v>
      </c>
      <c r="M11" t="s">
        <v>30</v>
      </c>
    </row>
    <row r="12" spans="1:17" x14ac:dyDescent="0.25">
      <c r="A12" s="15" t="s">
        <v>38</v>
      </c>
      <c r="B12" t="s">
        <v>42</v>
      </c>
      <c r="C12" s="75" t="s">
        <v>15</v>
      </c>
      <c r="D12" s="6">
        <v>43101</v>
      </c>
      <c r="E12" s="6">
        <v>44531</v>
      </c>
      <c r="F12" s="3" t="s">
        <v>13</v>
      </c>
      <c r="G12" s="4">
        <v>0</v>
      </c>
      <c r="H12" s="4">
        <v>290</v>
      </c>
      <c r="J12" t="s">
        <v>34</v>
      </c>
      <c r="K12" s="43" t="s">
        <v>32</v>
      </c>
      <c r="L12" s="4">
        <v>290</v>
      </c>
      <c r="M12" t="s">
        <v>30</v>
      </c>
      <c r="N12" t="s">
        <v>84</v>
      </c>
    </row>
    <row r="13" spans="1:17" x14ac:dyDescent="0.25">
      <c r="A13" s="15" t="s">
        <v>38</v>
      </c>
      <c r="B13" t="s">
        <v>42</v>
      </c>
      <c r="C13" s="75" t="s">
        <v>15</v>
      </c>
      <c r="D13" s="6">
        <v>43344</v>
      </c>
      <c r="E13" s="6">
        <v>44774</v>
      </c>
      <c r="F13" s="3" t="s">
        <v>13</v>
      </c>
      <c r="G13" s="4">
        <v>0</v>
      </c>
      <c r="H13" s="4">
        <v>290</v>
      </c>
      <c r="J13" t="s">
        <v>34</v>
      </c>
      <c r="K13" s="43" t="s">
        <v>32</v>
      </c>
      <c r="L13" s="4">
        <v>290</v>
      </c>
      <c r="M13" t="s">
        <v>30</v>
      </c>
      <c r="N13"/>
    </row>
    <row r="14" spans="1:17" x14ac:dyDescent="0.25">
      <c r="A14" s="15" t="s">
        <v>38</v>
      </c>
      <c r="B14" t="s">
        <v>42</v>
      </c>
      <c r="C14" s="44" t="s">
        <v>87</v>
      </c>
      <c r="D14" s="6">
        <v>43405</v>
      </c>
      <c r="E14" s="6">
        <v>45231</v>
      </c>
      <c r="F14" s="3" t="s">
        <v>13</v>
      </c>
      <c r="H14" s="4">
        <v>200</v>
      </c>
      <c r="J14" t="s">
        <v>34</v>
      </c>
      <c r="K14" t="s">
        <v>28</v>
      </c>
      <c r="L14" s="4">
        <v>200</v>
      </c>
      <c r="M14" t="s">
        <v>30</v>
      </c>
      <c r="N14"/>
    </row>
    <row r="15" spans="1:17" x14ac:dyDescent="0.25">
      <c r="A15" s="15" t="s">
        <v>38</v>
      </c>
      <c r="B15" t="s">
        <v>42</v>
      </c>
      <c r="C15" s="44" t="s">
        <v>81</v>
      </c>
      <c r="D15" s="6">
        <v>43313</v>
      </c>
      <c r="E15" s="6">
        <v>44378</v>
      </c>
      <c r="F15" t="s">
        <v>82</v>
      </c>
      <c r="H15" s="4">
        <v>150</v>
      </c>
      <c r="J15" t="s">
        <v>34</v>
      </c>
      <c r="K15" t="s">
        <v>28</v>
      </c>
      <c r="L15" s="4">
        <v>270</v>
      </c>
      <c r="M15" t="s">
        <v>30</v>
      </c>
      <c r="N15" t="s">
        <v>83</v>
      </c>
    </row>
    <row r="16" spans="1:17" x14ac:dyDescent="0.25">
      <c r="A16" s="15" t="s">
        <v>38</v>
      </c>
      <c r="B16" t="s">
        <v>42</v>
      </c>
      <c r="C16" s="75" t="s">
        <v>43</v>
      </c>
      <c r="D16" s="6">
        <v>43191</v>
      </c>
      <c r="E16" s="6">
        <v>44986</v>
      </c>
      <c r="F16" s="3" t="s">
        <v>13</v>
      </c>
      <c r="G16" s="4">
        <v>0</v>
      </c>
      <c r="H16" s="4">
        <v>200</v>
      </c>
      <c r="J16" t="s">
        <v>34</v>
      </c>
      <c r="K16" t="s">
        <v>28</v>
      </c>
      <c r="L16" s="4">
        <v>200</v>
      </c>
      <c r="M16" t="s">
        <v>30</v>
      </c>
    </row>
    <row r="17" spans="1:17" x14ac:dyDescent="0.25">
      <c r="A17" s="15" t="s">
        <v>38</v>
      </c>
      <c r="B17" t="s">
        <v>44</v>
      </c>
      <c r="C17" s="75" t="s">
        <v>88</v>
      </c>
      <c r="D17" s="6">
        <v>43435</v>
      </c>
      <c r="E17" s="6">
        <v>45261</v>
      </c>
      <c r="F17" s="3" t="s">
        <v>13</v>
      </c>
      <c r="H17" s="4">
        <v>200</v>
      </c>
      <c r="J17" t="s">
        <v>34</v>
      </c>
      <c r="K17" t="s">
        <v>28</v>
      </c>
      <c r="L17" s="4">
        <v>200</v>
      </c>
      <c r="M17" t="s">
        <v>30</v>
      </c>
      <c r="N17" t="s">
        <v>94</v>
      </c>
    </row>
    <row r="18" spans="1:17" x14ac:dyDescent="0.25">
      <c r="A18" s="15" t="s">
        <v>38</v>
      </c>
      <c r="B18" t="s">
        <v>42</v>
      </c>
      <c r="C18" s="75" t="s">
        <v>0</v>
      </c>
      <c r="D18" s="6">
        <v>42917</v>
      </c>
      <c r="E18" s="6">
        <v>44713</v>
      </c>
      <c r="F18" t="s">
        <v>69</v>
      </c>
      <c r="G18" s="4">
        <v>0</v>
      </c>
      <c r="H18" s="4">
        <v>200</v>
      </c>
      <c r="J18" t="s">
        <v>34</v>
      </c>
      <c r="K18" s="43" t="s">
        <v>32</v>
      </c>
      <c r="L18" s="4">
        <v>200</v>
      </c>
      <c r="M18" t="s">
        <v>33</v>
      </c>
    </row>
    <row r="19" spans="1:17" x14ac:dyDescent="0.25">
      <c r="A19" s="15" t="s">
        <v>38</v>
      </c>
      <c r="B19" t="s">
        <v>42</v>
      </c>
      <c r="C19" s="75" t="s">
        <v>0</v>
      </c>
      <c r="D19" s="6">
        <v>43101</v>
      </c>
      <c r="E19" s="6">
        <v>44896</v>
      </c>
      <c r="F19" s="3" t="s">
        <v>13</v>
      </c>
      <c r="G19" s="4">
        <v>0</v>
      </c>
      <c r="H19" s="4">
        <v>200</v>
      </c>
      <c r="J19" t="s">
        <v>34</v>
      </c>
      <c r="K19" s="43" t="s">
        <v>32</v>
      </c>
      <c r="L19" s="4">
        <v>200</v>
      </c>
      <c r="M19" t="s">
        <v>33</v>
      </c>
    </row>
    <row r="20" spans="1:17" x14ac:dyDescent="0.25">
      <c r="A20" s="15" t="s">
        <v>38</v>
      </c>
      <c r="B20" t="s">
        <v>42</v>
      </c>
      <c r="C20" s="75" t="s">
        <v>0</v>
      </c>
      <c r="D20" s="6">
        <v>43009</v>
      </c>
      <c r="E20" s="6">
        <v>44805</v>
      </c>
      <c r="F20" t="s">
        <v>14</v>
      </c>
      <c r="G20" s="4">
        <v>140</v>
      </c>
      <c r="H20" s="4">
        <v>0</v>
      </c>
      <c r="J20" t="s">
        <v>31</v>
      </c>
      <c r="K20" s="43" t="s">
        <v>32</v>
      </c>
      <c r="L20" s="4">
        <v>140</v>
      </c>
      <c r="M20" t="s">
        <v>33</v>
      </c>
    </row>
    <row r="21" spans="1:17" x14ac:dyDescent="0.25">
      <c r="A21" s="15" t="s">
        <v>38</v>
      </c>
      <c r="B21" t="s">
        <v>42</v>
      </c>
      <c r="C21" s="75" t="s">
        <v>0</v>
      </c>
      <c r="D21" s="6">
        <v>42979</v>
      </c>
      <c r="E21" s="6">
        <v>44774</v>
      </c>
      <c r="F21" t="s">
        <v>40</v>
      </c>
      <c r="G21" s="4">
        <v>140</v>
      </c>
      <c r="H21" s="4">
        <v>0</v>
      </c>
      <c r="J21" t="s">
        <v>31</v>
      </c>
      <c r="K21" s="43" t="s">
        <v>32</v>
      </c>
      <c r="L21" s="4">
        <v>140</v>
      </c>
      <c r="M21" t="s">
        <v>33</v>
      </c>
      <c r="N21" t="s">
        <v>41</v>
      </c>
    </row>
    <row r="22" spans="1:17" x14ac:dyDescent="0.25">
      <c r="A22" s="15" t="s">
        <v>38</v>
      </c>
      <c r="B22" t="s">
        <v>42</v>
      </c>
      <c r="C22" s="75" t="s">
        <v>0</v>
      </c>
      <c r="D22" s="78">
        <v>43617</v>
      </c>
      <c r="E22" s="6">
        <v>45444</v>
      </c>
      <c r="F22" t="s">
        <v>105</v>
      </c>
      <c r="G22" s="4">
        <v>120</v>
      </c>
      <c r="H22" s="4">
        <v>0</v>
      </c>
      <c r="J22" t="s">
        <v>31</v>
      </c>
      <c r="K22" s="43" t="s">
        <v>32</v>
      </c>
      <c r="L22" s="4">
        <v>120</v>
      </c>
      <c r="M22" t="s">
        <v>33</v>
      </c>
      <c r="N22" t="s">
        <v>41</v>
      </c>
    </row>
    <row r="23" spans="1:17" x14ac:dyDescent="0.25">
      <c r="A23" s="15" t="s">
        <v>38</v>
      </c>
      <c r="B23" t="s">
        <v>42</v>
      </c>
      <c r="C23" s="44" t="s">
        <v>103</v>
      </c>
      <c r="D23" s="6">
        <v>43586</v>
      </c>
      <c r="E23" s="6">
        <v>45413</v>
      </c>
      <c r="F23" t="s">
        <v>13</v>
      </c>
      <c r="H23" s="4">
        <v>200</v>
      </c>
      <c r="J23" t="s">
        <v>34</v>
      </c>
      <c r="K23" s="43" t="s">
        <v>28</v>
      </c>
      <c r="L23" s="4">
        <v>600</v>
      </c>
      <c r="M23" t="s">
        <v>30</v>
      </c>
      <c r="N23"/>
    </row>
    <row r="24" spans="1:17" x14ac:dyDescent="0.25">
      <c r="A24" s="15" t="s">
        <v>38</v>
      </c>
      <c r="B24" t="s">
        <v>42</v>
      </c>
      <c r="C24" s="75" t="s">
        <v>45</v>
      </c>
      <c r="D24" s="6">
        <v>43191</v>
      </c>
      <c r="E24" s="6">
        <v>44986</v>
      </c>
      <c r="F24" s="3" t="s">
        <v>13</v>
      </c>
      <c r="G24" s="4">
        <v>0</v>
      </c>
      <c r="H24" s="4">
        <v>200</v>
      </c>
      <c r="J24" t="s">
        <v>34</v>
      </c>
      <c r="K24" t="s">
        <v>28</v>
      </c>
      <c r="L24" s="4">
        <v>600</v>
      </c>
      <c r="M24" t="s">
        <v>30</v>
      </c>
    </row>
    <row r="25" spans="1:17" x14ac:dyDescent="0.25">
      <c r="A25" s="17" t="s">
        <v>39</v>
      </c>
      <c r="B25" t="s">
        <v>42</v>
      </c>
      <c r="C25" s="44" t="s">
        <v>50</v>
      </c>
      <c r="D25" s="6">
        <v>43221</v>
      </c>
      <c r="E25" s="2" t="s">
        <v>3</v>
      </c>
      <c r="G25" s="4">
        <v>0</v>
      </c>
      <c r="H25" s="1">
        <v>330</v>
      </c>
      <c r="I25"/>
      <c r="J25" t="s">
        <v>34</v>
      </c>
      <c r="K25" t="s">
        <v>28</v>
      </c>
      <c r="L25" s="4">
        <v>390</v>
      </c>
      <c r="M25" t="s">
        <v>30</v>
      </c>
      <c r="N25" t="s">
        <v>77</v>
      </c>
      <c r="O25" s="14"/>
      <c r="P25" s="14"/>
      <c r="Q25" s="14"/>
    </row>
    <row r="26" spans="1:17" x14ac:dyDescent="0.25">
      <c r="A26" s="17" t="s">
        <v>39</v>
      </c>
      <c r="B26" t="s">
        <v>42</v>
      </c>
      <c r="C26" s="44" t="s">
        <v>36</v>
      </c>
      <c r="D26" s="6">
        <v>43009</v>
      </c>
      <c r="E26" s="2" t="s">
        <v>3</v>
      </c>
      <c r="G26" s="1"/>
      <c r="H26" s="1">
        <v>270</v>
      </c>
      <c r="I26"/>
      <c r="J26" t="s">
        <v>34</v>
      </c>
      <c r="K26" t="s">
        <v>28</v>
      </c>
      <c r="L26" s="4">
        <v>270</v>
      </c>
      <c r="M26" t="s">
        <v>30</v>
      </c>
    </row>
    <row r="27" spans="1:17" x14ac:dyDescent="0.25">
      <c r="A27" s="17" t="s">
        <v>39</v>
      </c>
      <c r="B27" t="s">
        <v>42</v>
      </c>
      <c r="C27" s="44" t="s">
        <v>15</v>
      </c>
      <c r="D27" s="6">
        <v>43132</v>
      </c>
      <c r="E27" s="2" t="s">
        <v>3</v>
      </c>
      <c r="G27" s="4">
        <v>0</v>
      </c>
      <c r="H27" s="1">
        <v>2250</v>
      </c>
      <c r="I27"/>
      <c r="J27" t="s">
        <v>34</v>
      </c>
      <c r="K27" t="s">
        <v>28</v>
      </c>
      <c r="L27" s="4">
        <v>2250</v>
      </c>
      <c r="M27" t="s">
        <v>30</v>
      </c>
    </row>
    <row r="28" spans="1:17" x14ac:dyDescent="0.25">
      <c r="A28" s="17" t="s">
        <v>78</v>
      </c>
      <c r="B28" t="s">
        <v>42</v>
      </c>
      <c r="C28" s="44" t="s">
        <v>6</v>
      </c>
      <c r="D28" s="6">
        <v>42979</v>
      </c>
      <c r="E28" s="6">
        <v>44774</v>
      </c>
      <c r="G28" s="1"/>
      <c r="H28" s="1">
        <v>1275</v>
      </c>
      <c r="I28" t="s">
        <v>79</v>
      </c>
      <c r="J28" t="s">
        <v>34</v>
      </c>
      <c r="K28" s="43" t="s">
        <v>32</v>
      </c>
      <c r="L28" s="4">
        <v>1498.8</v>
      </c>
      <c r="M28" t="s">
        <v>35</v>
      </c>
      <c r="N28" t="s">
        <v>85</v>
      </c>
    </row>
    <row r="29" spans="1:17" x14ac:dyDescent="0.25">
      <c r="M29"/>
    </row>
    <row r="31" spans="1:17" x14ac:dyDescent="0.25">
      <c r="A31" s="3"/>
      <c r="B31" s="76" t="s">
        <v>104</v>
      </c>
      <c r="C31" s="77"/>
    </row>
    <row r="32" spans="1:17" x14ac:dyDescent="0.25">
      <c r="M32"/>
    </row>
    <row r="33" spans="1:17" x14ac:dyDescent="0.25">
      <c r="M33"/>
    </row>
    <row r="34" spans="1:17" x14ac:dyDescent="0.25">
      <c r="M34"/>
    </row>
    <row r="35" spans="1:17" s="74" customFormat="1" x14ac:dyDescent="0.25">
      <c r="A35" s="69" t="s">
        <v>38</v>
      </c>
      <c r="B35" s="70" t="s">
        <v>42</v>
      </c>
      <c r="C35" s="71" t="s">
        <v>9</v>
      </c>
      <c r="D35" s="72">
        <v>42095</v>
      </c>
      <c r="E35" s="72">
        <v>43525</v>
      </c>
      <c r="F35" s="70" t="s">
        <v>10</v>
      </c>
      <c r="G35" s="73">
        <v>90</v>
      </c>
      <c r="H35" s="73">
        <v>0</v>
      </c>
      <c r="I35" s="70" t="s">
        <v>11</v>
      </c>
      <c r="J35" s="70" t="s">
        <v>27</v>
      </c>
      <c r="K35" s="70" t="s">
        <v>28</v>
      </c>
      <c r="L35" s="73">
        <v>180</v>
      </c>
      <c r="M35" s="70" t="s">
        <v>30</v>
      </c>
      <c r="N35" s="70"/>
      <c r="O35" s="70"/>
      <c r="P35" s="70"/>
      <c r="Q35" s="70"/>
    </row>
    <row r="36" spans="1:17" s="70" customFormat="1" x14ac:dyDescent="0.25">
      <c r="A36" s="69" t="s">
        <v>38</v>
      </c>
      <c r="B36" s="70" t="s">
        <v>42</v>
      </c>
      <c r="C36" s="71" t="s">
        <v>9</v>
      </c>
      <c r="D36" s="72">
        <v>42095</v>
      </c>
      <c r="E36" s="72">
        <v>43525</v>
      </c>
      <c r="F36" s="70" t="s">
        <v>10</v>
      </c>
      <c r="G36" s="73">
        <v>120</v>
      </c>
      <c r="H36" s="73">
        <v>0</v>
      </c>
      <c r="I36" s="70" t="s">
        <v>11</v>
      </c>
      <c r="J36" s="70" t="s">
        <v>27</v>
      </c>
      <c r="K36" s="70" t="s">
        <v>28</v>
      </c>
      <c r="L36" s="73">
        <v>240</v>
      </c>
      <c r="M36" s="70" t="s">
        <v>30</v>
      </c>
    </row>
    <row r="37" spans="1:17" s="70" customFormat="1" x14ac:dyDescent="0.25">
      <c r="A37" s="69" t="s">
        <v>39</v>
      </c>
      <c r="C37" s="71" t="s">
        <v>7</v>
      </c>
      <c r="D37" s="72">
        <v>43009</v>
      </c>
      <c r="E37" s="72">
        <v>43252</v>
      </c>
      <c r="G37" s="73"/>
      <c r="H37" s="73">
        <v>240</v>
      </c>
      <c r="J37" s="70" t="s">
        <v>34</v>
      </c>
      <c r="K37" s="70" t="s">
        <v>28</v>
      </c>
      <c r="L37" s="73">
        <v>240</v>
      </c>
      <c r="M37" s="70" t="s">
        <v>30</v>
      </c>
      <c r="N37" s="70" t="s">
        <v>54</v>
      </c>
    </row>
    <row r="38" spans="1:17" s="70" customFormat="1" x14ac:dyDescent="0.25">
      <c r="A38" s="69" t="s">
        <v>91</v>
      </c>
      <c r="C38" s="71" t="s">
        <v>90</v>
      </c>
      <c r="D38" s="72"/>
      <c r="E38" s="72">
        <v>43525</v>
      </c>
      <c r="F38" s="70" t="s">
        <v>92</v>
      </c>
      <c r="G38" s="73">
        <v>40</v>
      </c>
      <c r="H38" s="73"/>
      <c r="J38" s="70" t="s">
        <v>93</v>
      </c>
      <c r="L38" s="73"/>
    </row>
  </sheetData>
  <autoFilter ref="A1:N28" xr:uid="{816DBC15-95E5-4969-8EA6-CB18105A38B5}"/>
  <sortState xmlns:xlrd2="http://schemas.microsoft.com/office/spreadsheetml/2017/richdata2" ref="A3:Q28">
    <sortCondition ref="A3:A28"/>
    <sortCondition ref="C3:C28"/>
  </sortState>
  <pageMargins left="0.7" right="0.7" top="0.75" bottom="0.75" header="0.3" footer="0.3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27B3-795F-46AB-9FB6-DD24D196A97E}">
  <dimension ref="A1:Z36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5" x14ac:dyDescent="0.25"/>
  <cols>
    <col min="1" max="1" width="20.85546875" customWidth="1"/>
    <col min="2" max="2" width="16.42578125" style="41" customWidth="1"/>
    <col min="3" max="3" width="17.42578125" style="23" customWidth="1"/>
    <col min="4" max="4" width="10.7109375" style="42" customWidth="1"/>
    <col min="5" max="5" width="16.28515625" style="5" customWidth="1"/>
    <col min="6" max="6" width="11" style="3" customWidth="1"/>
    <col min="7" max="7" width="18.85546875" style="3" customWidth="1"/>
    <col min="8" max="8" width="11.140625" style="3" customWidth="1"/>
    <col min="9" max="10" width="13.5703125" style="3" customWidth="1"/>
    <col min="11" max="11" width="11.42578125" style="3" bestFit="1" customWidth="1"/>
    <col min="12" max="12" width="14" style="3" bestFit="1" customWidth="1"/>
    <col min="13" max="14" width="9.28515625" style="3" bestFit="1" customWidth="1"/>
    <col min="15" max="15" width="17.85546875" style="3" bestFit="1" customWidth="1"/>
    <col min="16" max="16" width="18.28515625" style="3" bestFit="1" customWidth="1"/>
    <col min="17" max="17" width="10" style="3" customWidth="1"/>
    <col min="18" max="18" width="14.5703125" bestFit="1" customWidth="1"/>
    <col min="19" max="19" width="12.42578125" bestFit="1" customWidth="1"/>
    <col min="20" max="20" width="14.5703125" bestFit="1" customWidth="1"/>
    <col min="21" max="21" width="9.140625" style="2"/>
  </cols>
  <sheetData>
    <row r="1" spans="1:21" ht="75" customHeight="1" x14ac:dyDescent="0.25">
      <c r="A1" s="13" t="s">
        <v>22</v>
      </c>
      <c r="B1" s="22" t="s">
        <v>18</v>
      </c>
      <c r="C1" s="22" t="s">
        <v>17</v>
      </c>
      <c r="D1" s="34" t="s">
        <v>70</v>
      </c>
      <c r="E1" s="9" t="s">
        <v>59</v>
      </c>
      <c r="F1" s="8" t="s">
        <v>60</v>
      </c>
      <c r="G1" s="8" t="s">
        <v>58</v>
      </c>
      <c r="H1" s="8" t="s">
        <v>61</v>
      </c>
      <c r="I1" s="24" t="s">
        <v>21</v>
      </c>
      <c r="J1" s="29" t="s">
        <v>56</v>
      </c>
      <c r="K1" s="29" t="s">
        <v>55</v>
      </c>
      <c r="L1" s="21" t="s">
        <v>57</v>
      </c>
      <c r="M1" s="25" t="s">
        <v>46</v>
      </c>
      <c r="N1" s="25" t="s">
        <v>52</v>
      </c>
      <c r="O1" s="31" t="s">
        <v>67</v>
      </c>
      <c r="P1" s="31" t="s">
        <v>66</v>
      </c>
      <c r="Q1" s="26" t="s">
        <v>62</v>
      </c>
      <c r="R1" s="26" t="s">
        <v>63</v>
      </c>
      <c r="S1" s="27" t="s">
        <v>64</v>
      </c>
      <c r="T1" s="27" t="s">
        <v>65</v>
      </c>
      <c r="U1" s="21" t="s">
        <v>68</v>
      </c>
    </row>
    <row r="2" spans="1:21" x14ac:dyDescent="0.25">
      <c r="A2" s="37" t="str">
        <f>noleggi!C35</f>
        <v>AVV VALVES</v>
      </c>
      <c r="B2" s="39">
        <f>noleggi!D35</f>
        <v>42095</v>
      </c>
      <c r="C2" s="38" t="str">
        <f>noleggi!F35</f>
        <v>RICOH MP 2501</v>
      </c>
      <c r="D2" s="42">
        <v>2</v>
      </c>
      <c r="E2" s="5">
        <v>8000</v>
      </c>
      <c r="F2" s="3">
        <v>0.01</v>
      </c>
      <c r="G2" s="3">
        <v>0</v>
      </c>
      <c r="H2" s="3">
        <v>0</v>
      </c>
      <c r="I2" s="10">
        <v>43126</v>
      </c>
      <c r="K2" s="3">
        <v>207744</v>
      </c>
      <c r="L2" s="10">
        <v>43280</v>
      </c>
      <c r="N2" s="3">
        <v>237747</v>
      </c>
      <c r="O2" s="30">
        <f>N2-K2</f>
        <v>30003</v>
      </c>
      <c r="P2" s="30"/>
      <c r="Q2" s="28">
        <f>(N2-K2)/MONTH(L2-I2)</f>
        <v>5000.5</v>
      </c>
      <c r="R2" s="28">
        <f>(M2-J2)/MONTH(L2-I2)</f>
        <v>0</v>
      </c>
      <c r="S2" s="32">
        <f>Q2-E2/D2</f>
        <v>1000.5</v>
      </c>
      <c r="T2" s="33">
        <f>R2-G2/D2</f>
        <v>0</v>
      </c>
      <c r="U2" s="14" t="s">
        <v>44</v>
      </c>
    </row>
    <row r="3" spans="1:21" x14ac:dyDescent="0.25">
      <c r="A3" s="37" t="str">
        <f>noleggi!C36</f>
        <v>AVV VALVES</v>
      </c>
      <c r="B3" s="39">
        <f>noleggi!D36</f>
        <v>42095</v>
      </c>
      <c r="C3" s="38" t="str">
        <f>noleggi!F36</f>
        <v>RICOH MP 2501</v>
      </c>
      <c r="D3" s="42">
        <v>2</v>
      </c>
      <c r="E3" s="5">
        <v>4000</v>
      </c>
      <c r="F3" s="3">
        <v>0.01</v>
      </c>
      <c r="G3" s="3">
        <v>0</v>
      </c>
      <c r="H3" s="3">
        <v>0</v>
      </c>
      <c r="I3" s="10">
        <v>43126</v>
      </c>
      <c r="K3" s="3">
        <v>243243</v>
      </c>
      <c r="L3" s="10">
        <v>43280</v>
      </c>
      <c r="N3" s="3">
        <v>280217</v>
      </c>
      <c r="O3" s="30">
        <f t="shared" ref="O3:O6" si="0">N3-K3</f>
        <v>36974</v>
      </c>
      <c r="P3" s="30"/>
      <c r="Q3" s="28">
        <f t="shared" ref="Q3:Q6" si="1">(N3-K3)/MONTH(L3-I3)</f>
        <v>6162.333333333333</v>
      </c>
      <c r="R3" s="28">
        <f t="shared" ref="R3:R6" si="2">(M3-J3)/MONTH(L3-I3)</f>
        <v>0</v>
      </c>
      <c r="S3" s="32">
        <f t="shared" ref="S3:S9" si="3">Q3-E3/D3</f>
        <v>4162.333333333333</v>
      </c>
      <c r="T3" s="33">
        <f t="shared" ref="T3:T9" si="4">R3-G3/D3</f>
        <v>0</v>
      </c>
      <c r="U3" s="14" t="s">
        <v>44</v>
      </c>
    </row>
    <row r="4" spans="1:21" x14ac:dyDescent="0.25">
      <c r="A4" s="37" t="str">
        <f>noleggi!C3</f>
        <v>COLORIFICIO FERRARIS</v>
      </c>
      <c r="B4" s="39">
        <f>noleggi!D3</f>
        <v>43344</v>
      </c>
      <c r="C4" s="38" t="str">
        <f>noleggi!F3</f>
        <v>TA 2506i</v>
      </c>
      <c r="D4" s="42">
        <v>3</v>
      </c>
      <c r="E4" s="5">
        <v>3000</v>
      </c>
      <c r="F4" s="3">
        <v>0.01</v>
      </c>
      <c r="G4" s="3">
        <v>300</v>
      </c>
      <c r="H4" s="3">
        <v>0.08</v>
      </c>
      <c r="I4" s="10"/>
      <c r="L4" s="10"/>
      <c r="O4" s="30"/>
      <c r="P4" s="30"/>
      <c r="Q4" s="28"/>
      <c r="R4" s="28"/>
      <c r="S4" s="32"/>
      <c r="T4" s="33"/>
      <c r="U4" s="14"/>
    </row>
    <row r="5" spans="1:21" x14ac:dyDescent="0.25">
      <c r="A5" s="37" t="str">
        <f>'CONGUAGLI old o chiusi'!C34</f>
        <v>DELTA</v>
      </c>
      <c r="B5" s="39">
        <f>'CONGUAGLI old o chiusi'!D34</f>
        <v>43040</v>
      </c>
      <c r="C5" s="38" t="str">
        <f>'CONGUAGLI old o chiusi'!F34</f>
        <v>TA 2506i</v>
      </c>
      <c r="D5" s="42">
        <v>3</v>
      </c>
      <c r="E5" s="5">
        <v>3000</v>
      </c>
      <c r="F5" s="3">
        <v>0.01</v>
      </c>
      <c r="G5" s="3">
        <v>300</v>
      </c>
      <c r="H5" s="3">
        <v>0.09</v>
      </c>
      <c r="I5" s="10">
        <f>B5</f>
        <v>43040</v>
      </c>
      <c r="J5">
        <v>0</v>
      </c>
      <c r="K5">
        <v>0</v>
      </c>
      <c r="L5" s="10">
        <v>43280</v>
      </c>
      <c r="M5" s="3">
        <v>10141</v>
      </c>
      <c r="N5" s="3">
        <v>16451</v>
      </c>
      <c r="O5" s="30">
        <f t="shared" si="0"/>
        <v>16451</v>
      </c>
      <c r="P5" s="30">
        <f>M5-J5</f>
        <v>10141</v>
      </c>
      <c r="Q5" s="28">
        <f t="shared" si="1"/>
        <v>2056.375</v>
      </c>
      <c r="R5" s="28">
        <f t="shared" si="2"/>
        <v>1267.625</v>
      </c>
      <c r="S5" s="32">
        <f t="shared" si="3"/>
        <v>1056.375</v>
      </c>
      <c r="T5" s="32">
        <f t="shared" si="4"/>
        <v>1167.625</v>
      </c>
      <c r="U5" s="14" t="s">
        <v>44</v>
      </c>
    </row>
    <row r="6" spans="1:21" x14ac:dyDescent="0.25">
      <c r="A6" s="37" t="str">
        <f>noleggi!C4</f>
        <v>DIGITAL MARKETING 0</v>
      </c>
      <c r="B6" s="39">
        <f>noleggi!D4</f>
        <v>43221</v>
      </c>
      <c r="C6" s="38" t="str">
        <f>noleggi!F4</f>
        <v>TA 2506i</v>
      </c>
      <c r="D6" s="42">
        <v>3</v>
      </c>
      <c r="E6" s="5">
        <v>3000</v>
      </c>
      <c r="F6" s="3">
        <v>0.01</v>
      </c>
      <c r="G6" s="3">
        <v>300</v>
      </c>
      <c r="H6" s="7">
        <v>0.08</v>
      </c>
      <c r="I6" s="10">
        <f t="shared" ref="I6:I23" si="5">B6</f>
        <v>43221</v>
      </c>
      <c r="J6">
        <v>0</v>
      </c>
      <c r="K6">
        <v>0</v>
      </c>
      <c r="L6" s="10">
        <v>43280</v>
      </c>
      <c r="M6" s="3">
        <v>515</v>
      </c>
      <c r="N6">
        <v>1077</v>
      </c>
      <c r="O6" s="30">
        <f t="shared" si="0"/>
        <v>1077</v>
      </c>
      <c r="P6" s="30">
        <f t="shared" ref="P6" si="6">M6-J6</f>
        <v>515</v>
      </c>
      <c r="Q6" s="28">
        <f t="shared" si="1"/>
        <v>538.5</v>
      </c>
      <c r="R6" s="28">
        <f t="shared" si="2"/>
        <v>257.5</v>
      </c>
      <c r="S6" s="32">
        <f t="shared" si="3"/>
        <v>-461.5</v>
      </c>
      <c r="T6" s="32">
        <f t="shared" si="4"/>
        <v>157.5</v>
      </c>
      <c r="U6" s="14" t="s">
        <v>44</v>
      </c>
    </row>
    <row r="7" spans="1:21" x14ac:dyDescent="0.25">
      <c r="A7" s="37" t="str">
        <f>noleggi!C5</f>
        <v>FILATURA PREALPINA</v>
      </c>
      <c r="B7" s="39">
        <f>noleggi!D5</f>
        <v>43191</v>
      </c>
      <c r="C7" s="38" t="str">
        <f>noleggi!F5</f>
        <v>TA 2506i</v>
      </c>
      <c r="D7" s="42">
        <v>3</v>
      </c>
      <c r="E7" s="5">
        <v>3000</v>
      </c>
      <c r="F7">
        <v>0.01</v>
      </c>
      <c r="G7">
        <v>300</v>
      </c>
      <c r="H7">
        <v>0.09</v>
      </c>
      <c r="I7" s="10">
        <f t="shared" si="5"/>
        <v>43191</v>
      </c>
      <c r="J7">
        <v>0</v>
      </c>
      <c r="K7">
        <v>0</v>
      </c>
      <c r="L7" s="10">
        <v>43280</v>
      </c>
      <c r="M7">
        <v>412</v>
      </c>
      <c r="N7">
        <v>5240</v>
      </c>
      <c r="O7" s="30">
        <f t="shared" ref="O7:O9" si="7">N7-K7</f>
        <v>5240</v>
      </c>
      <c r="P7" s="30">
        <f t="shared" ref="P7:P9" si="8">M7-J7</f>
        <v>412</v>
      </c>
      <c r="Q7" s="28">
        <f t="shared" ref="Q7:Q9" si="9">(N7-K7)/MONTH(L7-I7)</f>
        <v>1746.6666666666667</v>
      </c>
      <c r="R7" s="28">
        <f t="shared" ref="R7:R9" si="10">(M7-J7)/MONTH(L7-I7)</f>
        <v>137.33333333333334</v>
      </c>
      <c r="S7" s="32">
        <f t="shared" si="3"/>
        <v>746.66666666666674</v>
      </c>
      <c r="T7" s="32">
        <f t="shared" si="4"/>
        <v>37.333333333333343</v>
      </c>
      <c r="U7" s="14" t="s">
        <v>44</v>
      </c>
    </row>
    <row r="8" spans="1:21" x14ac:dyDescent="0.25">
      <c r="A8" s="37" t="str">
        <f>noleggi!C6</f>
        <v>FINAZZI GEOM LORIS</v>
      </c>
      <c r="B8" s="39">
        <f>noleggi!D6</f>
        <v>43252</v>
      </c>
      <c r="C8" s="38" t="str">
        <f>noleggi!F6</f>
        <v>TA 2506i</v>
      </c>
      <c r="D8" s="42">
        <v>3</v>
      </c>
      <c r="E8" s="5">
        <v>3000</v>
      </c>
      <c r="F8">
        <v>0.01</v>
      </c>
      <c r="G8">
        <v>300</v>
      </c>
      <c r="H8" s="7">
        <v>0.08</v>
      </c>
      <c r="I8" s="10">
        <f t="shared" si="5"/>
        <v>43252</v>
      </c>
      <c r="J8">
        <v>0</v>
      </c>
      <c r="K8">
        <v>0</v>
      </c>
      <c r="L8" s="10">
        <v>43280</v>
      </c>
      <c r="M8">
        <v>467</v>
      </c>
      <c r="N8">
        <v>12</v>
      </c>
      <c r="O8" s="30">
        <f t="shared" si="7"/>
        <v>12</v>
      </c>
      <c r="P8" s="30">
        <f t="shared" si="8"/>
        <v>467</v>
      </c>
      <c r="Q8" s="28">
        <f t="shared" si="9"/>
        <v>12</v>
      </c>
      <c r="R8" s="28">
        <f t="shared" si="10"/>
        <v>467</v>
      </c>
      <c r="S8" s="32">
        <f t="shared" si="3"/>
        <v>-988</v>
      </c>
      <c r="T8" s="32">
        <f t="shared" si="4"/>
        <v>367</v>
      </c>
      <c r="U8" s="14"/>
    </row>
    <row r="9" spans="1:21" x14ac:dyDescent="0.25">
      <c r="A9" s="37" t="str">
        <f>noleggi!C7</f>
        <v>FRERI E BRIGNOLI</v>
      </c>
      <c r="B9" s="39">
        <f>noleggi!D7</f>
        <v>43221</v>
      </c>
      <c r="C9" s="38" t="str">
        <f>noleggi!F7</f>
        <v>TA 2506i</v>
      </c>
      <c r="D9" s="42">
        <v>3</v>
      </c>
      <c r="E9" s="5">
        <v>3000</v>
      </c>
      <c r="F9">
        <v>0.01</v>
      </c>
      <c r="G9">
        <v>300</v>
      </c>
      <c r="H9">
        <v>0.09</v>
      </c>
      <c r="I9" s="10">
        <f t="shared" si="5"/>
        <v>43221</v>
      </c>
      <c r="J9">
        <v>0</v>
      </c>
      <c r="K9">
        <v>0</v>
      </c>
      <c r="L9" s="10">
        <v>43280</v>
      </c>
      <c r="M9">
        <v>672</v>
      </c>
      <c r="N9">
        <v>593</v>
      </c>
      <c r="O9" s="30">
        <f t="shared" si="7"/>
        <v>593</v>
      </c>
      <c r="P9" s="30">
        <f t="shared" si="8"/>
        <v>672</v>
      </c>
      <c r="Q9" s="28">
        <f t="shared" si="9"/>
        <v>296.5</v>
      </c>
      <c r="R9" s="28">
        <f t="shared" si="10"/>
        <v>336</v>
      </c>
      <c r="S9" s="32">
        <f t="shared" si="3"/>
        <v>-703.5</v>
      </c>
      <c r="T9" s="32">
        <f t="shared" si="4"/>
        <v>236</v>
      </c>
      <c r="U9" s="14"/>
    </row>
    <row r="10" spans="1:21" x14ac:dyDescent="0.25">
      <c r="A10" s="37" t="str">
        <f>noleggi!C8</f>
        <v>GHILARDI ROMANO</v>
      </c>
      <c r="B10" s="39">
        <f>noleggi!D8</f>
        <v>43101</v>
      </c>
      <c r="C10" s="38" t="str">
        <f>noleggi!F8</f>
        <v>TA 2506i</v>
      </c>
      <c r="D10" s="42">
        <v>3</v>
      </c>
      <c r="E10" s="5">
        <v>3000</v>
      </c>
      <c r="F10" s="3">
        <v>0.01</v>
      </c>
      <c r="G10" s="3">
        <v>300</v>
      </c>
      <c r="H10" s="3">
        <v>0.09</v>
      </c>
      <c r="I10" s="10">
        <f t="shared" si="5"/>
        <v>43101</v>
      </c>
      <c r="J10">
        <v>0</v>
      </c>
      <c r="K10">
        <v>0</v>
      </c>
      <c r="L10" s="10">
        <v>43286</v>
      </c>
      <c r="M10">
        <v>738</v>
      </c>
      <c r="N10">
        <v>2199</v>
      </c>
      <c r="O10" s="30">
        <f t="shared" ref="O10:O21" si="11">N10-K10</f>
        <v>2199</v>
      </c>
      <c r="P10" s="30">
        <f t="shared" ref="P10:P21" si="12">M10-J10</f>
        <v>738</v>
      </c>
      <c r="Q10" s="28">
        <f t="shared" ref="Q10:Q21" si="13">(N10-K10)/MONTH(L10-I10)</f>
        <v>314.14285714285717</v>
      </c>
      <c r="R10" s="28">
        <f t="shared" ref="R10:R21" si="14">(M10-J10)/MONTH(L10-I10)</f>
        <v>105.42857142857143</v>
      </c>
      <c r="S10" s="32">
        <f t="shared" ref="S10:S21" si="15">Q10-E10/D10</f>
        <v>-685.85714285714289</v>
      </c>
      <c r="T10" s="32">
        <f t="shared" ref="T10:T21" si="16">R10-G10/D10</f>
        <v>5.4285714285714306</v>
      </c>
      <c r="U10" s="14"/>
    </row>
    <row r="11" spans="1:21" x14ac:dyDescent="0.25">
      <c r="A11" s="37" t="str">
        <f>noleggi!C10</f>
        <v>JOSUEL BROKER</v>
      </c>
      <c r="B11" s="39">
        <f>noleggi!D10</f>
        <v>43009</v>
      </c>
      <c r="C11" s="38" t="str">
        <f>noleggi!F10</f>
        <v>RICOH MPC 2011</v>
      </c>
      <c r="D11" s="42">
        <v>3</v>
      </c>
      <c r="E11" s="5">
        <v>3000</v>
      </c>
      <c r="F11" s="3">
        <v>0.01</v>
      </c>
      <c r="G11" s="3">
        <v>300</v>
      </c>
      <c r="H11" s="3">
        <v>0.09</v>
      </c>
      <c r="I11" s="10">
        <f t="shared" si="5"/>
        <v>43009</v>
      </c>
      <c r="J11">
        <v>0</v>
      </c>
      <c r="K11">
        <v>0</v>
      </c>
      <c r="L11" s="10">
        <v>43280</v>
      </c>
      <c r="M11">
        <v>2083</v>
      </c>
      <c r="N11">
        <v>23391</v>
      </c>
      <c r="O11" s="30">
        <f t="shared" si="11"/>
        <v>23391</v>
      </c>
      <c r="P11" s="30">
        <f t="shared" si="12"/>
        <v>2083</v>
      </c>
      <c r="Q11" s="28">
        <f t="shared" si="13"/>
        <v>2599</v>
      </c>
      <c r="R11" s="28">
        <f t="shared" si="14"/>
        <v>231.44444444444446</v>
      </c>
      <c r="S11" s="32">
        <f t="shared" si="15"/>
        <v>1599</v>
      </c>
      <c r="T11" s="32">
        <f t="shared" si="16"/>
        <v>131.44444444444446</v>
      </c>
      <c r="U11" s="14" t="s">
        <v>44</v>
      </c>
    </row>
    <row r="12" spans="1:21" x14ac:dyDescent="0.25">
      <c r="A12" s="37" t="str">
        <f>noleggi!C11</f>
        <v>NEW NEV</v>
      </c>
      <c r="B12" s="39">
        <f>noleggi!D11</f>
        <v>42917</v>
      </c>
      <c r="C12" s="38" t="str">
        <f>noleggi!F11</f>
        <v>RICOH MPC 2003</v>
      </c>
      <c r="D12" s="42">
        <v>3</v>
      </c>
      <c r="E12" s="5">
        <v>3000</v>
      </c>
      <c r="F12" s="3">
        <v>0.01</v>
      </c>
      <c r="G12" s="3">
        <v>300</v>
      </c>
      <c r="H12" s="3">
        <v>0.09</v>
      </c>
      <c r="I12" s="10">
        <f t="shared" si="5"/>
        <v>42917</v>
      </c>
      <c r="J12">
        <v>0</v>
      </c>
      <c r="K12">
        <v>0</v>
      </c>
      <c r="L12" s="10">
        <v>43280</v>
      </c>
      <c r="M12">
        <v>1893</v>
      </c>
      <c r="N12">
        <v>20349</v>
      </c>
      <c r="O12" s="30">
        <f t="shared" si="11"/>
        <v>20349</v>
      </c>
      <c r="P12" s="30">
        <f t="shared" si="12"/>
        <v>1893</v>
      </c>
      <c r="Q12" s="28">
        <f t="shared" si="13"/>
        <v>1695.75</v>
      </c>
      <c r="R12" s="28">
        <f t="shared" si="14"/>
        <v>157.75</v>
      </c>
      <c r="S12" s="32">
        <f t="shared" si="15"/>
        <v>695.75</v>
      </c>
      <c r="T12" s="32">
        <f t="shared" si="16"/>
        <v>57.75</v>
      </c>
      <c r="U12" s="14" t="s">
        <v>44</v>
      </c>
    </row>
    <row r="13" spans="1:21" x14ac:dyDescent="0.25">
      <c r="A13" s="37" t="str">
        <f>noleggi!C12</f>
        <v>PIAZZALUNGA</v>
      </c>
      <c r="B13" s="39">
        <f>noleggi!D12</f>
        <v>43101</v>
      </c>
      <c r="C13" s="38" t="str">
        <f>noleggi!F12</f>
        <v>TA 2506i</v>
      </c>
      <c r="D13" s="42">
        <v>3</v>
      </c>
      <c r="E13" s="5">
        <v>5000</v>
      </c>
      <c r="F13" s="3">
        <v>0.01</v>
      </c>
      <c r="G13" s="3">
        <v>500</v>
      </c>
      <c r="H13" s="3">
        <v>0.09</v>
      </c>
      <c r="I13" s="10">
        <f t="shared" si="5"/>
        <v>43101</v>
      </c>
      <c r="J13">
        <v>0</v>
      </c>
      <c r="K13">
        <v>0</v>
      </c>
      <c r="L13" s="10">
        <v>43280</v>
      </c>
      <c r="M13">
        <v>7947</v>
      </c>
      <c r="N13">
        <v>10808</v>
      </c>
      <c r="O13" s="30">
        <f t="shared" si="11"/>
        <v>10808</v>
      </c>
      <c r="P13" s="30">
        <f t="shared" si="12"/>
        <v>7947</v>
      </c>
      <c r="Q13" s="28">
        <f t="shared" si="13"/>
        <v>1801.3333333333333</v>
      </c>
      <c r="R13" s="28">
        <f t="shared" si="14"/>
        <v>1324.5</v>
      </c>
      <c r="S13" s="32">
        <f t="shared" si="15"/>
        <v>134.66666666666652</v>
      </c>
      <c r="T13" s="32">
        <f t="shared" si="16"/>
        <v>1157.8333333333333</v>
      </c>
      <c r="U13" s="14" t="s">
        <v>44</v>
      </c>
    </row>
    <row r="14" spans="1:21" x14ac:dyDescent="0.25">
      <c r="A14" s="37" t="str">
        <f>noleggi!C13</f>
        <v>PIAZZALUNGA</v>
      </c>
      <c r="B14" s="39">
        <f>noleggi!D13</f>
        <v>43344</v>
      </c>
      <c r="C14" s="38" t="str">
        <f>noleggi!F13</f>
        <v>TA 2506i</v>
      </c>
      <c r="D14" s="42">
        <v>3</v>
      </c>
      <c r="E14" s="5">
        <v>5000</v>
      </c>
      <c r="F14" s="3">
        <v>0.01</v>
      </c>
      <c r="G14" s="3">
        <v>500</v>
      </c>
      <c r="H14" s="3">
        <v>0.09</v>
      </c>
      <c r="I14" s="10"/>
      <c r="J14"/>
      <c r="K14"/>
      <c r="L14" s="10"/>
      <c r="M14"/>
      <c r="N14"/>
      <c r="O14" s="30">
        <f t="shared" si="11"/>
        <v>0</v>
      </c>
      <c r="P14" s="30">
        <f t="shared" si="12"/>
        <v>0</v>
      </c>
      <c r="Q14" s="28">
        <f t="shared" si="13"/>
        <v>0</v>
      </c>
      <c r="R14" s="28">
        <f t="shared" si="14"/>
        <v>0</v>
      </c>
      <c r="S14" s="32">
        <f t="shared" si="15"/>
        <v>-1666.6666666666667</v>
      </c>
      <c r="T14" s="32">
        <f t="shared" si="16"/>
        <v>-166.66666666666666</v>
      </c>
      <c r="U14" s="14"/>
    </row>
    <row r="15" spans="1:21" x14ac:dyDescent="0.25">
      <c r="A15" s="37" t="s">
        <v>87</v>
      </c>
      <c r="B15" s="39">
        <v>43405</v>
      </c>
      <c r="C15" s="38" t="str">
        <f>noleggi!F14</f>
        <v>TA 2506i</v>
      </c>
      <c r="D15" s="42">
        <v>3</v>
      </c>
      <c r="E15" s="5">
        <v>3000</v>
      </c>
      <c r="F15">
        <v>0.01</v>
      </c>
      <c r="G15">
        <v>300</v>
      </c>
      <c r="H15" s="7">
        <v>0.08</v>
      </c>
      <c r="I15" s="10"/>
      <c r="J15"/>
      <c r="K15"/>
      <c r="L15" s="10"/>
      <c r="M15"/>
      <c r="N15"/>
      <c r="O15" s="30">
        <f t="shared" si="11"/>
        <v>0</v>
      </c>
      <c r="P15" s="30">
        <f t="shared" si="12"/>
        <v>0</v>
      </c>
      <c r="Q15" s="28">
        <f t="shared" si="13"/>
        <v>0</v>
      </c>
      <c r="R15" s="28">
        <f t="shared" si="14"/>
        <v>0</v>
      </c>
      <c r="S15" s="32">
        <f t="shared" si="15"/>
        <v>-1000</v>
      </c>
      <c r="T15" s="32">
        <f t="shared" si="16"/>
        <v>-100</v>
      </c>
      <c r="U15" s="14"/>
    </row>
    <row r="16" spans="1:21" x14ac:dyDescent="0.25">
      <c r="A16" s="37" t="str">
        <f>noleggi!C15</f>
        <v>SEFF</v>
      </c>
      <c r="B16" s="39">
        <f>noleggi!D15</f>
        <v>43313</v>
      </c>
      <c r="C16" s="38" t="str">
        <f>noleggi!F15</f>
        <v xml:space="preserve">EPSON WF-6590DWF </v>
      </c>
      <c r="D16" s="42">
        <v>3</v>
      </c>
      <c r="E16" s="5">
        <v>3000</v>
      </c>
      <c r="F16" s="3">
        <v>0.01</v>
      </c>
      <c r="G16">
        <v>300</v>
      </c>
      <c r="H16" s="3">
        <v>0.09</v>
      </c>
      <c r="I16" s="10">
        <f t="shared" si="5"/>
        <v>43313</v>
      </c>
      <c r="J16">
        <v>0</v>
      </c>
      <c r="K16">
        <v>0</v>
      </c>
      <c r="L16" s="10">
        <v>43280</v>
      </c>
      <c r="M16">
        <v>2736</v>
      </c>
      <c r="N16">
        <v>2634</v>
      </c>
      <c r="O16" s="30">
        <f t="shared" si="11"/>
        <v>2634</v>
      </c>
      <c r="P16" s="30">
        <f t="shared" si="12"/>
        <v>2736</v>
      </c>
      <c r="Q16" s="28" t="e">
        <f t="shared" si="13"/>
        <v>#NUM!</v>
      </c>
      <c r="R16" s="28" t="e">
        <f t="shared" si="14"/>
        <v>#NUM!</v>
      </c>
      <c r="S16" s="32" t="e">
        <f t="shared" si="15"/>
        <v>#NUM!</v>
      </c>
      <c r="T16" s="32" t="e">
        <f t="shared" si="16"/>
        <v>#NUM!</v>
      </c>
      <c r="U16" s="14" t="s">
        <v>44</v>
      </c>
    </row>
    <row r="17" spans="1:26" x14ac:dyDescent="0.25">
      <c r="A17" s="37" t="str">
        <f>noleggi!C16</f>
        <v>SMEA</v>
      </c>
      <c r="B17" s="39">
        <f>noleggi!D16</f>
        <v>43191</v>
      </c>
      <c r="C17" s="38" t="str">
        <f>noleggi!F16</f>
        <v>TA 2506i</v>
      </c>
      <c r="D17" s="42">
        <v>3</v>
      </c>
      <c r="E17" s="5">
        <v>3000</v>
      </c>
      <c r="F17" s="3">
        <v>0.01</v>
      </c>
      <c r="G17">
        <v>300</v>
      </c>
      <c r="H17" s="3">
        <v>0.09</v>
      </c>
      <c r="I17" s="10">
        <f t="shared" si="5"/>
        <v>43191</v>
      </c>
      <c r="J17">
        <v>0</v>
      </c>
      <c r="K17">
        <v>0</v>
      </c>
      <c r="L17" s="10">
        <v>43283</v>
      </c>
      <c r="M17"/>
      <c r="N17"/>
      <c r="O17" s="30">
        <f t="shared" si="11"/>
        <v>0</v>
      </c>
      <c r="P17" s="30">
        <f t="shared" si="12"/>
        <v>0</v>
      </c>
      <c r="Q17" s="28">
        <f t="shared" si="13"/>
        <v>0</v>
      </c>
      <c r="R17" s="28">
        <f t="shared" si="14"/>
        <v>0</v>
      </c>
      <c r="S17" s="32">
        <f t="shared" si="15"/>
        <v>-1000</v>
      </c>
      <c r="T17" s="32">
        <f t="shared" si="16"/>
        <v>-100</v>
      </c>
      <c r="U17" s="14"/>
    </row>
    <row r="18" spans="1:26" x14ac:dyDescent="0.25">
      <c r="A18" s="37" t="s">
        <v>89</v>
      </c>
      <c r="B18" s="39">
        <v>43435</v>
      </c>
      <c r="C18" s="38" t="str">
        <f>noleggi!F17</f>
        <v>TA 2506i</v>
      </c>
      <c r="D18" s="42">
        <v>3</v>
      </c>
      <c r="E18" s="5">
        <v>3000</v>
      </c>
      <c r="F18" s="3">
        <v>0.01</v>
      </c>
      <c r="G18">
        <v>300</v>
      </c>
      <c r="H18" s="3">
        <v>0.09</v>
      </c>
      <c r="I18" s="10"/>
      <c r="J18"/>
      <c r="K18"/>
      <c r="L18" s="10"/>
      <c r="M18"/>
      <c r="N18"/>
      <c r="O18" s="30">
        <f t="shared" si="11"/>
        <v>0</v>
      </c>
      <c r="P18" s="30">
        <f t="shared" si="12"/>
        <v>0</v>
      </c>
      <c r="Q18" s="28">
        <f t="shared" si="13"/>
        <v>0</v>
      </c>
      <c r="R18" s="28">
        <f t="shared" si="14"/>
        <v>0</v>
      </c>
      <c r="S18" s="32">
        <f t="shared" si="15"/>
        <v>-1000</v>
      </c>
      <c r="T18" s="32">
        <f t="shared" si="16"/>
        <v>-100</v>
      </c>
      <c r="U18" s="14"/>
    </row>
    <row r="19" spans="1:26" x14ac:dyDescent="0.25">
      <c r="A19" s="48" t="str">
        <f>noleggi!C18</f>
        <v>SV GOMMA</v>
      </c>
      <c r="B19" s="49">
        <f>noleggi!D18</f>
        <v>42917</v>
      </c>
      <c r="C19" s="50" t="str">
        <f>noleggi!F18</f>
        <v>RICOH MPC 2011</v>
      </c>
      <c r="D19" s="51">
        <v>3</v>
      </c>
      <c r="E19" s="52">
        <v>3000</v>
      </c>
      <c r="F19" s="7">
        <v>0.01</v>
      </c>
      <c r="G19" s="7">
        <v>300</v>
      </c>
      <c r="H19" s="7">
        <v>0.09</v>
      </c>
      <c r="I19" s="45">
        <f t="shared" si="5"/>
        <v>42917</v>
      </c>
      <c r="J19" s="7">
        <v>0</v>
      </c>
      <c r="K19" s="7">
        <v>0</v>
      </c>
      <c r="L19" s="45">
        <v>43280</v>
      </c>
      <c r="M19" s="7">
        <v>2738</v>
      </c>
      <c r="N19" s="3">
        <v>35070</v>
      </c>
      <c r="O19" s="30">
        <f t="shared" si="11"/>
        <v>35070</v>
      </c>
      <c r="P19" s="30">
        <f t="shared" si="12"/>
        <v>2738</v>
      </c>
      <c r="Q19" s="28">
        <f t="shared" si="13"/>
        <v>2922.5</v>
      </c>
      <c r="R19" s="28">
        <f t="shared" si="14"/>
        <v>228.16666666666666</v>
      </c>
      <c r="S19" s="32">
        <f t="shared" si="15"/>
        <v>1922.5</v>
      </c>
      <c r="T19" s="32">
        <f t="shared" si="16"/>
        <v>128.16666666666666</v>
      </c>
      <c r="U19" s="14" t="s">
        <v>44</v>
      </c>
      <c r="V19" t="s">
        <v>101</v>
      </c>
    </row>
    <row r="20" spans="1:26" x14ac:dyDescent="0.25">
      <c r="A20" s="48" t="str">
        <f>noleggi!C19</f>
        <v>SV GOMMA</v>
      </c>
      <c r="B20" s="49">
        <f>noleggi!D19</f>
        <v>43101</v>
      </c>
      <c r="C20" s="50" t="str">
        <f>noleggi!F19</f>
        <v>TA 2506i</v>
      </c>
      <c r="D20" s="51">
        <v>1</v>
      </c>
      <c r="E20" s="52">
        <v>1000</v>
      </c>
      <c r="F20" s="7">
        <v>0.01</v>
      </c>
      <c r="G20" s="7">
        <v>100</v>
      </c>
      <c r="H20" s="7">
        <v>0.09</v>
      </c>
      <c r="I20" s="45">
        <f t="shared" si="5"/>
        <v>43101</v>
      </c>
      <c r="J20" s="7">
        <v>0</v>
      </c>
      <c r="K20" s="7">
        <v>0</v>
      </c>
      <c r="L20" s="45">
        <v>43280</v>
      </c>
      <c r="M20" s="7">
        <v>2108</v>
      </c>
      <c r="N20" s="7">
        <v>26650</v>
      </c>
      <c r="O20" s="30">
        <f t="shared" si="11"/>
        <v>26650</v>
      </c>
      <c r="P20" s="30">
        <f t="shared" si="12"/>
        <v>2108</v>
      </c>
      <c r="Q20" s="28">
        <f t="shared" si="13"/>
        <v>4441.666666666667</v>
      </c>
      <c r="R20" s="28">
        <f t="shared" si="14"/>
        <v>351.33333333333331</v>
      </c>
      <c r="S20" s="32">
        <f t="shared" si="15"/>
        <v>3441.666666666667</v>
      </c>
      <c r="T20" s="32">
        <f t="shared" si="16"/>
        <v>251.33333333333331</v>
      </c>
      <c r="U20" s="14" t="s">
        <v>44</v>
      </c>
      <c r="V20" t="s">
        <v>101</v>
      </c>
    </row>
    <row r="21" spans="1:26" x14ac:dyDescent="0.25">
      <c r="A21" s="48" t="str">
        <f>noleggi!C20</f>
        <v>SV GOMMA</v>
      </c>
      <c r="B21" s="49">
        <f>noleggi!D20</f>
        <v>43009</v>
      </c>
      <c r="C21" s="50" t="str">
        <f>noleggi!F20</f>
        <v xml:space="preserve">TA 4006i </v>
      </c>
      <c r="D21" s="51">
        <v>1</v>
      </c>
      <c r="E21" s="52">
        <v>5000</v>
      </c>
      <c r="F21" s="7">
        <v>0.01</v>
      </c>
      <c r="G21" s="7">
        <v>300</v>
      </c>
      <c r="H21" s="7">
        <v>0.09</v>
      </c>
      <c r="I21" s="45">
        <f t="shared" si="5"/>
        <v>43009</v>
      </c>
      <c r="J21" s="7">
        <v>0</v>
      </c>
      <c r="K21" s="7">
        <v>0</v>
      </c>
      <c r="L21" s="45">
        <v>43280</v>
      </c>
      <c r="M21" s="53">
        <v>2276</v>
      </c>
      <c r="N21" s="53">
        <v>60019</v>
      </c>
      <c r="O21" s="30">
        <f t="shared" si="11"/>
        <v>60019</v>
      </c>
      <c r="P21" s="30">
        <f t="shared" si="12"/>
        <v>2276</v>
      </c>
      <c r="Q21" s="28">
        <f t="shared" si="13"/>
        <v>6668.7777777777774</v>
      </c>
      <c r="R21" s="28">
        <f t="shared" si="14"/>
        <v>252.88888888888889</v>
      </c>
      <c r="S21" s="32">
        <f t="shared" si="15"/>
        <v>1668.7777777777774</v>
      </c>
      <c r="T21" s="32">
        <f t="shared" si="16"/>
        <v>-47.111111111111114</v>
      </c>
      <c r="U21" s="14" t="s">
        <v>44</v>
      </c>
      <c r="V21">
        <v>15021</v>
      </c>
    </row>
    <row r="22" spans="1:26" x14ac:dyDescent="0.25">
      <c r="A22" s="48" t="str">
        <f>noleggi!C21</f>
        <v>SV GOMMA</v>
      </c>
      <c r="B22" s="49">
        <f>noleggi!D21</f>
        <v>42979</v>
      </c>
      <c r="C22" s="50" t="str">
        <f>noleggi!F21</f>
        <v xml:space="preserve">TA B/N 5056i </v>
      </c>
      <c r="D22" s="51">
        <v>3</v>
      </c>
      <c r="E22" s="52">
        <v>15000</v>
      </c>
      <c r="F22" s="7">
        <v>0.01</v>
      </c>
      <c r="G22" s="7">
        <v>0</v>
      </c>
      <c r="H22" s="7">
        <v>0</v>
      </c>
      <c r="I22" s="45">
        <v>42979</v>
      </c>
      <c r="J22" s="7"/>
      <c r="K22" s="7"/>
      <c r="L22" s="45">
        <v>43645</v>
      </c>
      <c r="M22" s="7"/>
      <c r="N22" s="53">
        <v>87491</v>
      </c>
      <c r="O22" s="30">
        <f t="shared" ref="O22" si="17">N22-K22</f>
        <v>87491</v>
      </c>
      <c r="P22" s="30">
        <f t="shared" ref="P22" si="18">M22-J22</f>
        <v>0</v>
      </c>
      <c r="Q22" s="28">
        <f t="shared" ref="Q22" si="19">(N22-K22)/MONTH(L22-I22)</f>
        <v>8749.1</v>
      </c>
      <c r="R22" s="28">
        <f t="shared" ref="R22" si="20">(M22-J22)/MONTH(L22-I22)</f>
        <v>0</v>
      </c>
      <c r="S22" s="32">
        <f t="shared" ref="S22" si="21">Q22-E22/D22</f>
        <v>3749.1000000000004</v>
      </c>
      <c r="T22" s="32">
        <f t="shared" ref="T22" si="22">R22-G22/D22</f>
        <v>0</v>
      </c>
      <c r="U22" s="14"/>
      <c r="V22">
        <v>37491</v>
      </c>
    </row>
    <row r="23" spans="1:26" x14ac:dyDescent="0.25">
      <c r="A23" s="37" t="str">
        <f>noleggi!C24</f>
        <v>VALLI HOME</v>
      </c>
      <c r="B23" s="39">
        <f>noleggi!D24</f>
        <v>43191</v>
      </c>
      <c r="C23" s="38" t="str">
        <f>noleggi!F24</f>
        <v>TA 2506i</v>
      </c>
      <c r="D23" s="42">
        <v>3</v>
      </c>
      <c r="E23" s="5">
        <v>3000</v>
      </c>
      <c r="F23" s="3">
        <v>0.01</v>
      </c>
      <c r="G23" s="3">
        <v>300</v>
      </c>
      <c r="H23" s="7">
        <v>0.08</v>
      </c>
      <c r="I23" s="10">
        <f t="shared" si="5"/>
        <v>43191</v>
      </c>
      <c r="J23">
        <v>0</v>
      </c>
      <c r="K23">
        <v>0</v>
      </c>
      <c r="L23" s="10">
        <v>43280</v>
      </c>
      <c r="M23">
        <v>1217</v>
      </c>
      <c r="N23">
        <v>6708</v>
      </c>
      <c r="O23" s="30">
        <f t="shared" ref="O23" si="23">N23-K23</f>
        <v>6708</v>
      </c>
      <c r="P23" s="30">
        <f t="shared" ref="P23" si="24">M23-J23</f>
        <v>1217</v>
      </c>
      <c r="Q23" s="28">
        <f t="shared" ref="Q23" si="25">(N23-K23)/MONTH(L23-I23)</f>
        <v>2236</v>
      </c>
      <c r="R23" s="28">
        <f t="shared" ref="R23" si="26">(M23-J23)/MONTH(L23-I23)</f>
        <v>405.66666666666669</v>
      </c>
      <c r="S23" s="32">
        <f t="shared" ref="S23" si="27">Q23-E23/D23</f>
        <v>1236</v>
      </c>
      <c r="T23" s="32">
        <f t="shared" ref="T23" si="28">R23-G23/D23</f>
        <v>305.66666666666669</v>
      </c>
      <c r="U23" s="14" t="s">
        <v>44</v>
      </c>
    </row>
    <row r="24" spans="1:26" x14ac:dyDescent="0.25">
      <c r="B24" s="40"/>
      <c r="I24" s="10"/>
      <c r="L24" s="10"/>
    </row>
    <row r="25" spans="1:26" x14ac:dyDescent="0.25">
      <c r="B25" s="40"/>
      <c r="I25" s="10"/>
      <c r="L25" s="10"/>
    </row>
    <row r="26" spans="1:26" x14ac:dyDescent="0.25">
      <c r="B26" s="40"/>
      <c r="I26" s="10"/>
      <c r="L26" s="10"/>
    </row>
    <row r="27" spans="1:26" x14ac:dyDescent="0.25">
      <c r="I27" s="10"/>
      <c r="L27" s="10"/>
    </row>
    <row r="28" spans="1:26" x14ac:dyDescent="0.25">
      <c r="A28" s="7" t="s">
        <v>102</v>
      </c>
      <c r="I28" s="10"/>
      <c r="L28" s="10"/>
    </row>
    <row r="29" spans="1:26" s="63" customFormat="1" x14ac:dyDescent="0.25">
      <c r="A29" s="54" t="str">
        <f>'CONGUAGLI old o chiusi'!C34</f>
        <v>DELTA</v>
      </c>
      <c r="B29" s="55">
        <f>'CONGUAGLI old o chiusi'!D34</f>
        <v>43040</v>
      </c>
      <c r="C29" s="56" t="str">
        <f>'CONGUAGLI old o chiusi'!F34</f>
        <v>TA 2506i</v>
      </c>
      <c r="D29" s="57">
        <v>3</v>
      </c>
      <c r="E29" s="58">
        <v>3000</v>
      </c>
      <c r="F29" s="59">
        <v>0.01</v>
      </c>
      <c r="G29" s="59">
        <v>300</v>
      </c>
      <c r="H29" s="59">
        <v>0.09</v>
      </c>
      <c r="I29" s="60">
        <v>43280</v>
      </c>
      <c r="J29" s="59">
        <v>16451</v>
      </c>
      <c r="K29" s="59">
        <v>10141</v>
      </c>
      <c r="L29" s="61">
        <v>43493</v>
      </c>
      <c r="M29" s="62">
        <v>43697</v>
      </c>
      <c r="N29" s="59">
        <v>21590</v>
      </c>
      <c r="O29" s="63">
        <f>ROUND((L29-I29)/30.41,0.1)</f>
        <v>7</v>
      </c>
      <c r="P29" s="63">
        <f t="shared" ref="P29:Q31" si="29">M29-J29</f>
        <v>27246</v>
      </c>
      <c r="Q29" s="63">
        <f t="shared" si="29"/>
        <v>11449</v>
      </c>
      <c r="R29" s="64">
        <f>P29/O29</f>
        <v>3892.2857142857142</v>
      </c>
      <c r="S29" s="64">
        <f>Q29/O29</f>
        <v>1635.5714285714287</v>
      </c>
      <c r="T29" s="65">
        <f>R29-E29/D29</f>
        <v>2892.2857142857142</v>
      </c>
      <c r="U29" s="65">
        <f>S29-G29/D29</f>
        <v>1535.5714285714287</v>
      </c>
      <c r="V29" s="65">
        <f>T29*O29</f>
        <v>20246</v>
      </c>
      <c r="W29" s="65">
        <f>U29*O29</f>
        <v>10749</v>
      </c>
      <c r="X29" s="66">
        <f>V29*F29</f>
        <v>202.46</v>
      </c>
      <c r="Y29" s="66">
        <f>W29*H29</f>
        <v>967.41</v>
      </c>
      <c r="Z29" s="67" t="s">
        <v>44</v>
      </c>
    </row>
    <row r="30" spans="1:26" s="63" customFormat="1" x14ac:dyDescent="0.25">
      <c r="A30" s="54" t="str">
        <f>noleggi!C35</f>
        <v>AVV VALVES</v>
      </c>
      <c r="B30" s="55">
        <f>noleggi!D35</f>
        <v>42095</v>
      </c>
      <c r="C30" s="56" t="str">
        <f>noleggi!F35</f>
        <v>RICOH MP 2501</v>
      </c>
      <c r="D30" s="57">
        <v>2</v>
      </c>
      <c r="E30" s="58">
        <v>8000</v>
      </c>
      <c r="F30" s="59">
        <v>0.01</v>
      </c>
      <c r="G30" s="59">
        <v>0</v>
      </c>
      <c r="H30" s="59">
        <v>0</v>
      </c>
      <c r="I30" s="61">
        <v>43490</v>
      </c>
      <c r="J30" s="62">
        <v>271886</v>
      </c>
      <c r="K30" s="59"/>
      <c r="L30" s="61">
        <v>43553</v>
      </c>
      <c r="M30" s="62">
        <v>282455</v>
      </c>
      <c r="N30" s="62"/>
      <c r="O30" s="63">
        <f>ROUND((L30-I30)/30.41,0.1)</f>
        <v>2</v>
      </c>
      <c r="P30" s="63">
        <f t="shared" si="29"/>
        <v>10569</v>
      </c>
      <c r="Q30" s="63">
        <f t="shared" si="29"/>
        <v>0</v>
      </c>
      <c r="R30" s="64">
        <f>P30/O30</f>
        <v>5284.5</v>
      </c>
      <c r="S30" s="64">
        <f>Q30/O30</f>
        <v>0</v>
      </c>
      <c r="T30" s="65">
        <f>R30-E30/D30</f>
        <v>1284.5</v>
      </c>
      <c r="U30" s="65">
        <f>S30-G30/D30</f>
        <v>0</v>
      </c>
      <c r="V30" s="65">
        <f>T30*O30</f>
        <v>2569</v>
      </c>
      <c r="W30" s="65">
        <f>U30*O30</f>
        <v>0</v>
      </c>
      <c r="X30" s="66">
        <f>V30*F30</f>
        <v>25.69</v>
      </c>
      <c r="Y30" s="66">
        <f>W30*H30</f>
        <v>0</v>
      </c>
      <c r="Z30" s="67" t="s">
        <v>44</v>
      </c>
    </row>
    <row r="31" spans="1:26" s="63" customFormat="1" x14ac:dyDescent="0.25">
      <c r="A31" s="54" t="str">
        <f>noleggi!C36</f>
        <v>AVV VALVES</v>
      </c>
      <c r="B31" s="55">
        <f>noleggi!D36</f>
        <v>42095</v>
      </c>
      <c r="C31" s="56" t="str">
        <f>noleggi!F36</f>
        <v>RICOH MP 2501</v>
      </c>
      <c r="D31" s="57">
        <v>2</v>
      </c>
      <c r="E31" s="58">
        <v>4000</v>
      </c>
      <c r="F31" s="59">
        <v>0.01</v>
      </c>
      <c r="G31" s="59">
        <v>0</v>
      </c>
      <c r="H31" s="59">
        <v>0</v>
      </c>
      <c r="I31" s="61">
        <v>43490</v>
      </c>
      <c r="J31" s="62">
        <v>320927</v>
      </c>
      <c r="K31" s="59"/>
      <c r="L31" s="61">
        <v>43553</v>
      </c>
      <c r="M31" s="62">
        <v>333732</v>
      </c>
      <c r="N31" s="62"/>
      <c r="O31" s="63">
        <f>ROUND((L31-I31)/30.41,0.1)</f>
        <v>2</v>
      </c>
      <c r="P31" s="63">
        <f t="shared" si="29"/>
        <v>12805</v>
      </c>
      <c r="Q31" s="63">
        <f t="shared" si="29"/>
        <v>0</v>
      </c>
      <c r="R31" s="64">
        <f>P31/O31</f>
        <v>6402.5</v>
      </c>
      <c r="S31" s="64">
        <f>Q31/O31</f>
        <v>0</v>
      </c>
      <c r="T31" s="65">
        <f>R31-E31/D31</f>
        <v>4402.5</v>
      </c>
      <c r="U31" s="65">
        <f>S31-G31/D31</f>
        <v>0</v>
      </c>
      <c r="V31" s="65">
        <f>T31*O31</f>
        <v>8805</v>
      </c>
      <c r="W31" s="65">
        <f>U31*O31</f>
        <v>0</v>
      </c>
      <c r="X31" s="66">
        <f>V31*F31</f>
        <v>88.05</v>
      </c>
      <c r="Y31" s="66">
        <f>W31*H31</f>
        <v>0</v>
      </c>
      <c r="Z31" s="67" t="s">
        <v>44</v>
      </c>
    </row>
    <row r="32" spans="1:26" s="63" customFormat="1" x14ac:dyDescent="0.25">
      <c r="B32" s="55"/>
      <c r="C32" s="56"/>
      <c r="D32" s="57"/>
      <c r="E32" s="58"/>
      <c r="F32" s="59"/>
      <c r="G32" s="59"/>
      <c r="H32" s="59"/>
      <c r="I32" s="60"/>
      <c r="J32" s="59"/>
      <c r="K32" s="59"/>
      <c r="L32" s="60"/>
      <c r="M32" s="59"/>
      <c r="N32" s="59"/>
      <c r="O32" s="59"/>
      <c r="P32" s="59"/>
      <c r="Q32" s="59"/>
      <c r="U32" s="68"/>
    </row>
    <row r="33" spans="1:14" x14ac:dyDescent="0.25">
      <c r="I33" s="10"/>
      <c r="L33" s="10"/>
    </row>
    <row r="34" spans="1:14" s="3" customFormat="1" x14ac:dyDescent="0.25">
      <c r="A34" s="15" t="s">
        <v>38</v>
      </c>
      <c r="B34" t="s">
        <v>42</v>
      </c>
      <c r="C34" s="44" t="s">
        <v>12</v>
      </c>
      <c r="D34" s="6">
        <v>43040</v>
      </c>
      <c r="E34" s="6">
        <v>44835</v>
      </c>
      <c r="F34" s="3" t="s">
        <v>13</v>
      </c>
      <c r="G34" s="4">
        <v>0</v>
      </c>
      <c r="H34" s="4">
        <v>200</v>
      </c>
      <c r="J34" t="s">
        <v>34</v>
      </c>
      <c r="K34" t="s">
        <v>28</v>
      </c>
      <c r="L34" t="s">
        <v>29</v>
      </c>
      <c r="M34" s="4">
        <v>200</v>
      </c>
      <c r="N34" t="s">
        <v>30</v>
      </c>
    </row>
    <row r="35" spans="1:14" x14ac:dyDescent="0.25">
      <c r="I35" s="10"/>
      <c r="L35" s="10"/>
    </row>
    <row r="36" spans="1:14" x14ac:dyDescent="0.25">
      <c r="I36" s="10"/>
    </row>
  </sheetData>
  <conditionalFormatting sqref="S1:T28 S32:T1048576">
    <cfRule type="cellIs" dxfId="1" priority="3" operator="lessThan">
      <formula>0</formula>
    </cfRule>
  </conditionalFormatting>
  <conditionalFormatting sqref="T29:Y3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57AC-6A87-4DC3-888A-7AAAF96DA5AC}">
  <dimension ref="B3:F32"/>
  <sheetViews>
    <sheetView workbookViewId="0">
      <selection activeCell="F18" sqref="F18"/>
    </sheetView>
  </sheetViews>
  <sheetFormatPr defaultRowHeight="15" x14ac:dyDescent="0.25"/>
  <cols>
    <col min="2" max="2" width="42.7109375" bestFit="1" customWidth="1"/>
    <col min="3" max="3" width="9.42578125" style="1" bestFit="1" customWidth="1"/>
    <col min="4" max="4" width="3.42578125" customWidth="1"/>
    <col min="5" max="5" width="11" bestFit="1" customWidth="1"/>
    <col min="6" max="6" width="8.42578125" bestFit="1" customWidth="1"/>
  </cols>
  <sheetData>
    <row r="3" spans="2:6" x14ac:dyDescent="0.25">
      <c r="B3" t="s">
        <v>74</v>
      </c>
      <c r="C3" s="1">
        <v>450</v>
      </c>
      <c r="D3">
        <v>1</v>
      </c>
      <c r="E3" s="35">
        <f>D3*C3</f>
        <v>450</v>
      </c>
    </row>
    <row r="4" spans="2:6" x14ac:dyDescent="0.25">
      <c r="B4" t="s">
        <v>71</v>
      </c>
      <c r="C4" s="1">
        <v>0</v>
      </c>
      <c r="D4">
        <v>1</v>
      </c>
      <c r="E4" s="35">
        <f t="shared" ref="E4:E8" si="0">D4*C4</f>
        <v>0</v>
      </c>
    </row>
    <row r="5" spans="2:6" x14ac:dyDescent="0.25">
      <c r="B5" t="s">
        <v>73</v>
      </c>
      <c r="C5" s="1">
        <v>82</v>
      </c>
      <c r="D5">
        <v>3</v>
      </c>
      <c r="E5" s="35">
        <f t="shared" si="0"/>
        <v>246</v>
      </c>
    </row>
    <row r="6" spans="2:6" x14ac:dyDescent="0.25">
      <c r="B6" t="s">
        <v>72</v>
      </c>
      <c r="C6" s="1">
        <v>48</v>
      </c>
      <c r="D6">
        <v>3</v>
      </c>
      <c r="E6" s="35">
        <f t="shared" si="0"/>
        <v>144</v>
      </c>
    </row>
    <row r="7" spans="2:6" x14ac:dyDescent="0.25">
      <c r="B7" t="s">
        <v>72</v>
      </c>
      <c r="C7" s="1">
        <v>48</v>
      </c>
      <c r="D7">
        <v>3</v>
      </c>
      <c r="E7" s="35">
        <f t="shared" si="0"/>
        <v>144</v>
      </c>
    </row>
    <row r="8" spans="2:6" x14ac:dyDescent="0.25">
      <c r="B8" t="s">
        <v>72</v>
      </c>
      <c r="C8" s="1">
        <v>48</v>
      </c>
      <c r="D8">
        <v>3</v>
      </c>
      <c r="E8" s="35">
        <f t="shared" si="0"/>
        <v>144</v>
      </c>
    </row>
    <row r="11" spans="2:6" x14ac:dyDescent="0.25">
      <c r="E11" s="35">
        <f>SUM(E3:E10)</f>
        <v>1128</v>
      </c>
      <c r="F11" s="35">
        <f>E11/36</f>
        <v>31.333333333333332</v>
      </c>
    </row>
    <row r="12" spans="2:6" x14ac:dyDescent="0.25">
      <c r="E12" s="35">
        <f>F12*36</f>
        <v>1800</v>
      </c>
      <c r="F12" s="36">
        <v>50</v>
      </c>
    </row>
    <row r="14" spans="2:6" x14ac:dyDescent="0.25">
      <c r="E14" s="36">
        <f>E12-E11</f>
        <v>672</v>
      </c>
    </row>
    <row r="21" spans="2:6" x14ac:dyDescent="0.25">
      <c r="B21" t="s">
        <v>75</v>
      </c>
      <c r="C21" s="1">
        <v>600</v>
      </c>
      <c r="D21">
        <v>1</v>
      </c>
      <c r="E21" s="35">
        <f>D21*C21</f>
        <v>600</v>
      </c>
    </row>
    <row r="22" spans="2:6" x14ac:dyDescent="0.25">
      <c r="B22" t="s">
        <v>71</v>
      </c>
      <c r="C22" s="1">
        <v>0</v>
      </c>
      <c r="D22">
        <v>1</v>
      </c>
      <c r="E22" s="35">
        <f t="shared" ref="E22:E26" si="1">D22*C22</f>
        <v>0</v>
      </c>
    </row>
    <row r="23" spans="2:6" x14ac:dyDescent="0.25">
      <c r="B23" t="s">
        <v>73</v>
      </c>
      <c r="C23" s="1">
        <v>60</v>
      </c>
      <c r="D23">
        <v>3</v>
      </c>
      <c r="E23" s="35">
        <f t="shared" si="1"/>
        <v>180</v>
      </c>
    </row>
    <row r="24" spans="2:6" x14ac:dyDescent="0.25">
      <c r="B24" t="s">
        <v>76</v>
      </c>
      <c r="C24" s="1">
        <v>67</v>
      </c>
      <c r="D24">
        <v>2</v>
      </c>
      <c r="E24" s="35">
        <f t="shared" si="1"/>
        <v>134</v>
      </c>
    </row>
    <row r="25" spans="2:6" x14ac:dyDescent="0.25">
      <c r="B25" t="s">
        <v>76</v>
      </c>
      <c r="C25" s="1">
        <v>67</v>
      </c>
      <c r="D25">
        <v>2</v>
      </c>
      <c r="E25" s="35">
        <f t="shared" si="1"/>
        <v>134</v>
      </c>
    </row>
    <row r="26" spans="2:6" x14ac:dyDescent="0.25">
      <c r="B26" t="s">
        <v>76</v>
      </c>
      <c r="C26" s="1">
        <v>67</v>
      </c>
      <c r="D26">
        <v>2</v>
      </c>
      <c r="E26" s="35">
        <f t="shared" si="1"/>
        <v>134</v>
      </c>
    </row>
    <row r="29" spans="2:6" x14ac:dyDescent="0.25">
      <c r="E29" s="35">
        <f>SUM(E21:E28)</f>
        <v>1182</v>
      </c>
      <c r="F29" s="35">
        <f>E29/36</f>
        <v>32.833333333333336</v>
      </c>
    </row>
    <row r="30" spans="2:6" x14ac:dyDescent="0.25">
      <c r="E30" s="35">
        <f>F30*36</f>
        <v>1800</v>
      </c>
      <c r="F30" s="36">
        <v>50</v>
      </c>
    </row>
    <row r="32" spans="2:6" x14ac:dyDescent="0.25">
      <c r="E32" s="36">
        <f>E30-E29</f>
        <v>618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3F11D3B0E5094799A2A6DA82344852" ma:contentTypeVersion="14" ma:contentTypeDescription="Creare un nuovo documento." ma:contentTypeScope="" ma:versionID="6733a5a907a9923217b9773bc86fbe7c">
  <xsd:schema xmlns:xsd="http://www.w3.org/2001/XMLSchema" xmlns:xs="http://www.w3.org/2001/XMLSchema" xmlns:p="http://schemas.microsoft.com/office/2006/metadata/properties" xmlns:ns2="7477e0c0-f1d7-4cbb-a708-fa786e8610c9" xmlns:ns3="d533130b-f89b-4585-af2d-6c160e61dab3" targetNamespace="http://schemas.microsoft.com/office/2006/metadata/properties" ma:root="true" ma:fieldsID="abb4901c61f09e3ea2ad7edf5e2f490d" ns2:_="" ns3:_="">
    <xsd:import namespace="7477e0c0-f1d7-4cbb-a708-fa786e8610c9"/>
    <xsd:import namespace="d533130b-f89b-4585-af2d-6c160e61da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7e0c0-f1d7-4cbb-a708-fa786e8610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0ff7a4f1-98ed-4b80-a114-1d0efd1d56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3130b-f89b-4585-af2d-6c160e61dab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74ce528-fc34-42b7-96d3-90e4b3e1e87c}" ma:internalName="TaxCatchAll" ma:showField="CatchAllData" ma:web="d533130b-f89b-4585-af2d-6c160e61da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33130b-f89b-4585-af2d-6c160e61dab3" xsi:nil="true"/>
    <lcf76f155ced4ddcb4097134ff3c332f xmlns="7477e0c0-f1d7-4cbb-a708-fa786e8610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F0D666-DD30-4401-A46C-7EA61E8C3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7e0c0-f1d7-4cbb-a708-fa786e8610c9"/>
    <ds:schemaRef ds:uri="d533130b-f89b-4585-af2d-6c160e61da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4E26F3-F085-4438-B757-21926BF1EF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76EC6F-9C9C-4A2B-9EC7-C8AFE4F0AEFB}">
  <ds:schemaRefs>
    <ds:schemaRef ds:uri="http://schemas.microsoft.com/office/2006/metadata/properties"/>
    <ds:schemaRef ds:uri="http://schemas.microsoft.com/office/infopath/2007/PartnerControls"/>
    <ds:schemaRef ds:uri="d533130b-f89b-4585-af2d-6c160e61dab3"/>
    <ds:schemaRef ds:uri="7477e0c0-f1d7-4cbb-a708-fa786e8610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CONGUAGLI</vt:lpstr>
      <vt:lpstr>scaduti</vt:lpstr>
      <vt:lpstr>conti</vt:lpstr>
      <vt:lpstr>CONGUAGLI  old al 17-6</vt:lpstr>
      <vt:lpstr>noleggi</vt:lpstr>
      <vt:lpstr>CONGUAGLI old o chiusi</vt:lpstr>
      <vt:lpstr>CONTI 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2023-05-26T10:57:12Z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0x010100323F11D3B0E5094799A2A6DA82344852</vt:lpwstr>
  </property>
  <property fmtid="{D5CDD505-2E9C-101B-9397-08002B2CF9AE}" pid="3" name="AuthorIds_UIVersion_43520">
    <vt:lpwstr>8</vt:lpwstr>
  </property>
  <property fmtid="{D5CDD505-2E9C-101B-9397-08002B2CF9AE}" pid="4" name="AuthorIds_UIVersion_47616">
    <vt:lpwstr>8</vt:lpwstr>
  </property>
  <property fmtid="{D5CDD505-2E9C-101B-9397-08002B2CF9AE}" pid="5" name="ComplianceAssetId">
    <vt:lpwstr/>
  </property>
  <property fmtid="{D5CDD505-2E9C-101B-9397-08002B2CF9AE}" pid="6" name="AuthorIds_UIVersion_48128">
    <vt:lpwstr>8</vt:lpwstr>
  </property>
  <property fmtid="{D5CDD505-2E9C-101B-9397-08002B2CF9AE}" pid="7" name="AuthorIds_UIVersion_46592">
    <vt:lpwstr>8</vt:lpwstr>
  </property>
  <property fmtid="{D5CDD505-2E9C-101B-9397-08002B2CF9AE}" pid="8" name="MediaServiceImageTags">
    <vt:lpwstr/>
  </property>
</Properties>
</file>