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2.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3.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4.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5.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6.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17.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18.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luedu-my.sharepoint.com/personal/adrian_swindle_slu_edu/Documents/Documents/REU-2023/REU-Project/ObfuscationDatabase/"/>
    </mc:Choice>
  </mc:AlternateContent>
  <xr:revisionPtr revIDLastSave="2720" documentId="8_{840E4D70-AE4E-43A7-8122-1854D97CFF46}" xr6:coauthVersionLast="47" xr6:coauthVersionMax="47" xr10:uidLastSave="{269020F9-8A00-45BF-BDA7-A51D70EAE10E}"/>
  <bookViews>
    <workbookView xWindow="28680" yWindow="-120" windowWidth="29040" windowHeight="15840" tabRatio="910" activeTab="3" xr2:uid="{11E6CB78-D511-4850-B92E-DB9C8279F15A}"/>
  </bookViews>
  <sheets>
    <sheet name="ChatGPT_Q1" sheetId="4" r:id="rId1"/>
    <sheet name="ChatGPT_Q2" sheetId="11" r:id="rId2"/>
    <sheet name="ChatGPT_Q3" sheetId="15" r:id="rId3"/>
    <sheet name="ChatGPT_Total" sheetId="18" r:id="rId4"/>
    <sheet name="Jurassic_2_Q1" sheetId="1" r:id="rId5"/>
    <sheet name="Jurassic_2_Q2" sheetId="6" r:id="rId6"/>
    <sheet name="Jurassic_2_Q3" sheetId="16" r:id="rId7"/>
    <sheet name="Jurassic_2_Total" sheetId="19" r:id="rId8"/>
    <sheet name="Jurassic_2_Compiled_Q1" sheetId="13" r:id="rId9"/>
    <sheet name="PaLM_Q1" sheetId="7" r:id="rId10"/>
    <sheet name="PaLM_Q2" sheetId="8" r:id="rId11"/>
    <sheet name="PaLM_Q3" sheetId="14" r:id="rId12"/>
    <sheet name="PaLM_Total" sheetId="20" r:id="rId13"/>
    <sheet name="PaLM_Compiled_Q1 " sheetId="9" r:id="rId14"/>
    <sheet name="PaLM_Compiled_Q2" sheetId="12" r:id="rId15"/>
    <sheet name="Q1_Total" sheetId="21" r:id="rId16"/>
    <sheet name="Q2_Total" sheetId="22" r:id="rId17"/>
    <sheet name="Q3_Total" sheetId="23" r:id="rId18"/>
    <sheet name="datatable" sheetId="2" r:id="rId19"/>
    <sheet name="Total" sheetId="17" r:id="rId20"/>
    <sheet name="LM v. LM" sheetId="25" r:id="rId21"/>
    <sheet name="Q v Q" sheetId="26" r:id="rId22"/>
    <sheet name="Sheet1" sheetId="27" r:id="rId23"/>
  </sheets>
  <externalReferences>
    <externalReference r:id="rId24"/>
  </externalReferences>
  <definedNames>
    <definedName name="_xlnm._FilterDatabase" localSheetId="19" hidden="1">Total!$C$55:$F$73</definedName>
    <definedName name="IdentifierRange">'[1]Identifier Info'!$A$2:$A$50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12" l="1"/>
  <c r="N14" i="12"/>
  <c r="O37" i="12"/>
  <c r="N37" i="12"/>
  <c r="O33" i="12"/>
  <c r="N33" i="12"/>
  <c r="O9" i="12"/>
  <c r="N9" i="12"/>
  <c r="O13" i="12"/>
  <c r="N13" i="12"/>
  <c r="O17" i="12"/>
  <c r="N17" i="12"/>
  <c r="O21" i="12"/>
  <c r="N21" i="12"/>
  <c r="O25" i="12"/>
  <c r="N25" i="12"/>
  <c r="O36" i="12"/>
  <c r="N36" i="12"/>
  <c r="O40" i="12"/>
  <c r="N40" i="12"/>
  <c r="O44" i="12"/>
  <c r="N44" i="12"/>
  <c r="O18" i="12"/>
  <c r="N18" i="12"/>
  <c r="O26" i="12"/>
  <c r="N26" i="12"/>
  <c r="O45" i="12"/>
  <c r="N45" i="12"/>
  <c r="O8" i="12"/>
  <c r="N8" i="12"/>
  <c r="O12" i="12"/>
  <c r="N12" i="12"/>
  <c r="O16" i="12"/>
  <c r="N16" i="12"/>
  <c r="O20" i="12"/>
  <c r="N20" i="12"/>
  <c r="O24" i="12"/>
  <c r="N24" i="12"/>
  <c r="O35" i="12"/>
  <c r="N35" i="12"/>
  <c r="O39" i="12"/>
  <c r="N39" i="12"/>
  <c r="O43" i="12"/>
  <c r="N43" i="12"/>
  <c r="O47" i="12"/>
  <c r="N47" i="12"/>
  <c r="O22" i="12"/>
  <c r="N22" i="12"/>
  <c r="O41" i="12"/>
  <c r="N41" i="12"/>
  <c r="O11" i="12"/>
  <c r="N11" i="12"/>
  <c r="O15" i="12"/>
  <c r="N15" i="12"/>
  <c r="O19" i="12"/>
  <c r="N19" i="12"/>
  <c r="O23" i="12"/>
  <c r="N23" i="12"/>
  <c r="O27" i="12"/>
  <c r="N27" i="12"/>
  <c r="O34" i="12"/>
  <c r="N34" i="12"/>
  <c r="O38" i="12"/>
  <c r="N38" i="12"/>
  <c r="O42" i="12"/>
  <c r="N42" i="12"/>
  <c r="O46" i="12"/>
  <c r="N46" i="12"/>
  <c r="O10" i="12"/>
  <c r="N10" i="12"/>
  <c r="T72" i="14" a="1"/>
  <c r="J72" i="15" a="1"/>
  <c r="I48" i="11"/>
  <c r="T72" i="4" a="1"/>
  <c r="D10" i="14"/>
  <c r="L72" i="14" a="1"/>
  <c r="V72" i="8" a="1"/>
  <c r="U72" i="11" a="1"/>
  <c r="J49" i="11"/>
  <c r="Q72" i="4" a="1"/>
  <c r="D20" i="14"/>
  <c r="J72" i="8" a="1"/>
  <c r="I72" i="7" a="1"/>
  <c r="J72" i="7" a="1"/>
  <c r="D15" i="15"/>
  <c r="S72" i="15" a="1"/>
  <c r="D23" i="15"/>
  <c r="M72" i="6" a="1"/>
  <c r="H49" i="11"/>
  <c r="I72" i="15" a="1"/>
  <c r="J49" i="4"/>
  <c r="S72" i="14" a="1"/>
  <c r="X72" i="8" a="1"/>
  <c r="F49" i="4"/>
  <c r="F49" i="15"/>
  <c r="K72" i="4" a="1"/>
  <c r="D22" i="15"/>
  <c r="D49" i="4"/>
  <c r="D23" i="14"/>
  <c r="N72" i="14" a="1"/>
  <c r="S72" i="4" a="1"/>
  <c r="E72" i="14" a="1"/>
  <c r="P72" i="15" a="1"/>
  <c r="E48" i="11"/>
  <c r="D9" i="15"/>
  <c r="E49" i="11"/>
  <c r="D19" i="15"/>
  <c r="W72" i="8" a="1"/>
  <c r="N72" i="4" a="1"/>
  <c r="L72" i="6" a="1"/>
  <c r="G49" i="11"/>
  <c r="D14" i="14"/>
  <c r="T72" i="8" a="1"/>
  <c r="D24" i="14"/>
  <c r="R72" i="7" a="1"/>
  <c r="P72" i="14" a="1"/>
  <c r="G72" i="14" a="1"/>
  <c r="F72" i="8" a="1"/>
  <c r="X72" i="11" a="1"/>
  <c r="D17" i="14"/>
  <c r="M72" i="16" a="1"/>
  <c r="D11" i="15"/>
  <c r="H72" i="14" a="1"/>
  <c r="M72" i="4" a="1"/>
  <c r="X72" i="14" a="1"/>
  <c r="M49" i="4"/>
  <c r="H72" i="15" a="1"/>
  <c r="W72" i="15" a="1"/>
  <c r="S72" i="11" a="1"/>
  <c r="L72" i="7" a="1"/>
  <c r="K72" i="11" a="1"/>
  <c r="D13" i="14"/>
  <c r="I49" i="15"/>
  <c r="Q72" i="11" a="1"/>
  <c r="D18" i="15"/>
  <c r="L73" i="1" a="1"/>
  <c r="D11" i="14"/>
  <c r="L49" i="11"/>
  <c r="P72" i="11" a="1"/>
  <c r="Q61" i="16" a="1"/>
  <c r="L72" i="4" a="1"/>
  <c r="G72" i="15" a="1"/>
  <c r="F49" i="11"/>
  <c r="Q72" i="14" a="1"/>
  <c r="J49" i="15"/>
  <c r="F72" i="15" a="1"/>
  <c r="N72" i="15" a="1"/>
  <c r="D48" i="11"/>
  <c r="D13" i="15"/>
  <c r="O72" i="11" a="1"/>
  <c r="G72" i="8" a="1"/>
  <c r="D72" i="6" a="1"/>
  <c r="M49" i="15"/>
  <c r="H72" i="4" a="1"/>
  <c r="D21" i="15"/>
  <c r="F72" i="4" a="1"/>
  <c r="K49" i="15"/>
  <c r="O72" i="8" a="1"/>
  <c r="O72" i="4" a="1"/>
  <c r="R72" i="8" a="1"/>
  <c r="I72" i="4" a="1"/>
  <c r="D22" i="14"/>
  <c r="E72" i="4" a="1"/>
  <c r="L72" i="8" a="1"/>
  <c r="H72" i="8" a="1"/>
  <c r="K73" i="1" a="1"/>
  <c r="F48" i="11"/>
  <c r="J73" i="1" a="1"/>
  <c r="K72" i="16" a="1"/>
  <c r="Q72" i="7" a="1"/>
  <c r="G49" i="15"/>
  <c r="G72" i="7" a="1"/>
  <c r="M72" i="14" a="1"/>
  <c r="V72" i="15" a="1"/>
  <c r="D9" i="14"/>
  <c r="P72" i="4" a="1"/>
  <c r="M72" i="11" a="1"/>
  <c r="D25" i="15"/>
  <c r="D10" i="15"/>
  <c r="S72" i="8" a="1"/>
  <c r="E49" i="4"/>
  <c r="W72" i="7" a="1"/>
  <c r="D14" i="15"/>
  <c r="F72" i="11" a="1"/>
  <c r="N72" i="11" a="1"/>
  <c r="M73" i="1" a="1"/>
  <c r="I49" i="4"/>
  <c r="V72" i="4" a="1"/>
  <c r="K49" i="11"/>
  <c r="J72" i="11" a="1"/>
  <c r="D49" i="11"/>
  <c r="D7" i="15"/>
  <c r="I72" i="11" a="1"/>
  <c r="W72" i="4" a="1"/>
  <c r="D12" i="14"/>
  <c r="H72" i="11" a="1"/>
  <c r="R72" i="15" a="1"/>
  <c r="D8" i="14"/>
  <c r="J72" i="14" a="1"/>
  <c r="D72" i="14" a="1"/>
  <c r="D21" i="14"/>
  <c r="W72" i="11" a="1"/>
  <c r="K72" i="6" a="1"/>
  <c r="D7" i="14"/>
  <c r="T72" i="15" a="1"/>
  <c r="J72" i="4" a="1"/>
  <c r="H49" i="4"/>
  <c r="U72" i="15" a="1"/>
  <c r="T72" i="11" a="1"/>
  <c r="J72" i="16" a="1"/>
  <c r="D72" i="4" a="1"/>
  <c r="J48" i="11"/>
  <c r="D15" i="14"/>
  <c r="D8" i="15"/>
  <c r="D24" i="15"/>
  <c r="D72" i="16" a="1"/>
  <c r="L49" i="15"/>
  <c r="J72" i="6" a="1"/>
  <c r="X72" i="15" a="1"/>
  <c r="D26" i="15"/>
  <c r="M72" i="15" a="1"/>
  <c r="D73" i="1" a="1"/>
  <c r="D19" i="14"/>
  <c r="E72" i="11" a="1"/>
  <c r="G48" i="11"/>
  <c r="D20" i="15"/>
  <c r="K72" i="8" a="1"/>
  <c r="F72" i="14" a="1"/>
  <c r="Q72" i="15" a="1"/>
  <c r="E49" i="15"/>
  <c r="D18" i="14"/>
  <c r="K72" i="15" a="1"/>
  <c r="X72" i="4" a="1"/>
  <c r="D27" i="14"/>
  <c r="G72" i="11" a="1"/>
  <c r="V72" i="14" a="1"/>
  <c r="D72" i="15" a="1"/>
  <c r="K48" i="11"/>
  <c r="I72" i="14" a="1"/>
  <c r="V72" i="7" a="1"/>
  <c r="D25" i="14"/>
  <c r="P72" i="7" a="1"/>
  <c r="Q72" i="8" a="1"/>
  <c r="X72" i="7" a="1"/>
  <c r="G72" i="4" a="1"/>
  <c r="O72" i="14" a="1"/>
  <c r="E72" i="15" a="1"/>
  <c r="H72" i="7" a="1"/>
  <c r="D16" i="15"/>
  <c r="L72" i="16" a="1"/>
  <c r="D49" i="15"/>
  <c r="I49" i="11"/>
  <c r="R72" i="14" a="1"/>
  <c r="M49" i="11"/>
  <c r="L48" i="11"/>
  <c r="R72" i="4" a="1"/>
  <c r="E72" i="7" a="1"/>
  <c r="I72" i="8" a="1"/>
  <c r="S72" i="7" a="1"/>
  <c r="D72" i="8" a="1"/>
  <c r="F72" i="7" a="1"/>
  <c r="T72" i="7" a="1"/>
  <c r="M48" i="11"/>
  <c r="G49" i="4"/>
  <c r="N72" i="7" a="1"/>
  <c r="K72" i="7" a="1"/>
  <c r="D26" i="14"/>
  <c r="L49" i="4"/>
  <c r="D12" i="15"/>
  <c r="D72" i="11" a="1"/>
  <c r="L72" i="15" a="1"/>
  <c r="P72" i="8" a="1"/>
  <c r="L72" i="11" a="1"/>
  <c r="E72" i="8" a="1"/>
  <c r="O72" i="15" a="1"/>
  <c r="N72" i="8" a="1"/>
  <c r="M72" i="7" a="1"/>
  <c r="U72" i="4" a="1"/>
  <c r="D27" i="15"/>
  <c r="R72" i="11" a="1"/>
  <c r="K49" i="4"/>
  <c r="D72" i="7" a="1"/>
  <c r="D17" i="15"/>
  <c r="M72" i="8" a="1"/>
  <c r="H48" i="11"/>
  <c r="H49" i="15"/>
  <c r="D16" i="14"/>
  <c r="K72" i="14" a="1"/>
  <c r="V72" i="11" a="1"/>
  <c r="O72" i="7" a="1"/>
  <c r="S72" i="15" l="1"/>
  <c r="K72" i="15"/>
  <c r="R72" i="15"/>
  <c r="J72" i="15"/>
  <c r="Q72" i="15"/>
  <c r="I72" i="15"/>
  <c r="X72" i="15"/>
  <c r="P72" i="15"/>
  <c r="H72" i="15"/>
  <c r="W72" i="15"/>
  <c r="O72" i="15"/>
  <c r="G72" i="15"/>
  <c r="V72" i="15"/>
  <c r="N72" i="15"/>
  <c r="F72" i="15"/>
  <c r="U72" i="15"/>
  <c r="M72" i="15"/>
  <c r="E72" i="15"/>
  <c r="T72" i="15"/>
  <c r="L72" i="15"/>
  <c r="D72" i="15"/>
  <c r="S72" i="14"/>
  <c r="K72" i="14"/>
  <c r="R72" i="14"/>
  <c r="J72" i="14"/>
  <c r="Q72" i="14"/>
  <c r="I72" i="14"/>
  <c r="X72" i="14"/>
  <c r="P72" i="14"/>
  <c r="H72" i="14"/>
  <c r="O72" i="14"/>
  <c r="G72" i="14"/>
  <c r="V72" i="14"/>
  <c r="N72" i="14"/>
  <c r="F72" i="14"/>
  <c r="M72" i="14"/>
  <c r="E72" i="14"/>
  <c r="T72" i="14"/>
  <c r="L72" i="14"/>
  <c r="D72" i="14"/>
  <c r="S72" i="8"/>
  <c r="K72" i="8"/>
  <c r="R72" i="8"/>
  <c r="J72" i="8"/>
  <c r="Q72" i="8"/>
  <c r="I72" i="8"/>
  <c r="X72" i="8"/>
  <c r="P72" i="8"/>
  <c r="H72" i="8"/>
  <c r="W72" i="8"/>
  <c r="O72" i="8"/>
  <c r="G72" i="8"/>
  <c r="V72" i="8"/>
  <c r="N72" i="8"/>
  <c r="F72" i="8"/>
  <c r="M72" i="8"/>
  <c r="E72" i="8"/>
  <c r="T72" i="8"/>
  <c r="L72" i="8"/>
  <c r="D72" i="8"/>
  <c r="K72" i="7"/>
  <c r="S72" i="7"/>
  <c r="R72" i="7"/>
  <c r="J72" i="7"/>
  <c r="Q72" i="7"/>
  <c r="I72" i="7"/>
  <c r="X72" i="7"/>
  <c r="P72" i="7"/>
  <c r="H72" i="7"/>
  <c r="W72" i="7"/>
  <c r="O72" i="7"/>
  <c r="G72" i="7"/>
  <c r="V72" i="7"/>
  <c r="N72" i="7"/>
  <c r="F72" i="7"/>
  <c r="M72" i="7"/>
  <c r="E72" i="7"/>
  <c r="T72" i="7"/>
  <c r="L72" i="7"/>
  <c r="D72" i="7"/>
  <c r="N49" i="4"/>
  <c r="O49" i="4"/>
  <c r="S72" i="4"/>
  <c r="K72" i="4"/>
  <c r="R72" i="4"/>
  <c r="J72" i="4"/>
  <c r="Q72" i="4"/>
  <c r="I72" i="4"/>
  <c r="X72" i="4"/>
  <c r="P72" i="4"/>
  <c r="H72" i="4"/>
  <c r="W72" i="4"/>
  <c r="O72" i="4"/>
  <c r="G72" i="4"/>
  <c r="V72" i="4"/>
  <c r="N72" i="4"/>
  <c r="F72" i="4"/>
  <c r="U72" i="4"/>
  <c r="M72" i="4"/>
  <c r="E72" i="4"/>
  <c r="T72" i="4"/>
  <c r="L72" i="4"/>
  <c r="D72" i="4"/>
  <c r="N49" i="11"/>
  <c r="O49" i="11"/>
  <c r="N48" i="11"/>
  <c r="O48" i="11"/>
  <c r="S72" i="11"/>
  <c r="K72" i="11"/>
  <c r="R72" i="11"/>
  <c r="J72" i="11"/>
  <c r="Q72" i="11"/>
  <c r="I72" i="11"/>
  <c r="X72" i="11"/>
  <c r="P72" i="11"/>
  <c r="H72" i="11"/>
  <c r="W72" i="11"/>
  <c r="O72" i="11"/>
  <c r="G72" i="11"/>
  <c r="V72" i="11"/>
  <c r="N72" i="11"/>
  <c r="F72" i="11"/>
  <c r="U72" i="11"/>
  <c r="M72" i="11"/>
  <c r="E72" i="11"/>
  <c r="T72" i="11"/>
  <c r="L72" i="11"/>
  <c r="D72" i="11"/>
  <c r="N49" i="15"/>
  <c r="O49" i="15"/>
  <c r="K73" i="1"/>
  <c r="J73" i="1"/>
  <c r="M73" i="1"/>
  <c r="L73" i="1"/>
  <c r="D73" i="1"/>
  <c r="K72" i="16"/>
  <c r="J72" i="16"/>
  <c r="M72" i="16"/>
  <c r="L72" i="16"/>
  <c r="D72" i="16"/>
  <c r="K72" i="6"/>
  <c r="J72" i="6"/>
  <c r="M72" i="6"/>
  <c r="L72" i="6"/>
  <c r="D72" i="6"/>
  <c r="Q61" i="16"/>
  <c r="D28" i="14" l="1"/>
  <c r="D28" i="15"/>
  <c r="P58" i="8" a="1"/>
  <c r="G56" i="7" a="1"/>
  <c r="W70" i="7" a="1"/>
  <c r="M59" i="16" a="1"/>
  <c r="T59" i="16" a="1"/>
  <c r="K64" i="14" a="1"/>
  <c r="K55" i="13" a="1"/>
  <c r="L8" i="15"/>
  <c r="V59" i="14" a="1"/>
  <c r="R60" i="13" a="1"/>
  <c r="E62" i="8" a="1"/>
  <c r="G58" i="16" a="1"/>
  <c r="J55" i="14" a="1"/>
  <c r="G15" i="13"/>
  <c r="F7" i="15"/>
  <c r="K35" i="13"/>
  <c r="P70" i="1" a="1"/>
  <c r="E70" i="4" a="1"/>
  <c r="H14" i="7"/>
  <c r="S55" i="8" a="1"/>
  <c r="U65" i="13" a="1"/>
  <c r="E17" i="11"/>
  <c r="D63" i="13" a="1"/>
  <c r="J62" i="16" a="1"/>
  <c r="G67" i="14" a="1"/>
  <c r="S71" i="14" a="1"/>
  <c r="K23" i="11"/>
  <c r="D57" i="11" a="1"/>
  <c r="H62" i="6" a="1"/>
  <c r="M35" i="13"/>
  <c r="K47" i="11"/>
  <c r="Q62" i="1" a="1"/>
  <c r="T66" i="16" a="1"/>
  <c r="N56" i="14" a="1"/>
  <c r="G65" i="7" a="1"/>
  <c r="H63" i="16" a="1"/>
  <c r="S70" i="16" a="1"/>
  <c r="N68" i="15" a="1"/>
  <c r="I68" i="15" a="1"/>
  <c r="D27" i="9"/>
  <c r="U67" i="16" a="1"/>
  <c r="J67" i="11" a="1"/>
  <c r="H55" i="16" a="1"/>
  <c r="F66" i="16" a="1"/>
  <c r="L39" i="4"/>
  <c r="M41" i="13"/>
  <c r="H63" i="8" a="1"/>
  <c r="G44" i="9"/>
  <c r="F55" i="11" a="1"/>
  <c r="D38" i="4"/>
  <c r="F19" i="4"/>
  <c r="T70" i="8" a="1"/>
  <c r="H47" i="15"/>
  <c r="M61" i="8" a="1"/>
  <c r="M37" i="15"/>
  <c r="D36" i="15"/>
  <c r="I12" i="14"/>
  <c r="U58" i="4" a="1"/>
  <c r="D36" i="11"/>
  <c r="D33" i="15"/>
  <c r="K9" i="15"/>
  <c r="M55" i="14" a="1"/>
  <c r="E56" i="8" a="1"/>
  <c r="F10" i="4"/>
  <c r="E65" i="8" a="1"/>
  <c r="G71" i="7" a="1"/>
  <c r="H7" i="15"/>
  <c r="E43" i="15"/>
  <c r="M58" i="15" a="1"/>
  <c r="E65" i="1" a="1"/>
  <c r="M69" i="7" a="1"/>
  <c r="J35" i="15"/>
  <c r="L32" i="15"/>
  <c r="J9" i="9"/>
  <c r="D45" i="15"/>
  <c r="G16" i="9"/>
  <c r="D19" i="7"/>
  <c r="L64" i="6" a="1"/>
  <c r="F59" i="15" a="1"/>
  <c r="I69" i="8" a="1"/>
  <c r="G47" i="15"/>
  <c r="H68" i="8" a="1"/>
  <c r="T64" i="13" a="1"/>
  <c r="L12" i="4"/>
  <c r="I62" i="6" a="1"/>
  <c r="M36" i="15"/>
  <c r="P61" i="15" a="1"/>
  <c r="M20" i="11"/>
  <c r="W55" i="16" a="1"/>
  <c r="I7" i="9"/>
  <c r="H60" i="8" a="1"/>
  <c r="P71" i="1" a="1"/>
  <c r="F11" i="4"/>
  <c r="N59" i="1" a="1"/>
  <c r="U58" i="13" a="1"/>
  <c r="D67" i="16" a="1"/>
  <c r="E60" i="14" a="1"/>
  <c r="I62" i="4" a="1"/>
  <c r="J37" i="15"/>
  <c r="K25" i="8"/>
  <c r="L56" i="11" a="1"/>
  <c r="U57" i="15" a="1"/>
  <c r="G67" i="4" a="1"/>
  <c r="K67" i="8" a="1"/>
  <c r="J64" i="7" a="1"/>
  <c r="M70" i="1" a="1"/>
  <c r="E26" i="15"/>
  <c r="S61" i="8" a="1"/>
  <c r="K34" i="4"/>
  <c r="D33" i="11"/>
  <c r="U65" i="11" a="1"/>
  <c r="I59" i="8" a="1"/>
  <c r="P61" i="6" a="1"/>
  <c r="K15" i="8"/>
  <c r="F65" i="15" a="1"/>
  <c r="E41" i="13"/>
  <c r="K26" i="9"/>
  <c r="H67" i="15" a="1"/>
  <c r="K16" i="7"/>
  <c r="I25" i="4"/>
  <c r="S56" i="6" a="1"/>
  <c r="J47" i="11"/>
  <c r="O65" i="14" a="1"/>
  <c r="V61" i="1" a="1"/>
  <c r="G68" i="14" a="1"/>
  <c r="J64" i="14" a="1"/>
  <c r="M27" i="9"/>
  <c r="F71" i="11" a="1"/>
  <c r="L12" i="7"/>
  <c r="D69" i="7" a="1"/>
  <c r="N65" i="6" a="1"/>
  <c r="I27" i="4"/>
  <c r="K12" i="8"/>
  <c r="G49" i="18" a="1"/>
  <c r="K45" i="4"/>
  <c r="H16" i="7"/>
  <c r="D24" i="11"/>
  <c r="G22" i="9"/>
  <c r="L57" i="14" a="1"/>
  <c r="O58" i="15" a="1"/>
  <c r="H56" i="6" a="1"/>
  <c r="G64" i="15" a="1"/>
  <c r="L27" i="15"/>
  <c r="M59" i="7" a="1"/>
  <c r="M22" i="9"/>
  <c r="T71" i="14" a="1"/>
  <c r="K69" i="16" a="1"/>
  <c r="M12" i="8"/>
  <c r="I49" i="18" a="1"/>
  <c r="F42" i="13"/>
  <c r="K56" i="14" a="1"/>
  <c r="M21" i="15"/>
  <c r="L11" i="9"/>
  <c r="S61" i="1" a="1"/>
  <c r="G17" i="7"/>
  <c r="J23" i="8"/>
  <c r="G55" i="4" a="1"/>
  <c r="M22" i="4"/>
  <c r="S62" i="15" a="1"/>
  <c r="L24" i="13"/>
  <c r="P68" i="16" a="1"/>
  <c r="U64" i="4" a="1"/>
  <c r="F59" i="14" a="1"/>
  <c r="M9" i="4"/>
  <c r="N59" i="11" a="1"/>
  <c r="V66" i="14" a="1"/>
  <c r="H14" i="9"/>
  <c r="Q62" i="14" a="1"/>
  <c r="H32" i="13"/>
  <c r="J46" i="9"/>
  <c r="I17" i="11"/>
  <c r="F67" i="11" a="1"/>
  <c r="H23" i="8"/>
  <c r="F64" i="11" a="1"/>
  <c r="J20" i="15"/>
  <c r="H55" i="7" a="1"/>
  <c r="V67" i="8" a="1"/>
  <c r="Q60" i="1" a="1"/>
  <c r="N59" i="14" a="1"/>
  <c r="J10" i="15"/>
  <c r="R55" i="12" a="1"/>
  <c r="E41" i="9"/>
  <c r="E57" i="16" a="1"/>
  <c r="S65" i="1" a="1"/>
  <c r="M18" i="8"/>
  <c r="M35" i="9"/>
  <c r="I57" i="6" a="1"/>
  <c r="M67" i="15" a="1"/>
  <c r="M19" i="14"/>
  <c r="L21" i="11"/>
  <c r="D10" i="7"/>
  <c r="N67" i="16" a="1"/>
  <c r="R66" i="15" a="1"/>
  <c r="H63" i="11" a="1"/>
  <c r="K20" i="4"/>
  <c r="E47" i="15"/>
  <c r="P66" i="4" a="1"/>
  <c r="F38" i="9"/>
  <c r="J40" i="9"/>
  <c r="H57" i="4" a="1"/>
  <c r="E70" i="14" a="1"/>
  <c r="F61" i="15" a="1"/>
  <c r="E8" i="7"/>
  <c r="W65" i="16" a="1"/>
  <c r="S71" i="4" a="1"/>
  <c r="J70" i="11" a="1"/>
  <c r="K61" i="8" a="1"/>
  <c r="E43" i="11"/>
  <c r="H26" i="15"/>
  <c r="K58" i="8" a="1"/>
  <c r="J39" i="9"/>
  <c r="M34" i="15"/>
  <c r="K64" i="16" a="1"/>
  <c r="M25" i="11"/>
  <c r="H22" i="11"/>
  <c r="V58" i="16" a="1"/>
  <c r="J41" i="15"/>
  <c r="I14" i="11"/>
  <c r="D66" i="7" a="1"/>
  <c r="R59" i="11" a="1"/>
  <c r="L60" i="13" a="1"/>
  <c r="K11" i="11"/>
  <c r="W64" i="6" a="1"/>
  <c r="J13" i="8"/>
  <c r="M22" i="7"/>
  <c r="N57" i="7" a="1"/>
  <c r="R71" i="7" a="1"/>
  <c r="J59" i="16" a="1"/>
  <c r="W71" i="11" a="1"/>
  <c r="E26" i="8"/>
  <c r="I58" i="8" a="1"/>
  <c r="N61" i="4" a="1"/>
  <c r="F8" i="7"/>
  <c r="F35" i="11"/>
  <c r="S71" i="16" a="1"/>
  <c r="S56" i="7" a="1"/>
  <c r="F61" i="14" a="1"/>
  <c r="R58" i="8" a="1"/>
  <c r="I8" i="14"/>
  <c r="F10" i="15"/>
  <c r="H58" i="6" a="1"/>
  <c r="E59" i="6" a="1"/>
  <c r="S71" i="1" a="1"/>
  <c r="Q65" i="15" a="1"/>
  <c r="N55" i="11" a="1"/>
  <c r="H16" i="13"/>
  <c r="J61" i="7" a="1"/>
  <c r="E55" i="7" a="1"/>
  <c r="U62" i="16" a="1"/>
  <c r="E14" i="13"/>
  <c r="L11" i="15"/>
  <c r="E40" i="15"/>
  <c r="D25" i="7"/>
  <c r="J23" i="14"/>
  <c r="J49" i="18" a="1"/>
  <c r="J66" i="4" a="1"/>
  <c r="X63" i="6" a="1"/>
  <c r="F63" i="8" a="1"/>
  <c r="J45" i="15"/>
  <c r="F13" i="13"/>
  <c r="E66" i="16" a="1"/>
  <c r="W69" i="16" a="1"/>
  <c r="F46" i="13"/>
  <c r="O59" i="7" a="1"/>
  <c r="G14" i="15"/>
  <c r="F66" i="7" a="1"/>
  <c r="V70" i="8" a="1"/>
  <c r="S61" i="15" a="1"/>
  <c r="M7" i="7"/>
  <c r="T65" i="16" a="1"/>
  <c r="T60" i="14" a="1"/>
  <c r="H21" i="14"/>
  <c r="J71" i="16" a="1"/>
  <c r="H18" i="11"/>
  <c r="E44" i="4"/>
  <c r="Q62" i="15" a="1"/>
  <c r="M63" i="15" a="1"/>
  <c r="D41" i="4"/>
  <c r="E9" i="13"/>
  <c r="W57" i="15" a="1"/>
  <c r="E8" i="8"/>
  <c r="G19" i="7"/>
  <c r="F26" i="8"/>
  <c r="N68" i="16" a="1"/>
  <c r="D26" i="7"/>
  <c r="G21" i="8"/>
  <c r="H68" i="6" a="1"/>
  <c r="Q68" i="15" a="1"/>
  <c r="E15" i="4"/>
  <c r="E60" i="16" a="1"/>
  <c r="L21" i="4"/>
  <c r="I56" i="14" a="1"/>
  <c r="L36" i="15"/>
  <c r="K37" i="9"/>
  <c r="D18" i="13"/>
  <c r="G58" i="14" a="1"/>
  <c r="O55" i="15" a="1"/>
  <c r="J37" i="9"/>
  <c r="Q60" i="16" a="1"/>
  <c r="U61" i="11" a="1"/>
  <c r="W55" i="14" a="1"/>
  <c r="F64" i="13" a="1"/>
  <c r="J21" i="9"/>
  <c r="W71" i="8" a="1"/>
  <c r="J59" i="15" a="1"/>
  <c r="G8" i="8"/>
  <c r="K60" i="6" a="1"/>
  <c r="M60" i="1" a="1"/>
  <c r="I69" i="13" a="1"/>
  <c r="G66" i="4" a="1"/>
  <c r="L35" i="9"/>
  <c r="K8" i="9"/>
  <c r="N70" i="11" a="1"/>
  <c r="R67" i="11" a="1"/>
  <c r="W71" i="6" a="1"/>
  <c r="K12" i="14"/>
  <c r="Q71" i="7" a="1"/>
  <c r="F22" i="11"/>
  <c r="K60" i="1" a="1"/>
  <c r="K59" i="7" a="1"/>
  <c r="P59" i="8" a="1"/>
  <c r="O62" i="6" a="1"/>
  <c r="M19" i="11"/>
  <c r="M22" i="11"/>
  <c r="E10" i="15"/>
  <c r="P63" i="6" a="1"/>
  <c r="M19" i="4"/>
  <c r="I23" i="8"/>
  <c r="G41" i="13"/>
  <c r="N57" i="13" a="1"/>
  <c r="K45" i="13"/>
  <c r="F10" i="9"/>
  <c r="W59" i="8" a="1"/>
  <c r="U68" i="15" a="1"/>
  <c r="E68" i="15" a="1"/>
  <c r="Q68" i="14" a="1"/>
  <c r="G34" i="4"/>
  <c r="E9" i="9"/>
  <c r="G62" i="14" a="1"/>
  <c r="L68" i="14" a="1"/>
  <c r="I62" i="15" a="1"/>
  <c r="W70" i="4" a="1"/>
  <c r="O62" i="8" a="1"/>
  <c r="F70" i="6" a="1"/>
  <c r="P71" i="6" a="1"/>
  <c r="U60" i="11" a="1"/>
  <c r="L12" i="9"/>
  <c r="I10" i="4"/>
  <c r="M64" i="7" a="1"/>
  <c r="E68" i="4" a="1"/>
  <c r="G42" i="4"/>
  <c r="G42" i="11"/>
  <c r="G26" i="4"/>
  <c r="I70" i="4" a="1"/>
  <c r="J10" i="8"/>
  <c r="M65" i="16" a="1"/>
  <c r="Q70" i="14" a="1"/>
  <c r="G55" i="15" a="1"/>
  <c r="U58" i="16" a="1"/>
  <c r="I20" i="14"/>
  <c r="M45" i="15"/>
  <c r="F71" i="7" a="1"/>
  <c r="O66" i="15" a="1"/>
  <c r="D61" i="7" a="1"/>
  <c r="V64" i="1" a="1"/>
  <c r="J58" i="15" a="1"/>
  <c r="Q67" i="4" a="1"/>
  <c r="X58" i="8" a="1"/>
  <c r="V61" i="8" a="1"/>
  <c r="K14" i="13"/>
  <c r="K38" i="11"/>
  <c r="F56" i="7" a="1"/>
  <c r="V56" i="6" a="1"/>
  <c r="G16" i="4"/>
  <c r="F19" i="8"/>
  <c r="F22" i="14"/>
  <c r="F18" i="8"/>
  <c r="J27" i="4"/>
  <c r="X61" i="15" a="1"/>
  <c r="M7" i="14"/>
  <c r="E63" i="15" a="1"/>
  <c r="O70" i="13" a="1"/>
  <c r="F13" i="11"/>
  <c r="N56" i="16" a="1"/>
  <c r="G57" i="13" a="1"/>
  <c r="K27" i="9"/>
  <c r="T57" i="4" a="1"/>
  <c r="V57" i="16" a="1"/>
  <c r="P56" i="4" a="1"/>
  <c r="K18" i="15"/>
  <c r="R67" i="15" a="1"/>
  <c r="D19" i="4"/>
  <c r="S58" i="4" a="1"/>
  <c r="L19" i="13"/>
  <c r="U64" i="6" a="1"/>
  <c r="G12" i="13"/>
  <c r="D71" i="16" a="1"/>
  <c r="I57" i="11" a="1"/>
  <c r="F7" i="9"/>
  <c r="N65" i="16" a="1"/>
  <c r="T69" i="14" a="1"/>
  <c r="S66" i="1" a="1"/>
  <c r="J59" i="11" a="1"/>
  <c r="X62" i="1" a="1"/>
  <c r="R70" i="15" a="1"/>
  <c r="K20" i="8"/>
  <c r="D23" i="9"/>
  <c r="T55" i="11" a="1"/>
  <c r="L44" i="9"/>
  <c r="L34" i="15"/>
  <c r="M8" i="15"/>
  <c r="T68" i="7" a="1"/>
  <c r="J17" i="15"/>
  <c r="D25" i="8"/>
  <c r="G45" i="11"/>
  <c r="E59" i="11" a="1"/>
  <c r="M62" i="1" a="1"/>
  <c r="F69" i="6" a="1"/>
  <c r="K65" i="7" a="1"/>
  <c r="F57" i="15" a="1"/>
  <c r="M20" i="4"/>
  <c r="I15" i="11"/>
  <c r="N70" i="1" a="1"/>
  <c r="K69" i="8" a="1"/>
  <c r="H65" i="15" a="1"/>
  <c r="J36" i="13"/>
  <c r="J59" i="8" a="1"/>
  <c r="J62" i="4" a="1"/>
  <c r="Q55" i="13" a="1"/>
  <c r="O61" i="8" a="1"/>
  <c r="H14" i="14"/>
  <c r="O68" i="8" a="1"/>
  <c r="M59" i="1" a="1"/>
  <c r="M66" i="8" a="1"/>
  <c r="P61" i="4" a="1"/>
  <c r="S62" i="11" a="1"/>
  <c r="E69" i="6" a="1"/>
  <c r="M34" i="13"/>
  <c r="M17" i="11"/>
  <c r="D8" i="7"/>
  <c r="E38" i="15"/>
  <c r="F67" i="14" a="1"/>
  <c r="E69" i="15" a="1"/>
  <c r="E36" i="11"/>
  <c r="M7" i="11"/>
  <c r="G71" i="8" a="1"/>
  <c r="T57" i="7" a="1"/>
  <c r="D57" i="13" a="1"/>
  <c r="D13" i="9"/>
  <c r="J64" i="8" a="1"/>
  <c r="K26" i="4"/>
  <c r="J56" i="6" a="1"/>
  <c r="I36" i="9"/>
  <c r="I57" i="13" a="1"/>
  <c r="E69" i="1" a="1"/>
  <c r="Q58" i="16" a="1"/>
  <c r="G63" i="1" a="1"/>
  <c r="G10" i="4"/>
  <c r="G66" i="13" a="1"/>
  <c r="M71" i="15" a="1"/>
  <c r="R62" i="14" a="1"/>
  <c r="F65" i="13" a="1"/>
  <c r="R61" i="14" a="1"/>
  <c r="N69" i="14" a="1"/>
  <c r="H69" i="15" a="1"/>
  <c r="L67" i="16" a="1"/>
  <c r="M13" i="13"/>
  <c r="V55" i="8" a="1"/>
  <c r="L38" i="4"/>
  <c r="D15" i="4"/>
  <c r="X56" i="14" a="1"/>
  <c r="W56" i="14" a="1"/>
  <c r="L71" i="1" a="1"/>
  <c r="U60" i="16" a="1"/>
  <c r="S63" i="13" a="1"/>
  <c r="P64" i="7" a="1"/>
  <c r="L66" i="8" a="1"/>
  <c r="G61" i="8" a="1"/>
  <c r="F61" i="4" a="1"/>
  <c r="D69" i="14" a="1"/>
  <c r="F71" i="15" a="1"/>
  <c r="L63" i="16" a="1"/>
  <c r="M11" i="15"/>
  <c r="J24" i="15"/>
  <c r="W71" i="4" a="1"/>
  <c r="U60" i="1" a="1"/>
  <c r="L69" i="11" a="1"/>
  <c r="V57" i="7" a="1"/>
  <c r="I27" i="9"/>
  <c r="K9" i="9"/>
  <c r="D44" i="4"/>
  <c r="L34" i="11"/>
  <c r="R60" i="7" a="1"/>
  <c r="J46" i="15"/>
  <c r="E46" i="9"/>
  <c r="D70" i="7" a="1"/>
  <c r="T60" i="8" a="1"/>
  <c r="J58" i="1" a="1"/>
  <c r="V66" i="16" a="1"/>
  <c r="H65" i="16" a="1"/>
  <c r="W67" i="6" a="1"/>
  <c r="M56" i="13" a="1"/>
  <c r="L67" i="8" a="1"/>
  <c r="L26" i="14"/>
  <c r="R69" i="14" a="1"/>
  <c r="U69" i="11" a="1"/>
  <c r="G14" i="8"/>
  <c r="I9" i="4"/>
  <c r="L13" i="9"/>
  <c r="E71" i="14" a="1"/>
  <c r="D44" i="11"/>
  <c r="S57" i="15" a="1"/>
  <c r="T71" i="7" a="1"/>
  <c r="L64" i="16" a="1"/>
  <c r="P70" i="13" a="1"/>
  <c r="W68" i="6" a="1"/>
  <c r="P60" i="6" a="1"/>
  <c r="I59" i="15" a="1"/>
  <c r="J42" i="15"/>
  <c r="L22" i="7"/>
  <c r="G11" i="4"/>
  <c r="Q55" i="8" a="1"/>
  <c r="I45" i="11"/>
  <c r="O56" i="1" a="1"/>
  <c r="R57" i="16" a="1"/>
  <c r="F59" i="16" a="1"/>
  <c r="D60" i="13" a="1"/>
  <c r="G36" i="4"/>
  <c r="M58" i="6" a="1"/>
  <c r="P59" i="1" a="1"/>
  <c r="G11" i="14"/>
  <c r="P59" i="16" a="1"/>
  <c r="W60" i="1" a="1"/>
  <c r="E67" i="1" a="1"/>
  <c r="M62" i="14" a="1"/>
  <c r="H63" i="1" a="1"/>
  <c r="L61" i="4" a="1"/>
  <c r="R65" i="8" a="1"/>
  <c r="Q65" i="1" a="1"/>
  <c r="D42" i="11"/>
  <c r="M18" i="14"/>
  <c r="E68" i="7" a="1"/>
  <c r="P57" i="8" a="1"/>
  <c r="K55" i="6" a="1"/>
  <c r="J47" i="15"/>
  <c r="H8" i="14"/>
  <c r="H46" i="9"/>
  <c r="R60" i="14" a="1"/>
  <c r="G71" i="16" a="1"/>
  <c r="E58" i="11" a="1"/>
  <c r="O71" i="16" a="1"/>
  <c r="J18" i="15"/>
  <c r="I47" i="13"/>
  <c r="L39" i="13"/>
  <c r="T57" i="8" a="1"/>
  <c r="F38" i="15"/>
  <c r="L24" i="11"/>
  <c r="G46" i="15"/>
  <c r="T61" i="15" a="1"/>
  <c r="F69" i="14" a="1"/>
  <c r="L55" i="4" a="1"/>
  <c r="M66" i="15" a="1"/>
  <c r="W68" i="16" a="1"/>
  <c r="H35" i="9"/>
  <c r="D60" i="16" a="1"/>
  <c r="I32" i="9"/>
  <c r="O69" i="11" a="1"/>
  <c r="H17" i="7"/>
  <c r="G7" i="13"/>
  <c r="F42" i="11"/>
  <c r="O58" i="16" a="1"/>
  <c r="T58" i="7" a="1"/>
  <c r="D8" i="11"/>
  <c r="K33" i="11"/>
  <c r="E18" i="15"/>
  <c r="G43" i="15"/>
  <c r="K15" i="7"/>
  <c r="I15" i="7"/>
  <c r="I18" i="9"/>
  <c r="H25" i="8"/>
  <c r="L48" i="4"/>
  <c r="M19" i="13"/>
  <c r="W67" i="16" a="1"/>
  <c r="S67" i="14" a="1"/>
  <c r="Q63" i="7" a="1"/>
  <c r="S59" i="1" a="1"/>
  <c r="J46" i="11"/>
  <c r="G61" i="1" a="1"/>
  <c r="S63" i="1" a="1"/>
  <c r="Q63" i="14" a="1"/>
  <c r="R63" i="13" a="1"/>
  <c r="J34" i="9"/>
  <c r="I12" i="7"/>
  <c r="N60" i="14" a="1"/>
  <c r="F12" i="4"/>
  <c r="J36" i="15"/>
  <c r="H55" i="15" a="1"/>
  <c r="G66" i="16" a="1"/>
  <c r="V61" i="14" a="1"/>
  <c r="X60" i="14" a="1"/>
  <c r="L47" i="11"/>
  <c r="D16" i="8"/>
  <c r="H25" i="13"/>
  <c r="G16" i="7"/>
  <c r="I58" i="14" a="1"/>
  <c r="R65" i="1" a="1"/>
  <c r="F71" i="14" a="1"/>
  <c r="G16" i="13"/>
  <c r="W66" i="13" a="1"/>
  <c r="V68" i="15" a="1"/>
  <c r="I23" i="11"/>
  <c r="T57" i="1" a="1"/>
  <c r="E7" i="13"/>
  <c r="N72" i="1" a="1"/>
  <c r="K63" i="4" a="1"/>
  <c r="P56" i="16" a="1"/>
  <c r="F23" i="7"/>
  <c r="L71" i="8" a="1"/>
  <c r="I66" i="16" a="1"/>
  <c r="J17" i="4"/>
  <c r="X69" i="11" a="1"/>
  <c r="W64" i="14" a="1"/>
  <c r="H9" i="8"/>
  <c r="F15" i="13"/>
  <c r="V57" i="6" a="1"/>
  <c r="V70" i="11" a="1"/>
  <c r="K64" i="15" a="1"/>
  <c r="D47" i="15"/>
  <c r="L47" i="9"/>
  <c r="M55" i="16" a="1"/>
  <c r="T61" i="16" a="1"/>
  <c r="Q59" i="16" a="1"/>
  <c r="D16" i="9"/>
  <c r="F44" i="4"/>
  <c r="M15" i="15"/>
  <c r="E24" i="15"/>
  <c r="X66" i="15" a="1"/>
  <c r="J19" i="8"/>
  <c r="O60" i="16" a="1"/>
  <c r="D62" i="15" a="1"/>
  <c r="K68" i="11" a="1"/>
  <c r="U59" i="15" a="1"/>
  <c r="J70" i="16" a="1"/>
  <c r="G69" i="14" a="1"/>
  <c r="Q59" i="4" a="1"/>
  <c r="I13" i="8"/>
  <c r="P64" i="14" a="1"/>
  <c r="V69" i="6" a="1"/>
  <c r="R66" i="8" a="1"/>
  <c r="M13" i="14"/>
  <c r="N68" i="1" a="1"/>
  <c r="T61" i="8" a="1"/>
  <c r="I58" i="7" a="1"/>
  <c r="V62" i="8" a="1"/>
  <c r="H62" i="16" a="1"/>
  <c r="J16" i="13"/>
  <c r="H71" i="16" a="1"/>
  <c r="G72" i="1" a="1"/>
  <c r="K43" i="11"/>
  <c r="O55" i="11" a="1"/>
  <c r="O69" i="1" a="1"/>
  <c r="M57" i="6" a="1"/>
  <c r="R55" i="8" a="1"/>
  <c r="S66" i="6" a="1"/>
  <c r="L67" i="15" a="1"/>
  <c r="E48" i="4"/>
  <c r="M63" i="7" a="1"/>
  <c r="K61" i="15" a="1"/>
  <c r="M55" i="13" a="1"/>
  <c r="E63" i="16" a="1"/>
  <c r="K38" i="4"/>
  <c r="I67" i="15" a="1"/>
  <c r="I17" i="8"/>
  <c r="D20" i="8"/>
  <c r="G71" i="14" a="1"/>
  <c r="S67" i="15" a="1"/>
  <c r="L55" i="15" a="1"/>
  <c r="M27" i="15"/>
  <c r="M57" i="7" a="1"/>
  <c r="H15" i="15"/>
  <c r="I13" i="13"/>
  <c r="S58" i="15" a="1"/>
  <c r="P59" i="15" a="1"/>
  <c r="K71" i="7" a="1"/>
  <c r="O71" i="7" a="1"/>
  <c r="J39" i="15"/>
  <c r="L66" i="4" a="1"/>
  <c r="H14" i="13"/>
  <c r="D37" i="15"/>
  <c r="K8" i="8"/>
  <c r="U58" i="11" a="1"/>
  <c r="K62" i="14" a="1"/>
  <c r="L8" i="8"/>
  <c r="D60" i="8" a="1"/>
  <c r="P62" i="7" a="1"/>
  <c r="O70" i="4" a="1"/>
  <c r="Q66" i="4" a="1"/>
  <c r="D21" i="7"/>
  <c r="I57" i="7" a="1"/>
  <c r="G63" i="6" a="1"/>
  <c r="D46" i="4"/>
  <c r="K67" i="15" a="1"/>
  <c r="F10" i="14"/>
  <c r="H15" i="9"/>
  <c r="L12" i="13"/>
  <c r="K24" i="7"/>
  <c r="K7" i="4"/>
  <c r="I20" i="7"/>
  <c r="X57" i="14" a="1"/>
  <c r="V70" i="15" a="1"/>
  <c r="W69" i="7" a="1"/>
  <c r="I68" i="11" a="1"/>
  <c r="I13" i="11"/>
  <c r="F8" i="8"/>
  <c r="D71" i="7" a="1"/>
  <c r="R56" i="14" a="1"/>
  <c r="H57" i="13" a="1"/>
  <c r="S60" i="14" a="1"/>
  <c r="N63" i="14" a="1"/>
  <c r="J18" i="13"/>
  <c r="Q70" i="8" a="1"/>
  <c r="E19" i="11"/>
  <c r="G70" i="7" a="1"/>
  <c r="H69" i="14" a="1"/>
  <c r="L45" i="13"/>
  <c r="F11" i="11"/>
  <c r="K40" i="15"/>
  <c r="E59" i="15" a="1"/>
  <c r="O64" i="7" a="1"/>
  <c r="I66" i="7" a="1"/>
  <c r="I70" i="13" a="1"/>
  <c r="K44" i="15"/>
  <c r="U70" i="13" a="1"/>
  <c r="T64" i="11" a="1"/>
  <c r="W61" i="13" a="1"/>
  <c r="F45" i="11"/>
  <c r="G34" i="15"/>
  <c r="E26" i="4"/>
  <c r="F60" i="14" a="1"/>
  <c r="I38" i="11"/>
  <c r="G68" i="6" a="1"/>
  <c r="W58" i="4" a="1"/>
  <c r="U55" i="15" a="1"/>
  <c r="H59" i="4" a="1"/>
  <c r="P59" i="14" a="1"/>
  <c r="D25" i="9"/>
  <c r="F59" i="8" a="1"/>
  <c r="I56" i="1" a="1"/>
  <c r="F22" i="13"/>
  <c r="G7" i="15"/>
  <c r="M62" i="11" a="1"/>
  <c r="K64" i="8" a="1"/>
  <c r="W68" i="1" a="1"/>
  <c r="M7" i="13"/>
  <c r="Q64" i="11" a="1"/>
  <c r="F41" i="4"/>
  <c r="H9" i="11"/>
  <c r="S64" i="6" a="1"/>
  <c r="K46" i="15"/>
  <c r="I65" i="1" a="1"/>
  <c r="P63" i="1" a="1"/>
  <c r="J18" i="4"/>
  <c r="H34" i="9"/>
  <c r="M66" i="14" a="1"/>
  <c r="R57" i="11" a="1"/>
  <c r="M60" i="4" a="1"/>
  <c r="K11" i="15"/>
  <c r="I41" i="9"/>
  <c r="G57" i="8" a="1"/>
  <c r="J48" i="15"/>
  <c r="K23" i="7"/>
  <c r="R55" i="6" a="1"/>
  <c r="I11" i="13"/>
  <c r="H11" i="4"/>
  <c r="U68" i="6" a="1"/>
  <c r="F64" i="1" a="1"/>
  <c r="I21" i="4"/>
  <c r="L15" i="8"/>
  <c r="T59" i="7" a="1"/>
  <c r="M70" i="13" a="1"/>
  <c r="I16" i="4"/>
  <c r="U69" i="4" a="1"/>
  <c r="M41" i="11"/>
  <c r="I56" i="16" a="1"/>
  <c r="F69" i="8" a="1"/>
  <c r="W62" i="1" a="1"/>
  <c r="J19" i="7"/>
  <c r="K19" i="9"/>
  <c r="K35" i="4"/>
  <c r="J26" i="9"/>
  <c r="F69" i="11" a="1"/>
  <c r="J21" i="13"/>
  <c r="E69" i="7" a="1"/>
  <c r="N58" i="14" a="1"/>
  <c r="E25" i="4"/>
  <c r="X67" i="15" a="1"/>
  <c r="K33" i="4"/>
  <c r="L17" i="15"/>
  <c r="K7" i="9"/>
  <c r="W61" i="4" a="1"/>
  <c r="Q62" i="4" a="1"/>
  <c r="L14" i="7"/>
  <c r="N65" i="13" a="1"/>
  <c r="W56" i="8" a="1"/>
  <c r="F70" i="8" a="1"/>
  <c r="G43" i="4"/>
  <c r="R64" i="13" a="1"/>
  <c r="I65" i="16" a="1"/>
  <c r="M60" i="14" a="1"/>
  <c r="P59" i="11" a="1"/>
  <c r="I64" i="13" a="1"/>
  <c r="M69" i="4" a="1"/>
  <c r="E8" i="15"/>
  <c r="E39" i="9"/>
  <c r="S56" i="1" a="1"/>
  <c r="P55" i="13" a="1"/>
  <c r="S58" i="14" a="1"/>
  <c r="R71" i="11" a="1"/>
  <c r="E21" i="8"/>
  <c r="L60" i="8" a="1"/>
  <c r="F36" i="15"/>
  <c r="Q66" i="1" a="1"/>
  <c r="R66" i="1" a="1"/>
  <c r="X64" i="14" a="1"/>
  <c r="L63" i="11" a="1"/>
  <c r="G68" i="4" a="1"/>
  <c r="D59" i="11" a="1"/>
  <c r="R71" i="1" a="1"/>
  <c r="P60" i="7" a="1"/>
  <c r="E20" i="9"/>
  <c r="M40" i="15"/>
  <c r="M9" i="11"/>
  <c r="S63" i="4" a="1"/>
  <c r="I25" i="15"/>
  <c r="J13" i="4"/>
  <c r="H62" i="14" a="1"/>
  <c r="N69" i="8" a="1"/>
  <c r="I18" i="11"/>
  <c r="K23" i="9"/>
  <c r="F20" i="4"/>
  <c r="H65" i="8" a="1"/>
  <c r="J69" i="15" a="1"/>
  <c r="H11" i="9"/>
  <c r="F62" i="11" a="1"/>
  <c r="G22" i="13"/>
  <c r="S59" i="15" a="1"/>
  <c r="U58" i="6" a="1"/>
  <c r="F59" i="1" a="1"/>
  <c r="M18" i="4"/>
  <c r="F33" i="9"/>
  <c r="E23" i="4"/>
  <c r="L25" i="4"/>
  <c r="E34" i="15"/>
  <c r="W57" i="13" a="1"/>
  <c r="J24" i="7"/>
  <c r="G42" i="15"/>
  <c r="O69" i="4" a="1"/>
  <c r="T63" i="8" a="1"/>
  <c r="V64" i="15" a="1"/>
  <c r="I16" i="13"/>
  <c r="D26" i="9"/>
  <c r="G47" i="4"/>
  <c r="P69" i="16" a="1"/>
  <c r="K40" i="9"/>
  <c r="I34" i="15"/>
  <c r="J62" i="13" a="1"/>
  <c r="D43" i="15"/>
  <c r="X61" i="1" a="1"/>
  <c r="D70" i="15" a="1"/>
  <c r="D9" i="8"/>
  <c r="V64" i="14" a="1"/>
  <c r="D64" i="8" a="1"/>
  <c r="I58" i="1" a="1"/>
  <c r="V71" i="14" a="1"/>
  <c r="I55" i="16" a="1"/>
  <c r="D69" i="4" a="1"/>
  <c r="D12" i="11"/>
  <c r="H11" i="13"/>
  <c r="J38" i="15"/>
  <c r="I62" i="8" a="1"/>
  <c r="Q69" i="15" a="1"/>
  <c r="I9" i="7"/>
  <c r="H39" i="13"/>
  <c r="N64" i="6" a="1"/>
  <c r="G40" i="15"/>
  <c r="E20" i="11"/>
  <c r="F68" i="11" a="1"/>
  <c r="O62" i="14" a="1"/>
  <c r="G10" i="15"/>
  <c r="P57" i="1" a="1"/>
  <c r="F62" i="6" a="1"/>
  <c r="L66" i="15" a="1"/>
  <c r="T64" i="6" a="1"/>
  <c r="E13" i="13"/>
  <c r="L10" i="11"/>
  <c r="M27" i="14"/>
  <c r="K44" i="9"/>
  <c r="E56" i="6" a="1"/>
  <c r="N70" i="14" a="1"/>
  <c r="F27" i="15"/>
  <c r="F32" i="13"/>
  <c r="H12" i="11"/>
  <c r="K23" i="8"/>
  <c r="Q57" i="14" a="1"/>
  <c r="M62" i="13" a="1"/>
  <c r="L21" i="9"/>
  <c r="T67" i="8" a="1"/>
  <c r="J57" i="8" a="1"/>
  <c r="F34" i="9"/>
  <c r="J57" i="6" a="1"/>
  <c r="D23" i="8"/>
  <c r="E13" i="7"/>
  <c r="R62" i="8" a="1"/>
  <c r="O71" i="11" a="1"/>
  <c r="X59" i="8" a="1"/>
  <c r="O59" i="15" a="1"/>
  <c r="N63" i="1" a="1"/>
  <c r="F46" i="4"/>
  <c r="E36" i="15"/>
  <c r="G14" i="13"/>
  <c r="K22" i="8"/>
  <c r="L68" i="11" a="1"/>
  <c r="S61" i="6" a="1"/>
  <c r="T66" i="7" a="1"/>
  <c r="E17" i="9"/>
  <c r="S60" i="11" a="1"/>
  <c r="M64" i="16" a="1"/>
  <c r="J23" i="15"/>
  <c r="L18" i="15"/>
  <c r="J34" i="15"/>
  <c r="K71" i="16" a="1"/>
  <c r="E65" i="13" a="1"/>
  <c r="K69" i="1" a="1"/>
  <c r="K60" i="7" a="1"/>
  <c r="I20" i="15"/>
  <c r="P56" i="13" a="1"/>
  <c r="I10" i="15"/>
  <c r="R68" i="4" a="1"/>
  <c r="H11" i="15"/>
  <c r="F24" i="15"/>
  <c r="T56" i="4" a="1"/>
  <c r="H61" i="6" a="1"/>
  <c r="F65" i="16" a="1"/>
  <c r="G13" i="8"/>
  <c r="K67" i="4" a="1"/>
  <c r="W55" i="9" a="1"/>
  <c r="Q64" i="4" a="1"/>
  <c r="E10" i="8"/>
  <c r="S69" i="1" a="1"/>
  <c r="O63" i="11" a="1"/>
  <c r="M46" i="11"/>
  <c r="R57" i="14" a="1"/>
  <c r="O67" i="4" a="1"/>
  <c r="E61" i="8" a="1"/>
  <c r="P60" i="13" a="1"/>
  <c r="L23" i="4"/>
  <c r="I55" i="9" a="1"/>
  <c r="E7" i="4"/>
  <c r="G16" i="14"/>
  <c r="L12" i="15"/>
  <c r="K64" i="7" a="1"/>
  <c r="W69" i="11" a="1"/>
  <c r="F18" i="11"/>
  <c r="F69" i="16" a="1"/>
  <c r="M23" i="4"/>
  <c r="K27" i="4"/>
  <c r="V55" i="4" a="1"/>
  <c r="J38" i="11"/>
  <c r="S55" i="4" a="1"/>
  <c r="H27" i="13"/>
  <c r="H61" i="16" a="1"/>
  <c r="T71" i="16" a="1"/>
  <c r="Q70" i="1" a="1"/>
  <c r="K62" i="16" a="1"/>
  <c r="F13" i="15"/>
  <c r="J57" i="14" a="1"/>
  <c r="M36" i="13"/>
  <c r="R57" i="8" a="1"/>
  <c r="E67" i="14" a="1"/>
  <c r="T65" i="13" a="1"/>
  <c r="F20" i="11"/>
  <c r="K37" i="13"/>
  <c r="P66" i="8" a="1"/>
  <c r="F32" i="9"/>
  <c r="L58" i="16" a="1"/>
  <c r="Q71" i="16" a="1"/>
  <c r="Q59" i="6" a="1"/>
  <c r="T70" i="14" a="1"/>
  <c r="M72" i="1" a="1"/>
  <c r="D22" i="7"/>
  <c r="I46" i="9"/>
  <c r="W55" i="6" a="1"/>
  <c r="I35" i="15"/>
  <c r="P65" i="16" a="1"/>
  <c r="E57" i="1" a="1"/>
  <c r="N60" i="8" a="1"/>
  <c r="H60" i="14" a="1"/>
  <c r="I70" i="14" a="1"/>
  <c r="G20" i="14"/>
  <c r="V56" i="8" a="1"/>
  <c r="M20" i="8"/>
  <c r="J13" i="14"/>
  <c r="W56" i="16" a="1"/>
  <c r="H56" i="7" a="1"/>
  <c r="D41" i="9"/>
  <c r="H55" i="8" a="1"/>
  <c r="T67" i="1" a="1"/>
  <c r="H61" i="15" a="1"/>
  <c r="H17" i="8"/>
  <c r="I71" i="8" a="1"/>
  <c r="I7" i="7"/>
  <c r="P68" i="13" a="1"/>
  <c r="F35" i="4"/>
  <c r="D56" i="4" a="1"/>
  <c r="K18" i="7"/>
  <c r="X67" i="16" a="1"/>
  <c r="H16" i="9"/>
  <c r="K68" i="14" a="1"/>
  <c r="G65" i="16" a="1"/>
  <c r="K19" i="4"/>
  <c r="N64" i="1" a="1"/>
  <c r="T58" i="6" a="1"/>
  <c r="F12" i="8"/>
  <c r="H65" i="1" a="1"/>
  <c r="P71" i="7" a="1"/>
  <c r="E55" i="8" a="1"/>
  <c r="E25" i="13"/>
  <c r="Q55" i="11" a="1"/>
  <c r="X70" i="16" a="1"/>
  <c r="J46" i="4"/>
  <c r="K55" i="4" a="1"/>
  <c r="H17" i="15"/>
  <c r="M46" i="13"/>
  <c r="I11" i="9"/>
  <c r="D7" i="4"/>
  <c r="D45" i="4"/>
  <c r="L36" i="9"/>
  <c r="J14" i="11"/>
  <c r="E55" i="9" a="1"/>
  <c r="I26" i="14"/>
  <c r="V68" i="16" a="1"/>
  <c r="F43" i="15"/>
  <c r="I70" i="8" a="1"/>
  <c r="I16" i="15"/>
  <c r="V61" i="11" a="1"/>
  <c r="J62" i="1" a="1"/>
  <c r="L39" i="9"/>
  <c r="H13" i="11"/>
  <c r="F66" i="8" a="1"/>
  <c r="T58" i="15" a="1"/>
  <c r="E20" i="4"/>
  <c r="D63" i="8" a="1"/>
  <c r="U63" i="15" a="1"/>
  <c r="V68" i="8" a="1"/>
  <c r="L70" i="8" a="1"/>
  <c r="K55" i="16" a="1"/>
  <c r="J62" i="11" a="1"/>
  <c r="V61" i="16" a="1"/>
  <c r="K23" i="14"/>
  <c r="S60" i="15" a="1"/>
  <c r="M61" i="15" a="1"/>
  <c r="D20" i="11"/>
  <c r="K33" i="13"/>
  <c r="M8" i="14"/>
  <c r="F62" i="7" a="1"/>
  <c r="G7" i="8"/>
  <c r="M8" i="13"/>
  <c r="G59" i="11" a="1"/>
  <c r="G59" i="14" a="1"/>
  <c r="K10" i="14"/>
  <c r="K47" i="15"/>
  <c r="O55" i="9" a="1"/>
  <c r="F22" i="8"/>
  <c r="R68" i="15" a="1"/>
  <c r="H21" i="8"/>
  <c r="E40" i="4"/>
  <c r="N71" i="8" a="1"/>
  <c r="T64" i="14" a="1"/>
  <c r="Q62" i="16" a="1"/>
  <c r="Q56" i="13" a="1"/>
  <c r="L61" i="1" a="1"/>
  <c r="R66" i="11" a="1"/>
  <c r="D55" i="15" a="1"/>
  <c r="V65" i="1" a="1"/>
  <c r="G68" i="7" a="1"/>
  <c r="J20" i="14"/>
  <c r="L44" i="4"/>
  <c r="Q61" i="13" a="1"/>
  <c r="D59" i="7" a="1"/>
  <c r="J45" i="11"/>
  <c r="L70" i="11" a="1"/>
  <c r="M69" i="15" a="1"/>
  <c r="K17" i="8"/>
  <c r="D13" i="7"/>
  <c r="L56" i="15" a="1"/>
  <c r="X56" i="6" a="1"/>
  <c r="V65" i="11" a="1"/>
  <c r="I33" i="13"/>
  <c r="E65" i="14" a="1"/>
  <c r="O70" i="16" a="1"/>
  <c r="L62" i="8" a="1"/>
  <c r="V67" i="16" a="1"/>
  <c r="H62" i="15" a="1"/>
  <c r="F59" i="13" a="1"/>
  <c r="Q56" i="11" a="1"/>
  <c r="I19" i="13"/>
  <c r="J19" i="9"/>
  <c r="I9" i="8"/>
  <c r="K16" i="14"/>
  <c r="V56" i="14" a="1"/>
  <c r="U63" i="16" a="1"/>
  <c r="V58" i="8" a="1"/>
  <c r="D35" i="13"/>
  <c r="R69" i="16" a="1"/>
  <c r="Q56" i="15" a="1"/>
  <c r="K70" i="16" a="1"/>
  <c r="F18" i="15"/>
  <c r="X58" i="14" a="1"/>
  <c r="G24" i="9"/>
  <c r="M58" i="1" a="1"/>
  <c r="J16" i="7"/>
  <c r="U57" i="13" a="1"/>
  <c r="I27" i="13"/>
  <c r="D60" i="15" a="1"/>
  <c r="S67" i="16" a="1"/>
  <c r="D55" i="6" a="1"/>
  <c r="D68" i="1" a="1"/>
  <c r="J15" i="13"/>
  <c r="E66" i="15" a="1"/>
  <c r="H41" i="9"/>
  <c r="I23" i="13"/>
  <c r="E45" i="11"/>
  <c r="E14" i="8"/>
  <c r="D22" i="4"/>
  <c r="H55" i="11" a="1"/>
  <c r="W66" i="14" a="1"/>
  <c r="W67" i="11" a="1"/>
  <c r="L68" i="16" a="1"/>
  <c r="H57" i="7" a="1"/>
  <c r="K44" i="13"/>
  <c r="R57" i="15" a="1"/>
  <c r="F42" i="4"/>
  <c r="M66" i="16" a="1"/>
  <c r="F68" i="16" a="1"/>
  <c r="K26" i="8"/>
  <c r="U71" i="6" a="1"/>
  <c r="R61" i="7" a="1"/>
  <c r="D70" i="8" a="1"/>
  <c r="P69" i="4" a="1"/>
  <c r="P61" i="14" a="1"/>
  <c r="P68" i="11" a="1"/>
  <c r="O59" i="11" a="1"/>
  <c r="D35" i="15"/>
  <c r="I11" i="8"/>
  <c r="H19" i="13"/>
  <c r="L58" i="11" a="1"/>
  <c r="L37" i="13"/>
  <c r="X58" i="16" a="1"/>
  <c r="F11" i="14"/>
  <c r="N68" i="14" a="1"/>
  <c r="O68" i="13" a="1"/>
  <c r="W72" i="1" a="1"/>
  <c r="H18" i="14"/>
  <c r="K69" i="13" a="1"/>
  <c r="M25" i="7"/>
  <c r="V55" i="11" a="1"/>
  <c r="K23" i="15"/>
  <c r="M65" i="13" a="1"/>
  <c r="V69" i="15" a="1"/>
  <c r="E24" i="11"/>
  <c r="K32" i="9"/>
  <c r="P62" i="15" a="1"/>
  <c r="T70" i="13" a="1"/>
  <c r="P62" i="4" a="1"/>
  <c r="E26" i="11"/>
  <c r="L8" i="9"/>
  <c r="L59" i="11" a="1"/>
  <c r="V64" i="4" a="1"/>
  <c r="G38" i="9"/>
  <c r="G70" i="8" a="1"/>
  <c r="J32" i="13"/>
  <c r="J38" i="4"/>
  <c r="L60" i="15" a="1"/>
  <c r="P66" i="16" a="1"/>
  <c r="J21" i="4"/>
  <c r="M11" i="11"/>
  <c r="F9" i="8"/>
  <c r="E71" i="1" a="1"/>
  <c r="D12" i="7"/>
  <c r="G62" i="1" a="1"/>
  <c r="J23" i="11"/>
  <c r="H59" i="14" a="1"/>
  <c r="I44" i="13"/>
  <c r="P63" i="14" a="1"/>
  <c r="D59" i="6" a="1"/>
  <c r="E33" i="15"/>
  <c r="J69" i="11" a="1"/>
  <c r="H57" i="1" a="1"/>
  <c r="L61" i="14" a="1"/>
  <c r="L66" i="13" a="1"/>
  <c r="X60" i="6" a="1"/>
  <c r="M61" i="6" a="1"/>
  <c r="J71" i="4" a="1"/>
  <c r="W71" i="15" a="1"/>
  <c r="G39" i="4"/>
  <c r="G36" i="11"/>
  <c r="M67" i="8" a="1"/>
  <c r="J37" i="13"/>
  <c r="J64" i="6" a="1"/>
  <c r="H45" i="9"/>
  <c r="J33" i="15"/>
  <c r="V59" i="7" a="1"/>
  <c r="W63" i="11" a="1"/>
  <c r="V59" i="6" a="1"/>
  <c r="K71" i="11" a="1"/>
  <c r="K20" i="11"/>
  <c r="H13" i="15"/>
  <c r="M71" i="6" a="1"/>
  <c r="E60" i="6" a="1"/>
  <c r="J64" i="16" a="1"/>
  <c r="H55" i="4" a="1"/>
  <c r="J63" i="16" a="1"/>
  <c r="T70" i="7" a="1"/>
  <c r="X57" i="15" a="1"/>
  <c r="G69" i="4" a="1"/>
  <c r="I67" i="6" a="1"/>
  <c r="O60" i="11" a="1"/>
  <c r="X64" i="1" a="1"/>
  <c r="G11" i="11"/>
  <c r="G24" i="7"/>
  <c r="V70" i="6" a="1"/>
  <c r="O66" i="16" a="1"/>
  <c r="H57" i="14" a="1"/>
  <c r="M10" i="13"/>
  <c r="S71" i="11" a="1"/>
  <c r="G7" i="7"/>
  <c r="D61" i="11" a="1"/>
  <c r="F66" i="15" a="1"/>
  <c r="G60" i="14" a="1"/>
  <c r="I23" i="7"/>
  <c r="D61" i="16" a="1"/>
  <c r="F64" i="15" a="1"/>
  <c r="K40" i="4"/>
  <c r="G69" i="16" a="1"/>
  <c r="U56" i="4" a="1"/>
  <c r="X69" i="16" a="1"/>
  <c r="X55" i="12" a="1"/>
  <c r="G65" i="14" a="1"/>
  <c r="F14" i="9"/>
  <c r="H59" i="16" a="1"/>
  <c r="E59" i="16" a="1"/>
  <c r="R63" i="14" a="1"/>
  <c r="J26" i="8"/>
  <c r="I37" i="9"/>
  <c r="G22" i="8"/>
  <c r="I58" i="16" a="1"/>
  <c r="O58" i="14" a="1"/>
  <c r="R55" i="11" a="1"/>
  <c r="G60" i="6" a="1"/>
  <c r="M68" i="13" a="1"/>
  <c r="F36" i="13"/>
  <c r="P55" i="6" a="1"/>
  <c r="M69" i="14" a="1"/>
  <c r="K44" i="4"/>
  <c r="D14" i="8"/>
  <c r="H61" i="7" a="1"/>
  <c r="K72" i="1" a="1"/>
  <c r="F62" i="14" a="1"/>
  <c r="K71" i="4" a="1"/>
  <c r="Q64" i="15" a="1"/>
  <c r="J57" i="15" a="1"/>
  <c r="D37" i="4"/>
  <c r="G63" i="15" a="1"/>
  <c r="Q56" i="8" a="1"/>
  <c r="D71" i="14" a="1"/>
  <c r="H12" i="7"/>
  <c r="O71" i="1" a="1"/>
  <c r="I65" i="8" a="1"/>
  <c r="G15" i="8"/>
  <c r="G62" i="13" a="1"/>
  <c r="R69" i="1" a="1"/>
  <c r="D35" i="11"/>
  <c r="O61" i="15" a="1"/>
  <c r="U62" i="1" a="1"/>
  <c r="V62" i="7" a="1"/>
  <c r="R70" i="1" a="1"/>
  <c r="D33" i="9"/>
  <c r="V70" i="16" a="1"/>
  <c r="O68" i="1" a="1"/>
  <c r="H58" i="4" a="1"/>
  <c r="D12" i="4"/>
  <c r="H8" i="15"/>
  <c r="U57" i="6" a="1"/>
  <c r="G7" i="4"/>
  <c r="M42" i="15"/>
  <c r="J71" i="8" a="1"/>
  <c r="I68" i="8" a="1"/>
  <c r="J69" i="16" a="1"/>
  <c r="J68" i="4" a="1"/>
  <c r="F27" i="13"/>
  <c r="L39" i="15"/>
  <c r="D20" i="9"/>
  <c r="I32" i="13"/>
  <c r="O68" i="16" a="1"/>
  <c r="L8" i="14"/>
  <c r="S58" i="8" a="1"/>
  <c r="E42" i="15"/>
  <c r="J67" i="15" a="1"/>
  <c r="K8" i="13"/>
  <c r="M8" i="11"/>
  <c r="L32" i="13"/>
  <c r="G22" i="11"/>
  <c r="S63" i="16" a="1"/>
  <c r="J15" i="15"/>
  <c r="G32" i="4"/>
  <c r="Q71" i="14" a="1"/>
  <c r="L58" i="6" a="1"/>
  <c r="J62" i="14" a="1"/>
  <c r="P61" i="13" a="1"/>
  <c r="S62" i="1" a="1"/>
  <c r="K56" i="4" a="1"/>
  <c r="N56" i="13" a="1"/>
  <c r="V70" i="1" a="1"/>
  <c r="F47" i="4"/>
  <c r="J47" i="13"/>
  <c r="S70" i="15" a="1"/>
  <c r="L71" i="16" a="1"/>
  <c r="E16" i="14"/>
  <c r="H62" i="11" a="1"/>
  <c r="S71" i="7" a="1"/>
  <c r="S55" i="12" a="1"/>
  <c r="L27" i="14"/>
  <c r="X67" i="11" a="1"/>
  <c r="H18" i="13"/>
  <c r="H62" i="4" a="1"/>
  <c r="H10" i="4"/>
  <c r="V59" i="15" a="1"/>
  <c r="N61" i="11" a="1"/>
  <c r="N56" i="1" a="1"/>
  <c r="I70" i="1" a="1"/>
  <c r="E16" i="8"/>
  <c r="I35" i="11"/>
  <c r="V71" i="8" a="1"/>
  <c r="H19" i="4"/>
  <c r="E13" i="11"/>
  <c r="G20" i="9"/>
  <c r="K68" i="8" a="1"/>
  <c r="J23" i="4"/>
  <c r="F59" i="6" a="1"/>
  <c r="R62" i="4" a="1"/>
  <c r="G60" i="8" a="1"/>
  <c r="J33" i="11"/>
  <c r="N66" i="4" a="1"/>
  <c r="O67" i="8" a="1"/>
  <c r="V67" i="11" a="1"/>
  <c r="T62" i="7" a="1"/>
  <c r="Q62" i="13" a="1"/>
  <c r="R68" i="7" a="1"/>
  <c r="G55" i="9" a="1"/>
  <c r="K65" i="8" a="1"/>
  <c r="X59" i="16" a="1"/>
  <c r="D58" i="16" a="1"/>
  <c r="R56" i="13" a="1"/>
  <c r="M25" i="15"/>
  <c r="V58" i="14" a="1"/>
  <c r="G64" i="13" a="1"/>
  <c r="L47" i="4"/>
  <c r="G63" i="14" a="1"/>
  <c r="I9" i="13"/>
  <c r="M62" i="8" a="1"/>
  <c r="G57" i="7" a="1"/>
  <c r="X65" i="8" a="1"/>
  <c r="F49" i="18" a="1"/>
  <c r="P58" i="6" a="1"/>
  <c r="M68" i="7" a="1"/>
  <c r="N69" i="11" a="1"/>
  <c r="X70" i="14" a="1"/>
  <c r="I63" i="14" a="1"/>
  <c r="P69" i="8" a="1"/>
  <c r="K45" i="11"/>
  <c r="K24" i="14"/>
  <c r="I56" i="8" a="1"/>
  <c r="I63" i="15" a="1"/>
  <c r="M8" i="7"/>
  <c r="G11" i="8"/>
  <c r="S65" i="15" a="1"/>
  <c r="F70" i="13" a="1"/>
  <c r="F67" i="16" a="1"/>
  <c r="P56" i="14" a="1"/>
  <c r="M68" i="8" a="1"/>
  <c r="G15" i="15"/>
  <c r="W58" i="6" a="1"/>
  <c r="G7" i="11"/>
  <c r="U69" i="6" a="1"/>
  <c r="E67" i="13" a="1"/>
  <c r="K69" i="6" a="1"/>
  <c r="P62" i="6" a="1"/>
  <c r="G9" i="8"/>
  <c r="H44" i="13"/>
  <c r="X65" i="14" a="1"/>
  <c r="J16" i="15"/>
  <c r="H66" i="15" a="1"/>
  <c r="K24" i="8"/>
  <c r="M14" i="13"/>
  <c r="E55" i="16" a="1"/>
  <c r="I7" i="8"/>
  <c r="H58" i="15" a="1"/>
  <c r="Q70" i="16" a="1"/>
  <c r="U59" i="1" a="1"/>
  <c r="M38" i="15"/>
  <c r="Q65" i="7" a="1"/>
  <c r="L33" i="13"/>
  <c r="N71" i="6" a="1"/>
  <c r="I58" i="15" a="1"/>
  <c r="J58" i="8" a="1"/>
  <c r="F26" i="7"/>
  <c r="O65" i="7" a="1"/>
  <c r="H36" i="15"/>
  <c r="H34" i="13"/>
  <c r="E16" i="13"/>
  <c r="L41" i="15"/>
  <c r="L17" i="11"/>
  <c r="O64" i="13" a="1"/>
  <c r="U58" i="1" a="1"/>
  <c r="V63" i="8" a="1"/>
  <c r="J66" i="15" a="1"/>
  <c r="H21" i="7"/>
  <c r="F68" i="13" a="1"/>
  <c r="F14" i="15"/>
  <c r="T57" i="6" a="1"/>
  <c r="M61" i="14" a="1"/>
  <c r="O67" i="16" a="1"/>
  <c r="I34" i="11"/>
  <c r="G32" i="11"/>
  <c r="M68" i="6" a="1"/>
  <c r="L22" i="13"/>
  <c r="L15" i="14"/>
  <c r="K61" i="14" a="1"/>
  <c r="S57" i="14" a="1"/>
  <c r="M17" i="4"/>
  <c r="Q64" i="16" a="1"/>
  <c r="P67" i="15" a="1"/>
  <c r="J35" i="9"/>
  <c r="W60" i="15" a="1"/>
  <c r="K9" i="14"/>
  <c r="W63" i="4" a="1"/>
  <c r="J65" i="1" a="1"/>
  <c r="I10" i="9"/>
  <c r="S57" i="16" a="1"/>
  <c r="H25" i="14"/>
  <c r="V56" i="15" a="1"/>
  <c r="P57" i="13" a="1"/>
  <c r="D44" i="15"/>
  <c r="M12" i="15"/>
  <c r="D71" i="4" a="1"/>
  <c r="K49" i="18" a="1"/>
  <c r="M62" i="16" a="1"/>
  <c r="D59" i="13" a="1"/>
  <c r="X70" i="7" a="1"/>
  <c r="E15" i="7"/>
  <c r="L65" i="15" a="1"/>
  <c r="E20" i="7"/>
  <c r="W63" i="7" a="1"/>
  <c r="T71" i="15" a="1"/>
  <c r="N55" i="12" a="1"/>
  <c r="G69" i="8" a="1"/>
  <c r="M18" i="11"/>
  <c r="I15" i="4"/>
  <c r="P64" i="15" a="1"/>
  <c r="M57" i="4" a="1"/>
  <c r="F20" i="7"/>
  <c r="G18" i="13"/>
  <c r="J65" i="7" a="1"/>
  <c r="L56" i="13" a="1"/>
  <c r="H8" i="7"/>
  <c r="X60" i="16" a="1"/>
  <c r="R66" i="7" a="1"/>
  <c r="N62" i="1" a="1"/>
  <c r="I63" i="4" a="1"/>
  <c r="H58" i="7" a="1"/>
  <c r="H60" i="4" a="1"/>
  <c r="W66" i="11" a="1"/>
  <c r="M7" i="9"/>
  <c r="J10" i="14"/>
  <c r="F48" i="15"/>
  <c r="N66" i="7" a="1"/>
  <c r="J71" i="6" a="1"/>
  <c r="D38" i="13"/>
  <c r="F24" i="9"/>
  <c r="F55" i="12" a="1"/>
  <c r="E56" i="16" a="1"/>
  <c r="X64" i="7" a="1"/>
  <c r="E27" i="8"/>
  <c r="R66" i="13" a="1"/>
  <c r="D68" i="15" a="1"/>
  <c r="E64" i="7" a="1"/>
  <c r="F18" i="4"/>
  <c r="K65" i="14" a="1"/>
  <c r="I57" i="16" a="1"/>
  <c r="T70" i="1" a="1"/>
  <c r="U65" i="15" a="1"/>
  <c r="L66" i="1" a="1"/>
  <c r="T56" i="14" a="1"/>
  <c r="L13" i="8"/>
  <c r="P71" i="8" a="1"/>
  <c r="K63" i="1" a="1"/>
  <c r="K67" i="16" a="1"/>
  <c r="M19" i="8"/>
  <c r="E27" i="9"/>
  <c r="G60" i="11" a="1"/>
  <c r="L33" i="9"/>
  <c r="V61" i="13" a="1"/>
  <c r="F27" i="4"/>
  <c r="L64" i="4" a="1"/>
  <c r="D37" i="13"/>
  <c r="F33" i="11"/>
  <c r="L63" i="8" a="1"/>
  <c r="S56" i="14" a="1"/>
  <c r="J43" i="9"/>
  <c r="H18" i="4"/>
  <c r="H44" i="15"/>
  <c r="G13" i="4"/>
  <c r="M38" i="11"/>
  <c r="X55" i="16" a="1"/>
  <c r="E23" i="7"/>
  <c r="O64" i="6" a="1"/>
  <c r="K13" i="8"/>
  <c r="R60" i="8" a="1"/>
  <c r="S58" i="1" a="1"/>
  <c r="F25" i="14"/>
  <c r="P67" i="13" a="1"/>
  <c r="M68" i="14" a="1"/>
  <c r="K20" i="7"/>
  <c r="D17" i="8"/>
  <c r="G18" i="4"/>
  <c r="T57" i="16" a="1"/>
  <c r="L37" i="15"/>
  <c r="F23" i="9"/>
  <c r="I11" i="14"/>
  <c r="J60" i="13" a="1"/>
  <c r="J19" i="15"/>
  <c r="P60" i="1" a="1"/>
  <c r="I21" i="9"/>
  <c r="X72" i="1" a="1"/>
  <c r="U68" i="1" a="1"/>
  <c r="S70" i="7" a="1"/>
  <c r="Q71" i="11" a="1"/>
  <c r="L23" i="14"/>
  <c r="I68" i="13" a="1"/>
  <c r="H19" i="14"/>
  <c r="F68" i="6" a="1"/>
  <c r="I8" i="11"/>
  <c r="I55" i="14" a="1"/>
  <c r="M12" i="7"/>
  <c r="Q57" i="4" a="1"/>
  <c r="F41" i="9"/>
  <c r="M63" i="4" a="1"/>
  <c r="D67" i="13" a="1"/>
  <c r="J14" i="4"/>
  <c r="L19" i="8"/>
  <c r="M59" i="8" a="1"/>
  <c r="H65" i="11" a="1"/>
  <c r="G38" i="13"/>
  <c r="K25" i="15"/>
  <c r="S55" i="11" a="1"/>
  <c r="D60" i="14" a="1"/>
  <c r="G67" i="13" a="1"/>
  <c r="H70" i="15" a="1"/>
  <c r="D16" i="4"/>
  <c r="J21" i="11"/>
  <c r="M41" i="4"/>
  <c r="J9" i="4"/>
  <c r="G16" i="8"/>
  <c r="J35" i="13"/>
  <c r="J63" i="7" a="1"/>
  <c r="R61" i="4" a="1"/>
  <c r="K58" i="16" a="1"/>
  <c r="H15" i="4"/>
  <c r="L15" i="11"/>
  <c r="K57" i="16" a="1"/>
  <c r="I19" i="7"/>
  <c r="Q62" i="8" a="1"/>
  <c r="K62" i="7" a="1"/>
  <c r="O60" i="13" a="1"/>
  <c r="F15" i="8"/>
  <c r="J65" i="4" a="1"/>
  <c r="F71" i="4" a="1"/>
  <c r="I15" i="9"/>
  <c r="W63" i="6" a="1"/>
  <c r="E71" i="16" a="1"/>
  <c r="I61" i="13" a="1"/>
  <c r="G19" i="4"/>
  <c r="M19" i="15"/>
  <c r="I71" i="1" a="1"/>
  <c r="Q65" i="14" a="1"/>
  <c r="J14" i="15"/>
  <c r="P55" i="4" a="1"/>
  <c r="K43" i="4"/>
  <c r="Q56" i="6" a="1"/>
  <c r="P58" i="1" a="1"/>
  <c r="E24" i="4"/>
  <c r="S64" i="13" a="1"/>
  <c r="H17" i="14"/>
  <c r="T55" i="13" a="1"/>
  <c r="M18" i="15"/>
  <c r="J71" i="15" a="1"/>
  <c r="H16" i="15"/>
  <c r="S65" i="14" a="1"/>
  <c r="K39" i="4"/>
  <c r="F21" i="7"/>
  <c r="I63" i="8" a="1"/>
  <c r="J66" i="14" a="1"/>
  <c r="I16" i="11"/>
  <c r="V62" i="14" a="1"/>
  <c r="I58" i="13" a="1"/>
  <c r="T68" i="16" a="1"/>
  <c r="T61" i="11" a="1"/>
  <c r="T63" i="16" a="1"/>
  <c r="I21" i="14"/>
  <c r="J16" i="4"/>
  <c r="Q56" i="14" a="1"/>
  <c r="L24" i="14"/>
  <c r="D58" i="8" a="1"/>
  <c r="U59" i="16" a="1"/>
  <c r="E18" i="8"/>
  <c r="D63" i="16" a="1"/>
  <c r="G59" i="16" a="1"/>
  <c r="T67" i="16" a="1"/>
  <c r="O64" i="16" a="1"/>
  <c r="K12" i="9"/>
  <c r="M57" i="16" a="1"/>
  <c r="F65" i="14" a="1"/>
  <c r="U70" i="16" a="1"/>
  <c r="P60" i="14" a="1"/>
  <c r="U64" i="13" a="1"/>
  <c r="O66" i="14" a="1"/>
  <c r="W62" i="16" a="1"/>
  <c r="M62" i="7" a="1"/>
  <c r="D43" i="13"/>
  <c r="U71" i="1" a="1"/>
  <c r="W66" i="15" a="1"/>
  <c r="W64" i="16" a="1"/>
  <c r="F8" i="15"/>
  <c r="I14" i="13"/>
  <c r="I10" i="14"/>
  <c r="E45" i="13"/>
  <c r="N71" i="11" a="1"/>
  <c r="T63" i="1" a="1"/>
  <c r="H64" i="1" a="1"/>
  <c r="E61" i="14" a="1"/>
  <c r="F67" i="13" a="1"/>
  <c r="E70" i="6" a="1"/>
  <c r="F16" i="4"/>
  <c r="R71" i="6" a="1"/>
  <c r="L7" i="7"/>
  <c r="W56" i="6" a="1"/>
  <c r="F58" i="13" a="1"/>
  <c r="L10" i="9"/>
  <c r="E42" i="13"/>
  <c r="D62" i="8" a="1"/>
  <c r="K71" i="14" a="1"/>
  <c r="F9" i="4"/>
  <c r="F40" i="9"/>
  <c r="V56" i="11" a="1"/>
  <c r="M70" i="7" a="1"/>
  <c r="I10" i="13"/>
  <c r="I43" i="13"/>
  <c r="I10" i="11"/>
  <c r="S69" i="15" a="1"/>
  <c r="M25" i="13"/>
  <c r="P69" i="13" a="1"/>
  <c r="M44" i="11"/>
  <c r="I13" i="4"/>
  <c r="S60" i="4" a="1"/>
  <c r="F66" i="4" a="1"/>
  <c r="I19" i="11"/>
  <c r="K70" i="6" a="1"/>
  <c r="I42" i="15"/>
  <c r="L64" i="7" a="1"/>
  <c r="L26" i="13"/>
  <c r="E11" i="14"/>
  <c r="I39" i="15"/>
  <c r="O65" i="1" a="1"/>
  <c r="O65" i="15" a="1"/>
  <c r="O56" i="8" a="1"/>
  <c r="W56" i="13" a="1"/>
  <c r="O59" i="16" a="1"/>
  <c r="G47" i="13"/>
  <c r="Q63" i="11" a="1"/>
  <c r="N65" i="7" a="1"/>
  <c r="H67" i="11" a="1"/>
  <c r="M36" i="9"/>
  <c r="F34" i="15"/>
  <c r="E61" i="1" a="1"/>
  <c r="J18" i="8"/>
  <c r="E13" i="9"/>
  <c r="J18" i="11"/>
  <c r="F15" i="15"/>
  <c r="G40" i="13"/>
  <c r="L66" i="16" a="1"/>
  <c r="I56" i="15" a="1"/>
  <c r="M48" i="4"/>
  <c r="W68" i="14" a="1"/>
  <c r="I60" i="14" a="1"/>
  <c r="K56" i="6" a="1"/>
  <c r="E32" i="15"/>
  <c r="F17" i="7"/>
  <c r="V66" i="8" a="1"/>
  <c r="E47" i="4"/>
  <c r="L71" i="11" a="1"/>
  <c r="T64" i="7" a="1"/>
  <c r="I40" i="9"/>
  <c r="U66" i="11" a="1"/>
  <c r="G27" i="7"/>
  <c r="G55" i="8" a="1"/>
  <c r="I64" i="11" a="1"/>
  <c r="I18" i="8"/>
  <c r="U71" i="16" a="1"/>
  <c r="G63" i="11" a="1"/>
  <c r="H69" i="16" a="1"/>
  <c r="L65" i="1" a="1"/>
  <c r="T60" i="7" a="1"/>
  <c r="X63" i="8" a="1"/>
  <c r="H22" i="15"/>
  <c r="M46" i="9"/>
  <c r="L20" i="11"/>
  <c r="X61" i="13" a="1"/>
  <c r="N57" i="15" a="1"/>
  <c r="M44" i="9"/>
  <c r="M17" i="8"/>
  <c r="F46" i="9"/>
  <c r="J65" i="14" a="1"/>
  <c r="J63" i="1" a="1"/>
  <c r="K26" i="7"/>
  <c r="I68" i="7" a="1"/>
  <c r="O68" i="14" a="1"/>
  <c r="P68" i="6" a="1"/>
  <c r="F57" i="1" a="1"/>
  <c r="X71" i="1" a="1"/>
  <c r="G11" i="9"/>
  <c r="I15" i="14"/>
  <c r="J69" i="13" a="1"/>
  <c r="M16" i="9"/>
  <c r="Q67" i="15" a="1"/>
  <c r="D65" i="1" a="1"/>
  <c r="R58" i="15" a="1"/>
  <c r="M70" i="4" a="1"/>
  <c r="L47" i="15"/>
  <c r="S65" i="16" a="1"/>
  <c r="W68" i="13" a="1"/>
  <c r="T55" i="6" a="1"/>
  <c r="R55" i="9" a="1"/>
  <c r="I22" i="9"/>
  <c r="P63" i="15" a="1"/>
  <c r="G59" i="13" a="1"/>
  <c r="X63" i="11" a="1"/>
  <c r="P70" i="15" a="1"/>
  <c r="F18" i="9"/>
  <c r="T71" i="4" a="1"/>
  <c r="E62" i="14" a="1"/>
  <c r="X58" i="4" a="1"/>
  <c r="S57" i="4" a="1"/>
  <c r="X59" i="4" a="1"/>
  <c r="K57" i="15" a="1"/>
  <c r="J15" i="4"/>
  <c r="Q55" i="16" a="1"/>
  <c r="N71" i="15" a="1"/>
  <c r="D15" i="11"/>
  <c r="J70" i="13" a="1"/>
  <c r="U55" i="9" a="1"/>
  <c r="F67" i="6" a="1"/>
  <c r="O69" i="16" a="1"/>
  <c r="H14" i="15"/>
  <c r="Q58" i="15" a="1"/>
  <c r="T63" i="15" a="1"/>
  <c r="S70" i="13" a="1"/>
  <c r="E46" i="11"/>
  <c r="P65" i="1" a="1"/>
  <c r="R64" i="1" a="1"/>
  <c r="V65" i="13" a="1"/>
  <c r="E12" i="11"/>
  <c r="H71" i="14" a="1"/>
  <c r="L55" i="7" a="1"/>
  <c r="G36" i="15"/>
  <c r="M7" i="15"/>
  <c r="F7" i="11"/>
  <c r="L62" i="7" a="1"/>
  <c r="R60" i="11" a="1"/>
  <c r="G12" i="14"/>
  <c r="S66" i="8" a="1"/>
  <c r="G61" i="14" a="1"/>
  <c r="S67" i="13" a="1"/>
  <c r="G46" i="4"/>
  <c r="M45" i="9"/>
  <c r="F23" i="13"/>
  <c r="U65" i="16" a="1"/>
  <c r="O64" i="14" a="1"/>
  <c r="K66" i="7" a="1"/>
  <c r="T58" i="1" a="1"/>
  <c r="I46" i="11"/>
  <c r="M44" i="4"/>
  <c r="P58" i="14" a="1"/>
  <c r="M25" i="9"/>
  <c r="G45" i="9"/>
  <c r="M58" i="7" a="1"/>
  <c r="G62" i="16" a="1"/>
  <c r="J10" i="7"/>
  <c r="L67" i="6" a="1"/>
  <c r="G71" i="6" a="1"/>
  <c r="D70" i="6" a="1"/>
  <c r="K55" i="15" a="1"/>
  <c r="V65" i="8" a="1"/>
  <c r="V55" i="14" a="1"/>
  <c r="W62" i="7" a="1"/>
  <c r="V69" i="13" a="1"/>
  <c r="E64" i="4" a="1"/>
  <c r="X66" i="11" a="1"/>
  <c r="S60" i="16" a="1"/>
  <c r="E10" i="4"/>
  <c r="J61" i="15" a="1"/>
  <c r="N60" i="15" a="1"/>
  <c r="L61" i="15" a="1"/>
  <c r="F58" i="14" a="1"/>
  <c r="J13" i="15"/>
  <c r="N57" i="8" a="1"/>
  <c r="K62" i="4" a="1"/>
  <c r="F12" i="7"/>
  <c r="Q70" i="11" a="1"/>
  <c r="G61" i="11" a="1"/>
  <c r="O58" i="6" a="1"/>
  <c r="R65" i="15" a="1"/>
  <c r="H55" i="12" a="1"/>
  <c r="E15" i="15"/>
  <c r="F23" i="15"/>
  <c r="F45" i="4"/>
  <c r="D46" i="15"/>
  <c r="R61" i="1" a="1"/>
  <c r="F24" i="11"/>
  <c r="D38" i="9"/>
  <c r="L61" i="11" a="1"/>
  <c r="I45" i="15"/>
  <c r="I64" i="15" a="1"/>
  <c r="M26" i="9"/>
  <c r="H46" i="11"/>
  <c r="N66" i="14" a="1"/>
  <c r="L7" i="14"/>
  <c r="L22" i="14"/>
  <c r="H59" i="8" a="1"/>
  <c r="M71" i="11" a="1"/>
  <c r="I65" i="13" a="1"/>
  <c r="L65" i="8" a="1"/>
  <c r="S61" i="4" a="1"/>
  <c r="K8" i="15"/>
  <c r="D41" i="13"/>
  <c r="K37" i="15"/>
  <c r="F63" i="1" a="1"/>
  <c r="E23" i="9"/>
  <c r="M64" i="1" a="1"/>
  <c r="F22" i="15"/>
  <c r="P67" i="7" a="1"/>
  <c r="D10" i="4"/>
  <c r="L13" i="11"/>
  <c r="S56" i="4" a="1"/>
  <c r="U56" i="11" a="1"/>
  <c r="H8" i="13"/>
  <c r="J15" i="7"/>
  <c r="F22" i="9"/>
  <c r="G61" i="16" a="1"/>
  <c r="J57" i="1" a="1"/>
  <c r="E63" i="11" a="1"/>
  <c r="F19" i="7"/>
  <c r="V58" i="11" a="1"/>
  <c r="W67" i="1" a="1"/>
  <c r="Q59" i="15" a="1"/>
  <c r="I14" i="14"/>
  <c r="F39" i="11"/>
  <c r="U71" i="15" a="1"/>
  <c r="H10" i="15"/>
  <c r="O66" i="8" a="1"/>
  <c r="H63" i="15" a="1"/>
  <c r="F64" i="7" a="1"/>
  <c r="Q64" i="1" a="1"/>
  <c r="W67" i="8" a="1"/>
  <c r="M11" i="7"/>
  <c r="H15" i="8"/>
  <c r="O69" i="8" a="1"/>
  <c r="D18" i="7"/>
  <c r="I7" i="11"/>
  <c r="I19" i="15"/>
  <c r="F7" i="14"/>
  <c r="N59" i="6" a="1"/>
  <c r="L25" i="7"/>
  <c r="O66" i="1" a="1"/>
  <c r="J8" i="9"/>
  <c r="G17" i="11"/>
  <c r="W61" i="7" a="1"/>
  <c r="D69" i="1" a="1"/>
  <c r="L68" i="6" a="1"/>
  <c r="G60" i="1" a="1"/>
  <c r="R60" i="15" a="1"/>
  <c r="M58" i="4" a="1"/>
  <c r="J9" i="13"/>
  <c r="M55" i="12" a="1"/>
  <c r="J64" i="1" a="1"/>
  <c r="G24" i="11"/>
  <c r="M12" i="14"/>
  <c r="K10" i="15"/>
  <c r="V58" i="13" a="1"/>
  <c r="D21" i="4"/>
  <c r="F25" i="13"/>
  <c r="E61" i="6" a="1"/>
  <c r="K61" i="4" a="1"/>
  <c r="I59" i="14" a="1"/>
  <c r="Q69" i="13" a="1"/>
  <c r="J45" i="9"/>
  <c r="S68" i="6" a="1"/>
  <c r="W59" i="14" a="1"/>
  <c r="K71" i="6" a="1"/>
  <c r="H36" i="9"/>
  <c r="J43" i="11"/>
  <c r="J10" i="13"/>
  <c r="E21" i="11"/>
  <c r="L20" i="13"/>
  <c r="K70" i="8" a="1"/>
  <c r="X70" i="6" a="1"/>
  <c r="G16" i="15"/>
  <c r="E60" i="13" a="1"/>
  <c r="U66" i="15" a="1"/>
  <c r="X62" i="14" a="1"/>
  <c r="R58" i="1" a="1"/>
  <c r="H63" i="13" a="1"/>
  <c r="T59" i="15" a="1"/>
  <c r="F17" i="15"/>
  <c r="K7" i="7"/>
  <c r="J12" i="8"/>
  <c r="F17" i="9"/>
  <c r="J11" i="8"/>
  <c r="L63" i="4" a="1"/>
  <c r="J55" i="15" a="1"/>
  <c r="F32" i="4"/>
  <c r="J26" i="14"/>
  <c r="R58" i="4" a="1"/>
  <c r="G64" i="14" a="1"/>
  <c r="Q67" i="1" a="1"/>
  <c r="J58" i="13" a="1"/>
  <c r="H26" i="11"/>
  <c r="V67" i="14" a="1"/>
  <c r="G47" i="11"/>
  <c r="I64" i="1" a="1"/>
  <c r="K66" i="8" a="1"/>
  <c r="G9" i="9"/>
  <c r="G9" i="15"/>
  <c r="E12" i="13"/>
  <c r="I18" i="7"/>
  <c r="H60" i="15" a="1"/>
  <c r="F40" i="4"/>
  <c r="L59" i="6" a="1"/>
  <c r="D64" i="14" a="1"/>
  <c r="L9" i="13"/>
  <c r="J25" i="9"/>
  <c r="F12" i="15"/>
  <c r="J47" i="4"/>
  <c r="K55" i="7" a="1"/>
  <c r="N57" i="6" a="1"/>
  <c r="F24" i="14"/>
  <c r="M32" i="11"/>
  <c r="F56" i="15" a="1"/>
  <c r="M56" i="6" a="1"/>
  <c r="W56" i="11" a="1"/>
  <c r="M42" i="11"/>
  <c r="K55" i="14" a="1"/>
  <c r="Q67" i="7" a="1"/>
  <c r="J44" i="9"/>
  <c r="M42" i="9"/>
  <c r="K56" i="13" a="1"/>
  <c r="M67" i="13" a="1"/>
  <c r="H25" i="15"/>
  <c r="H20" i="14"/>
  <c r="U60" i="15" a="1"/>
  <c r="H60" i="7" a="1"/>
  <c r="K58" i="4" a="1"/>
  <c r="W58" i="1" a="1"/>
  <c r="L34" i="4"/>
  <c r="S59" i="4" a="1"/>
  <c r="M56" i="11" a="1"/>
  <c r="L57" i="1" a="1"/>
  <c r="E7" i="14"/>
  <c r="W68" i="8" a="1"/>
  <c r="L20" i="4"/>
  <c r="G56" i="8" a="1"/>
  <c r="I11" i="4"/>
  <c r="V56" i="4" a="1"/>
  <c r="V62" i="16" a="1"/>
  <c r="L11" i="7"/>
  <c r="D43" i="4"/>
  <c r="F20" i="9"/>
  <c r="E7" i="7"/>
  <c r="U67" i="1" a="1"/>
  <c r="E63" i="8" a="1"/>
  <c r="H48" i="4"/>
  <c r="H60" i="16" a="1"/>
  <c r="O70" i="8" a="1"/>
  <c r="L35" i="4"/>
  <c r="I59" i="7" a="1"/>
  <c r="S69" i="13" a="1"/>
  <c r="E71" i="7" a="1"/>
  <c r="G22" i="4"/>
  <c r="K39" i="15"/>
  <c r="D63" i="15" a="1"/>
  <c r="E19" i="15"/>
  <c r="K47" i="4"/>
  <c r="R57" i="13" a="1"/>
  <c r="E35" i="15"/>
  <c r="V66" i="6" a="1"/>
  <c r="H7" i="9"/>
  <c r="G39" i="15"/>
  <c r="I63" i="16" a="1"/>
  <c r="G25" i="4"/>
  <c r="G13" i="14"/>
  <c r="D69" i="16" a="1"/>
  <c r="F36" i="9"/>
  <c r="L18" i="4"/>
  <c r="Q67" i="14" a="1"/>
  <c r="S58" i="16" a="1"/>
  <c r="G37" i="15"/>
  <c r="J58" i="6" a="1"/>
  <c r="V60" i="4" a="1"/>
  <c r="E8" i="11"/>
  <c r="I55" i="8" a="1"/>
  <c r="D8" i="13"/>
  <c r="O65" i="11" a="1"/>
  <c r="J20" i="4"/>
  <c r="H40" i="11"/>
  <c r="S64" i="1" a="1"/>
  <c r="I36" i="11"/>
  <c r="S57" i="6" a="1"/>
  <c r="L9" i="15"/>
  <c r="W55" i="4" a="1"/>
  <c r="E67" i="16" a="1"/>
  <c r="G25" i="8"/>
  <c r="E66" i="1" a="1"/>
  <c r="R69" i="8" a="1"/>
  <c r="M10" i="4"/>
  <c r="V61" i="6" a="1"/>
  <c r="E38" i="11"/>
  <c r="S59" i="6" a="1"/>
  <c r="E16" i="11"/>
  <c r="T68" i="8" a="1"/>
  <c r="E42" i="9"/>
  <c r="T68" i="15" a="1"/>
  <c r="D9" i="9"/>
  <c r="V60" i="15" a="1"/>
  <c r="H45" i="13"/>
  <c r="W70" i="1" a="1"/>
  <c r="W59" i="7" a="1"/>
  <c r="P65" i="7" a="1"/>
  <c r="D65" i="16" a="1"/>
  <c r="G56" i="14" a="1"/>
  <c r="Q69" i="8" a="1"/>
  <c r="E71" i="6" a="1"/>
  <c r="M68" i="16" a="1"/>
  <c r="S66" i="16" a="1"/>
  <c r="E43" i="13"/>
  <c r="L34" i="9"/>
  <c r="D38" i="15"/>
  <c r="G27" i="9"/>
  <c r="J65" i="13" a="1"/>
  <c r="D40" i="15"/>
  <c r="J56" i="15" a="1"/>
  <c r="E65" i="7" a="1"/>
  <c r="P62" i="14" a="1"/>
  <c r="G19" i="11"/>
  <c r="U60" i="4" a="1"/>
  <c r="N64" i="15" a="1"/>
  <c r="L35" i="11"/>
  <c r="D70" i="16" a="1"/>
  <c r="V69" i="16" a="1"/>
  <c r="D67" i="15" a="1"/>
  <c r="D8" i="4"/>
  <c r="X70" i="4" a="1"/>
  <c r="L59" i="8" a="1"/>
  <c r="G19" i="15"/>
  <c r="O67" i="1" a="1"/>
  <c r="X68" i="8" a="1"/>
  <c r="L42" i="11"/>
  <c r="T65" i="8" a="1"/>
  <c r="F58" i="4" a="1"/>
  <c r="L33" i="4"/>
  <c r="Q63" i="8" a="1"/>
  <c r="H23" i="9"/>
  <c r="W56" i="1" a="1"/>
  <c r="K63" i="15" a="1"/>
  <c r="K41" i="15"/>
  <c r="P58" i="4" a="1"/>
  <c r="I46" i="13"/>
  <c r="P66" i="15" a="1"/>
  <c r="Q63" i="15" a="1"/>
  <c r="L71" i="14" a="1"/>
  <c r="G12" i="4"/>
  <c r="M11" i="8"/>
  <c r="R62" i="11" a="1"/>
  <c r="E70" i="13" a="1"/>
  <c r="Q64" i="8" a="1"/>
  <c r="S72" i="1" a="1"/>
  <c r="G57" i="14" a="1"/>
  <c r="G43" i="9"/>
  <c r="I41" i="15"/>
  <c r="L69" i="15" a="1"/>
  <c r="L14" i="15"/>
  <c r="N60" i="13" a="1"/>
  <c r="G66" i="11" a="1"/>
  <c r="I59" i="6" a="1"/>
  <c r="D61" i="6" a="1"/>
  <c r="E14" i="7"/>
  <c r="I58" i="6" a="1"/>
  <c r="Q60" i="15" a="1"/>
  <c r="T62" i="16" a="1"/>
  <c r="G64" i="1" a="1"/>
  <c r="L58" i="14" a="1"/>
  <c r="R55" i="16" a="1"/>
  <c r="L18" i="14"/>
  <c r="D69" i="8" a="1"/>
  <c r="H24" i="13"/>
  <c r="K64" i="1" a="1"/>
  <c r="Q56" i="1" a="1"/>
  <c r="L13" i="15"/>
  <c r="M70" i="16" a="1"/>
  <c r="N55" i="6" a="1"/>
  <c r="H8" i="8"/>
  <c r="F64" i="6" a="1"/>
  <c r="N69" i="4" a="1"/>
  <c r="F8" i="14"/>
  <c r="K59" i="14" a="1"/>
  <c r="M57" i="15" a="1"/>
  <c r="U55" i="6" a="1"/>
  <c r="V71" i="1" a="1"/>
  <c r="I60" i="13" a="1"/>
  <c r="L7" i="15"/>
  <c r="L65" i="7" a="1"/>
  <c r="K11" i="4"/>
  <c r="K21" i="11"/>
  <c r="E49" i="18" a="1"/>
  <c r="L57" i="8" a="1"/>
  <c r="T55" i="12" a="1"/>
  <c r="H71" i="1" a="1"/>
  <c r="L69" i="7" a="1"/>
  <c r="E47" i="9"/>
  <c r="D64" i="7" a="1"/>
  <c r="G27" i="4"/>
  <c r="V56" i="13" a="1"/>
  <c r="I68" i="16" a="1"/>
  <c r="K45" i="15"/>
  <c r="E39" i="11"/>
  <c r="P60" i="15" a="1"/>
  <c r="L69" i="6" a="1"/>
  <c r="E12" i="7"/>
  <c r="J44" i="15"/>
  <c r="D60" i="4" a="1"/>
  <c r="G22" i="14"/>
  <c r="S64" i="15" a="1"/>
  <c r="H68" i="15" a="1"/>
  <c r="S66" i="4" a="1"/>
  <c r="M56" i="14" a="1"/>
  <c r="L22" i="9"/>
  <c r="J56" i="8" a="1"/>
  <c r="M21" i="11"/>
  <c r="X62" i="4" a="1"/>
  <c r="L7" i="11"/>
  <c r="H65" i="7" a="1"/>
  <c r="S69" i="14" a="1"/>
  <c r="V61" i="15" a="1"/>
  <c r="R65" i="11" a="1"/>
  <c r="L43" i="9"/>
  <c r="J39" i="13"/>
  <c r="M71" i="16" a="1"/>
  <c r="F21" i="15"/>
  <c r="M14" i="14"/>
  <c r="K69" i="7" a="1"/>
  <c r="H55" i="6" a="1"/>
  <c r="J22" i="14"/>
  <c r="I63" i="1" a="1"/>
  <c r="M55" i="6" a="1"/>
  <c r="X63" i="14" a="1"/>
  <c r="Q66" i="13" a="1"/>
  <c r="W68" i="4" a="1"/>
  <c r="D59" i="16" a="1"/>
  <c r="O62" i="4" a="1"/>
  <c r="O61" i="14" a="1"/>
  <c r="K68" i="16" a="1"/>
  <c r="L24" i="15"/>
  <c r="X61" i="6" a="1"/>
  <c r="W58" i="14" a="1"/>
  <c r="P60" i="16" a="1"/>
  <c r="M24" i="9"/>
  <c r="F17" i="4"/>
  <c r="I14" i="7"/>
  <c r="F66" i="11" a="1"/>
  <c r="J10" i="4"/>
  <c r="W63" i="16" a="1"/>
  <c r="L55" i="13" a="1"/>
  <c r="I62" i="1" a="1"/>
  <c r="F26" i="14"/>
  <c r="M11" i="14"/>
  <c r="M70" i="8" a="1"/>
  <c r="I26" i="8"/>
  <c r="K12" i="4"/>
  <c r="D27" i="8"/>
  <c r="J62" i="15" a="1"/>
  <c r="I57" i="4" a="1"/>
  <c r="I66" i="4" a="1"/>
  <c r="I35" i="9"/>
  <c r="R60" i="16" a="1"/>
  <c r="L13" i="7"/>
  <c r="F10" i="13"/>
  <c r="E67" i="8" a="1"/>
  <c r="T58" i="14" a="1"/>
  <c r="X57" i="13" a="1"/>
  <c r="D62" i="16" a="1"/>
  <c r="M13" i="8"/>
  <c r="D61" i="13" a="1"/>
  <c r="M35" i="15"/>
  <c r="K8" i="14"/>
  <c r="L46" i="4"/>
  <c r="G13" i="15"/>
  <c r="M9" i="7"/>
  <c r="P65" i="14" a="1"/>
  <c r="F60" i="16" a="1"/>
  <c r="D56" i="1" a="1"/>
  <c r="O59" i="6" a="1"/>
  <c r="H56" i="15" a="1"/>
  <c r="H20" i="13"/>
  <c r="G14" i="9"/>
  <c r="S65" i="6" a="1"/>
  <c r="G21" i="7"/>
  <c r="J22" i="9"/>
  <c r="K59" i="13" a="1"/>
  <c r="J35" i="4"/>
  <c r="E33" i="4"/>
  <c r="F69" i="13" a="1"/>
  <c r="G65" i="15" a="1"/>
  <c r="O64" i="4" a="1"/>
  <c r="E57" i="6" a="1"/>
  <c r="I21" i="15"/>
  <c r="S63" i="7" a="1"/>
  <c r="M14" i="8"/>
  <c r="S65" i="4" a="1"/>
  <c r="E66" i="4" a="1"/>
  <c r="D57" i="14" a="1"/>
  <c r="N65" i="8" a="1"/>
  <c r="F11" i="9"/>
  <c r="P69" i="15" a="1"/>
  <c r="L33" i="15"/>
  <c r="M25" i="8"/>
  <c r="F33" i="13"/>
  <c r="K24" i="4"/>
  <c r="I44" i="9"/>
  <c r="E57" i="8" a="1"/>
  <c r="Q65" i="16" a="1"/>
  <c r="Q55" i="9" a="1"/>
  <c r="K11" i="9"/>
  <c r="S61" i="11" a="1"/>
  <c r="E64" i="11" a="1"/>
  <c r="L17" i="8"/>
  <c r="E18" i="9"/>
  <c r="J17" i="9"/>
  <c r="E38" i="4"/>
  <c r="N70" i="6" a="1"/>
  <c r="T69" i="13" a="1"/>
  <c r="I60" i="16" a="1"/>
  <c r="N63" i="6" a="1"/>
  <c r="K14" i="4"/>
  <c r="P68" i="4" a="1"/>
  <c r="V71" i="4" a="1"/>
  <c r="I17" i="15"/>
  <c r="G45" i="13"/>
  <c r="W55" i="8" a="1"/>
  <c r="E69" i="16" a="1"/>
  <c r="L20" i="8"/>
  <c r="S56" i="11" a="1"/>
  <c r="W69" i="13" a="1"/>
  <c r="I61" i="1" a="1"/>
  <c r="X71" i="7" a="1"/>
  <c r="N62" i="15" a="1"/>
  <c r="T66" i="14" a="1"/>
  <c r="R56" i="4" a="1"/>
  <c r="J56" i="1" a="1"/>
  <c r="V57" i="13" a="1"/>
  <c r="E57" i="13" a="1"/>
  <c r="H32" i="11"/>
  <c r="E19" i="13"/>
  <c r="P67" i="1" a="1"/>
  <c r="L9" i="14"/>
  <c r="I64" i="8" a="1"/>
  <c r="H61" i="14" a="1"/>
  <c r="F45" i="15"/>
  <c r="L25" i="15"/>
  <c r="D36" i="4"/>
  <c r="F63" i="11" a="1"/>
  <c r="J11" i="15"/>
  <c r="H67" i="8" a="1"/>
  <c r="H22" i="9"/>
  <c r="M38" i="9"/>
  <c r="N69" i="15" a="1"/>
  <c r="U57" i="16" a="1"/>
  <c r="K64" i="11" a="1"/>
  <c r="O63" i="14" a="1"/>
  <c r="J58" i="14" a="1"/>
  <c r="N56" i="6" a="1"/>
  <c r="M60" i="6" a="1"/>
  <c r="F16" i="8"/>
  <c r="N68" i="7" a="1"/>
  <c r="F42" i="9"/>
  <c r="D42" i="13"/>
  <c r="E12" i="4"/>
  <c r="J70" i="6" a="1"/>
  <c r="G68" i="1" a="1"/>
  <c r="K60" i="4" a="1"/>
  <c r="W66" i="4" a="1"/>
  <c r="L16" i="8"/>
  <c r="G68" i="15" a="1"/>
  <c r="M25" i="4"/>
  <c r="H33" i="15"/>
  <c r="L45" i="15"/>
  <c r="X55" i="9" a="1"/>
  <c r="L41" i="9"/>
  <c r="H12" i="15"/>
  <c r="F16" i="13"/>
  <c r="I56" i="11" a="1"/>
  <c r="R70" i="16" a="1"/>
  <c r="N68" i="4" a="1"/>
  <c r="O70" i="6" a="1"/>
  <c r="D40" i="11"/>
  <c r="N62" i="16" a="1"/>
  <c r="W71" i="14" a="1"/>
  <c r="E58" i="7" a="1"/>
  <c r="K70" i="13" a="1"/>
  <c r="H64" i="4" a="1"/>
  <c r="M12" i="11"/>
  <c r="L13" i="4"/>
  <c r="G18" i="9"/>
  <c r="M38" i="13"/>
  <c r="K21" i="14"/>
  <c r="I17" i="14"/>
  <c r="P62" i="11" a="1"/>
  <c r="I48" i="15"/>
  <c r="E8" i="4"/>
  <c r="H43" i="15"/>
  <c r="K36" i="9"/>
  <c r="W57" i="7" a="1"/>
  <c r="I23" i="9"/>
  <c r="K59" i="15" a="1"/>
  <c r="V71" i="11" a="1"/>
  <c r="S55" i="16" a="1"/>
  <c r="X59" i="11" a="1"/>
  <c r="U67" i="4" a="1"/>
  <c r="E14" i="4"/>
  <c r="S65" i="8" a="1"/>
  <c r="N66" i="8" a="1"/>
  <c r="F13" i="9"/>
  <c r="W66" i="7" a="1"/>
  <c r="J24" i="13"/>
  <c r="H26" i="9"/>
  <c r="T55" i="14" a="1"/>
  <c r="K55" i="8" a="1"/>
  <c r="L45" i="11"/>
  <c r="V61" i="7" a="1"/>
  <c r="L39" i="11"/>
  <c r="N57" i="4" a="1"/>
  <c r="E60" i="8" a="1"/>
  <c r="M23" i="15"/>
  <c r="P69" i="14" a="1"/>
  <c r="V57" i="8" a="1"/>
  <c r="E41" i="4"/>
  <c r="R65" i="13" a="1"/>
  <c r="L70" i="13" a="1"/>
  <c r="H35" i="4"/>
  <c r="T61" i="13" a="1"/>
  <c r="K7" i="13"/>
  <c r="J60" i="16" a="1"/>
  <c r="M55" i="8" a="1"/>
  <c r="G42" i="9"/>
  <c r="K56" i="1" a="1"/>
  <c r="I7" i="15"/>
  <c r="G8" i="9"/>
  <c r="K64" i="6" a="1"/>
  <c r="O63" i="16" a="1"/>
  <c r="X63" i="1" a="1"/>
  <c r="J19" i="11"/>
  <c r="G67" i="8" a="1"/>
  <c r="I40" i="15"/>
  <c r="M63" i="11" a="1"/>
  <c r="D14" i="7"/>
  <c r="X60" i="1" a="1"/>
  <c r="P64" i="8" a="1"/>
  <c r="K63" i="8" a="1"/>
  <c r="Q69" i="11" a="1"/>
  <c r="O61" i="4" a="1"/>
  <c r="M43" i="11"/>
  <c r="V58" i="7" a="1"/>
  <c r="I12" i="11"/>
  <c r="J68" i="11" a="1"/>
  <c r="W66" i="8" a="1"/>
  <c r="K56" i="11" a="1"/>
  <c r="L18" i="7"/>
  <c r="J71" i="7" a="1"/>
  <c r="S62" i="8" a="1"/>
  <c r="G59" i="15" a="1"/>
  <c r="I68" i="4" a="1"/>
  <c r="U55" i="13" a="1"/>
  <c r="D55" i="8" a="1"/>
  <c r="F11" i="7"/>
  <c r="I62" i="14" a="1"/>
  <c r="G19" i="9"/>
  <c r="X60" i="7" a="1"/>
  <c r="T60" i="11" a="1"/>
  <c r="T62" i="8" a="1"/>
  <c r="U63" i="13" a="1"/>
  <c r="G70" i="6" a="1"/>
  <c r="R69" i="6" a="1"/>
  <c r="W69" i="8" a="1"/>
  <c r="I23" i="15"/>
  <c r="D42" i="9"/>
  <c r="D46" i="11"/>
  <c r="F15" i="9"/>
  <c r="K61" i="11" a="1"/>
  <c r="T57" i="11" a="1"/>
  <c r="G56" i="13" a="1"/>
  <c r="W65" i="15" a="1"/>
  <c r="Q55" i="15" a="1"/>
  <c r="H56" i="13" a="1"/>
  <c r="E10" i="14"/>
  <c r="M39" i="4"/>
  <c r="H23" i="11"/>
  <c r="P67" i="4" a="1"/>
  <c r="L48" i="15"/>
  <c r="R56" i="16" a="1"/>
  <c r="M56" i="15" a="1"/>
  <c r="G60" i="4" a="1"/>
  <c r="U65" i="6" a="1"/>
  <c r="J67" i="7" a="1"/>
  <c r="I72" i="1" a="1"/>
  <c r="M16" i="11"/>
  <c r="W66" i="1" a="1"/>
  <c r="H17" i="13"/>
  <c r="H42" i="15"/>
  <c r="V65" i="4" a="1"/>
  <c r="D63" i="1" a="1"/>
  <c r="G66" i="15" a="1"/>
  <c r="I34" i="4"/>
  <c r="I14" i="8"/>
  <c r="D27" i="7"/>
  <c r="F25" i="9"/>
  <c r="W58" i="8" a="1"/>
  <c r="S55" i="14" a="1"/>
  <c r="J66" i="8" a="1"/>
  <c r="G21" i="4"/>
  <c r="M16" i="8"/>
  <c r="T67" i="14" a="1"/>
  <c r="Q61" i="8" a="1"/>
  <c r="X59" i="7" a="1"/>
  <c r="G55" i="11" a="1"/>
  <c r="G67" i="1" a="1"/>
  <c r="E25" i="9"/>
  <c r="G63" i="16" a="1"/>
  <c r="K68" i="4" a="1"/>
  <c r="G58" i="4" a="1"/>
  <c r="F58" i="7" a="1"/>
  <c r="D25" i="4"/>
  <c r="L24" i="7"/>
  <c r="X58" i="6" a="1"/>
  <c r="H60" i="1" a="1"/>
  <c r="F18" i="7"/>
  <c r="W57" i="11" a="1"/>
  <c r="G65" i="6" a="1"/>
  <c r="W58" i="16" a="1"/>
  <c r="L20" i="14"/>
  <c r="M62" i="6" a="1"/>
  <c r="F13" i="4"/>
  <c r="F56" i="14" a="1"/>
  <c r="Q60" i="14" a="1"/>
  <c r="G33" i="13"/>
  <c r="G59" i="7" a="1"/>
  <c r="N61" i="1" a="1"/>
  <c r="R56" i="7" a="1"/>
  <c r="R63" i="11" a="1"/>
  <c r="E40" i="9"/>
  <c r="K60" i="14" a="1"/>
  <c r="H64" i="15" a="1"/>
  <c r="L11" i="4"/>
  <c r="X61" i="16" a="1"/>
  <c r="J12" i="14"/>
  <c r="H69" i="6" a="1"/>
  <c r="O59" i="8" a="1"/>
  <c r="N62" i="13" a="1"/>
  <c r="I60" i="15" a="1"/>
  <c r="I8" i="7"/>
  <c r="R71" i="16" a="1"/>
  <c r="K57" i="8" a="1"/>
  <c r="M19" i="7"/>
  <c r="V65" i="15" a="1"/>
  <c r="F61" i="11" a="1"/>
  <c r="H21" i="11"/>
  <c r="D71" i="8" a="1"/>
  <c r="M17" i="13"/>
  <c r="D13" i="4"/>
  <c r="J55" i="11" a="1"/>
  <c r="X67" i="7" a="1"/>
  <c r="E18" i="13"/>
  <c r="M61" i="13" a="1"/>
  <c r="G13" i="13"/>
  <c r="M49" i="18" a="1"/>
  <c r="W69" i="14" a="1"/>
  <c r="H22" i="8"/>
  <c r="W60" i="7" a="1"/>
  <c r="E42" i="4"/>
  <c r="I24" i="9"/>
  <c r="F9" i="15"/>
  <c r="E62" i="16" a="1"/>
  <c r="H43" i="4"/>
  <c r="I37" i="13"/>
  <c r="D55" i="14" a="1"/>
  <c r="T67" i="11" a="1"/>
  <c r="S69" i="4" a="1"/>
  <c r="G8" i="13"/>
  <c r="U62" i="13" a="1"/>
  <c r="L27" i="7"/>
  <c r="G39" i="13"/>
  <c r="L59" i="13" a="1"/>
  <c r="J33" i="4"/>
  <c r="J33" i="18" s="1" a="1"/>
  <c r="I12" i="9"/>
  <c r="I57" i="8" a="1"/>
  <c r="W59" i="16" a="1"/>
  <c r="D37" i="9"/>
  <c r="E17" i="15"/>
  <c r="X62" i="11" a="1"/>
  <c r="F37" i="11"/>
  <c r="T56" i="7" a="1"/>
  <c r="E71" i="11" a="1"/>
  <c r="L26" i="11"/>
  <c r="K70" i="15" a="1"/>
  <c r="U67" i="11" a="1"/>
  <c r="Q58" i="4" a="1"/>
  <c r="H23" i="13"/>
  <c r="E41" i="11"/>
  <c r="D68" i="14" a="1"/>
  <c r="R62" i="7" a="1"/>
  <c r="P67" i="8" a="1"/>
  <c r="J60" i="8" a="1"/>
  <c r="V68" i="6" a="1"/>
  <c r="X69" i="8" a="1"/>
  <c r="S68" i="4" a="1"/>
  <c r="E61" i="7" a="1"/>
  <c r="E11" i="11"/>
  <c r="K56" i="8" a="1"/>
  <c r="K11" i="8"/>
  <c r="L13" i="13"/>
  <c r="H68" i="11" a="1"/>
  <c r="M66" i="13" a="1"/>
  <c r="I61" i="11" a="1"/>
  <c r="D15" i="8"/>
  <c r="I70" i="16" a="1"/>
  <c r="S71" i="15" a="1"/>
  <c r="K46" i="9"/>
  <c r="M10" i="14"/>
  <c r="E70" i="8" a="1"/>
  <c r="F24" i="8"/>
  <c r="G60" i="16" a="1"/>
  <c r="J33" i="13"/>
  <c r="G23" i="4"/>
  <c r="T64" i="4" a="1"/>
  <c r="K20" i="14"/>
  <c r="E56" i="7" a="1"/>
  <c r="F63" i="7" a="1"/>
  <c r="J12" i="13"/>
  <c r="I55" i="15" a="1"/>
  <c r="L42" i="15"/>
  <c r="D8" i="9"/>
  <c r="G32" i="15"/>
  <c r="W68" i="7" a="1"/>
  <c r="U72" i="1" a="1"/>
  <c r="Q59" i="7" a="1"/>
  <c r="P70" i="11" a="1"/>
  <c r="F8" i="9"/>
  <c r="Q60" i="13" a="1"/>
  <c r="G68" i="16" a="1"/>
  <c r="E19" i="4"/>
  <c r="L56" i="4" a="1"/>
  <c r="H65" i="4" a="1"/>
  <c r="G26" i="13"/>
  <c r="J7" i="4"/>
  <c r="J43" i="15"/>
  <c r="N55" i="4" a="1"/>
  <c r="M40" i="4"/>
  <c r="K27" i="14"/>
  <c r="U68" i="4" a="1"/>
  <c r="E55" i="13" a="1"/>
  <c r="R64" i="4" a="1"/>
  <c r="F46" i="15"/>
  <c r="J24" i="14"/>
  <c r="D10" i="13"/>
  <c r="I38" i="4"/>
  <c r="J18" i="14"/>
  <c r="O67" i="7" a="1"/>
  <c r="G23" i="15"/>
  <c r="L42" i="13"/>
  <c r="L25" i="8"/>
  <c r="T67" i="7" a="1"/>
  <c r="W60" i="6" a="1"/>
  <c r="E60" i="11" a="1"/>
  <c r="S68" i="14" a="1"/>
  <c r="E63" i="13" a="1"/>
  <c r="E10" i="7"/>
  <c r="L56" i="6" a="1"/>
  <c r="E70" i="16" a="1"/>
  <c r="J37" i="11"/>
  <c r="I22" i="11"/>
  <c r="E69" i="11" a="1"/>
  <c r="D55" i="13" a="1"/>
  <c r="M25" i="14"/>
  <c r="P57" i="7" a="1"/>
  <c r="R56" i="8" a="1"/>
  <c r="E22" i="13"/>
  <c r="J68" i="6" a="1"/>
  <c r="L18" i="9"/>
  <c r="U66" i="1" a="1"/>
  <c r="M57" i="8" a="1"/>
  <c r="I41" i="4"/>
  <c r="J11" i="14"/>
  <c r="I23" i="4"/>
  <c r="D39" i="4"/>
  <c r="V64" i="16" a="1"/>
  <c r="E70" i="7" a="1"/>
  <c r="D66" i="16" a="1"/>
  <c r="P63" i="13" a="1"/>
  <c r="L67" i="14" a="1"/>
  <c r="J14" i="18" a="1"/>
  <c r="O70" i="1" a="1"/>
  <c r="L60" i="6" a="1"/>
  <c r="K16" i="15"/>
  <c r="H41" i="11"/>
  <c r="Q67" i="6" a="1"/>
  <c r="I39" i="4"/>
  <c r="O59" i="14" a="1"/>
  <c r="V64" i="8" a="1"/>
  <c r="H41" i="13"/>
  <c r="J61" i="16" a="1"/>
  <c r="H58" i="8" a="1"/>
  <c r="X67" i="6" a="1"/>
  <c r="N66" i="13" a="1"/>
  <c r="D59" i="15" a="1"/>
  <c r="H21" i="15"/>
  <c r="K18" i="14"/>
  <c r="D69" i="6" a="1"/>
  <c r="E37" i="4"/>
  <c r="G70" i="16" a="1"/>
  <c r="P64" i="6" a="1"/>
  <c r="I61" i="16" a="1"/>
  <c r="W71" i="7" a="1"/>
  <c r="G59" i="8" a="1"/>
  <c r="T60" i="15" a="1"/>
  <c r="D68" i="16" a="1"/>
  <c r="T66" i="8" a="1"/>
  <c r="D62" i="1" a="1"/>
  <c r="E32" i="4"/>
  <c r="L59" i="4" a="1"/>
  <c r="E39" i="15"/>
  <c r="J62" i="6" a="1"/>
  <c r="J27" i="8"/>
  <c r="P58" i="16" a="1"/>
  <c r="H26" i="7"/>
  <c r="H35" i="11"/>
  <c r="L45" i="4"/>
  <c r="K34" i="13"/>
  <c r="V57" i="15" a="1"/>
  <c r="X55" i="15" a="1"/>
  <c r="F19" i="15"/>
  <c r="E56" i="14" a="1"/>
  <c r="Q61" i="6" a="1"/>
  <c r="J63" i="13" a="1"/>
  <c r="J34" i="4"/>
  <c r="R63" i="8" a="1"/>
  <c r="U64" i="11" a="1"/>
  <c r="W65" i="14" a="1"/>
  <c r="E55" i="15" a="1"/>
  <c r="G17" i="4"/>
  <c r="M39" i="9"/>
  <c r="M17" i="9"/>
  <c r="G21" i="15"/>
  <c r="H7" i="4"/>
  <c r="O60" i="8" a="1"/>
  <c r="T57" i="14" a="1"/>
  <c r="G66" i="8" a="1"/>
  <c r="J67" i="1" a="1"/>
  <c r="I33" i="15"/>
  <c r="D19" i="8"/>
  <c r="Q69" i="1" a="1"/>
  <c r="K11" i="14"/>
  <c r="V57" i="11" a="1"/>
  <c r="H38" i="4"/>
  <c r="K61" i="7" a="1"/>
  <c r="J71" i="11" a="1"/>
  <c r="F34" i="11"/>
  <c r="H20" i="11"/>
  <c r="N58" i="15" a="1"/>
  <c r="L70" i="15" a="1"/>
  <c r="I25" i="7"/>
  <c r="P65" i="11" a="1"/>
  <c r="M24" i="4"/>
  <c r="M55" i="4" a="1"/>
  <c r="N70" i="8" a="1"/>
  <c r="M62" i="4" a="1"/>
  <c r="K70" i="14" a="1"/>
  <c r="T57" i="13" a="1"/>
  <c r="G61" i="6" a="1"/>
  <c r="T63" i="14" a="1"/>
  <c r="F16" i="14"/>
  <c r="K42" i="13"/>
  <c r="D47" i="9"/>
  <c r="M7" i="8"/>
  <c r="E62" i="13" a="1"/>
  <c r="N65" i="14" a="1"/>
  <c r="D56" i="15" a="1"/>
  <c r="M61" i="4" a="1"/>
  <c r="G19" i="8"/>
  <c r="M39" i="15"/>
  <c r="G13" i="9"/>
  <c r="V70" i="4" a="1"/>
  <c r="K13" i="15"/>
  <c r="J10" i="9"/>
  <c r="W55" i="15" a="1"/>
  <c r="K57" i="4" a="1"/>
  <c r="H55" i="9" a="1"/>
  <c r="L46" i="11"/>
  <c r="V60" i="8" a="1"/>
  <c r="L12" i="14"/>
  <c r="S62" i="16" a="1"/>
  <c r="K46" i="4"/>
  <c r="T65" i="1" a="1"/>
  <c r="Q56" i="7" a="1"/>
  <c r="L55" i="14" a="1"/>
  <c r="H67" i="16" a="1"/>
  <c r="O63" i="6" a="1"/>
  <c r="G55" i="6" a="1"/>
  <c r="H61" i="8" a="1"/>
  <c r="G62" i="8" a="1"/>
  <c r="K8" i="7"/>
  <c r="F68" i="15" a="1"/>
  <c r="K71" i="1" a="1"/>
  <c r="L23" i="15"/>
  <c r="M57" i="14" a="1"/>
  <c r="W60" i="4" a="1"/>
  <c r="X61" i="4" a="1"/>
  <c r="J14" i="13"/>
  <c r="U69" i="15" a="1"/>
  <c r="L19" i="11"/>
  <c r="H56" i="14" a="1"/>
  <c r="L64" i="15" a="1"/>
  <c r="F14" i="8"/>
  <c r="W62" i="14" a="1"/>
  <c r="I46" i="15"/>
  <c r="T68" i="1" a="1"/>
  <c r="H66" i="8" a="1"/>
  <c r="L43" i="11"/>
  <c r="H65" i="13" a="1"/>
  <c r="E13" i="14"/>
  <c r="D22" i="11"/>
  <c r="T64" i="8" a="1"/>
  <c r="E58" i="8" a="1"/>
  <c r="S60" i="7" a="1"/>
  <c r="H66" i="1" a="1"/>
  <c r="M68" i="15" a="1"/>
  <c r="W57" i="6" a="1"/>
  <c r="M41" i="9"/>
  <c r="I69" i="14" a="1"/>
  <c r="G55" i="14" a="1"/>
  <c r="X71" i="4" a="1"/>
  <c r="F11" i="15"/>
  <c r="L18" i="11"/>
  <c r="F65" i="7" a="1"/>
  <c r="F35" i="9"/>
  <c r="F13" i="14"/>
  <c r="I64" i="16" a="1"/>
  <c r="M40" i="11"/>
  <c r="D20" i="4"/>
  <c r="M46" i="4"/>
  <c r="P70" i="7" a="1"/>
  <c r="M12" i="13"/>
  <c r="F20" i="15"/>
  <c r="J13" i="11"/>
  <c r="I58" i="4" a="1"/>
  <c r="J58" i="11" a="1"/>
  <c r="N56" i="7" a="1"/>
  <c r="D67" i="6" a="1"/>
  <c r="E57" i="14" a="1"/>
  <c r="H61" i="1" a="1"/>
  <c r="D23" i="11"/>
  <c r="I70" i="11" a="1"/>
  <c r="D32" i="15"/>
  <c r="W59" i="13" a="1"/>
  <c r="D12" i="13"/>
  <c r="M15" i="11"/>
  <c r="P71" i="4" a="1"/>
  <c r="J33" i="9"/>
  <c r="K24" i="15"/>
  <c r="E62" i="15" a="1"/>
  <c r="F69" i="15" a="1"/>
  <c r="L7" i="8"/>
  <c r="G61" i="13" a="1"/>
  <c r="G57" i="1" a="1"/>
  <c r="L65" i="4" a="1"/>
  <c r="Q60" i="6" a="1"/>
  <c r="D24" i="8"/>
  <c r="D26" i="13"/>
  <c r="Q58" i="7" a="1"/>
  <c r="M68" i="11" a="1"/>
  <c r="E37" i="15"/>
  <c r="I25" i="8"/>
  <c r="O62" i="15" a="1"/>
  <c r="U61" i="16" a="1"/>
  <c r="T65" i="14" a="1"/>
  <c r="E16" i="15"/>
  <c r="G56" i="11" a="1"/>
  <c r="J17" i="8"/>
  <c r="N64" i="4" a="1"/>
  <c r="V63" i="1" a="1"/>
  <c r="X71" i="6" a="1"/>
  <c r="D63" i="14" a="1"/>
  <c r="W65" i="7" a="1"/>
  <c r="G48" i="4"/>
  <c r="K12" i="15"/>
  <c r="L15" i="7"/>
  <c r="P56" i="7" a="1"/>
  <c r="E44" i="9"/>
  <c r="F41" i="13"/>
  <c r="J69" i="6" a="1"/>
  <c r="R59" i="6" a="1"/>
  <c r="K62" i="15" a="1"/>
  <c r="D21" i="11"/>
  <c r="D40" i="9"/>
  <c r="R66" i="4" a="1"/>
  <c r="E24" i="8"/>
  <c r="L64" i="8" a="1"/>
  <c r="F63" i="16" a="1"/>
  <c r="I27" i="7"/>
  <c r="W69" i="15" a="1"/>
  <c r="H19" i="11"/>
  <c r="J8" i="11"/>
  <c r="H16" i="4"/>
  <c r="E16" i="4"/>
  <c r="H14" i="4"/>
  <c r="W60" i="8" a="1"/>
  <c r="O69" i="13" a="1"/>
  <c r="V66" i="13" a="1"/>
  <c r="I68" i="6" a="1"/>
  <c r="W64" i="8" a="1"/>
  <c r="J22" i="4"/>
  <c r="G44" i="15"/>
  <c r="E63" i="6" a="1"/>
  <c r="P72" i="1" a="1"/>
  <c r="U71" i="4" a="1"/>
  <c r="G67" i="15" a="1"/>
  <c r="E27" i="11"/>
  <c r="D43" i="9"/>
  <c r="Q61" i="1" a="1"/>
  <c r="I71" i="14" a="1"/>
  <c r="T56" i="15" a="1"/>
  <c r="L35" i="15"/>
  <c r="I18" i="14"/>
  <c r="H70" i="11" a="1"/>
  <c r="R58" i="6" a="1"/>
  <c r="Q56" i="4" a="1"/>
  <c r="W70" i="14" a="1"/>
  <c r="K42" i="9"/>
  <c r="V71" i="6" a="1"/>
  <c r="F39" i="4"/>
  <c r="M60" i="13" a="1"/>
  <c r="F58" i="1" a="1"/>
  <c r="G57" i="11" a="1"/>
  <c r="K41" i="4"/>
  <c r="L68" i="8" a="1"/>
  <c r="O63" i="4" a="1"/>
  <c r="D64" i="16" a="1"/>
  <c r="N70" i="16" a="1"/>
  <c r="K16" i="9"/>
  <c r="G71" i="15" a="1"/>
  <c r="I69" i="6" a="1"/>
  <c r="E12" i="9"/>
  <c r="I56" i="7" a="1"/>
  <c r="D41" i="11"/>
  <c r="K63" i="7" a="1"/>
  <c r="D69" i="15" a="1"/>
  <c r="W61" i="16" a="1"/>
  <c r="Q55" i="6" a="1"/>
  <c r="N67" i="6" a="1"/>
  <c r="E68" i="16" a="1"/>
  <c r="W67" i="14" a="1"/>
  <c r="D70" i="1" a="1"/>
  <c r="N59" i="13" a="1"/>
  <c r="J21" i="7"/>
  <c r="E20" i="13"/>
  <c r="N57" i="1" a="1"/>
  <c r="D12" i="18" a="1"/>
  <c r="L25" i="11"/>
  <c r="H25" i="4"/>
  <c r="L17" i="9"/>
  <c r="I39" i="13"/>
  <c r="M60" i="16" a="1"/>
  <c r="K8" i="4"/>
  <c r="V68" i="7" a="1"/>
  <c r="M13" i="15"/>
  <c r="G7" i="18" a="1"/>
  <c r="I69" i="15" a="1"/>
  <c r="G66" i="6" a="1"/>
  <c r="E46" i="13"/>
  <c r="D71" i="15" a="1"/>
  <c r="V65" i="7" a="1"/>
  <c r="H26" i="13"/>
  <c r="E46" i="4"/>
  <c r="K41" i="9"/>
  <c r="X62" i="15" a="1"/>
  <c r="G69" i="11" a="1"/>
  <c r="E12" i="14"/>
  <c r="W68" i="15" a="1"/>
  <c r="K69" i="15" a="1"/>
  <c r="M17" i="15"/>
  <c r="K38" i="15"/>
  <c r="T58" i="8" a="1"/>
  <c r="N66" i="6" a="1"/>
  <c r="I22" i="7"/>
  <c r="F21" i="4"/>
  <c r="F65" i="8" a="1"/>
  <c r="U63" i="11" a="1"/>
  <c r="O70" i="11" a="1"/>
  <c r="P64" i="4" a="1"/>
  <c r="U55" i="16" a="1"/>
  <c r="F9" i="11"/>
  <c r="H11" i="7"/>
  <c r="D40" i="4"/>
  <c r="W71" i="16" a="1"/>
  <c r="D17" i="13"/>
  <c r="J27" i="9"/>
  <c r="H44" i="9"/>
  <c r="F63" i="6" a="1"/>
  <c r="F26" i="9"/>
  <c r="E24" i="13"/>
  <c r="M62" i="15" a="1"/>
  <c r="I59" i="1" a="1"/>
  <c r="E13" i="15"/>
  <c r="M57" i="11" a="1"/>
  <c r="L64" i="14" a="1"/>
  <c r="P59" i="6" a="1"/>
  <c r="P66" i="14" a="1"/>
  <c r="K45" i="9"/>
  <c r="K22" i="4"/>
  <c r="U56" i="16" a="1"/>
  <c r="E56" i="11" a="1"/>
  <c r="N67" i="14" a="1"/>
  <c r="H14" i="11"/>
  <c r="F66" i="1" a="1"/>
  <c r="M64" i="15" a="1"/>
  <c r="K57" i="13" a="1"/>
  <c r="M26" i="4"/>
  <c r="W64" i="11" a="1"/>
  <c r="O57" i="15" a="1"/>
  <c r="J45" i="13"/>
  <c r="E62" i="7" a="1"/>
  <c r="V63" i="7" a="1"/>
  <c r="Q57" i="7" a="1"/>
  <c r="H61" i="4" a="1"/>
  <c r="H69" i="11" a="1"/>
  <c r="H33" i="13"/>
  <c r="T64" i="15" a="1"/>
  <c r="J60" i="1" a="1"/>
  <c r="P71" i="15" a="1"/>
  <c r="F69" i="4" a="1"/>
  <c r="I24" i="11"/>
  <c r="F48" i="4"/>
  <c r="V71" i="15" a="1"/>
  <c r="I69" i="7" a="1"/>
  <c r="M27" i="7"/>
  <c r="T66" i="1" a="1"/>
  <c r="L18" i="13"/>
  <c r="O62" i="7" a="1"/>
  <c r="D8" i="8"/>
  <c r="H58" i="16" a="1"/>
  <c r="M32" i="9"/>
  <c r="G27" i="15"/>
  <c r="L26" i="9"/>
  <c r="E22" i="4"/>
  <c r="G26" i="15"/>
  <c r="K12" i="13"/>
  <c r="G41" i="15"/>
  <c r="N55" i="15" a="1"/>
  <c r="I40" i="11"/>
  <c r="F10" i="11"/>
  <c r="L59" i="1" a="1"/>
  <c r="L10" i="13"/>
  <c r="X68" i="1" a="1"/>
  <c r="D56" i="16" a="1"/>
  <c r="N63" i="16" a="1"/>
  <c r="I56" i="4" a="1"/>
  <c r="S57" i="11" a="1"/>
  <c r="G20" i="15"/>
  <c r="H56" i="8" a="1"/>
  <c r="R68" i="16" a="1"/>
  <c r="L69" i="16" a="1"/>
  <c r="T61" i="4" a="1"/>
  <c r="K65" i="15" a="1"/>
  <c r="I55" i="12" a="1"/>
  <c r="K59" i="1" a="1"/>
  <c r="L57" i="6" a="1"/>
  <c r="I26" i="9"/>
  <c r="G10" i="8"/>
  <c r="J14" i="14"/>
  <c r="K58" i="15" a="1"/>
  <c r="I18" i="4"/>
  <c r="J70" i="7" a="1"/>
  <c r="D72" i="1" a="1"/>
  <c r="S58" i="11" a="1"/>
  <c r="Q55" i="12" a="1"/>
  <c r="X71" i="15" a="1"/>
  <c r="I43" i="4"/>
  <c r="L56" i="16" a="1"/>
  <c r="J55" i="13" a="1"/>
  <c r="K17" i="11"/>
  <c r="M61" i="16" a="1"/>
  <c r="X69" i="15" a="1"/>
  <c r="X71" i="16" a="1"/>
  <c r="M42" i="13"/>
  <c r="O66" i="11" a="1"/>
  <c r="G17" i="13"/>
  <c r="Q69" i="7" a="1"/>
  <c r="F71" i="8" a="1"/>
  <c r="X60" i="4" a="1"/>
  <c r="G63" i="13" a="1"/>
  <c r="H45" i="11"/>
  <c r="I66" i="1" a="1"/>
  <c r="H58" i="13" a="1"/>
  <c r="K68" i="13" a="1"/>
  <c r="Q66" i="16" a="1"/>
  <c r="L10" i="7"/>
  <c r="M59" i="15" a="1"/>
  <c r="M65" i="8" a="1"/>
  <c r="J67" i="16" a="1"/>
  <c r="K58" i="13" a="1"/>
  <c r="I62" i="13" a="1"/>
  <c r="U64" i="16" a="1"/>
  <c r="N59" i="7" a="1"/>
  <c r="E43" i="9"/>
  <c r="R57" i="4" a="1"/>
  <c r="D38" i="11"/>
  <c r="J47" i="9"/>
  <c r="J16" i="9"/>
  <c r="U64" i="1" a="1"/>
  <c r="J22" i="13"/>
  <c r="J7" i="15"/>
  <c r="M23" i="7"/>
  <c r="H47" i="13"/>
  <c r="K11" i="7"/>
  <c r="H7" i="11"/>
  <c r="J23" i="9"/>
  <c r="G18" i="11"/>
  <c r="W61" i="6" a="1"/>
  <c r="Q62" i="7" a="1"/>
  <c r="O58" i="11" a="1"/>
  <c r="F23" i="4"/>
  <c r="D66" i="1" a="1"/>
  <c r="P70" i="16" a="1"/>
  <c r="G36" i="13"/>
  <c r="M26" i="15"/>
  <c r="J26" i="11"/>
  <c r="H18" i="7"/>
  <c r="T62" i="15" a="1"/>
  <c r="H64" i="16" a="1"/>
  <c r="R70" i="8" a="1"/>
  <c r="M65" i="11" a="1"/>
  <c r="G63" i="4" a="1"/>
  <c r="M9" i="14"/>
  <c r="K14" i="15"/>
  <c r="F61" i="8" a="1"/>
  <c r="T68" i="4" a="1"/>
  <c r="H27" i="8"/>
  <c r="F56" i="4" a="1"/>
  <c r="M67" i="14" a="1"/>
  <c r="J57" i="16" a="1"/>
  <c r="V67" i="1" a="1"/>
  <c r="H26" i="14"/>
  <c r="O57" i="8" a="1"/>
  <c r="X64" i="4" a="1"/>
  <c r="I62" i="16" a="1"/>
  <c r="G66" i="7" a="1"/>
  <c r="S69" i="8" a="1"/>
  <c r="M16" i="15"/>
  <c r="F38" i="13"/>
  <c r="K68" i="7" a="1"/>
  <c r="D61" i="4" a="1"/>
  <c r="W62" i="15" a="1"/>
  <c r="X55" i="8" a="1"/>
  <c r="F67" i="4" a="1"/>
  <c r="H48" i="15"/>
  <c r="F26" i="4"/>
  <c r="V62" i="15" a="1"/>
  <c r="H62" i="8" a="1"/>
  <c r="D24" i="9"/>
  <c r="L59" i="7" a="1"/>
  <c r="G12" i="9"/>
  <c r="T60" i="6" a="1"/>
  <c r="L60" i="7" a="1"/>
  <c r="G70" i="4" a="1"/>
  <c r="G18" i="15"/>
  <c r="Q61" i="4" a="1"/>
  <c r="W63" i="14" a="1"/>
  <c r="X62" i="13" a="1"/>
  <c r="L37" i="9"/>
  <c r="I24" i="13"/>
  <c r="I68" i="14" a="1"/>
  <c r="H7" i="7"/>
  <c r="G67" i="6" a="1"/>
  <c r="H59" i="6" a="1"/>
  <c r="F66" i="14" a="1"/>
  <c r="N56" i="8" a="1"/>
  <c r="J27" i="14"/>
  <c r="X56" i="16" a="1"/>
  <c r="F11" i="13"/>
  <c r="M37" i="9"/>
  <c r="W64" i="7" a="1"/>
  <c r="F57" i="11" a="1"/>
  <c r="O56" i="7" a="1"/>
  <c r="H66" i="11" a="1"/>
  <c r="G57" i="16" a="1"/>
  <c r="I38" i="9"/>
  <c r="D60" i="6" a="1"/>
  <c r="P70" i="14" a="1"/>
  <c r="I71" i="7" a="1"/>
  <c r="O61" i="11" a="1"/>
  <c r="H22" i="4"/>
  <c r="F9" i="13"/>
  <c r="W58" i="11" a="1"/>
  <c r="G18" i="14"/>
  <c r="M67" i="4" a="1"/>
  <c r="M69" i="1" a="1"/>
  <c r="I67" i="13" a="1"/>
  <c r="K57" i="14" a="1"/>
  <c r="L19" i="15"/>
  <c r="S66" i="15" a="1"/>
  <c r="K17" i="9"/>
  <c r="D64" i="1" a="1"/>
  <c r="E64" i="1" a="1"/>
  <c r="T69" i="4" a="1"/>
  <c r="F68" i="8" a="1"/>
  <c r="Q57" i="11" a="1"/>
  <c r="I56" i="13" a="1"/>
  <c r="D59" i="4" a="1"/>
  <c r="W64" i="4" a="1"/>
  <c r="O55" i="14" a="1"/>
  <c r="I13" i="14"/>
  <c r="J55" i="4" a="1"/>
  <c r="K27" i="11"/>
  <c r="M8" i="9"/>
  <c r="D34" i="13"/>
  <c r="H34" i="11"/>
  <c r="M20" i="14"/>
  <c r="X56" i="1" a="1"/>
  <c r="R70" i="13" a="1"/>
  <c r="H66" i="14" a="1"/>
  <c r="Q58" i="8" a="1"/>
  <c r="I60" i="6" a="1"/>
  <c r="M60" i="8" a="1"/>
  <c r="J68" i="1" a="1"/>
  <c r="L49" i="18" a="1"/>
  <c r="G9" i="14"/>
  <c r="I70" i="15" a="1"/>
  <c r="I25" i="13"/>
  <c r="X70" i="15" a="1"/>
  <c r="U57" i="11" a="1"/>
  <c r="M12" i="9"/>
  <c r="W58" i="15" a="1"/>
  <c r="H57" i="8" a="1"/>
  <c r="S70" i="1" a="1"/>
  <c r="M38" i="4"/>
  <c r="M38" i="18" s="1" a="1"/>
  <c r="F43" i="13"/>
  <c r="K21" i="13"/>
  <c r="F62" i="15" a="1"/>
  <c r="J68" i="7" a="1"/>
  <c r="G33" i="15"/>
  <c r="L37" i="4"/>
  <c r="D11" i="11"/>
  <c r="V70" i="14" a="1"/>
  <c r="L14" i="4"/>
  <c r="F35" i="15"/>
  <c r="H64" i="11" a="1"/>
  <c r="J42" i="4"/>
  <c r="M59" i="14" a="1"/>
  <c r="T65" i="4" a="1"/>
  <c r="K43" i="9"/>
  <c r="H36" i="11"/>
  <c r="F14" i="4"/>
  <c r="O65" i="4" a="1"/>
  <c r="G34" i="13"/>
  <c r="K48" i="4"/>
  <c r="D7" i="13"/>
  <c r="J26" i="15"/>
  <c r="N58" i="7" a="1"/>
  <c r="V64" i="7" a="1"/>
  <c r="Q57" i="8" a="1"/>
  <c r="V60" i="1" a="1"/>
  <c r="G56" i="15" a="1"/>
  <c r="O56" i="11" a="1"/>
  <c r="E67" i="4" a="1"/>
  <c r="K16" i="4"/>
  <c r="O65" i="13" a="1"/>
  <c r="V69" i="7" a="1"/>
  <c r="H71" i="11" a="1"/>
  <c r="Q68" i="16" a="1"/>
  <c r="H67" i="1" a="1"/>
  <c r="D17" i="7"/>
  <c r="G37" i="9"/>
  <c r="K9" i="11"/>
  <c r="L16" i="15"/>
  <c r="G15" i="11"/>
  <c r="H23" i="15"/>
  <c r="F10" i="7"/>
  <c r="W64" i="1" a="1"/>
  <c r="N66" i="16" a="1"/>
  <c r="L25" i="9"/>
  <c r="H7" i="8"/>
  <c r="G39" i="9"/>
  <c r="J65" i="6" a="1"/>
  <c r="N62" i="14" a="1"/>
  <c r="K36" i="15"/>
  <c r="W56" i="15" a="1"/>
  <c r="F14" i="14"/>
  <c r="L57" i="15" a="1"/>
  <c r="H40" i="13"/>
  <c r="O65" i="16" a="1"/>
  <c r="J41" i="4"/>
  <c r="X68" i="7" a="1"/>
  <c r="N56" i="11" a="1"/>
  <c r="M43" i="4"/>
  <c r="I22" i="15"/>
  <c r="T57" i="15" a="1"/>
  <c r="X70" i="11" a="1"/>
  <c r="M69" i="8" a="1"/>
  <c r="G64" i="7" a="1"/>
  <c r="K33" i="9"/>
  <c r="X57" i="11" a="1"/>
  <c r="M34" i="11"/>
  <c r="V62" i="1" a="1"/>
  <c r="J27" i="11"/>
  <c r="J58" i="16" a="1"/>
  <c r="F37" i="9"/>
  <c r="H22" i="13"/>
  <c r="E59" i="14" a="1"/>
  <c r="D67" i="1" a="1"/>
  <c r="I32" i="11"/>
  <c r="J21" i="14"/>
  <c r="R62" i="16" a="1"/>
  <c r="J41" i="11"/>
  <c r="W57" i="16" a="1"/>
  <c r="U64" i="15" a="1"/>
  <c r="E23" i="15"/>
  <c r="K63" i="11" a="1"/>
  <c r="I64" i="6" a="1"/>
  <c r="T61" i="7" a="1"/>
  <c r="H64" i="14" a="1"/>
  <c r="F61" i="13" a="1"/>
  <c r="M65" i="4" a="1"/>
  <c r="H66" i="7" a="1"/>
  <c r="S59" i="11" a="1"/>
  <c r="L23" i="8"/>
  <c r="E22" i="8"/>
  <c r="F20" i="14"/>
  <c r="S57" i="8" a="1"/>
  <c r="Q72" i="1" a="1"/>
  <c r="J63" i="15" a="1"/>
  <c r="S55" i="13" a="1"/>
  <c r="H59" i="11" a="1"/>
  <c r="F60" i="13" a="1"/>
  <c r="M14" i="15"/>
  <c r="L65" i="16" a="1"/>
  <c r="S70" i="11" a="1"/>
  <c r="D56" i="14" a="1"/>
  <c r="G33" i="4"/>
  <c r="J34" i="11"/>
  <c r="E39" i="4"/>
  <c r="E19" i="9"/>
  <c r="E18" i="7"/>
  <c r="E58" i="14" a="1"/>
  <c r="H10" i="11"/>
  <c r="L26" i="15"/>
  <c r="I64" i="4" a="1"/>
  <c r="U61" i="15" a="1"/>
  <c r="N68" i="11" a="1"/>
  <c r="G11" i="7"/>
  <c r="H24" i="9"/>
  <c r="Q65" i="13" a="1"/>
  <c r="K39" i="9"/>
  <c r="I15" i="15"/>
  <c r="I8" i="4"/>
  <c r="H14" i="8"/>
  <c r="X69" i="14" a="1"/>
  <c r="F16" i="15"/>
  <c r="V70" i="13" a="1"/>
  <c r="U59" i="4" a="1"/>
  <c r="L44" i="11"/>
  <c r="W66" i="16" a="1"/>
  <c r="T70" i="11" a="1"/>
  <c r="H47" i="11"/>
  <c r="G24" i="14"/>
  <c r="G20" i="8"/>
  <c r="E57" i="15" a="1"/>
  <c r="J64" i="13" a="1"/>
  <c r="U55" i="11" a="1"/>
  <c r="H62" i="1" a="1"/>
  <c r="Q62" i="6" a="1"/>
  <c r="L62" i="13" a="1"/>
  <c r="G46" i="13"/>
  <c r="G38" i="15"/>
  <c r="D20" i="13"/>
  <c r="J69" i="14" a="1"/>
  <c r="R71" i="14" a="1"/>
  <c r="G23" i="7"/>
  <c r="D67" i="7" a="1"/>
  <c r="V59" i="16" a="1"/>
  <c r="K39" i="11"/>
  <c r="F71" i="16" a="1"/>
  <c r="M15" i="8"/>
  <c r="I66" i="8" a="1"/>
  <c r="F23" i="8"/>
  <c r="P62" i="13" a="1"/>
  <c r="P65" i="15" a="1"/>
  <c r="H26" i="8"/>
  <c r="M24" i="14"/>
  <c r="R66" i="14" a="1"/>
  <c r="J15" i="9"/>
  <c r="Q59" i="1" a="1"/>
  <c r="K71" i="8" a="1"/>
  <c r="L17" i="14"/>
  <c r="S55" i="15" a="1"/>
  <c r="H66" i="16" a="1"/>
  <c r="M32" i="15"/>
  <c r="T55" i="4" a="1"/>
  <c r="D57" i="15" a="1"/>
  <c r="V60" i="14" a="1"/>
  <c r="D68" i="8" a="1"/>
  <c r="E24" i="7"/>
  <c r="N59" i="8" a="1"/>
  <c r="J21" i="15"/>
  <c r="J21" i="18" s="1" a="1"/>
  <c r="E58" i="15" a="1"/>
  <c r="O59" i="1" a="1"/>
  <c r="D16" i="11"/>
  <c r="N67" i="8" a="1"/>
  <c r="F60" i="1" a="1"/>
  <c r="J69" i="8" a="1"/>
  <c r="K25" i="14"/>
  <c r="X55" i="14" a="1"/>
  <c r="M33" i="13"/>
  <c r="H45" i="15"/>
  <c r="E27" i="4"/>
  <c r="T58" i="13" a="1"/>
  <c r="J57" i="11" a="1"/>
  <c r="I41" i="11"/>
  <c r="S71" i="8" a="1"/>
  <c r="J59" i="1" a="1"/>
  <c r="I66" i="15" a="1"/>
  <c r="T70" i="16" a="1"/>
  <c r="K58" i="6" a="1"/>
  <c r="W65" i="13" a="1"/>
  <c r="Q68" i="4" a="1"/>
  <c r="Q66" i="15" a="1"/>
  <c r="G69" i="6" a="1"/>
  <c r="O64" i="1" a="1"/>
  <c r="R63" i="15" a="1"/>
  <c r="K47" i="9"/>
  <c r="P59" i="7" a="1"/>
  <c r="L41" i="13"/>
  <c r="E19" i="7"/>
  <c r="L26" i="7"/>
  <c r="R62" i="1" a="1"/>
  <c r="F21" i="9"/>
  <c r="G23" i="8"/>
  <c r="M71" i="7" a="1"/>
  <c r="K65" i="4" a="1"/>
  <c r="F59" i="7" a="1"/>
  <c r="I57" i="14" a="1"/>
  <c r="E66" i="11" a="1"/>
  <c r="T62" i="11" a="1"/>
  <c r="I44" i="11"/>
  <c r="I66" i="13" a="1"/>
  <c r="S70" i="6" a="1"/>
  <c r="U61" i="1" a="1"/>
  <c r="D42" i="15"/>
  <c r="L21" i="14"/>
  <c r="E68" i="11" a="1"/>
  <c r="V66" i="4" a="1"/>
  <c r="H65" i="14" a="1"/>
  <c r="L66" i="6" a="1"/>
  <c r="I69" i="16" a="1"/>
  <c r="D62" i="11" a="1"/>
  <c r="E15" i="11"/>
  <c r="H18" i="9"/>
  <c r="U60" i="13" a="1"/>
  <c r="R59" i="1" a="1"/>
  <c r="M45" i="13"/>
  <c r="M58" i="14" a="1"/>
  <c r="J40" i="13"/>
  <c r="U59" i="11" a="1"/>
  <c r="F12" i="9"/>
  <c r="G10" i="11"/>
  <c r="V62" i="13" a="1"/>
  <c r="D57" i="7" a="1"/>
  <c r="D57" i="6" a="1"/>
  <c r="O71" i="6" a="1"/>
  <c r="X60" i="8" a="1"/>
  <c r="G58" i="8" a="1"/>
  <c r="I61" i="15" a="1"/>
  <c r="I27" i="15"/>
  <c r="E34" i="9"/>
  <c r="J41" i="13"/>
  <c r="R71" i="8" a="1"/>
  <c r="J8" i="15"/>
  <c r="D66" i="8" a="1"/>
  <c r="F26" i="13"/>
  <c r="N65" i="11" a="1"/>
  <c r="M16" i="14"/>
  <c r="M69" i="11" a="1"/>
  <c r="T67" i="13" a="1"/>
  <c r="H20" i="15"/>
  <c r="F21" i="13"/>
  <c r="M36" i="4"/>
  <c r="J46" i="13"/>
  <c r="I43" i="9"/>
  <c r="F15" i="14"/>
  <c r="L69" i="13" a="1"/>
  <c r="I63" i="13" a="1"/>
  <c r="M13" i="4"/>
  <c r="K21" i="15"/>
  <c r="G9" i="4"/>
  <c r="D44" i="18" a="1"/>
  <c r="S64" i="7" a="1"/>
  <c r="F68" i="1" a="1"/>
  <c r="F70" i="4" a="1"/>
  <c r="R58" i="7" a="1"/>
  <c r="L57" i="16" a="1"/>
  <c r="U62" i="6" a="1"/>
  <c r="U66" i="4" a="1"/>
  <c r="L34" i="13"/>
  <c r="P71" i="11" a="1"/>
  <c r="L70" i="14" a="1"/>
  <c r="F14" i="11"/>
  <c r="N61" i="14" a="1"/>
  <c r="K65" i="6" a="1"/>
  <c r="K19" i="15"/>
  <c r="L17" i="13"/>
  <c r="M36" i="11"/>
  <c r="P66" i="7" a="1"/>
  <c r="U70" i="15" a="1"/>
  <c r="X58" i="1" a="1"/>
  <c r="S67" i="4" a="1"/>
  <c r="D55" i="16" a="1"/>
  <c r="F71" i="1" a="1"/>
  <c r="N67" i="4" a="1"/>
  <c r="L36" i="4"/>
  <c r="L23" i="7"/>
  <c r="F27" i="14"/>
  <c r="D58" i="14" a="1"/>
  <c r="R67" i="7" a="1"/>
  <c r="J56" i="7" a="1"/>
  <c r="E36" i="9"/>
  <c r="H44" i="11"/>
  <c r="P64" i="13" a="1"/>
  <c r="E58" i="13" a="1"/>
  <c r="S61" i="7" a="1"/>
  <c r="S70" i="14" a="1"/>
  <c r="G27" i="14"/>
  <c r="J63" i="4" a="1"/>
  <c r="M55" i="7" a="1"/>
  <c r="X58" i="13" a="1"/>
  <c r="I67" i="7" a="1"/>
  <c r="H27" i="7"/>
  <c r="K42" i="11"/>
  <c r="X66" i="4" a="1"/>
  <c r="O58" i="7" a="1"/>
  <c r="G62" i="6" a="1"/>
  <c r="L59" i="16" a="1"/>
  <c r="O56" i="6" a="1"/>
  <c r="F19" i="14"/>
  <c r="S61" i="16" a="1"/>
  <c r="K60" i="8" a="1"/>
  <c r="K17" i="15"/>
  <c r="I14" i="20" a="1"/>
  <c r="K19" i="11"/>
  <c r="H10" i="13"/>
  <c r="M46" i="15"/>
  <c r="D14" i="9"/>
  <c r="J32" i="11"/>
  <c r="J24" i="11"/>
  <c r="E65" i="15" a="1"/>
  <c r="U58" i="15" a="1"/>
  <c r="N56" i="15" a="1"/>
  <c r="M44" i="15"/>
  <c r="G25" i="11"/>
  <c r="F55" i="14" a="1"/>
  <c r="J45" i="4"/>
  <c r="F69" i="1" a="1"/>
  <c r="Q66" i="14" a="1"/>
  <c r="N62" i="8" a="1"/>
  <c r="T62" i="14" a="1"/>
  <c r="J20" i="13"/>
  <c r="G36" i="9"/>
  <c r="Q69" i="4" a="1"/>
  <c r="H24" i="15"/>
  <c r="M21" i="13"/>
  <c r="J55" i="7" a="1"/>
  <c r="O57" i="13" a="1"/>
  <c r="E39" i="18" a="1"/>
  <c r="M55" i="11" a="1"/>
  <c r="L67" i="11" a="1"/>
  <c r="L42" i="9"/>
  <c r="V55" i="16" a="1"/>
  <c r="F13" i="8"/>
  <c r="N68" i="8" a="1"/>
  <c r="W57" i="8" a="1"/>
  <c r="J63" i="11" a="1"/>
  <c r="R70" i="14" a="1"/>
  <c r="O61" i="1" a="1"/>
  <c r="J61" i="1" a="1"/>
  <c r="I24" i="15"/>
  <c r="I56" i="6" a="1"/>
  <c r="J38" i="9"/>
  <c r="G56" i="16" a="1"/>
  <c r="H49" i="18" a="1"/>
  <c r="D14" i="13"/>
  <c r="K21" i="9"/>
  <c r="I61" i="14" a="1"/>
  <c r="G57" i="15" a="1"/>
  <c r="I40" i="4"/>
  <c r="E15" i="9"/>
  <c r="V66" i="15" a="1"/>
  <c r="K57" i="1" a="1"/>
  <c r="M71" i="4" a="1"/>
  <c r="F56" i="11" a="1"/>
  <c r="H8" i="11"/>
  <c r="E67" i="11" a="1"/>
  <c r="E24" i="14"/>
  <c r="G9" i="7"/>
  <c r="I63" i="7" a="1"/>
  <c r="E60" i="15" a="1"/>
  <c r="W59" i="15" a="1"/>
  <c r="W71" i="1" a="1"/>
  <c r="M15" i="13"/>
  <c r="H69" i="7" a="1"/>
  <c r="M41" i="15"/>
  <c r="L62" i="1" a="1"/>
  <c r="F12" i="14"/>
  <c r="N64" i="11" a="1"/>
  <c r="D65" i="15" a="1"/>
  <c r="U67" i="6" a="1"/>
  <c r="I58" i="11" a="1"/>
  <c r="P67" i="14" a="1"/>
  <c r="F65" i="6" a="1"/>
  <c r="N55" i="9" a="1"/>
  <c r="H23" i="4"/>
  <c r="D57" i="1" a="1"/>
  <c r="E63" i="7" a="1"/>
  <c r="M22" i="13"/>
  <c r="M10" i="11"/>
  <c r="I43" i="11"/>
  <c r="M37" i="13"/>
  <c r="D23" i="13"/>
  <c r="J8" i="4"/>
  <c r="H35" i="15"/>
  <c r="V67" i="15" a="1"/>
  <c r="K67" i="7" a="1"/>
  <c r="R62" i="13" a="1"/>
  <c r="V71" i="7" a="1"/>
  <c r="F71" i="6" a="1"/>
  <c r="K64" i="13" a="1"/>
  <c r="M20" i="13"/>
  <c r="K19" i="7"/>
  <c r="F12" i="13"/>
  <c r="H62" i="7" a="1"/>
  <c r="H16" i="8"/>
  <c r="J66" i="11" a="1"/>
  <c r="R68" i="13" a="1"/>
  <c r="J58" i="4" a="1"/>
  <c r="S69" i="16" a="1"/>
  <c r="G9" i="11"/>
  <c r="I16" i="7"/>
  <c r="K13" i="9"/>
  <c r="S60" i="1" a="1"/>
  <c r="E11" i="13"/>
  <c r="D63" i="11" a="1"/>
  <c r="R59" i="13" a="1"/>
  <c r="I20" i="11"/>
  <c r="L63" i="13" a="1"/>
  <c r="F22" i="7"/>
  <c r="X66" i="7" a="1"/>
  <c r="S59" i="8" a="1"/>
  <c r="F35" i="13"/>
  <c r="I64" i="14" a="1"/>
  <c r="G58" i="1" a="1"/>
  <c r="N68" i="13" a="1"/>
  <c r="F65" i="1" a="1"/>
  <c r="V59" i="11" a="1"/>
  <c r="P57" i="16" a="1"/>
  <c r="H13" i="9"/>
  <c r="H19" i="7"/>
  <c r="H15" i="14"/>
  <c r="N58" i="1" a="1"/>
  <c r="G14" i="11"/>
  <c r="T60" i="16" a="1"/>
  <c r="P68" i="1" a="1"/>
  <c r="L69" i="8" a="1"/>
  <c r="K22" i="9"/>
  <c r="D58" i="7" a="1"/>
  <c r="R59" i="7" a="1"/>
  <c r="M37" i="11"/>
  <c r="H56" i="16" a="1"/>
  <c r="H27" i="4"/>
  <c r="O66" i="6" a="1"/>
  <c r="K8" i="20" a="1"/>
  <c r="K65" i="1" a="1"/>
  <c r="T58" i="16" a="1"/>
  <c r="X65" i="13" a="1"/>
  <c r="F45" i="9"/>
  <c r="U71" i="11" a="1"/>
  <c r="R69" i="11" a="1"/>
  <c r="O63" i="7" a="1"/>
  <c r="M40" i="13"/>
  <c r="E69" i="14" a="1"/>
  <c r="F10" i="18" a="1"/>
  <c r="T59" i="1" a="1"/>
  <c r="F15" i="4"/>
  <c r="W68" i="11" a="1"/>
  <c r="V57" i="14" a="1"/>
  <c r="F18" i="14"/>
  <c r="Q62" i="11" a="1"/>
  <c r="D22" i="18" a="1"/>
  <c r="E38" i="9"/>
  <c r="F20" i="8"/>
  <c r="G23" i="14"/>
  <c r="I45" i="9"/>
  <c r="X60" i="13" a="1"/>
  <c r="J16" i="14"/>
  <c r="J62" i="8" a="1"/>
  <c r="D34" i="15"/>
  <c r="M63" i="14" a="1"/>
  <c r="D25" i="13"/>
  <c r="E35" i="9"/>
  <c r="O64" i="8" a="1"/>
  <c r="V58" i="1" a="1"/>
  <c r="Q58" i="1" a="1"/>
  <c r="J67" i="8" a="1"/>
  <c r="F39" i="15"/>
  <c r="F39" i="18" s="1" a="1"/>
  <c r="I48" i="4"/>
  <c r="M45" i="4"/>
  <c r="D58" i="6" a="1"/>
  <c r="G21" i="14"/>
  <c r="L69" i="14" a="1"/>
  <c r="H57" i="6" a="1"/>
  <c r="D61" i="15" a="1"/>
  <c r="L70" i="7" a="1"/>
  <c r="J26" i="13"/>
  <c r="L40" i="4"/>
  <c r="G34" i="9"/>
  <c r="J68" i="15" a="1"/>
  <c r="F21" i="8"/>
  <c r="T55" i="9" a="1"/>
  <c r="X57" i="7" a="1"/>
  <c r="J14" i="8"/>
  <c r="J68" i="8" a="1"/>
  <c r="H66" i="4" a="1"/>
  <c r="N63" i="8" a="1"/>
  <c r="G22" i="7"/>
  <c r="G70" i="11" a="1"/>
  <c r="P68" i="7" a="1"/>
  <c r="U61" i="6" a="1"/>
  <c r="N59" i="4" a="1"/>
  <c r="X60" i="15" a="1"/>
  <c r="E56" i="13" a="1"/>
  <c r="P65" i="8" a="1"/>
  <c r="R63" i="16" a="1"/>
  <c r="G26" i="14"/>
  <c r="J66" i="1" a="1"/>
  <c r="E26" i="7"/>
  <c r="X65" i="16" a="1"/>
  <c r="K57" i="6" a="1"/>
  <c r="F8" i="4"/>
  <c r="D66" i="6" a="1"/>
  <c r="S67" i="6" a="1"/>
  <c r="M65" i="1" a="1"/>
  <c r="J68" i="16" a="1"/>
  <c r="E61" i="13" a="1"/>
  <c r="E17" i="14"/>
  <c r="M17" i="14"/>
  <c r="J25" i="7"/>
  <c r="H38" i="11"/>
  <c r="D39" i="13"/>
  <c r="M23" i="13"/>
  <c r="M55" i="9" a="1"/>
  <c r="I18" i="15"/>
  <c r="K14" i="11"/>
  <c r="J26" i="7"/>
  <c r="V68" i="4" a="1"/>
  <c r="R67" i="16" a="1"/>
  <c r="P66" i="6" a="1"/>
  <c r="F41" i="11"/>
  <c r="T63" i="4" a="1"/>
  <c r="V63" i="6" a="1"/>
  <c r="T68" i="14" a="1"/>
  <c r="F62" i="1" a="1"/>
  <c r="J19" i="14"/>
  <c r="E23" i="14"/>
  <c r="Q67" i="13" a="1"/>
  <c r="O57" i="14" a="1"/>
  <c r="E64" i="13" a="1"/>
  <c r="D56" i="6" a="1"/>
  <c r="E67" i="7" a="1"/>
  <c r="I33" i="4"/>
  <c r="G25" i="13"/>
  <c r="H65" i="6" a="1"/>
  <c r="L16" i="13"/>
  <c r="H42" i="11"/>
  <c r="L43" i="4"/>
  <c r="U68" i="16" a="1"/>
  <c r="P65" i="4" a="1"/>
  <c r="Q64" i="14" a="1"/>
  <c r="E56" i="1" a="1"/>
  <c r="L62" i="6" a="1"/>
  <c r="G64" i="8" a="1"/>
  <c r="D68" i="6" a="1"/>
  <c r="P55" i="9" a="1"/>
  <c r="T59" i="8" a="1"/>
  <c r="G10" i="18" a="1"/>
  <c r="D13" i="11"/>
  <c r="N64" i="14" a="1"/>
  <c r="D58" i="13" a="1"/>
  <c r="R55" i="7" a="1"/>
  <c r="D44" i="9"/>
  <c r="J57" i="13" a="1"/>
  <c r="T69" i="6" a="1"/>
  <c r="S68" i="11" a="1"/>
  <c r="R58" i="16" a="1"/>
  <c r="M16" i="7"/>
  <c r="D49" i="18" a="1"/>
  <c r="S69" i="11" a="1"/>
  <c r="K67" i="1" a="1"/>
  <c r="I40" i="18" a="1"/>
  <c r="X63" i="16" a="1"/>
  <c r="D69" i="13" a="1"/>
  <c r="I12" i="15"/>
  <c r="D41" i="15"/>
  <c r="J34" i="13"/>
  <c r="E24" i="9"/>
  <c r="I19" i="9"/>
  <c r="F32" i="11"/>
  <c r="S67" i="11" a="1"/>
  <c r="G23" i="13"/>
  <c r="J11" i="13"/>
  <c r="O65" i="6" a="1"/>
  <c r="F21" i="11"/>
  <c r="V59" i="8" a="1"/>
  <c r="I61" i="4" a="1"/>
  <c r="H27" i="14"/>
  <c r="J10" i="20" a="1"/>
  <c r="J70" i="1" a="1"/>
  <c r="K10" i="7"/>
  <c r="F62" i="16" a="1"/>
  <c r="E70" i="15" a="1"/>
  <c r="G27" i="8"/>
  <c r="D65" i="13" a="1"/>
  <c r="R64" i="8" a="1"/>
  <c r="T67" i="4" a="1"/>
  <c r="P58" i="7" a="1"/>
  <c r="U66" i="16" a="1"/>
  <c r="T66" i="13" a="1"/>
  <c r="V71" i="16" a="1"/>
  <c r="M23" i="8"/>
  <c r="Q71" i="4" a="1"/>
  <c r="D15" i="13"/>
  <c r="F65" i="4" a="1"/>
  <c r="V63" i="4" a="1"/>
  <c r="I42" i="9"/>
  <c r="I61" i="6" a="1"/>
  <c r="P61" i="1" a="1"/>
  <c r="J69" i="1" a="1"/>
  <c r="L8" i="11"/>
  <c r="I27" i="8"/>
  <c r="S61" i="14" a="1"/>
  <c r="G44" i="11"/>
  <c r="O60" i="4" a="1"/>
  <c r="M39" i="13"/>
  <c r="G25" i="15"/>
  <c r="L64" i="11" a="1"/>
  <c r="H9" i="13"/>
  <c r="O71" i="15" a="1"/>
  <c r="E68" i="1" a="1"/>
  <c r="H64" i="6" a="1"/>
  <c r="E11" i="4"/>
  <c r="K58" i="1" a="1"/>
  <c r="L11" i="11"/>
  <c r="T70" i="15" a="1"/>
  <c r="V67" i="13" a="1"/>
  <c r="K59" i="6" a="1"/>
  <c r="J8" i="14"/>
  <c r="D60" i="7" a="1"/>
  <c r="G70" i="1" a="1"/>
  <c r="F67" i="15" a="1"/>
  <c r="I36" i="15"/>
  <c r="L65" i="14" a="1"/>
  <c r="F63" i="14" a="1"/>
  <c r="H13" i="14"/>
  <c r="H64" i="13" a="1"/>
  <c r="E11" i="9"/>
  <c r="K71" i="15" a="1"/>
  <c r="K23" i="13"/>
  <c r="D26" i="11"/>
  <c r="X71" i="14" a="1"/>
  <c r="X69" i="13" a="1"/>
  <c r="U63" i="6" a="1"/>
  <c r="X64" i="16" a="1"/>
  <c r="V69" i="14" a="1"/>
  <c r="H39" i="15"/>
  <c r="E59" i="4" a="1"/>
  <c r="T72" i="1" a="1"/>
  <c r="R59" i="4" a="1"/>
  <c r="J60" i="11" a="1"/>
  <c r="S65" i="13" a="1"/>
  <c r="M68" i="4" a="1"/>
  <c r="U70" i="1" a="1"/>
  <c r="F64" i="16" a="1"/>
  <c r="W60" i="13" a="1"/>
  <c r="J59" i="7" a="1"/>
  <c r="O70" i="15" a="1"/>
  <c r="D63" i="7" a="1"/>
  <c r="N58" i="8" a="1"/>
  <c r="G18" i="7"/>
  <c r="L44" i="13"/>
  <c r="F23" i="14"/>
  <c r="V62" i="4" a="1"/>
  <c r="G10" i="13"/>
  <c r="W56" i="7" a="1"/>
  <c r="E63" i="14" a="1"/>
  <c r="D9" i="11"/>
  <c r="E15" i="13"/>
  <c r="Q71" i="8" a="1"/>
  <c r="X70" i="1" a="1"/>
  <c r="H66" i="6" a="1"/>
  <c r="I47" i="4"/>
  <c r="Q70" i="6" a="1"/>
  <c r="O67" i="14" a="1"/>
  <c r="G37" i="11"/>
  <c r="M64" i="8" a="1"/>
  <c r="K67" i="11" a="1"/>
  <c r="L60" i="4" a="1"/>
  <c r="L61" i="13" a="1"/>
  <c r="E9" i="11"/>
  <c r="O63" i="1" a="1"/>
  <c r="M43" i="9"/>
  <c r="D56" i="8" a="1"/>
  <c r="M57" i="1" a="1"/>
  <c r="F66" i="13" a="1"/>
  <c r="J15" i="14"/>
  <c r="L11" i="18" a="1"/>
  <c r="I26" i="4"/>
  <c r="J8" i="7"/>
  <c r="M27" i="8"/>
  <c r="E70" i="11" a="1"/>
  <c r="D15" i="9"/>
  <c r="T56" i="11" a="1"/>
  <c r="M14" i="4"/>
  <c r="K32" i="15"/>
  <c r="R59" i="8" a="1"/>
  <c r="F67" i="7" a="1"/>
  <c r="P55" i="7" a="1"/>
  <c r="L20" i="15"/>
  <c r="M58" i="16" a="1"/>
  <c r="X56" i="11" a="1"/>
  <c r="H26" i="20" a="1"/>
  <c r="M21" i="7"/>
  <c r="S70" i="4" a="1"/>
  <c r="X56" i="15" a="1"/>
  <c r="D11" i="9"/>
  <c r="L39" i="18" a="1"/>
  <c r="H38" i="9"/>
  <c r="K56" i="7" a="1"/>
  <c r="L38" i="9"/>
  <c r="J60" i="6" a="1"/>
  <c r="D34" i="9"/>
  <c r="E60" i="4" a="1"/>
  <c r="D12" i="9"/>
  <c r="K10" i="9"/>
  <c r="Q60" i="11" a="1"/>
  <c r="G11" i="15"/>
  <c r="G11" i="18" s="1" a="1"/>
  <c r="E62" i="1" a="1"/>
  <c r="I67" i="8" a="1"/>
  <c r="H40" i="15"/>
  <c r="E27" i="7"/>
  <c r="R68" i="1" a="1"/>
  <c r="K66" i="14" a="1"/>
  <c r="H9" i="15"/>
  <c r="E64" i="15" a="1"/>
  <c r="I60" i="8" a="1"/>
  <c r="O69" i="6" a="1"/>
  <c r="D66" i="11" a="1"/>
  <c r="K20" i="13"/>
  <c r="D11" i="7"/>
  <c r="H42" i="13"/>
  <c r="L27" i="9"/>
  <c r="Q55" i="4" a="1"/>
  <c r="O55" i="7" a="1"/>
  <c r="D71" i="6" a="1"/>
  <c r="L66" i="14" a="1"/>
  <c r="H12" i="4"/>
  <c r="D26" i="8"/>
  <c r="D25" i="11"/>
  <c r="V69" i="4" a="1"/>
  <c r="D24" i="4"/>
  <c r="L21" i="7"/>
  <c r="E62" i="4" a="1"/>
  <c r="X64" i="13" a="1"/>
  <c r="U70" i="11" a="1"/>
  <c r="N55" i="8" a="1"/>
  <c r="I27" i="14"/>
  <c r="J24" i="8"/>
  <c r="J24" i="20" s="1" a="1"/>
  <c r="H57" i="15" a="1"/>
  <c r="H43" i="13"/>
  <c r="D12" i="8"/>
  <c r="K19" i="8"/>
  <c r="P68" i="14" a="1"/>
  <c r="J42" i="9"/>
  <c r="H32" i="9"/>
  <c r="X70" i="8" a="1"/>
  <c r="F55" i="7" a="1"/>
  <c r="D61" i="8" a="1"/>
  <c r="P56" i="11" a="1"/>
  <c r="H24" i="4"/>
  <c r="Q71" i="1" a="1"/>
  <c r="H24" i="14"/>
  <c r="K27" i="13"/>
  <c r="G23" i="9"/>
  <c r="J58" i="7" a="1"/>
  <c r="H7" i="14"/>
  <c r="W55" i="13" a="1"/>
  <c r="N62" i="6" a="1"/>
  <c r="T63" i="6" a="1"/>
  <c r="G62" i="4" a="1"/>
  <c r="H25" i="9"/>
  <c r="J9" i="8"/>
  <c r="M71" i="8" a="1"/>
  <c r="L35" i="13"/>
  <c r="D67" i="14" a="1"/>
  <c r="J27" i="13"/>
  <c r="G57" i="6" a="1"/>
  <c r="M8" i="8"/>
  <c r="F27" i="7"/>
  <c r="L21" i="15"/>
  <c r="G56" i="4" a="1"/>
  <c r="H71" i="15" a="1"/>
  <c r="P69" i="11" a="1"/>
  <c r="M10" i="9"/>
  <c r="E58" i="4" a="1"/>
  <c r="J60" i="14" a="1"/>
  <c r="G8" i="15"/>
  <c r="E43" i="4"/>
  <c r="I20" i="9"/>
  <c r="V65" i="14" a="1"/>
  <c r="H27" i="11"/>
  <c r="F56" i="1" a="1"/>
  <c r="E66" i="13" a="1"/>
  <c r="H8" i="9"/>
  <c r="Q66" i="7" a="1"/>
  <c r="D26" i="4"/>
  <c r="M15" i="7"/>
  <c r="Q64" i="13" a="1"/>
  <c r="T65" i="6" a="1"/>
  <c r="O67" i="11" a="1"/>
  <c r="G65" i="8" a="1"/>
  <c r="J35" i="11"/>
  <c r="O60" i="1" a="1"/>
  <c r="M13" i="11"/>
  <c r="H38" i="15"/>
  <c r="H57" i="16" a="1"/>
  <c r="L67" i="13" a="1"/>
  <c r="F38" i="11"/>
  <c r="O63" i="8" a="1"/>
  <c r="J23" i="18" a="1"/>
  <c r="I41" i="18" a="1"/>
  <c r="M61" i="1" a="1"/>
  <c r="D13" i="18" a="1"/>
  <c r="J21" i="8"/>
  <c r="O61" i="7" a="1"/>
  <c r="X69" i="1" a="1"/>
  <c r="L19" i="9"/>
  <c r="S63" i="14" a="1"/>
  <c r="K66" i="4" a="1"/>
  <c r="O56" i="16" a="1"/>
  <c r="F58" i="16" a="1"/>
  <c r="X57" i="8" a="1"/>
  <c r="K9" i="8"/>
  <c r="T62" i="4" a="1"/>
  <c r="G70" i="13" a="1"/>
  <c r="H21" i="13"/>
  <c r="J56" i="16" a="1"/>
  <c r="M41" i="18" a="1"/>
  <c r="E33" i="9"/>
  <c r="G25" i="14"/>
  <c r="E25" i="11"/>
  <c r="M66" i="4" a="1"/>
  <c r="M27" i="4"/>
  <c r="E26" i="14"/>
  <c r="H13" i="4"/>
  <c r="L58" i="1" a="1"/>
  <c r="I19" i="4"/>
  <c r="R63" i="7" a="1"/>
  <c r="N63" i="11" a="1"/>
  <c r="I24" i="7"/>
  <c r="Q68" i="11" a="1"/>
  <c r="Q69" i="16" a="1"/>
  <c r="L26" i="4"/>
  <c r="J12" i="7"/>
  <c r="J12" i="20" s="1" a="1"/>
  <c r="J66" i="16" a="1"/>
  <c r="R61" i="15" a="1"/>
  <c r="D46" i="9"/>
  <c r="I59" i="13" a="1"/>
  <c r="H32" i="4"/>
  <c r="J44" i="11"/>
  <c r="Q60" i="8" a="1"/>
  <c r="U56" i="13" a="1"/>
  <c r="J11" i="7"/>
  <c r="I39" i="9"/>
  <c r="W61" i="8" a="1"/>
  <c r="N63" i="7" a="1"/>
  <c r="M24" i="15"/>
  <c r="R72" i="1" a="1"/>
  <c r="P66" i="13" a="1"/>
  <c r="R57" i="1" a="1"/>
  <c r="H20" i="9"/>
  <c r="N66" i="1" a="1"/>
  <c r="L55" i="12" a="1"/>
  <c r="D35" i="4"/>
  <c r="N55" i="16" a="1"/>
  <c r="K56" i="16" a="1"/>
  <c r="L14" i="9"/>
  <c r="F56" i="16" a="1"/>
  <c r="M12" i="4"/>
  <c r="F15" i="7"/>
  <c r="H20" i="4"/>
  <c r="K70" i="1" a="1"/>
  <c r="F55" i="15" a="1"/>
  <c r="J61" i="6" a="1"/>
  <c r="U57" i="1" a="1"/>
  <c r="I59" i="11" a="1"/>
  <c r="I60" i="1" a="1"/>
  <c r="W60" i="11" a="1"/>
  <c r="U61" i="4" a="1"/>
  <c r="X67" i="1" a="1"/>
  <c r="K21" i="8"/>
  <c r="D57" i="8" a="1"/>
  <c r="P63" i="11" a="1"/>
  <c r="L21" i="13"/>
  <c r="F7" i="4"/>
  <c r="K19" i="13"/>
  <c r="M71" i="1" a="1"/>
  <c r="L65" i="6" a="1"/>
  <c r="N57" i="14" a="1"/>
  <c r="I67" i="14" a="1"/>
  <c r="H23" i="14"/>
  <c r="Q66" i="6" a="1"/>
  <c r="S59" i="7" a="1"/>
  <c r="D58" i="4" a="1"/>
  <c r="D7" i="9"/>
  <c r="W65" i="8" a="1"/>
  <c r="I10" i="8"/>
  <c r="J42" i="13"/>
  <c r="F55" i="9" a="1"/>
  <c r="L22" i="11"/>
  <c r="Q61" i="14" a="1"/>
  <c r="H36" i="13"/>
  <c r="I13" i="15"/>
  <c r="D55" i="7" a="1"/>
  <c r="S63" i="15" a="1"/>
  <c r="E23" i="13"/>
  <c r="Q69" i="6" a="1"/>
  <c r="L7" i="13"/>
  <c r="J67" i="6" a="1"/>
  <c r="E70" i="1" a="1"/>
  <c r="X65" i="7" a="1"/>
  <c r="V67" i="7" a="1"/>
  <c r="J7" i="14"/>
  <c r="G62" i="15" a="1"/>
  <c r="W67" i="7" a="1"/>
  <c r="I44" i="15"/>
  <c r="Q66" i="8" a="1"/>
  <c r="R64" i="16" a="1"/>
  <c r="U67" i="15" a="1"/>
  <c r="J61" i="13" a="1"/>
  <c r="X59" i="1" a="1"/>
  <c r="M64" i="14" a="1"/>
  <c r="W62" i="11" a="1"/>
  <c r="X62" i="16" a="1"/>
  <c r="G67" i="16" a="1"/>
  <c r="E20" i="8"/>
  <c r="N70" i="4" a="1"/>
  <c r="I7" i="14"/>
  <c r="D22" i="9"/>
  <c r="K21" i="4"/>
  <c r="L69" i="1" a="1"/>
  <c r="R65" i="6" a="1"/>
  <c r="F57" i="16" a="1"/>
  <c r="G65" i="11" a="1"/>
  <c r="I7" i="4"/>
  <c r="J26" i="20" a="1"/>
  <c r="P69" i="6" a="1"/>
  <c r="E45" i="9"/>
  <c r="E64" i="16" a="1"/>
  <c r="M35" i="11"/>
  <c r="E43" i="18" a="1"/>
  <c r="H7" i="18" a="1"/>
  <c r="Q58" i="6" a="1"/>
  <c r="F20" i="18" a="1"/>
  <c r="W62" i="13" a="1"/>
  <c r="T66" i="11" a="1"/>
  <c r="K14" i="7"/>
  <c r="D67" i="8" a="1"/>
  <c r="E65" i="4" a="1"/>
  <c r="R64" i="6" a="1"/>
  <c r="E64" i="6" a="1"/>
  <c r="N58" i="4" a="1"/>
  <c r="N58" i="13" a="1"/>
  <c r="I13" i="7"/>
  <c r="J8" i="13"/>
  <c r="I16" i="18" a="1"/>
  <c r="D55" i="12" a="1"/>
  <c r="M32" i="4"/>
  <c r="H8" i="4"/>
  <c r="G8" i="4"/>
  <c r="L8" i="13"/>
  <c r="I13" i="18" a="1"/>
  <c r="E22" i="9"/>
  <c r="L15" i="9"/>
  <c r="J61" i="14" a="1"/>
  <c r="H12" i="13"/>
  <c r="K41" i="11"/>
  <c r="E21" i="15"/>
  <c r="S68" i="8" a="1"/>
  <c r="X58" i="11" a="1"/>
  <c r="E57" i="7" a="1"/>
  <c r="W55" i="7" a="1"/>
  <c r="K47" i="13"/>
  <c r="L25" i="14"/>
  <c r="J55" i="12" a="1"/>
  <c r="H70" i="6" a="1"/>
  <c r="L19" i="4"/>
  <c r="Q71" i="15" a="1"/>
  <c r="L14" i="8"/>
  <c r="X68" i="15" a="1"/>
  <c r="M66" i="7" a="1"/>
  <c r="D35" i="9"/>
  <c r="I40" i="13"/>
  <c r="W58" i="7" a="1"/>
  <c r="G47" i="9"/>
  <c r="E7" i="11"/>
  <c r="M56" i="8" a="1"/>
  <c r="M59" i="13" a="1"/>
  <c r="H38" i="13"/>
  <c r="S66" i="11" a="1"/>
  <c r="N60" i="1" a="1"/>
  <c r="W57" i="4" a="1"/>
  <c r="F16" i="11"/>
  <c r="E57" i="4" a="1"/>
  <c r="O62" i="1" a="1"/>
  <c r="J13" i="13"/>
  <c r="T67" i="6" a="1"/>
  <c r="I8" i="8"/>
  <c r="I8" i="20" s="1" a="1"/>
  <c r="E9" i="7"/>
  <c r="D66" i="14" a="1"/>
  <c r="K59" i="4" a="1"/>
  <c r="F40" i="13"/>
  <c r="V55" i="12" a="1"/>
  <c r="L40" i="15"/>
  <c r="N62" i="7" a="1"/>
  <c r="K67" i="6" a="1"/>
  <c r="P56" i="6" a="1"/>
  <c r="X55" i="4" a="1"/>
  <c r="O55" i="6" a="1"/>
  <c r="X55" i="13" a="1"/>
  <c r="D45" i="13"/>
  <c r="N66" i="15" a="1"/>
  <c r="H24" i="7"/>
  <c r="G58" i="6" a="1"/>
  <c r="H60" i="6" a="1"/>
  <c r="D34" i="11"/>
  <c r="H67" i="14" a="1"/>
  <c r="I18" i="13"/>
  <c r="H62" i="13" a="1"/>
  <c r="N60" i="6" a="1"/>
  <c r="N62" i="4" a="1"/>
  <c r="E60" i="1" a="1"/>
  <c r="J26" i="4"/>
  <c r="O60" i="6" a="1"/>
  <c r="P64" i="11" a="1"/>
  <c r="H12" i="9"/>
  <c r="R69" i="4" a="1"/>
  <c r="M23" i="11"/>
  <c r="I14" i="4"/>
  <c r="X61" i="14" a="1"/>
  <c r="J55" i="16" a="1"/>
  <c r="W63" i="1" a="1"/>
  <c r="I16" i="14"/>
  <c r="D42" i="4"/>
  <c r="P62" i="1" a="1"/>
  <c r="M43" i="13"/>
  <c r="E59" i="13" a="1"/>
  <c r="L20" i="9"/>
  <c r="I23" i="14"/>
  <c r="I23" i="20" s="1" a="1"/>
  <c r="J70" i="8" a="1"/>
  <c r="K69" i="14" a="1"/>
  <c r="H13" i="7"/>
  <c r="M44" i="13"/>
  <c r="G63" i="8" a="1"/>
  <c r="E14" i="11"/>
  <c r="D7" i="12"/>
  <c r="J8" i="8"/>
  <c r="O60" i="14" a="1"/>
  <c r="W69" i="1" a="1"/>
  <c r="R61" i="8" a="1"/>
  <c r="D47" i="4"/>
  <c r="W63" i="15" a="1"/>
  <c r="I60" i="7" a="1"/>
  <c r="H68" i="4" a="1"/>
  <c r="R56" i="15" a="1"/>
  <c r="R66" i="16" a="1"/>
  <c r="L57" i="7" a="1"/>
  <c r="K25" i="7"/>
  <c r="L22" i="8"/>
  <c r="G15" i="9"/>
  <c r="I61" i="7" a="1"/>
  <c r="S64" i="14" a="1"/>
  <c r="H15" i="7"/>
  <c r="F23" i="20" a="1"/>
  <c r="L8" i="4"/>
  <c r="J46" i="18" a="1"/>
  <c r="L20" i="7"/>
  <c r="G59" i="4" a="1"/>
  <c r="V55" i="9" a="1"/>
  <c r="E9" i="15"/>
  <c r="E23" i="8"/>
  <c r="D42" i="18" a="1"/>
  <c r="J7" i="9"/>
  <c r="D62" i="7" a="1"/>
  <c r="D59" i="8" a="1"/>
  <c r="E55" i="4" a="1"/>
  <c r="Q70" i="15" a="1"/>
  <c r="D70" i="4" a="1"/>
  <c r="X63" i="4" a="1"/>
  <c r="D17" i="20" a="1"/>
  <c r="M65" i="7" a="1"/>
  <c r="D19" i="11"/>
  <c r="M18" i="13"/>
  <c r="V63" i="11" a="1"/>
  <c r="M23" i="14"/>
  <c r="P70" i="4" a="1"/>
  <c r="G69" i="1" a="1"/>
  <c r="G61" i="15" a="1"/>
  <c r="I44" i="4"/>
  <c r="I19" i="8"/>
  <c r="J18" i="7"/>
  <c r="K58" i="14" a="1"/>
  <c r="S62" i="7" a="1"/>
  <c r="K18" i="13"/>
  <c r="N55" i="7" a="1"/>
  <c r="I43" i="15"/>
  <c r="I43" i="18" s="1" a="1"/>
  <c r="D17" i="4"/>
  <c r="E71" i="15" a="1"/>
  <c r="H58" i="14" a="1"/>
  <c r="U61" i="13" a="1"/>
  <c r="F26" i="11"/>
  <c r="F68" i="4" a="1"/>
  <c r="J56" i="14" a="1"/>
  <c r="M26" i="14"/>
  <c r="L71" i="7" a="1"/>
  <c r="K15" i="9"/>
  <c r="G33" i="9"/>
  <c r="F11" i="8"/>
  <c r="F11" i="20" s="1" a="1"/>
  <c r="H25" i="7"/>
  <c r="L9" i="7"/>
  <c r="N57" i="16" a="1"/>
  <c r="D63" i="4" a="1"/>
  <c r="T59" i="13" a="1"/>
  <c r="X69" i="4" a="1"/>
  <c r="J40" i="4"/>
  <c r="M19" i="9"/>
  <c r="F17" i="11"/>
  <c r="J69" i="4" a="1"/>
  <c r="V60" i="13" a="1"/>
  <c r="S62" i="6" a="1"/>
  <c r="K15" i="15"/>
  <c r="L13" i="14"/>
  <c r="X56" i="13" a="1"/>
  <c r="G63" i="7" a="1"/>
  <c r="R56" i="1" a="1"/>
  <c r="I9" i="14"/>
  <c r="G20" i="7"/>
  <c r="G20" i="20" s="1" a="1"/>
  <c r="O72" i="1" a="1"/>
  <c r="L27" i="4"/>
  <c r="N69" i="13" a="1"/>
  <c r="W67" i="15" a="1"/>
  <c r="F25" i="15"/>
  <c r="G7" i="9"/>
  <c r="I71" i="11" a="1"/>
  <c r="E60" i="7" a="1"/>
  <c r="E68" i="8" a="1"/>
  <c r="S71" i="6" a="1"/>
  <c r="I63" i="6" a="1"/>
  <c r="I59" i="4" a="1"/>
  <c r="G14" i="7"/>
  <c r="D64" i="13" a="1"/>
  <c r="I22" i="14"/>
  <c r="D40" i="13"/>
  <c r="I69" i="11" a="1"/>
  <c r="G65" i="13" a="1"/>
  <c r="K26" i="13"/>
  <c r="J25" i="11"/>
  <c r="L24" i="8"/>
  <c r="L24" i="20" s="1" a="1"/>
  <c r="E27" i="14"/>
  <c r="H22" i="14"/>
  <c r="H23" i="7"/>
  <c r="K66" i="13" a="1"/>
  <c r="E25" i="15"/>
  <c r="N58" i="6" a="1"/>
  <c r="V66" i="11" a="1"/>
  <c r="M21" i="14"/>
  <c r="U66" i="13" a="1"/>
  <c r="P56" i="1" a="1"/>
  <c r="M43" i="15"/>
  <c r="H41" i="4"/>
  <c r="G68" i="8" a="1"/>
  <c r="E58" i="6" a="1"/>
  <c r="K7" i="11"/>
  <c r="I27" i="11"/>
  <c r="L63" i="14" a="1"/>
  <c r="I22" i="4"/>
  <c r="P59" i="13" a="1"/>
  <c r="F60" i="4" a="1"/>
  <c r="I9" i="15"/>
  <c r="G12" i="8"/>
  <c r="H55" i="14" a="1"/>
  <c r="P55" i="15" a="1"/>
  <c r="D55" i="9" a="1"/>
  <c r="M11" i="13"/>
  <c r="L65" i="11" a="1"/>
  <c r="F26" i="15"/>
  <c r="W59" i="4" a="1"/>
  <c r="K68" i="1" a="1"/>
  <c r="M60" i="11" a="1"/>
  <c r="K60" i="13" a="1"/>
  <c r="T59" i="4" a="1"/>
  <c r="L61" i="16" a="1"/>
  <c r="L33" i="11"/>
  <c r="G12" i="11"/>
  <c r="I15" i="8"/>
  <c r="R65" i="4" a="1"/>
  <c r="F55" i="13" a="1"/>
  <c r="O56" i="4" a="1"/>
  <c r="I34" i="13"/>
  <c r="X65" i="6" a="1"/>
  <c r="G26" i="8"/>
  <c r="M25" i="18" a="1"/>
  <c r="I10" i="7"/>
  <c r="F8" i="20" a="1"/>
  <c r="L19" i="18" a="1"/>
  <c r="J38" i="18" a="1"/>
  <c r="F55" i="6" a="1"/>
  <c r="K62" i="6" a="1"/>
  <c r="L7" i="4"/>
  <c r="K19" i="14"/>
  <c r="F57" i="6" a="1"/>
  <c r="M27" i="20" a="1"/>
  <c r="O70" i="7" a="1"/>
  <c r="L40" i="11"/>
  <c r="L68" i="13" a="1"/>
  <c r="F58" i="15" a="1"/>
  <c r="L8" i="7"/>
  <c r="M60" i="15" a="1"/>
  <c r="E55" i="14" a="1"/>
  <c r="H32" i="15"/>
  <c r="G24" i="4"/>
  <c r="T63" i="7" a="1"/>
  <c r="G17" i="9"/>
  <c r="M58" i="11" a="1"/>
  <c r="O69" i="14" a="1"/>
  <c r="E42" i="11"/>
  <c r="I12" i="4"/>
  <c r="M67" i="7" a="1"/>
  <c r="F12" i="11"/>
  <c r="F12" i="18" s="1" a="1"/>
  <c r="M22" i="15"/>
  <c r="I14" i="15"/>
  <c r="L37" i="11"/>
  <c r="L37" i="18" s="1" a="1"/>
  <c r="E46" i="15"/>
  <c r="E46" i="18" s="1" a="1"/>
  <c r="U63" i="1" a="1"/>
  <c r="L25" i="13"/>
  <c r="T56" i="1" a="1"/>
  <c r="F43" i="9"/>
  <c r="M21" i="9"/>
  <c r="D14" i="4"/>
  <c r="S64" i="11" a="1"/>
  <c r="D58" i="11" a="1"/>
  <c r="H21" i="9"/>
  <c r="F25" i="8"/>
  <c r="E59" i="8" a="1"/>
  <c r="K7" i="15"/>
  <c r="T55" i="15" a="1"/>
  <c r="M61" i="11" a="1"/>
  <c r="H46" i="13"/>
  <c r="K63" i="14" a="1"/>
  <c r="K32" i="11"/>
  <c r="S62" i="4" a="1"/>
  <c r="E55" i="11" a="1"/>
  <c r="V64" i="11" a="1"/>
  <c r="G60" i="7" a="1"/>
  <c r="W60" i="14" a="1"/>
  <c r="K27" i="15"/>
  <c r="H42" i="9"/>
  <c r="R58" i="13" a="1"/>
  <c r="Q63" i="16" a="1"/>
  <c r="M70" i="15" a="1"/>
  <c r="O61" i="16" a="1"/>
  <c r="D60" i="11" a="1"/>
  <c r="Q68" i="7" a="1"/>
  <c r="D65" i="4" a="1"/>
  <c r="D59" i="14" a="1"/>
  <c r="H70" i="16" a="1"/>
  <c r="R59" i="15" a="1"/>
  <c r="J40" i="15"/>
  <c r="P66" i="1" a="1"/>
  <c r="E37" i="9"/>
  <c r="I12" i="13"/>
  <c r="K25" i="11"/>
  <c r="S56" i="8" a="1"/>
  <c r="N64" i="16" a="1"/>
  <c r="H11" i="14"/>
  <c r="V58" i="15" a="1"/>
  <c r="Q68" i="8" a="1"/>
  <c r="D39" i="9"/>
  <c r="I68" i="1" a="1"/>
  <c r="D8" i="20" a="1"/>
  <c r="K9" i="13"/>
  <c r="F59" i="4" a="1"/>
  <c r="H56" i="1" a="1"/>
  <c r="R67" i="1" a="1"/>
  <c r="V67" i="6" a="1"/>
  <c r="D44" i="13"/>
  <c r="E59" i="7" a="1"/>
  <c r="K25" i="13"/>
  <c r="O71" i="8" a="1"/>
  <c r="M63" i="1" a="1"/>
  <c r="O64" i="11" a="1"/>
  <c r="I71" i="4" a="1"/>
  <c r="E55" i="6" a="1"/>
  <c r="D45" i="11"/>
  <c r="D45" i="18" s="1" a="1"/>
  <c r="Q61" i="15" a="1"/>
  <c r="J19" i="13"/>
  <c r="D57" i="16" a="1"/>
  <c r="O68" i="15" a="1"/>
  <c r="D24" i="7"/>
  <c r="K13" i="13"/>
  <c r="G24" i="8"/>
  <c r="G24" i="20" s="1" a="1"/>
  <c r="I39" i="11"/>
  <c r="K7" i="14"/>
  <c r="P55" i="11" a="1"/>
  <c r="K46" i="11"/>
  <c r="F37" i="13"/>
  <c r="U59" i="6" a="1"/>
  <c r="N63" i="13" a="1"/>
  <c r="D18" i="8"/>
  <c r="M56" i="7" a="1"/>
  <c r="N67" i="1" a="1"/>
  <c r="S57" i="7" a="1"/>
  <c r="M33" i="4"/>
  <c r="I21" i="11"/>
  <c r="I21" i="18" s="1" a="1"/>
  <c r="G22" i="15"/>
  <c r="Q57" i="16" a="1"/>
  <c r="M24" i="7"/>
  <c r="I22" i="8"/>
  <c r="H24" i="11"/>
  <c r="F14" i="13"/>
  <c r="I70" i="7" a="1"/>
  <c r="W70" i="15" a="1"/>
  <c r="X65" i="4" a="1"/>
  <c r="D12" i="20" a="1"/>
  <c r="H70" i="8" a="1"/>
  <c r="O63" i="13" a="1"/>
  <c r="P62" i="8" a="1"/>
  <c r="K21" i="18" a="1"/>
  <c r="F61" i="6" a="1"/>
  <c r="D40" i="18" a="1"/>
  <c r="I21" i="13"/>
  <c r="G11" i="13"/>
  <c r="Q70" i="4" a="1"/>
  <c r="H67" i="7" a="1"/>
  <c r="M18" i="18" a="1"/>
  <c r="H14" i="20" a="1"/>
  <c r="E12" i="15"/>
  <c r="Q66" i="11" a="1"/>
  <c r="D9" i="4"/>
  <c r="T63" i="13" a="1"/>
  <c r="Q65" i="4" a="1"/>
  <c r="D65" i="8" a="1"/>
  <c r="X59" i="15" a="1"/>
  <c r="S62" i="14" a="1"/>
  <c r="Q63" i="4" a="1"/>
  <c r="H66" i="13" a="1"/>
  <c r="M24" i="13"/>
  <c r="U56" i="15" a="1"/>
  <c r="I42" i="11"/>
  <c r="F45" i="13"/>
  <c r="J24" i="9"/>
  <c r="K36" i="13"/>
  <c r="E10" i="13"/>
  <c r="N70" i="15" a="1"/>
  <c r="M11" i="4"/>
  <c r="K18" i="11"/>
  <c r="F72" i="1" a="1"/>
  <c r="L32" i="9"/>
  <c r="J12" i="15"/>
  <c r="L38" i="15"/>
  <c r="D62" i="14" a="1"/>
  <c r="E7" i="8"/>
  <c r="E7" i="20" s="1" a="1"/>
  <c r="F60" i="6" a="1"/>
  <c r="V70" i="7" a="1"/>
  <c r="L67" i="7" a="1"/>
  <c r="K63" i="16" a="1"/>
  <c r="H68" i="1" a="1"/>
  <c r="S60" i="13" a="1"/>
  <c r="O71" i="4" a="1"/>
  <c r="W69" i="4" a="1"/>
  <c r="L16" i="9"/>
  <c r="G68" i="13" a="1"/>
  <c r="N58" i="16" a="1"/>
  <c r="O68" i="11" a="1"/>
  <c r="F70" i="11" a="1"/>
  <c r="L19" i="14"/>
  <c r="J59" i="13" a="1"/>
  <c r="M26" i="11"/>
  <c r="L56" i="14" a="1"/>
  <c r="L71" i="15" a="1"/>
  <c r="D64" i="15" a="1"/>
  <c r="J23" i="7"/>
  <c r="X70" i="13" a="1"/>
  <c r="D16" i="13"/>
  <c r="L27" i="13"/>
  <c r="G21" i="13"/>
  <c r="F62" i="4" a="1"/>
  <c r="D10" i="8"/>
  <c r="J55" i="9" a="1"/>
  <c r="I33" i="9"/>
  <c r="T59" i="6" a="1"/>
  <c r="O59" i="13" a="1"/>
  <c r="R71" i="15" a="1"/>
  <c r="I9" i="9"/>
  <c r="E34" i="11"/>
  <c r="R67" i="4" a="1"/>
  <c r="F69" i="7" a="1"/>
  <c r="E22" i="7"/>
  <c r="R62" i="15" a="1"/>
  <c r="M63" i="8" a="1"/>
  <c r="J60" i="4" a="1"/>
  <c r="H57" i="11" a="1"/>
  <c r="D24" i="13"/>
  <c r="H39" i="9"/>
  <c r="E22" i="14"/>
  <c r="F64" i="14" a="1"/>
  <c r="K33" i="15"/>
  <c r="J25" i="8"/>
  <c r="I13" i="9"/>
  <c r="K32" i="4"/>
  <c r="W61" i="15" a="1"/>
  <c r="E62" i="6" a="1"/>
  <c r="D19" i="9"/>
  <c r="G35" i="15"/>
  <c r="X64" i="8" a="1"/>
  <c r="P65" i="13" a="1"/>
  <c r="G14" i="4"/>
  <c r="H68" i="14" a="1"/>
  <c r="L64" i="13" a="1"/>
  <c r="I34" i="9"/>
  <c r="J64" i="4" a="1"/>
  <c r="R56" i="6" a="1"/>
  <c r="M9" i="15"/>
  <c r="O58" i="4" a="1"/>
  <c r="E10" i="11"/>
  <c r="E66" i="7" a="1"/>
  <c r="D60" i="1" a="1"/>
  <c r="J69" i="7" a="1"/>
  <c r="R66" i="6" a="1"/>
  <c r="J63" i="6" a="1"/>
  <c r="J12" i="11"/>
  <c r="R55" i="4" a="1"/>
  <c r="M65" i="6" a="1"/>
  <c r="K9" i="7"/>
  <c r="J67" i="14" a="1"/>
  <c r="R65" i="16" a="1"/>
  <c r="E38" i="18" a="1"/>
  <c r="V56" i="7" a="1"/>
  <c r="F14" i="18" a="1"/>
  <c r="N61" i="16" a="1"/>
  <c r="E27" i="20" a="1"/>
  <c r="S60" i="6" a="1"/>
  <c r="E13" i="4"/>
  <c r="L45" i="18" a="1"/>
  <c r="H39" i="4"/>
  <c r="I41" i="13"/>
  <c r="G19" i="18" a="1"/>
  <c r="H70" i="4" a="1"/>
  <c r="T65" i="7" a="1"/>
  <c r="I65" i="6" a="1"/>
  <c r="G32" i="13"/>
  <c r="X66" i="13" a="1"/>
  <c r="H20" i="7"/>
  <c r="E66" i="14" a="1"/>
  <c r="J38" i="13"/>
  <c r="E10" i="20" a="1"/>
  <c r="K66" i="15" a="1"/>
  <c r="H24" i="8"/>
  <c r="G46" i="11"/>
  <c r="H15" i="11"/>
  <c r="J13" i="18" a="1"/>
  <c r="P55" i="14" a="1"/>
  <c r="M33" i="15"/>
  <c r="F17" i="13"/>
  <c r="H19" i="8"/>
  <c r="L56" i="1" a="1"/>
  <c r="G40" i="4"/>
  <c r="X59" i="6" a="1"/>
  <c r="F44" i="15"/>
  <c r="V68" i="14" a="1"/>
  <c r="M26" i="8"/>
  <c r="J14" i="9"/>
  <c r="W59" i="6" a="1"/>
  <c r="R58" i="11" a="1"/>
  <c r="M40" i="9"/>
  <c r="K42" i="15"/>
  <c r="E64" i="14" a="1"/>
  <c r="G66" i="14" a="1"/>
  <c r="E21" i="9"/>
  <c r="E16" i="7"/>
  <c r="H34" i="4"/>
  <c r="M65" i="14" a="1"/>
  <c r="P61" i="8" a="1"/>
  <c r="K61" i="16" a="1"/>
  <c r="D17" i="11"/>
  <c r="G17" i="15"/>
  <c r="G17" i="18" s="1" a="1"/>
  <c r="E20" i="15"/>
  <c r="F57" i="4" a="1"/>
  <c r="W70" i="8" a="1"/>
  <c r="G41" i="9"/>
  <c r="O55" i="16" a="1"/>
  <c r="F16" i="9"/>
  <c r="F60" i="7" a="1"/>
  <c r="F36" i="11"/>
  <c r="T62" i="1" a="1"/>
  <c r="L35" i="18" a="1"/>
  <c r="H10" i="14"/>
  <c r="X55" i="7" a="1"/>
  <c r="M59" i="11" a="1"/>
  <c r="L67" i="1" a="1"/>
  <c r="G67" i="7" a="1"/>
  <c r="K11" i="13"/>
  <c r="R61" i="13" a="1"/>
  <c r="L58" i="4" a="1"/>
  <c r="K15" i="11"/>
  <c r="J61" i="4" a="1"/>
  <c r="E61" i="4" a="1"/>
  <c r="F56" i="6" a="1"/>
  <c r="L45" i="9"/>
  <c r="J64" i="11" a="1"/>
  <c r="G25" i="9"/>
  <c r="L26" i="8"/>
  <c r="L26" i="20" s="1" a="1"/>
  <c r="T68" i="6" a="1"/>
  <c r="E15" i="14"/>
  <c r="V60" i="7" a="1"/>
  <c r="L63" i="15" a="1"/>
  <c r="H18" i="15"/>
  <c r="U68" i="11" a="1"/>
  <c r="D21" i="13"/>
  <c r="G36" i="18" a="1"/>
  <c r="H12" i="14"/>
  <c r="G69" i="15" a="1"/>
  <c r="W62" i="4" a="1"/>
  <c r="D22" i="13"/>
  <c r="J63" i="14" a="1"/>
  <c r="P58" i="13" a="1"/>
  <c r="T68" i="11" a="1"/>
  <c r="T60" i="13" a="1"/>
  <c r="G44" i="4"/>
  <c r="I71" i="16" a="1"/>
  <c r="L70" i="4" a="1"/>
  <c r="S56" i="15" a="1"/>
  <c r="K60" i="16" a="1"/>
  <c r="L10" i="15"/>
  <c r="G55" i="16" a="1"/>
  <c r="T56" i="13" a="1"/>
  <c r="K12" i="7"/>
  <c r="F23" i="11"/>
  <c r="E62" i="11" a="1"/>
  <c r="Q63" i="6" a="1"/>
  <c r="G56" i="1" a="1"/>
  <c r="F14" i="7"/>
  <c r="D27" i="11"/>
  <c r="M14" i="9"/>
  <c r="R68" i="6" a="1"/>
  <c r="P57" i="11" a="1"/>
  <c r="G71" i="1" a="1"/>
  <c r="F62" i="13" a="1"/>
  <c r="P57" i="14" a="1"/>
  <c r="K16" i="8"/>
  <c r="P67" i="16" a="1"/>
  <c r="V55" i="13" a="1"/>
  <c r="D11" i="8"/>
  <c r="D68" i="7" a="1"/>
  <c r="O57" i="7" a="1"/>
  <c r="X68" i="11" a="1"/>
  <c r="M21" i="8"/>
  <c r="I60" i="11" a="1"/>
  <c r="O67" i="13" a="1"/>
  <c r="T71" i="6" a="1"/>
  <c r="D32" i="11"/>
  <c r="F9" i="18" a="1"/>
  <c r="R61" i="16" a="1"/>
  <c r="E66" i="6" a="1"/>
  <c r="W69" i="6" a="1"/>
  <c r="K20" i="15"/>
  <c r="K12" i="20" a="1"/>
  <c r="I59" i="16" a="1"/>
  <c r="I9" i="11"/>
  <c r="M64" i="11" a="1"/>
  <c r="G43" i="11"/>
  <c r="G43" i="18" s="1" a="1"/>
  <c r="T67" i="15" a="1"/>
  <c r="J20" i="11"/>
  <c r="J20" i="18" s="1" a="1"/>
  <c r="J61" i="8" a="1"/>
  <c r="M64" i="4" a="1"/>
  <c r="K35" i="11"/>
  <c r="D9" i="7"/>
  <c r="H64" i="8" a="1"/>
  <c r="L60" i="16" a="1"/>
  <c r="X56" i="8" a="1"/>
  <c r="L61" i="8" a="1"/>
  <c r="M13" i="18" a="1"/>
  <c r="H37" i="4"/>
  <c r="D47" i="11"/>
  <c r="J17" i="14"/>
  <c r="G46" i="9"/>
  <c r="O56" i="14" a="1"/>
  <c r="T68" i="13" a="1"/>
  <c r="I24" i="14"/>
  <c r="V56" i="16" a="1"/>
  <c r="E21" i="13"/>
  <c r="G21" i="20" a="1"/>
  <c r="J25" i="4"/>
  <c r="G58" i="11" a="1"/>
  <c r="G19" i="13"/>
  <c r="J25" i="15"/>
  <c r="H19" i="15"/>
  <c r="H19" i="18" s="1" a="1"/>
  <c r="V61" i="4" a="1"/>
  <c r="K48" i="15"/>
  <c r="K48" i="18" s="1" a="1"/>
  <c r="F62" i="8" a="1"/>
  <c r="E68" i="13" a="1"/>
  <c r="X68" i="13" a="1"/>
  <c r="O61" i="6" a="1"/>
  <c r="E61" i="15" a="1"/>
  <c r="V63" i="14" a="1"/>
  <c r="L47" i="18" a="1"/>
  <c r="I17" i="7"/>
  <c r="L67" i="4" a="1"/>
  <c r="G65" i="1" a="1"/>
  <c r="I55" i="7" a="1"/>
  <c r="Q57" i="15" a="1"/>
  <c r="D56" i="13" a="1"/>
  <c r="I55" i="6" a="1"/>
  <c r="X61" i="8" a="1"/>
  <c r="J65" i="16" a="1"/>
  <c r="M22" i="14"/>
  <c r="V62" i="6" a="1"/>
  <c r="J66" i="7" a="1"/>
  <c r="H69" i="8" a="1"/>
  <c r="O67" i="6" a="1"/>
  <c r="M23" i="9"/>
  <c r="O60" i="15" a="1"/>
  <c r="N59" i="16" a="1"/>
  <c r="L59" i="15" a="1"/>
  <c r="G25" i="7"/>
  <c r="H34" i="15"/>
  <c r="V56" i="1" a="1"/>
  <c r="I14" i="9"/>
  <c r="Q69" i="14" a="1"/>
  <c r="E40" i="11"/>
  <c r="S58" i="7" a="1"/>
  <c r="N58" i="11" a="1"/>
  <c r="F7" i="8"/>
  <c r="T56" i="8" a="1"/>
  <c r="L36" i="11"/>
  <c r="X69" i="6" a="1"/>
  <c r="Q63" i="13" a="1"/>
  <c r="R63" i="6" a="1"/>
  <c r="I61" i="8" a="1"/>
  <c r="Q63" i="1" a="1"/>
  <c r="E67" i="6" a="1"/>
  <c r="X63" i="15" a="1"/>
  <c r="G69" i="13" a="1"/>
  <c r="L17" i="7"/>
  <c r="M57" i="13" a="1"/>
  <c r="L14" i="13"/>
  <c r="D23" i="7"/>
  <c r="E69" i="4" a="1"/>
  <c r="I7" i="13"/>
  <c r="Q58" i="14" a="1"/>
  <c r="J9" i="11"/>
  <c r="H43" i="11"/>
  <c r="H43" i="18" s="1" a="1"/>
  <c r="F47" i="13"/>
  <c r="J22" i="8"/>
  <c r="D39" i="15"/>
  <c r="K55" i="12" a="1"/>
  <c r="X68" i="16" a="1"/>
  <c r="I57" i="15" a="1"/>
  <c r="I17" i="13"/>
  <c r="V67" i="4" a="1"/>
  <c r="P55" i="12" a="1"/>
  <c r="F58" i="8" a="1"/>
  <c r="T69" i="16" a="1"/>
  <c r="S67" i="7" a="1"/>
  <c r="E27" i="13"/>
  <c r="W59" i="11" a="1"/>
  <c r="P59" i="4" a="1"/>
  <c r="J9" i="15"/>
  <c r="S64" i="4" a="1"/>
  <c r="G26" i="9"/>
  <c r="K56" i="15" a="1"/>
  <c r="Q70" i="13" a="1"/>
  <c r="W70" i="11" a="1"/>
  <c r="S57" i="1" a="1"/>
  <c r="D65" i="14" a="1"/>
  <c r="M63" i="13" a="1"/>
  <c r="P61" i="11" a="1"/>
  <c r="O65" i="8" a="1"/>
  <c r="T64" i="16" a="1"/>
  <c r="X66" i="6" a="1"/>
  <c r="F24" i="4"/>
  <c r="G45" i="15"/>
  <c r="Q59" i="11" a="1"/>
  <c r="L63" i="1" a="1"/>
  <c r="L16" i="11"/>
  <c r="U63" i="4" a="1"/>
  <c r="D48" i="15"/>
  <c r="G70" i="14" a="1"/>
  <c r="J18" i="18" a="1"/>
  <c r="D67" i="4" a="1"/>
  <c r="G9" i="13"/>
  <c r="F36" i="4"/>
  <c r="H17" i="11"/>
  <c r="L58" i="15" a="1"/>
  <c r="D65" i="11" a="1"/>
  <c r="K22" i="7"/>
  <c r="S64" i="16" a="1"/>
  <c r="F14" i="20" a="1"/>
  <c r="I47" i="15"/>
  <c r="G10" i="9"/>
  <c r="I17" i="9"/>
  <c r="G33" i="11"/>
  <c r="V64" i="6" a="1"/>
  <c r="X67" i="8" a="1"/>
  <c r="N55" i="14" a="1"/>
  <c r="X57" i="6" a="1"/>
  <c r="L56" i="8" a="1"/>
  <c r="G16" i="11"/>
  <c r="E39" i="13"/>
  <c r="J7" i="11"/>
  <c r="J71" i="1" a="1"/>
  <c r="K34" i="9"/>
  <c r="L58" i="13" a="1"/>
  <c r="H25" i="11"/>
  <c r="U70" i="6" a="1"/>
  <c r="G40" i="9"/>
  <c r="K36" i="11"/>
  <c r="I8" i="15"/>
  <c r="K15" i="14"/>
  <c r="K15" i="20" s="1" a="1"/>
  <c r="U70" i="4" a="1"/>
  <c r="D18" i="4"/>
  <c r="D13" i="8"/>
  <c r="D13" i="20" s="1" a="1"/>
  <c r="K14" i="9"/>
  <c r="U55" i="4" a="1"/>
  <c r="G58" i="7" a="1"/>
  <c r="E44" i="11"/>
  <c r="E15" i="8"/>
  <c r="F10" i="8"/>
  <c r="U69" i="1" a="1"/>
  <c r="G62" i="7" a="1"/>
  <c r="L58" i="7" a="1"/>
  <c r="U65" i="1" a="1"/>
  <c r="I71" i="15" a="1"/>
  <c r="I69" i="1" a="1"/>
  <c r="E38" i="13"/>
  <c r="M33" i="11"/>
  <c r="L68" i="15" a="1"/>
  <c r="U62" i="15" a="1"/>
  <c r="H68" i="13" a="1"/>
  <c r="S68" i="1" a="1"/>
  <c r="F40" i="15"/>
  <c r="H11" i="8"/>
  <c r="V58" i="4" a="1"/>
  <c r="P63" i="16" a="1"/>
  <c r="H21" i="4"/>
  <c r="E8" i="13"/>
  <c r="J70" i="4" a="1"/>
  <c r="D21" i="8"/>
  <c r="E65" i="11" a="1"/>
  <c r="R59" i="14" a="1"/>
  <c r="L7" i="9"/>
  <c r="T69" i="8" a="1"/>
  <c r="F56" i="13" a="1"/>
  <c r="O66" i="13" a="1"/>
  <c r="K66" i="11" a="1"/>
  <c r="L9" i="8"/>
  <c r="M26" i="7"/>
  <c r="M70" i="14" a="1"/>
  <c r="K62" i="13" a="1"/>
  <c r="G17" i="8"/>
  <c r="E11" i="7"/>
  <c r="X67" i="4" a="1"/>
  <c r="T59" i="14" a="1"/>
  <c r="G26" i="7"/>
  <c r="E11" i="8"/>
  <c r="N65" i="4" a="1"/>
  <c r="J9" i="7"/>
  <c r="M15" i="9"/>
  <c r="L70" i="6" a="1"/>
  <c r="Q64" i="7" a="1"/>
  <c r="L68" i="4" a="1"/>
  <c r="F55" i="16" a="1"/>
  <c r="L27" i="8"/>
  <c r="E26" i="9"/>
  <c r="L43" i="15"/>
  <c r="G45" i="4"/>
  <c r="I64" i="7" a="1"/>
  <c r="M20" i="15"/>
  <c r="M20" i="18" s="1" a="1"/>
  <c r="Q60" i="4" a="1"/>
  <c r="D10" i="9"/>
  <c r="M61" i="7" a="1"/>
  <c r="G41" i="4"/>
  <c r="I69" i="4" a="1"/>
  <c r="M56" i="4" a="1"/>
  <c r="Q58" i="13" a="1"/>
  <c r="W70" i="13" a="1"/>
  <c r="D66" i="15" a="1"/>
  <c r="X68" i="4" a="1"/>
  <c r="F57" i="14" a="1"/>
  <c r="M22" i="8"/>
  <c r="D23" i="4"/>
  <c r="P61" i="16" a="1"/>
  <c r="F47" i="11"/>
  <c r="J70" i="14" a="1"/>
  <c r="G8" i="11"/>
  <c r="F41" i="15"/>
  <c r="F41" i="18" s="1" a="1"/>
  <c r="P60" i="11" a="1"/>
  <c r="W67" i="13" a="1"/>
  <c r="D71" i="11" a="1"/>
  <c r="K13" i="7"/>
  <c r="N57" i="11" a="1"/>
  <c r="X68" i="14" a="1"/>
  <c r="V63" i="15" a="1"/>
  <c r="F19" i="11"/>
  <c r="F19" i="18" s="1" a="1"/>
  <c r="J25" i="14"/>
  <c r="P55" i="16" a="1"/>
  <c r="W65" i="6" a="1"/>
  <c r="E36" i="4"/>
  <c r="K16" i="13"/>
  <c r="E26" i="13"/>
  <c r="J41" i="18" a="1"/>
  <c r="J34" i="18" a="1"/>
  <c r="H35" i="18" a="1"/>
  <c r="L38" i="11"/>
  <c r="K70" i="7" a="1"/>
  <c r="E24" i="20" a="1"/>
  <c r="K17" i="7"/>
  <c r="J36" i="11"/>
  <c r="L44" i="15"/>
  <c r="W61" i="11" a="1"/>
  <c r="V55" i="7" a="1"/>
  <c r="F9" i="9"/>
  <c r="K66" i="1" a="1"/>
  <c r="H37" i="15"/>
  <c r="N71" i="4" a="1"/>
  <c r="V68" i="1" a="1"/>
  <c r="G42" i="13"/>
  <c r="H16" i="14"/>
  <c r="H16" i="20" s="1" a="1"/>
  <c r="D17" i="9"/>
  <c r="N67" i="15" a="1"/>
  <c r="K67" i="13" a="1"/>
  <c r="E66" i="8" a="1"/>
  <c r="L32" i="4"/>
  <c r="K12" i="11"/>
  <c r="D62" i="6" a="1"/>
  <c r="K27" i="7"/>
  <c r="G27" i="11"/>
  <c r="H71" i="8" a="1"/>
  <c r="F13" i="7"/>
  <c r="N69" i="6" a="1"/>
  <c r="F44" i="9"/>
  <c r="N61" i="6" a="1"/>
  <c r="F7" i="7"/>
  <c r="R69" i="13" a="1"/>
  <c r="M16" i="20" a="1"/>
  <c r="L15" i="4"/>
  <c r="E69" i="8" a="1"/>
  <c r="I65" i="15" a="1"/>
  <c r="K14" i="14"/>
  <c r="R59" i="16" a="1"/>
  <c r="H37" i="9"/>
  <c r="J12" i="4"/>
  <c r="L22" i="4"/>
  <c r="E19" i="14"/>
  <c r="L62" i="11" a="1"/>
  <c r="P71" i="14" a="1"/>
  <c r="H46" i="4"/>
  <c r="F18" i="13"/>
  <c r="O56" i="13" a="1"/>
  <c r="G55" i="12" a="1"/>
  <c r="Q71" i="6" a="1"/>
  <c r="O68" i="7" a="1"/>
  <c r="K25" i="20" a="1"/>
  <c r="M23" i="18" a="1"/>
  <c r="I8" i="9"/>
  <c r="H71" i="6" a="1"/>
  <c r="J20" i="7"/>
  <c r="G17" i="14"/>
  <c r="T71" i="8" a="1"/>
  <c r="F66" i="6" a="1"/>
  <c r="H56" i="11" a="1"/>
  <c r="T62" i="13" a="1"/>
  <c r="I26" i="13"/>
  <c r="K24" i="20" a="1"/>
  <c r="D14" i="20" a="1"/>
  <c r="D7" i="11"/>
  <c r="D57" i="4" a="1"/>
  <c r="L34" i="18" a="1"/>
  <c r="N63" i="4" a="1"/>
  <c r="I65" i="11" a="1"/>
  <c r="E65" i="6" a="1"/>
  <c r="L7" i="20" a="1"/>
  <c r="I65" i="14" a="1"/>
  <c r="F34" i="13"/>
  <c r="F7" i="13"/>
  <c r="D27" i="4"/>
  <c r="J37" i="4"/>
  <c r="I67" i="16" a="1"/>
  <c r="E63" i="1" a="1"/>
  <c r="X62" i="6" a="1"/>
  <c r="F70" i="15" a="1"/>
  <c r="L36" i="18" a="1"/>
  <c r="T62" i="6" a="1"/>
  <c r="H72" i="1" a="1"/>
  <c r="D14" i="11"/>
  <c r="D7" i="18" a="1"/>
  <c r="M66" i="11" a="1"/>
  <c r="E8" i="18" a="1"/>
  <c r="J11" i="9"/>
  <c r="J15" i="8"/>
  <c r="O63" i="15" a="1"/>
  <c r="L23" i="11"/>
  <c r="K13" i="14"/>
  <c r="H27" i="20" a="1"/>
  <c r="F70" i="14" a="1"/>
  <c r="I60" i="4" a="1"/>
  <c r="E20" i="14"/>
  <c r="F22" i="20" a="1"/>
  <c r="D38" i="18" a="1"/>
  <c r="G37" i="13"/>
  <c r="M69" i="6" a="1"/>
  <c r="V63" i="16" a="1"/>
  <c r="Q68" i="6" a="1"/>
  <c r="E33" i="13"/>
  <c r="E11" i="15"/>
  <c r="H59" i="7" a="1"/>
  <c r="N71" i="14" a="1"/>
  <c r="G44" i="18" a="1"/>
  <c r="H48" i="18" a="1"/>
  <c r="P69" i="7" a="1"/>
  <c r="D46" i="18" a="1"/>
  <c r="D62" i="4" a="1"/>
  <c r="H20" i="8"/>
  <c r="J72" i="1" a="1"/>
  <c r="E71" i="8" a="1"/>
  <c r="L60" i="1" a="1"/>
  <c r="M34" i="4"/>
  <c r="M34" i="18" s="1" a="1"/>
  <c r="F61" i="16" a="1"/>
  <c r="K62" i="1" a="1"/>
  <c r="F8" i="13"/>
  <c r="P69" i="1" a="1"/>
  <c r="G61" i="4" a="1"/>
  <c r="G32" i="9"/>
  <c r="K23" i="4"/>
  <c r="K23" i="18" s="1" a="1"/>
  <c r="G61" i="7" a="1"/>
  <c r="S58" i="6" a="1"/>
  <c r="N60" i="16" a="1"/>
  <c r="E37" i="13"/>
  <c r="R64" i="15" a="1"/>
  <c r="G64" i="11" a="1"/>
  <c r="V59" i="13" a="1"/>
  <c r="M65" i="15" a="1"/>
  <c r="T61" i="1" a="1"/>
  <c r="J25" i="13"/>
  <c r="J7" i="8"/>
  <c r="O66" i="7" a="1"/>
  <c r="O69" i="15" a="1"/>
  <c r="M58" i="13" a="1"/>
  <c r="M11" i="20" a="1"/>
  <c r="E14" i="9"/>
  <c r="H25" i="20" a="1"/>
  <c r="E65" i="16" a="1"/>
  <c r="L57" i="4" a="1"/>
  <c r="I55" i="13" a="1"/>
  <c r="X66" i="16" a="1"/>
  <c r="K25" i="4"/>
  <c r="V69" i="8" a="1"/>
  <c r="K38" i="9"/>
  <c r="J66" i="13" a="1"/>
  <c r="F10" i="20" a="1"/>
  <c r="D21" i="18" a="1"/>
  <c r="V72" i="1" a="1"/>
  <c r="M17" i="7"/>
  <c r="M17" i="20" s="1" a="1"/>
  <c r="H9" i="7"/>
  <c r="L20" i="20" a="1"/>
  <c r="S66" i="13" a="1"/>
  <c r="D56" i="11" a="1"/>
  <c r="D32" i="9"/>
  <c r="L62" i="4" a="1"/>
  <c r="H11" i="20" a="1"/>
  <c r="R68" i="8" a="1"/>
  <c r="I34" i="18" a="1"/>
  <c r="T55" i="7" a="1"/>
  <c r="G23" i="20" a="1"/>
  <c r="W57" i="14" a="1"/>
  <c r="J22" i="15"/>
  <c r="E15" i="18" a="1"/>
  <c r="D27" i="13"/>
  <c r="R57" i="7" a="1"/>
  <c r="O61" i="13" a="1"/>
  <c r="L17" i="4"/>
  <c r="J27" i="15"/>
  <c r="K65" i="16" a="1"/>
  <c r="U55" i="12" a="1"/>
  <c r="F18" i="18" a="1"/>
  <c r="D22" i="8"/>
  <c r="L61" i="6" a="1"/>
  <c r="O58" i="8" a="1"/>
  <c r="J68" i="13" a="1"/>
  <c r="L14" i="14"/>
  <c r="J61" i="11" a="1"/>
  <c r="M10" i="7"/>
  <c r="E11" i="18" a="1"/>
  <c r="O58" i="13" a="1"/>
  <c r="H20" i="18" a="1"/>
  <c r="K22" i="14"/>
  <c r="K70" i="4" a="1"/>
  <c r="G55" i="13" a="1"/>
  <c r="I55" i="11" a="1"/>
  <c r="S69" i="6" a="1"/>
  <c r="G11" i="20" a="1"/>
  <c r="G70" i="15" a="1"/>
  <c r="I14" i="18" a="1"/>
  <c r="R60" i="4" a="1"/>
  <c r="E47" i="13"/>
  <c r="G7" i="14"/>
  <c r="L40" i="9"/>
  <c r="H55" i="13" a="1"/>
  <c r="D39" i="11"/>
  <c r="D39" i="18" s="1" a="1"/>
  <c r="O57" i="16" a="1"/>
  <c r="H21" i="18" a="1"/>
  <c r="J13" i="9"/>
  <c r="G21" i="9"/>
  <c r="M12" i="18" a="1"/>
  <c r="H10" i="7"/>
  <c r="M60" i="7" a="1"/>
  <c r="D10" i="11"/>
  <c r="D58" i="15" a="1"/>
  <c r="J48" i="4"/>
  <c r="S65" i="7" a="1"/>
  <c r="E21" i="7"/>
  <c r="O66" i="4" a="1"/>
  <c r="P63" i="8" a="1"/>
  <c r="M58" i="8" a="1"/>
  <c r="M63" i="16" a="1"/>
  <c r="D65" i="7" a="1"/>
  <c r="G12" i="7"/>
  <c r="F40" i="11"/>
  <c r="G19" i="14"/>
  <c r="G71" i="11" a="1"/>
  <c r="M25" i="20" a="1"/>
  <c r="T71" i="11" a="1"/>
  <c r="R63" i="1" a="1"/>
  <c r="V60" i="6" a="1"/>
  <c r="E22" i="11"/>
  <c r="E26" i="20" a="1"/>
  <c r="G16" i="20" a="1"/>
  <c r="J26" i="18" a="1"/>
  <c r="F22" i="4"/>
  <c r="H70" i="1" a="1"/>
  <c r="F47" i="15"/>
  <c r="F58" i="6" a="1"/>
  <c r="P62" i="16" a="1"/>
  <c r="N61" i="8" a="1"/>
  <c r="H63" i="14" a="1"/>
  <c r="N68" i="6" a="1"/>
  <c r="W65" i="1" a="1"/>
  <c r="U69" i="13" a="1"/>
  <c r="R71" i="4" a="1"/>
  <c r="T70" i="6" a="1"/>
  <c r="J65" i="8" a="1"/>
  <c r="S67" i="8" a="1"/>
  <c r="V55" i="15" a="1"/>
  <c r="O64" i="15" a="1"/>
  <c r="R64" i="7" a="1"/>
  <c r="W59" i="1" a="1"/>
  <c r="E17" i="4"/>
  <c r="M55" i="15" a="1"/>
  <c r="N67" i="11" a="1"/>
  <c r="K22" i="13"/>
  <c r="J56" i="13" a="1"/>
  <c r="L55" i="6" a="1"/>
  <c r="S59" i="13" a="1"/>
  <c r="G64" i="4" a="1"/>
  <c r="F42" i="15"/>
  <c r="G18" i="8"/>
  <c r="W65" i="11" a="1"/>
  <c r="E17" i="13"/>
  <c r="L40" i="13"/>
  <c r="H9" i="4"/>
  <c r="D36" i="9"/>
  <c r="D15" i="18" a="1"/>
  <c r="H17" i="9"/>
  <c r="I7" i="18" a="1"/>
  <c r="K58" i="11" a="1"/>
  <c r="J59" i="4" a="1"/>
  <c r="F25" i="4"/>
  <c r="W58" i="13" a="1"/>
  <c r="J56" i="11" a="1"/>
  <c r="X62" i="7" a="1"/>
  <c r="L43" i="13"/>
  <c r="H18" i="8"/>
  <c r="O62" i="11" a="1"/>
  <c r="I13" i="20" a="1"/>
  <c r="G67" i="11" a="1"/>
  <c r="D64" i="4" a="1"/>
  <c r="I42" i="4"/>
  <c r="L12" i="11"/>
  <c r="Q55" i="14" a="1"/>
  <c r="I21" i="7"/>
  <c r="H21" i="20" a="1"/>
  <c r="M11" i="18" a="1"/>
  <c r="L26" i="18" a="1"/>
  <c r="E35" i="11"/>
  <c r="T56" i="6" a="1"/>
  <c r="T55" i="8" a="1"/>
  <c r="S63" i="6" a="1"/>
  <c r="Q59" i="13" a="1"/>
  <c r="U56" i="1" a="1"/>
  <c r="N61" i="7" a="1"/>
  <c r="H61" i="13" a="1"/>
  <c r="I11" i="15"/>
  <c r="H69" i="13" a="1"/>
  <c r="S68" i="13" a="1"/>
  <c r="G8" i="7"/>
  <c r="Q57" i="1" a="1"/>
  <c r="G9" i="20" a="1"/>
  <c r="T65" i="15" a="1"/>
  <c r="M68" i="1" a="1"/>
  <c r="D11" i="4"/>
  <c r="G17" i="20" a="1"/>
  <c r="M45" i="11"/>
  <c r="G20" i="11"/>
  <c r="E34" i="13"/>
  <c r="L19" i="7"/>
  <c r="M8" i="20" a="1"/>
  <c r="F60" i="15" a="1"/>
  <c r="K13" i="20" a="1"/>
  <c r="N56" i="4" a="1"/>
  <c r="I9" i="18" a="1"/>
  <c r="G8" i="14"/>
  <c r="N55" i="13" a="1"/>
  <c r="E22" i="15"/>
  <c r="S62" i="13" a="1"/>
  <c r="I26" i="11"/>
  <c r="L21" i="18" a="1"/>
  <c r="I62" i="11" a="1"/>
  <c r="W61" i="1" a="1"/>
  <c r="L13" i="18" a="1"/>
  <c r="H47" i="4"/>
  <c r="I24" i="4"/>
  <c r="M48" i="15"/>
  <c r="E58" i="16" a="1"/>
  <c r="E67" i="15" a="1"/>
  <c r="P61" i="7" a="1"/>
  <c r="F61" i="1" a="1"/>
  <c r="L15" i="13"/>
  <c r="E19" i="8"/>
  <c r="I46" i="4"/>
  <c r="I46" i="18" s="1" a="1"/>
  <c r="F55" i="8" a="1"/>
  <c r="M39" i="11"/>
  <c r="M39" i="18" s="1" a="1"/>
  <c r="E14" i="15"/>
  <c r="X64" i="15" a="1"/>
  <c r="R70" i="4" a="1"/>
  <c r="P56" i="15" a="1"/>
  <c r="X60" i="11" a="1"/>
  <c r="Q61" i="7" a="1"/>
  <c r="K9" i="4"/>
  <c r="K9" i="18" s="1" a="1"/>
  <c r="K63" i="6" a="1"/>
  <c r="F21" i="14"/>
  <c r="I67" i="1" a="1"/>
  <c r="V57" i="4" a="1"/>
  <c r="U68" i="13" a="1"/>
  <c r="K20" i="20" a="1"/>
  <c r="I38" i="15"/>
  <c r="I38" i="18" s="1" a="1"/>
  <c r="X58" i="15" a="1"/>
  <c r="F57" i="13" a="1"/>
  <c r="J56" i="4" a="1"/>
  <c r="E58" i="1" a="1"/>
  <c r="H41" i="15"/>
  <c r="I16" i="8"/>
  <c r="I37" i="15"/>
  <c r="H15" i="13"/>
  <c r="D70" i="11" a="1"/>
  <c r="H7" i="20" a="1"/>
  <c r="P64" i="1" a="1"/>
  <c r="D33" i="13"/>
  <c r="L11" i="13"/>
  <c r="H27" i="15"/>
  <c r="G35" i="4"/>
  <c r="M59" i="6" a="1"/>
  <c r="J18" i="9"/>
  <c r="V59" i="4" a="1"/>
  <c r="K47" i="18" a="1"/>
  <c r="S70" i="8" a="1"/>
  <c r="D70" i="14" a="1"/>
  <c r="F23" i="18" a="1"/>
  <c r="G38" i="4"/>
  <c r="I66" i="11" a="1"/>
  <c r="I36" i="13"/>
  <c r="F34" i="4"/>
  <c r="K22" i="15"/>
  <c r="K60" i="15" a="1"/>
  <c r="E7" i="15"/>
  <c r="F58" i="11" a="1"/>
  <c r="D61" i="14" a="1"/>
  <c r="M12" i="20" a="1"/>
  <c r="D21" i="20" a="1"/>
  <c r="N71" i="7" a="1"/>
  <c r="R70" i="7" a="1"/>
  <c r="M64" i="6" a="1"/>
  <c r="E45" i="4"/>
  <c r="J20" i="8"/>
  <c r="K42" i="4"/>
  <c r="T66" i="6" a="1"/>
  <c r="K42" i="18" a="1"/>
  <c r="X63" i="13" a="1"/>
  <c r="H20" i="20" a="1"/>
  <c r="F60" i="8" a="1"/>
  <c r="O57" i="11" a="1"/>
  <c r="D66" i="4" a="1"/>
  <c r="K25" i="18" a="1"/>
  <c r="G58" i="13" a="1"/>
  <c r="Q67" i="8" a="1"/>
  <c r="H26" i="4"/>
  <c r="J60" i="15" a="1"/>
  <c r="J63" i="8" a="1"/>
  <c r="L43" i="18" a="1"/>
  <c r="M64" i="13" a="1"/>
  <c r="F44" i="11"/>
  <c r="D27" i="18" a="1"/>
  <c r="F33" i="15"/>
  <c r="E25" i="8"/>
  <c r="H38" i="18" a="1"/>
  <c r="E7" i="18" a="1"/>
  <c r="K32" i="13"/>
  <c r="O55" i="13" a="1"/>
  <c r="J8" i="18" a="1"/>
  <c r="E19" i="20" a="1"/>
  <c r="G32" i="18" a="1"/>
  <c r="M19" i="20" a="1"/>
  <c r="K14" i="18" a="1"/>
  <c r="M15" i="14"/>
  <c r="I20" i="8"/>
  <c r="I20" i="20" s="1" a="1"/>
  <c r="M43" i="18" a="1"/>
  <c r="T64" i="1" a="1"/>
  <c r="X65" i="15" a="1"/>
  <c r="H23" i="18" a="1"/>
  <c r="S63" i="8" a="1"/>
  <c r="D7" i="7"/>
  <c r="O57" i="1" a="1"/>
  <c r="L42" i="4"/>
  <c r="L42" i="18" s="1" a="1"/>
  <c r="D68" i="11" a="1"/>
  <c r="E16" i="20" a="1"/>
  <c r="L15" i="15"/>
  <c r="K10" i="8"/>
  <c r="M67" i="11" a="1"/>
  <c r="P56" i="8" a="1"/>
  <c r="G57" i="4" a="1"/>
  <c r="F39" i="9"/>
  <c r="S59" i="16" a="1"/>
  <c r="T55" i="16" a="1"/>
  <c r="H47" i="9"/>
  <c r="R61" i="11" a="1"/>
  <c r="D34" i="4"/>
  <c r="O59" i="4" a="1"/>
  <c r="I35" i="13"/>
  <c r="P65" i="6" a="1"/>
  <c r="I21" i="8"/>
  <c r="H44" i="4"/>
  <c r="I26" i="7"/>
  <c r="E68" i="14" a="1"/>
  <c r="D68" i="13" a="1"/>
  <c r="K59" i="11" a="1"/>
  <c r="K17" i="14"/>
  <c r="D9" i="13"/>
  <c r="O58" i="1" a="1"/>
  <c r="J57" i="4" a="1"/>
  <c r="T58" i="4" a="1"/>
  <c r="J42" i="11"/>
  <c r="J42" i="18" s="1" a="1"/>
  <c r="X67" i="14" a="1"/>
  <c r="E42" i="18" a="1"/>
  <c r="X63" i="7" a="1"/>
  <c r="K16" i="20" a="1"/>
  <c r="F24" i="7"/>
  <c r="H70" i="14" a="1"/>
  <c r="K57" i="7" a="1"/>
  <c r="J19" i="20" a="1"/>
  <c r="E40" i="13"/>
  <c r="H37" i="13"/>
  <c r="K58" i="7" a="1"/>
  <c r="D55" i="11" a="1"/>
  <c r="H33" i="9"/>
  <c r="G15" i="14"/>
  <c r="I36" i="4"/>
  <c r="J12" i="9"/>
  <c r="K26" i="11"/>
  <c r="J39" i="4"/>
  <c r="E13" i="18" a="1"/>
  <c r="H58" i="11" a="1"/>
  <c r="M14" i="11"/>
  <c r="F60" i="11" a="1"/>
  <c r="N69" i="7" a="1"/>
  <c r="V68" i="13" a="1"/>
  <c r="M35" i="4"/>
  <c r="K27" i="8"/>
  <c r="V66" i="7" a="1"/>
  <c r="E34" i="4"/>
  <c r="F57" i="8" a="1"/>
  <c r="M9" i="18" a="1"/>
  <c r="E45" i="15"/>
  <c r="P67" i="6" a="1"/>
  <c r="D36" i="18" a="1"/>
  <c r="V57" i="1" a="1"/>
  <c r="J57" i="7" a="1"/>
  <c r="K40" i="13"/>
  <c r="G35" i="11"/>
  <c r="J47" i="18" a="1"/>
  <c r="W70" i="6" a="1"/>
  <c r="M67" i="1" a="1"/>
  <c r="L23" i="20" a="1"/>
  <c r="H10" i="18" a="1"/>
  <c r="J12" i="18" a="1"/>
  <c r="M10" i="15"/>
  <c r="F63" i="13" a="1"/>
  <c r="N70" i="7" a="1"/>
  <c r="M42" i="4"/>
  <c r="S59" i="14" a="1"/>
  <c r="N60" i="11" a="1"/>
  <c r="F70" i="7" a="1"/>
  <c r="K16" i="11"/>
  <c r="N67" i="7" a="1"/>
  <c r="U65" i="4" a="1"/>
  <c r="J13" i="7"/>
  <c r="V62" i="11" a="1"/>
  <c r="Q68" i="1" a="1"/>
  <c r="M20" i="7"/>
  <c r="D26" i="18" a="1"/>
  <c r="D46" i="13"/>
  <c r="L71" i="6" a="1"/>
  <c r="N62" i="11" a="1"/>
  <c r="D66" i="13" a="1"/>
  <c r="D20" i="7"/>
  <c r="V55" i="6" a="1"/>
  <c r="D7" i="8"/>
  <c r="D15" i="7"/>
  <c r="M44" i="18" a="1"/>
  <c r="W65" i="4" a="1"/>
  <c r="G48" i="15"/>
  <c r="K15" i="13"/>
  <c r="W67" i="4" a="1"/>
  <c r="L66" i="11" a="1"/>
  <c r="M27" i="11"/>
  <c r="F59" i="11" a="1"/>
  <c r="V60" i="11" a="1"/>
  <c r="N64" i="8" a="1"/>
  <c r="K55" i="11" a="1"/>
  <c r="M33" i="18" a="1"/>
  <c r="F26" i="20" a="1"/>
  <c r="F15" i="11"/>
  <c r="F15" i="18" s="1" a="1"/>
  <c r="G64" i="16" a="1"/>
  <c r="H42" i="4"/>
  <c r="L9" i="20" a="1"/>
  <c r="K7" i="18" a="1"/>
  <c r="I20" i="13"/>
  <c r="T60" i="4" a="1"/>
  <c r="D19" i="13"/>
  <c r="I26" i="15"/>
  <c r="J64" i="15" a="1"/>
  <c r="D32" i="13"/>
  <c r="M67" i="6" a="1"/>
  <c r="H13" i="13"/>
  <c r="K37" i="4"/>
  <c r="F61" i="7" a="1"/>
  <c r="E9" i="14"/>
  <c r="J23" i="20" a="1"/>
  <c r="X57" i="16" a="1"/>
  <c r="H34" i="18" a="1"/>
  <c r="N69" i="16" a="1"/>
  <c r="G20" i="13"/>
  <c r="F43" i="4"/>
  <c r="F25" i="11"/>
  <c r="G69" i="7" a="1"/>
  <c r="H58" i="1" a="1"/>
  <c r="G10" i="14"/>
  <c r="K62" i="11" a="1"/>
  <c r="G44" i="13"/>
  <c r="D45" i="9"/>
  <c r="M69" i="16" a="1"/>
  <c r="J32" i="4"/>
  <c r="M32" i="13"/>
  <c r="H12" i="8"/>
  <c r="H12" i="20" s="1" a="1"/>
  <c r="R69" i="15" a="1"/>
  <c r="G59" i="1" a="1"/>
  <c r="M18" i="9"/>
  <c r="L16" i="4"/>
  <c r="X69" i="7" a="1"/>
  <c r="I22" i="20" a="1"/>
  <c r="I57" i="1" a="1"/>
  <c r="K9" i="20" a="1"/>
  <c r="G71" i="4" a="1"/>
  <c r="H40" i="9"/>
  <c r="E8" i="14"/>
  <c r="F21" i="20" a="1"/>
  <c r="H39" i="11"/>
  <c r="L47" i="13"/>
  <c r="N64" i="7" a="1"/>
  <c r="G38" i="11"/>
  <c r="S65" i="11" a="1"/>
  <c r="S61" i="13" a="1"/>
  <c r="H45" i="4"/>
  <c r="H45" i="18" s="1" a="1"/>
  <c r="F7" i="18" a="1"/>
  <c r="E20" i="18" a="1"/>
  <c r="H40" i="4"/>
  <c r="I26" i="20" a="1"/>
  <c r="K17" i="13"/>
  <c r="J68" i="14" a="1"/>
  <c r="F27" i="11"/>
  <c r="I35" i="4"/>
  <c r="I35" i="18" s="1" a="1"/>
  <c r="J62" i="7" a="1"/>
  <c r="M13" i="7"/>
  <c r="K12" i="18" a="1"/>
  <c r="P66" i="11" a="1"/>
  <c r="L55" i="9" a="1"/>
  <c r="J35" i="18" a="1"/>
  <c r="M26" i="20" a="1"/>
  <c r="K57" i="11" a="1"/>
  <c r="K24" i="9"/>
  <c r="M47" i="13"/>
  <c r="M24" i="8"/>
  <c r="V58" i="6" a="1"/>
  <c r="R60" i="1" a="1"/>
  <c r="N66" i="11" a="1"/>
  <c r="F47" i="18" a="1"/>
  <c r="M47" i="4"/>
  <c r="L41" i="11"/>
  <c r="H63" i="4" a="1"/>
  <c r="G26" i="11"/>
  <c r="J60" i="7" a="1"/>
  <c r="P71" i="16" a="1"/>
  <c r="F7" i="20" a="1"/>
  <c r="N71" i="1" a="1"/>
  <c r="O62" i="13" a="1"/>
  <c r="K10" i="13"/>
  <c r="K13" i="4"/>
  <c r="L16" i="18" a="1"/>
  <c r="D56" i="7" a="1"/>
  <c r="G27" i="18" a="1"/>
  <c r="H60" i="11" a="1"/>
  <c r="K22" i="11"/>
  <c r="L25" i="20" a="1"/>
  <c r="X65" i="11" a="1"/>
  <c r="X64" i="6" a="1"/>
  <c r="W56" i="4" a="1"/>
  <c r="W70" i="16" a="1"/>
  <c r="H70" i="13" a="1"/>
  <c r="D36" i="13"/>
  <c r="J9" i="18" a="1"/>
  <c r="I7" i="20" a="1"/>
  <c r="E8" i="20" a="1"/>
  <c r="J21" i="20" a="1"/>
  <c r="E35" i="13"/>
  <c r="M66" i="1" a="1"/>
  <c r="I65" i="7" a="1"/>
  <c r="X66" i="14" a="1"/>
  <c r="P67" i="11" a="1"/>
  <c r="M14" i="7"/>
  <c r="M14" i="20" s="1" a="1"/>
  <c r="M47" i="15"/>
  <c r="H37" i="11"/>
  <c r="S67" i="1" a="1"/>
  <c r="D24" i="18" a="1"/>
  <c r="M15" i="4"/>
  <c r="M15" i="18" s="1" a="1"/>
  <c r="M36" i="18" a="1"/>
  <c r="X57" i="4" a="1"/>
  <c r="G10" i="7"/>
  <c r="G10" i="20" s="1" a="1"/>
  <c r="E17" i="8"/>
  <c r="Q60" i="7" a="1"/>
  <c r="J14" i="7"/>
  <c r="K43" i="15"/>
  <c r="H35" i="13"/>
  <c r="L11" i="14"/>
  <c r="S55" i="6" a="1"/>
  <c r="O60" i="7" a="1"/>
  <c r="U57" i="4" a="1"/>
  <c r="T69" i="15" a="1"/>
  <c r="K17" i="20" a="1"/>
  <c r="G27" i="20" a="1"/>
  <c r="K68" i="15" a="1"/>
  <c r="H68" i="16" a="1"/>
  <c r="K35" i="9"/>
  <c r="J11" i="11"/>
  <c r="L16" i="7"/>
  <c r="R64" i="14" a="1"/>
  <c r="H36" i="4"/>
  <c r="H63" i="6" a="1"/>
  <c r="R65" i="14" a="1"/>
  <c r="I32" i="4"/>
  <c r="E33" i="11"/>
  <c r="I67" i="4" a="1"/>
  <c r="H71" i="7" a="1"/>
  <c r="O62" i="16" a="1"/>
  <c r="X67" i="13" a="1"/>
  <c r="F25" i="7"/>
  <c r="F25" i="20" s="1" a="1"/>
  <c r="K11" i="18" a="1"/>
  <c r="X56" i="7" a="1"/>
  <c r="L71" i="4" a="1"/>
  <c r="D8" i="18" a="1"/>
  <c r="K46" i="13"/>
  <c r="D63" i="6" a="1"/>
  <c r="Q61" i="11" a="1"/>
  <c r="M47" i="9"/>
  <c r="S68" i="15" a="1"/>
  <c r="J16" i="11"/>
  <c r="G23" i="11"/>
  <c r="I70" i="6" a="1"/>
  <c r="G59" i="6" a="1"/>
  <c r="R67" i="14" a="1"/>
  <c r="H59" i="13" a="1"/>
  <c r="G40" i="11"/>
  <c r="G13" i="11"/>
  <c r="D26" i="20" a="1"/>
  <c r="K10" i="4"/>
  <c r="J70" i="15" a="1"/>
  <c r="I45" i="4"/>
  <c r="I45" i="18" s="1" a="1"/>
  <c r="F19" i="9"/>
  <c r="H10" i="8"/>
  <c r="N61" i="15" a="1"/>
  <c r="D35" i="18" a="1"/>
  <c r="L9" i="11"/>
  <c r="E36" i="18" a="1"/>
  <c r="I37" i="11"/>
  <c r="J55" i="8" a="1"/>
  <c r="M21" i="4"/>
  <c r="J9" i="14"/>
  <c r="K19" i="20" a="1"/>
  <c r="J7" i="18" a="1"/>
  <c r="E44" i="13"/>
  <c r="W64" i="15" a="1"/>
  <c r="M34" i="9"/>
  <c r="F48" i="18" a="1"/>
  <c r="N70" i="13" a="1"/>
  <c r="J16" i="8"/>
  <c r="E10" i="18" a="1"/>
  <c r="J65" i="11" a="1"/>
  <c r="L9" i="9"/>
  <c r="Q57" i="13" a="1"/>
  <c r="J66" i="6" a="1"/>
  <c r="D34" i="18" a="1"/>
  <c r="E56" i="15" a="1"/>
  <c r="J67" i="4" a="1"/>
  <c r="G65" i="4" a="1"/>
  <c r="K23" i="20" a="1"/>
  <c r="L46" i="15"/>
  <c r="L33" i="18" a="1"/>
  <c r="P70" i="6" a="1"/>
  <c r="T66" i="15" a="1"/>
  <c r="F17" i="8"/>
  <c r="G18" i="18" a="1"/>
  <c r="J7" i="13"/>
  <c r="U69" i="16" a="1"/>
  <c r="L46" i="13"/>
  <c r="K61" i="6" a="1"/>
  <c r="G12" i="20" a="1"/>
  <c r="J40" i="11"/>
  <c r="D19" i="18" a="1"/>
  <c r="M8" i="4"/>
  <c r="M8" i="18" s="1" a="1"/>
  <c r="E33" i="18" a="1"/>
  <c r="E14" i="14"/>
  <c r="N60" i="4" a="1"/>
  <c r="E12" i="8"/>
  <c r="L36" i="13"/>
  <c r="H9" i="14"/>
  <c r="G41" i="11"/>
  <c r="P68" i="8" a="1"/>
  <c r="H67" i="4" a="1"/>
  <c r="V59" i="1" a="1"/>
  <c r="F8" i="11"/>
  <c r="L27" i="11"/>
  <c r="H44" i="18" a="1"/>
  <c r="I23" i="18" a="1"/>
  <c r="F26" i="18" a="1"/>
  <c r="D18" i="11"/>
  <c r="F9" i="7"/>
  <c r="T66" i="4" a="1"/>
  <c r="L69" i="4" a="1"/>
  <c r="M33" i="9"/>
  <c r="E9" i="8"/>
  <c r="H70" i="7" a="1"/>
  <c r="L46" i="9"/>
  <c r="P70" i="8" a="1"/>
  <c r="L22" i="20" a="1"/>
  <c r="M56" i="16" a="1"/>
  <c r="D64" i="11" a="1"/>
  <c r="D69" i="11" a="1"/>
  <c r="O67" i="15" a="1"/>
  <c r="M32" i="18" a="1"/>
  <c r="F70" i="16" a="1"/>
  <c r="K35" i="15"/>
  <c r="K35" i="18" s="1" a="1"/>
  <c r="E24" i="18" a="1"/>
  <c r="E59" i="1" a="1"/>
  <c r="H9" i="9"/>
  <c r="E44" i="15"/>
  <c r="Q55" i="7" a="1"/>
  <c r="M16" i="13"/>
  <c r="L32" i="11"/>
  <c r="P64" i="16" a="1"/>
  <c r="L64" i="1" a="1"/>
  <c r="W62" i="6" a="1"/>
  <c r="K59" i="16" a="1"/>
  <c r="E32" i="13"/>
  <c r="F55" i="4" a="1"/>
  <c r="E55" i="12" a="1"/>
  <c r="F9" i="14"/>
  <c r="K59" i="8" a="1"/>
  <c r="D37" i="11"/>
  <c r="H13" i="8"/>
  <c r="H13" i="20" s="1" a="1"/>
  <c r="E23" i="11"/>
  <c r="R55" i="14" a="1"/>
  <c r="P57" i="15" a="1"/>
  <c r="E57" i="11" a="1"/>
  <c r="I20" i="4"/>
  <c r="I20" i="18" s="1" a="1"/>
  <c r="D70" i="13" a="1"/>
  <c r="M7" i="20" a="1"/>
  <c r="Q65" i="11" a="1"/>
  <c r="K34" i="11"/>
  <c r="M9" i="8"/>
  <c r="M9" i="20" s="1" a="1"/>
  <c r="X62" i="8" a="1"/>
  <c r="J41" i="9"/>
  <c r="F16" i="7"/>
  <c r="F16" i="20" s="1" a="1"/>
  <c r="E48" i="15"/>
  <c r="X61" i="11" a="1"/>
  <c r="X56" i="4" a="1"/>
  <c r="E32" i="11"/>
  <c r="J17" i="7"/>
  <c r="F24" i="18" a="1"/>
  <c r="I17" i="4"/>
  <c r="O57" i="4" a="1"/>
  <c r="H42" i="18" a="1"/>
  <c r="Q67" i="11" a="1"/>
  <c r="D19" i="20" a="1"/>
  <c r="K65" i="13" a="1"/>
  <c r="M24" i="11"/>
  <c r="M24" i="18" s="1" a="1"/>
  <c r="M70" i="11" a="1"/>
  <c r="R60" i="6" a="1"/>
  <c r="G21" i="11"/>
  <c r="I25" i="14"/>
  <c r="D16" i="18" a="1"/>
  <c r="F27" i="8"/>
  <c r="P60" i="4" a="1"/>
  <c r="G35" i="9"/>
  <c r="P57" i="4" a="1"/>
  <c r="G20" i="4"/>
  <c r="L44" i="18" a="1"/>
  <c r="J36" i="4"/>
  <c r="F25" i="18" a="1"/>
  <c r="T61" i="14" a="1"/>
  <c r="S57" i="13" a="1"/>
  <c r="M66" i="6" a="1"/>
  <c r="D55" i="4" a="1"/>
  <c r="H27" i="18" a="1"/>
  <c r="F19" i="20" a="1"/>
  <c r="M71" i="14" a="1"/>
  <c r="S55" i="7" a="1"/>
  <c r="V68" i="11" a="1"/>
  <c r="E36" i="13"/>
  <c r="R67" i="6" a="1"/>
  <c r="J17" i="11"/>
  <c r="K61" i="13" a="1"/>
  <c r="U62" i="11" a="1"/>
  <c r="I15" i="20" a="1"/>
  <c r="Q65" i="8" a="1"/>
  <c r="U59" i="13" a="1"/>
  <c r="K55" i="9" a="1"/>
  <c r="D18" i="20" a="1"/>
  <c r="J17" i="13"/>
  <c r="L12" i="8"/>
  <c r="D11" i="18" a="1"/>
  <c r="L62" i="16" a="1"/>
  <c r="L22" i="15"/>
  <c r="D61" i="1" a="1"/>
  <c r="Q59" i="14" a="1"/>
  <c r="O56" i="15" a="1"/>
  <c r="L38" i="13"/>
  <c r="D23" i="18" a="1"/>
  <c r="E10" i="9"/>
  <c r="I67" i="11" a="1"/>
  <c r="L46" i="18" a="1"/>
  <c r="E44" i="18" a="1"/>
  <c r="E23" i="18" a="1"/>
  <c r="T61" i="6" a="1"/>
  <c r="G24" i="13"/>
  <c r="I17" i="20" a="1"/>
  <c r="X55" i="11" a="1"/>
  <c r="N63" i="15" a="1"/>
  <c r="I8" i="18" a="1"/>
  <c r="V60" i="16" a="1"/>
  <c r="K41" i="18" a="1"/>
  <c r="F57" i="7" a="1"/>
  <c r="G12" i="15"/>
  <c r="G12" i="18" s="1" a="1"/>
  <c r="K60" i="11" a="1"/>
  <c r="K41" i="13"/>
  <c r="I55" i="4" a="1"/>
  <c r="X57" i="1" a="1"/>
  <c r="D64" i="6" a="1"/>
  <c r="J71" i="14" a="1"/>
  <c r="F45" i="18" a="1"/>
  <c r="E71" i="4" a="1"/>
  <c r="Q70" i="7" a="1"/>
  <c r="R64" i="11" a="1"/>
  <c r="D48" i="4"/>
  <c r="K26" i="14"/>
  <c r="K26" i="20" s="1" a="1"/>
  <c r="O71" i="14" a="1"/>
  <c r="F37" i="15"/>
  <c r="E21" i="14"/>
  <c r="K67" i="14" a="1"/>
  <c r="F70" i="1" a="1"/>
  <c r="O55" i="8" a="1"/>
  <c r="D37" i="18" a="1"/>
  <c r="L18" i="8"/>
  <c r="L18" i="20" s="1" a="1"/>
  <c r="X68" i="6" a="1"/>
  <c r="E18" i="11"/>
  <c r="G58" i="15" a="1"/>
  <c r="R55" i="15" a="1"/>
  <c r="J24" i="4"/>
  <c r="J24" i="18" s="1" a="1"/>
  <c r="L55" i="16" a="1"/>
  <c r="L68" i="1" a="1"/>
  <c r="I10" i="18" a="1"/>
  <c r="Q67" i="16" a="1"/>
  <c r="R70" i="11" a="1"/>
  <c r="I47" i="11"/>
  <c r="I47" i="18" s="1" a="1"/>
  <c r="I65" i="4" a="1"/>
  <c r="E40" i="18" a="1"/>
  <c r="J23" i="13"/>
  <c r="R63" i="4" a="1"/>
  <c r="F43" i="11"/>
  <c r="V64" i="13" a="1"/>
  <c r="D27" i="20" a="1"/>
  <c r="F63" i="15" a="1"/>
  <c r="E17" i="18" a="1"/>
  <c r="W60" i="16" a="1"/>
  <c r="N61" i="13" a="1"/>
  <c r="L62" i="15" a="1"/>
  <c r="K18" i="4"/>
  <c r="J43" i="4"/>
  <c r="X65" i="1" a="1"/>
  <c r="G60" i="15" a="1"/>
  <c r="E35" i="4"/>
  <c r="P63" i="4" a="1"/>
  <c r="H46" i="15"/>
  <c r="H46" i="18" s="1" a="1"/>
  <c r="G34" i="11"/>
  <c r="F68" i="7" a="1"/>
  <c r="F12" i="20" a="1"/>
  <c r="H18" i="18" a="1"/>
  <c r="I11" i="7"/>
  <c r="L70" i="1" a="1"/>
  <c r="G55" i="7" a="1"/>
  <c r="I22" i="13"/>
  <c r="K11" i="20" a="1"/>
  <c r="K36" i="4"/>
  <c r="M14" i="18" a="1"/>
  <c r="I25" i="20" a="1"/>
  <c r="I39" i="18" a="1"/>
  <c r="V63" i="13" a="1"/>
  <c r="K69" i="4" a="1"/>
  <c r="X71" i="11" a="1"/>
  <c r="F16" i="18" a="1"/>
  <c r="M13" i="9"/>
  <c r="E22" i="20" a="1"/>
  <c r="K64" i="4" a="1"/>
  <c r="O68" i="4" a="1"/>
  <c r="J10" i="11"/>
  <c r="U67" i="13" a="1"/>
  <c r="U56" i="6" a="1"/>
  <c r="F13" i="18" a="1"/>
  <c r="L63" i="6" a="1"/>
  <c r="L10" i="14"/>
  <c r="K43" i="13"/>
  <c r="J17" i="18" a="1"/>
  <c r="E25" i="7"/>
  <c r="H71" i="4" a="1"/>
  <c r="M56" i="1" a="1"/>
  <c r="N69" i="1" a="1"/>
  <c r="I15" i="18" a="1"/>
  <c r="W64" i="13" a="1"/>
  <c r="N71" i="16" a="1"/>
  <c r="H33" i="4"/>
  <c r="I37" i="4"/>
  <c r="E16" i="9"/>
  <c r="M27" i="13"/>
  <c r="L18" i="18" a="1"/>
  <c r="J22" i="7"/>
  <c r="J22" i="20" s="1" a="1"/>
  <c r="E8" i="9"/>
  <c r="K63" i="13" a="1"/>
  <c r="N60" i="7" a="1"/>
  <c r="G56" i="6" a="1"/>
  <c r="H67" i="6" a="1"/>
  <c r="K69" i="11" a="1"/>
  <c r="O69" i="7" a="1"/>
  <c r="G68" i="11" a="1"/>
  <c r="S66" i="7" a="1"/>
  <c r="K44" i="11"/>
  <c r="H59" i="15" a="1"/>
  <c r="K13" i="11"/>
  <c r="M59" i="4" a="1"/>
  <c r="K65" i="11" a="1"/>
  <c r="G39" i="11"/>
  <c r="G39" i="18" s="1" a="1"/>
  <c r="E25" i="14"/>
  <c r="D59" i="1" a="1"/>
  <c r="F20" i="13"/>
  <c r="K61" i="1" a="1"/>
  <c r="H59" i="1" a="1"/>
  <c r="L23" i="9"/>
  <c r="X71" i="8" a="1"/>
  <c r="F11" i="18" a="1"/>
  <c r="U66" i="6" a="1"/>
  <c r="R55" i="13" a="1"/>
  <c r="I16" i="9"/>
  <c r="P68" i="15" a="1"/>
  <c r="W63" i="13" a="1"/>
  <c r="R69" i="7" a="1"/>
  <c r="O68" i="6" a="1"/>
  <c r="E64" i="8" a="1"/>
  <c r="W61" i="14" a="1"/>
  <c r="K37" i="11"/>
  <c r="L10" i="4"/>
  <c r="L10" i="18" s="1" a="1"/>
  <c r="D65" i="6" a="1"/>
  <c r="J44" i="4"/>
  <c r="G41" i="18" a="1"/>
  <c r="K66" i="6" a="1"/>
  <c r="N64" i="13" a="1"/>
  <c r="H8" i="20" a="1"/>
  <c r="G15" i="4"/>
  <c r="I42" i="13"/>
  <c r="T71" i="1" a="1"/>
  <c r="H60" i="13" a="1"/>
  <c r="I15" i="13"/>
  <c r="H11" i="11"/>
  <c r="H11" i="18" s="1" a="1"/>
  <c r="E63" i="4" a="1"/>
  <c r="G66" i="1" a="1"/>
  <c r="F19" i="13"/>
  <c r="R65" i="7" a="1"/>
  <c r="L72" i="1" a="1"/>
  <c r="E15" i="20" a="1"/>
  <c r="P58" i="11" a="1"/>
  <c r="J65" i="15" a="1"/>
  <c r="J14" i="20" a="1"/>
  <c r="L55" i="11" a="1"/>
  <c r="E17" i="7"/>
  <c r="J11" i="20" a="1"/>
  <c r="U60" i="6" a="1"/>
  <c r="R56" i="11" a="1"/>
  <c r="T63" i="11" a="1"/>
  <c r="E9" i="20" a="1"/>
  <c r="T58" i="11" a="1"/>
  <c r="M17" i="18" a="1"/>
  <c r="L61" i="7" a="1"/>
  <c r="S68" i="7" a="1"/>
  <c r="F44" i="13"/>
  <c r="D16" i="7"/>
  <c r="L68" i="7" a="1"/>
  <c r="X55" i="6" a="1"/>
  <c r="I25" i="11"/>
  <c r="F67" i="1" a="1"/>
  <c r="I45" i="13"/>
  <c r="G25" i="18" a="1"/>
  <c r="L21" i="8"/>
  <c r="L21" i="20" s="1" a="1"/>
  <c r="F20" i="20" a="1"/>
  <c r="K39" i="13"/>
  <c r="Q56" i="16" a="1"/>
  <c r="J27" i="7"/>
  <c r="J27" i="20" s="1" a="1"/>
  <c r="I12" i="8"/>
  <c r="R67" i="8" a="1"/>
  <c r="F15" i="20" a="1"/>
  <c r="H22" i="18" a="1"/>
  <c r="H7" i="13"/>
  <c r="H16" i="11"/>
  <c r="L23" i="13"/>
  <c r="H56" i="4" a="1"/>
  <c r="D25" i="18" a="1"/>
  <c r="H69" i="1" a="1"/>
  <c r="R68" i="14" a="1"/>
  <c r="M10" i="8"/>
  <c r="E41" i="15"/>
  <c r="G21" i="18" a="1"/>
  <c r="F27" i="18" a="1"/>
  <c r="E72" i="1" a="1"/>
  <c r="W57" i="1" a="1"/>
  <c r="I47" i="9"/>
  <c r="K20" i="9"/>
  <c r="R61" i="6" a="1"/>
  <c r="E68" i="6" a="1"/>
  <c r="K46" i="18" a="1"/>
  <c r="E47" i="11"/>
  <c r="E47" i="18" s="1" a="1"/>
  <c r="F65" i="11" a="1"/>
  <c r="M63" i="6" a="1"/>
  <c r="J7" i="7"/>
  <c r="D11" i="20" a="1"/>
  <c r="M19" i="18" a="1"/>
  <c r="L55" i="8" a="1"/>
  <c r="M20" i="9"/>
  <c r="H61" i="11" a="1"/>
  <c r="D67" i="11" a="1"/>
  <c r="L24" i="4"/>
  <c r="L24" i="18" s="1" a="1"/>
  <c r="F47" i="9"/>
  <c r="Q68" i="13" a="1"/>
  <c r="E18" i="4"/>
  <c r="E18" i="18" s="1" a="1"/>
  <c r="J32" i="9"/>
  <c r="H22" i="7"/>
  <c r="H22" i="20" s="1" a="1"/>
  <c r="V69" i="1" a="1"/>
  <c r="F38" i="4"/>
  <c r="F38" i="18" s="1" a="1"/>
  <c r="K66" i="16" a="1"/>
  <c r="S64" i="8" a="1"/>
  <c r="H67" i="13" a="1"/>
  <c r="G37" i="4"/>
  <c r="G37" i="18" s="1" a="1"/>
  <c r="F27" i="9"/>
  <c r="P63" i="7" a="1"/>
  <c r="R70" i="6" a="1"/>
  <c r="L8" i="18" a="1"/>
  <c r="T70" i="4" a="1"/>
  <c r="O57" i="6" a="1"/>
  <c r="H23" i="20" a="1"/>
  <c r="K24" i="11"/>
  <c r="H69" i="4" a="1"/>
  <c r="R62" i="6" a="1"/>
  <c r="I62" i="7" a="1"/>
  <c r="T59" i="11" a="1"/>
  <c r="I19" i="14"/>
  <c r="I10" i="20" a="1"/>
  <c r="X64" i="11" a="1"/>
  <c r="L13" i="20" a="1"/>
  <c r="Q64" i="6" a="1"/>
  <c r="F18" i="20" a="1"/>
  <c r="L57" i="11" a="1"/>
  <c r="L56" i="7" a="1"/>
  <c r="E18" i="14"/>
  <c r="P58" i="15" a="1"/>
  <c r="M18" i="7"/>
  <c r="J55" i="6" a="1"/>
  <c r="E16" i="18" a="1"/>
  <c r="K15" i="4"/>
  <c r="K15" i="18" s="1" a="1"/>
  <c r="G62" i="11" a="1"/>
  <c r="H25" i="18" a="1"/>
  <c r="L57" i="13" a="1"/>
  <c r="W62" i="8" a="1"/>
  <c r="O55" i="4" a="1"/>
  <c r="L27" i="20" a="1"/>
  <c r="X59" i="14" a="1"/>
  <c r="S56" i="16" a="1"/>
  <c r="H27" i="9"/>
  <c r="L70" i="16" a="1"/>
  <c r="K62" i="8" a="1"/>
  <c r="M37" i="4"/>
  <c r="M37" i="18" s="1" a="1"/>
  <c r="M22" i="20" a="1"/>
  <c r="N59" i="15" a="1"/>
  <c r="I38" i="13"/>
  <c r="L24" i="9"/>
  <c r="I27" i="18" a="1"/>
  <c r="X66" i="8" a="1"/>
  <c r="M9" i="13"/>
  <c r="J59" i="14" a="1"/>
  <c r="K21" i="7"/>
  <c r="S69" i="7" a="1"/>
  <c r="G35" i="13"/>
  <c r="I24" i="8"/>
  <c r="K45" i="18" a="1"/>
  <c r="G15" i="7"/>
  <c r="L60" i="14" a="1"/>
  <c r="K33" i="18" a="1"/>
  <c r="L66" i="7" a="1"/>
  <c r="F64" i="8" a="1"/>
  <c r="K26" i="15"/>
  <c r="D23" i="20" a="1"/>
  <c r="L14" i="11"/>
  <c r="L14" i="18" s="1" a="1"/>
  <c r="I33" i="11"/>
  <c r="J39" i="11"/>
  <c r="G24" i="15"/>
  <c r="E37" i="11"/>
  <c r="K7" i="8"/>
  <c r="K7" i="20" s="1" a="1"/>
  <c r="L10" i="8"/>
  <c r="D20" i="18" a="1"/>
  <c r="H19" i="20" a="1"/>
  <c r="T69" i="7" a="1"/>
  <c r="J20" i="9"/>
  <c r="T65" i="11" a="1"/>
  <c r="G14" i="14"/>
  <c r="E32" i="9"/>
  <c r="E27" i="15"/>
  <c r="S58" i="13" a="1"/>
  <c r="S63" i="11" a="1"/>
  <c r="I8" i="13"/>
  <c r="S60" i="8" a="1"/>
  <c r="K18" i="9"/>
  <c r="K19" i="18" a="1"/>
  <c r="E56" i="4" a="1"/>
  <c r="G43" i="13"/>
  <c r="X61" i="7" a="1"/>
  <c r="U62" i="4" a="1"/>
  <c r="H63" i="7" a="1"/>
  <c r="Q58" i="11" a="1"/>
  <c r="T56" i="16" a="1"/>
  <c r="X66" i="1" a="1"/>
  <c r="J7" i="20" a="1"/>
  <c r="I66" i="6" a="1"/>
  <c r="I25" i="9"/>
  <c r="F68" i="14" a="1"/>
  <c r="J32" i="15"/>
  <c r="M69" i="13" a="1"/>
  <c r="H17" i="4"/>
  <c r="H17" i="18" s="1" a="1"/>
  <c r="L58" i="8" a="1"/>
  <c r="F17" i="14"/>
  <c r="J67" i="13" a="1"/>
  <c r="F67" i="8" a="1"/>
  <c r="G42" i="18" a="1"/>
  <c r="M9" i="9"/>
  <c r="L60" i="11" a="1"/>
  <c r="W63" i="8" a="1"/>
  <c r="H64" i="7" a="1"/>
  <c r="K34" i="15"/>
  <c r="J59" i="6" a="1"/>
  <c r="I9" i="20" a="1"/>
  <c r="D71" i="1" a="1"/>
  <c r="K14" i="8"/>
  <c r="L15" i="20" a="1"/>
  <c r="F33" i="4"/>
  <c r="L40" i="18" a="1"/>
  <c r="V66" i="1" a="1"/>
  <c r="J44" i="13"/>
  <c r="K38" i="13"/>
  <c r="G13" i="7"/>
  <c r="G60" i="13" a="1"/>
  <c r="K8" i="11"/>
  <c r="F56" i="8" a="1"/>
  <c r="M11" i="9"/>
  <c r="D47" i="13"/>
  <c r="F17" i="18" a="1"/>
  <c r="L63" i="7" a="1"/>
  <c r="J11" i="4"/>
  <c r="D48" i="18" a="1"/>
  <c r="S55" i="9" a="1"/>
  <c r="W55" i="12" a="1"/>
  <c r="P55" i="8" a="1"/>
  <c r="V65" i="16" a="1"/>
  <c r="D62" i="13" a="1"/>
  <c r="M26" i="13"/>
  <c r="I48" i="18" a="1"/>
  <c r="Q59" i="8" a="1"/>
  <c r="P60" i="8" a="1"/>
  <c r="E69" i="13" a="1"/>
  <c r="E21" i="4"/>
  <c r="E21" i="18" s="1" a="1"/>
  <c r="K39" i="18" a="1"/>
  <c r="L17" i="20" a="1"/>
  <c r="D47" i="18" a="1"/>
  <c r="E9" i="4"/>
  <c r="D33" i="4"/>
  <c r="H33" i="11"/>
  <c r="E13" i="8"/>
  <c r="I71" i="6" a="1"/>
  <c r="M47" i="11"/>
  <c r="K10" i="11"/>
  <c r="M70" i="6" a="1"/>
  <c r="M26" i="18" a="1"/>
  <c r="L62" i="14" a="1"/>
  <c r="J27" i="18" a="1"/>
  <c r="L65" i="13" a="1"/>
  <c r="E19" i="18" a="1"/>
  <c r="D21" i="9"/>
  <c r="J43" i="13"/>
  <c r="J15" i="11"/>
  <c r="H10" i="9"/>
  <c r="F24" i="13"/>
  <c r="W66" i="6" a="1"/>
  <c r="L23" i="18" a="1"/>
  <c r="E7" i="9"/>
  <c r="D25" i="20" a="1"/>
  <c r="D11" i="13"/>
  <c r="E20" i="20" a="1"/>
  <c r="H8" i="18" a="1"/>
  <c r="Q65" i="6" a="1"/>
  <c r="O55" i="12" a="1"/>
  <c r="G9" i="18" a="1"/>
  <c r="P57" i="6" a="1"/>
  <c r="D9" i="20" a="1"/>
  <c r="K26" i="18" a="1"/>
  <c r="I11" i="11"/>
  <c r="D24" i="20" a="1"/>
  <c r="D32" i="4"/>
  <c r="D13" i="13"/>
  <c r="R58" i="14" a="1"/>
  <c r="J19" i="4"/>
  <c r="J19" i="18" s="1" a="1"/>
  <c r="R67" i="13" a="1"/>
  <c r="G27" i="13"/>
  <c r="H41" i="18" a="1"/>
  <c r="M67" i="16" a="1"/>
  <c r="G45" i="18" a="1"/>
  <c r="L11" i="8"/>
  <c r="K40" i="11"/>
  <c r="I42" i="18" a="1"/>
  <c r="K68" i="6" a="1"/>
  <c r="H17" i="20" a="1"/>
  <c r="H15" i="20" a="1"/>
  <c r="E61" i="16" a="1"/>
  <c r="S56" i="13" a="1"/>
  <c r="M40" i="18" a="1"/>
  <c r="D58" i="1" a="1"/>
  <c r="F35" i="18" a="1"/>
  <c r="N65" i="15" a="1"/>
  <c r="G22" i="20" a="1"/>
  <c r="J43" i="18" a="1"/>
  <c r="F39" i="13"/>
  <c r="J36" i="9"/>
  <c r="K18" i="8"/>
  <c r="K18" i="20" s="1" a="1"/>
  <c r="H43" i="9"/>
  <c r="I66" i="14" a="1"/>
  <c r="L41" i="4"/>
  <c r="L41" i="18" s="1" a="1"/>
  <c r="K70" i="11" a="1"/>
  <c r="H19" i="9"/>
  <c r="F46" i="11"/>
  <c r="F46" i="18" s="1" a="1"/>
  <c r="D43" i="11"/>
  <c r="D43" i="18" s="1" a="1"/>
  <c r="R57" i="6" a="1"/>
  <c r="J22" i="11"/>
  <c r="K17" i="4"/>
  <c r="K17" i="18" s="1" a="1"/>
  <c r="M7" i="4"/>
  <c r="Q57" i="6" a="1"/>
  <c r="F37" i="4"/>
  <c r="F37" i="18" s="1" a="1"/>
  <c r="I32" i="15"/>
  <c r="K24" i="13"/>
  <c r="M16" i="4"/>
  <c r="M16" i="18" s="1" a="1"/>
  <c r="T69" i="1" a="1"/>
  <c r="E61" i="11" a="1"/>
  <c r="I18" i="20" a="1"/>
  <c r="I27" i="20" a="1"/>
  <c r="D68" i="4" a="1"/>
  <c r="X59" i="13" a="1"/>
  <c r="L59" i="14" a="1"/>
  <c r="W55" i="11" a="1"/>
  <c r="H24" i="18" a="1"/>
  <c r="O70" i="14" a="1"/>
  <c r="V65" i="6" a="1"/>
  <c r="F32" i="15"/>
  <c r="F32" i="18" s="1" a="1"/>
  <c r="V69" i="11" a="1"/>
  <c r="K25" i="9"/>
  <c r="D18" i="9"/>
  <c r="E48" i="18" a="1"/>
  <c r="F64" i="4" a="1"/>
  <c r="I22" i="18" a="1"/>
  <c r="H68" i="7" a="1"/>
  <c r="G64" i="6" a="1"/>
  <c r="E26" i="18" a="1"/>
  <c r="I63" i="11" a="1"/>
  <c r="X58" i="7" a="1"/>
  <c r="N65" i="1" a="1"/>
  <c r="I12" i="18" a="1"/>
  <c r="R68" i="11" a="1"/>
  <c r="T60" i="1" a="1"/>
  <c r="F63" i="4" a="1"/>
  <c r="S68" i="16" a="1"/>
  <c r="T69" i="11" a="1"/>
  <c r="L16" i="14"/>
  <c r="L16" i="20" s="1" a="1"/>
  <c r="E11" i="20" a="1"/>
  <c r="L7" i="18" a="1"/>
  <c r="S66" i="14" a="1"/>
  <c r="N67" i="13" a="1"/>
  <c r="L9" i="4"/>
  <c r="E32" i="18" a="1"/>
  <c r="J15" i="18" a="1"/>
  <c r="J15" i="20" a="1"/>
  <c r="G15" i="18" a="1"/>
  <c r="J25" i="20" a="1"/>
  <c r="F8" i="18" a="1"/>
  <c r="I36" i="18" a="1"/>
  <c r="F36" i="18" a="1"/>
  <c r="F33" i="18" a="1"/>
  <c r="G25" i="20" a="1"/>
  <c r="F34" i="18" a="1"/>
  <c r="K37" i="18" a="1"/>
  <c r="H24" i="20" a="1"/>
  <c r="G33" i="18" a="1"/>
  <c r="K27" i="18" a="1"/>
  <c r="G19" i="20" a="1"/>
  <c r="I18" i="18" a="1"/>
  <c r="J25" i="18" a="1"/>
  <c r="I11" i="20" a="1"/>
  <c r="G14" i="18" a="1"/>
  <c r="H37" i="18" a="1"/>
  <c r="I19" i="18" a="1"/>
  <c r="G14" i="20" a="1"/>
  <c r="G7" i="20" a="1"/>
  <c r="G23" i="18" a="1"/>
  <c r="K22" i="18" a="1"/>
  <c r="E41" i="18" a="1"/>
  <c r="E35" i="18" a="1"/>
  <c r="M46" i="18" a="1"/>
  <c r="L27" i="18" a="1"/>
  <c r="J36" i="18" a="1"/>
  <c r="H39" i="18" a="1"/>
  <c r="L12" i="20" a="1"/>
  <c r="L22" i="18" a="1"/>
  <c r="I33" i="18" a="1"/>
  <c r="D14" i="18" a="1"/>
  <c r="H40" i="18" a="1"/>
  <c r="K22" i="20" a="1"/>
  <c r="J9" i="20" a="1"/>
  <c r="M21" i="18" a="1"/>
  <c r="L12" i="18" a="1"/>
  <c r="G13" i="18" a="1"/>
  <c r="L9" i="18" a="1"/>
  <c r="H18" i="20" a="1"/>
  <c r="I37" i="18" a="1"/>
  <c r="M27" i="18" a="1"/>
  <c r="I44" i="18" a="1"/>
  <c r="J44" i="18" a="1"/>
  <c r="G40" i="18" a="1"/>
  <c r="M13" i="20" a="1"/>
  <c r="I26" i="18" a="1"/>
  <c r="K27" i="20" a="1"/>
  <c r="F24" i="20" a="1"/>
  <c r="J48" i="18" a="1"/>
  <c r="J8" i="20" a="1"/>
  <c r="I19" i="20" a="1"/>
  <c r="G15" i="20" a="1"/>
  <c r="E22" i="18" a="1"/>
  <c r="E34" i="18" a="1"/>
  <c r="M21" i="20" a="1"/>
  <c r="I11" i="18" a="1"/>
  <c r="G22" i="18" a="1"/>
  <c r="M24" i="20" a="1"/>
  <c r="J11" i="18" a="1"/>
  <c r="F9" i="20" a="1"/>
  <c r="H14" i="18" a="1"/>
  <c r="J40" i="18" a="1"/>
  <c r="E23" i="20" a="1"/>
  <c r="K36" i="18" a="1"/>
  <c r="H13" i="18" a="1"/>
  <c r="G8" i="20" a="1"/>
  <c r="I21" i="20" a="1"/>
  <c r="K10" i="18" a="1"/>
  <c r="K8" i="18" a="1"/>
  <c r="I16" i="20" a="1"/>
  <c r="J16" i="20" a="1"/>
  <c r="G26" i="20" a="1"/>
  <c r="K38" i="18" a="1"/>
  <c r="G20" i="18" a="1"/>
  <c r="F22" i="18" a="1"/>
  <c r="L38" i="18" a="1"/>
  <c r="L11" i="20" a="1"/>
  <c r="J13" i="20" a="1"/>
  <c r="F42" i="18" a="1"/>
  <c r="K10" i="20" a="1"/>
  <c r="K43" i="18" a="1"/>
  <c r="L20" i="18" a="1"/>
  <c r="D22" i="20" a="1"/>
  <c r="J17" i="20" a="1"/>
  <c r="K14" i="20" a="1"/>
  <c r="M23" i="20" a="1"/>
  <c r="G48" i="18" a="1"/>
  <c r="I25" i="18" a="1"/>
  <c r="F17" i="20" a="1"/>
  <c r="M10" i="18" a="1"/>
  <c r="H12" i="18" a="1"/>
  <c r="H32" i="18" a="1"/>
  <c r="D17" i="18" a="1"/>
  <c r="D9" i="18" a="1"/>
  <c r="D20" i="20" a="1"/>
  <c r="D15" i="20" a="1"/>
  <c r="J32" i="18" a="1"/>
  <c r="I32" i="18" a="1"/>
  <c r="D16" i="20" a="1"/>
  <c r="D33" i="18" a="1"/>
  <c r="D32" i="18" a="1"/>
  <c r="M7" i="18" a="1"/>
  <c r="E14" i="20" a="1"/>
  <c r="E21" i="20" a="1"/>
  <c r="E18" i="20" a="1"/>
  <c r="E14" i="18" a="1"/>
  <c r="E27" i="18" a="1"/>
  <c r="O27" i="15" l="1"/>
  <c r="N27" i="15"/>
  <c r="O7" i="15"/>
  <c r="N7" i="15"/>
  <c r="N14" i="15"/>
  <c r="O14" i="15"/>
  <c r="N22" i="15"/>
  <c r="O22" i="15"/>
  <c r="O11" i="15"/>
  <c r="N11" i="15"/>
  <c r="N20" i="15"/>
  <c r="O20" i="15"/>
  <c r="O12" i="15"/>
  <c r="N12" i="15"/>
  <c r="N25" i="15"/>
  <c r="O25" i="15"/>
  <c r="O9" i="15"/>
  <c r="N9" i="15"/>
  <c r="N21" i="15"/>
  <c r="O21" i="15"/>
  <c r="O23" i="15"/>
  <c r="N23" i="15"/>
  <c r="O13" i="15"/>
  <c r="N13" i="15"/>
  <c r="O16" i="15"/>
  <c r="N16" i="15"/>
  <c r="N17" i="15"/>
  <c r="O17" i="15"/>
  <c r="N19" i="15"/>
  <c r="O19" i="15"/>
  <c r="O15" i="15"/>
  <c r="N15" i="15"/>
  <c r="O8" i="15"/>
  <c r="N8" i="15"/>
  <c r="O24" i="15"/>
  <c r="N24" i="15"/>
  <c r="O18" i="15"/>
  <c r="N18" i="15"/>
  <c r="N10" i="15"/>
  <c r="O10" i="15"/>
  <c r="O26" i="15"/>
  <c r="N26" i="15"/>
  <c r="O18" i="14"/>
  <c r="N18" i="14"/>
  <c r="O25" i="14"/>
  <c r="N25" i="14"/>
  <c r="O21" i="14"/>
  <c r="N21" i="14"/>
  <c r="N14" i="14"/>
  <c r="O14" i="14"/>
  <c r="O8" i="14"/>
  <c r="N8" i="14"/>
  <c r="O9" i="14"/>
  <c r="N9" i="14"/>
  <c r="O20" i="14"/>
  <c r="N20" i="14"/>
  <c r="N19" i="14"/>
  <c r="O19" i="14"/>
  <c r="O15" i="14"/>
  <c r="N15" i="14"/>
  <c r="N22" i="14"/>
  <c r="O22" i="14"/>
  <c r="O27" i="14"/>
  <c r="N27" i="14"/>
  <c r="O26" i="14"/>
  <c r="N26" i="14"/>
  <c r="O23" i="14"/>
  <c r="N23" i="14"/>
  <c r="O17" i="14"/>
  <c r="N17" i="14"/>
  <c r="O24" i="14"/>
  <c r="N24" i="14"/>
  <c r="N12" i="14"/>
  <c r="O12" i="14"/>
  <c r="O13" i="14"/>
  <c r="N13" i="14"/>
  <c r="O10" i="14"/>
  <c r="N10" i="14"/>
  <c r="N7" i="14"/>
  <c r="O7" i="14"/>
  <c r="N11" i="14"/>
  <c r="O11" i="14"/>
  <c r="N16" i="14"/>
  <c r="O16" i="14"/>
  <c r="M7" i="18"/>
  <c r="D32" i="18"/>
  <c r="D33" i="18"/>
  <c r="D16" i="20"/>
  <c r="I32" i="18"/>
  <c r="J32" i="18"/>
  <c r="D15" i="20"/>
  <c r="D20" i="20"/>
  <c r="D9" i="18"/>
  <c r="D17" i="18"/>
  <c r="H32" i="18"/>
  <c r="N67" i="13"/>
  <c r="S66" i="14"/>
  <c r="L7" i="18"/>
  <c r="E11" i="20"/>
  <c r="T69" i="11"/>
  <c r="S68" i="16"/>
  <c r="F63" i="4"/>
  <c r="T60" i="1"/>
  <c r="R68" i="11"/>
  <c r="I12" i="18"/>
  <c r="N65" i="1"/>
  <c r="X58" i="7"/>
  <c r="I63" i="11"/>
  <c r="E26" i="18"/>
  <c r="G64" i="6"/>
  <c r="H68" i="7"/>
  <c r="I22" i="18"/>
  <c r="F64" i="4"/>
  <c r="E48" i="18"/>
  <c r="O18" i="9"/>
  <c r="N18" i="9"/>
  <c r="V69" i="11"/>
  <c r="F50" i="15"/>
  <c r="V65" i="6"/>
  <c r="O70" i="14"/>
  <c r="H24" i="18"/>
  <c r="W55" i="11"/>
  <c r="L59" i="14"/>
  <c r="X59" i="13"/>
  <c r="D68" i="4"/>
  <c r="I27" i="20"/>
  <c r="I18" i="20"/>
  <c r="E61" i="11"/>
  <c r="T69" i="1"/>
  <c r="M16" i="18"/>
  <c r="I50" i="15"/>
  <c r="F37" i="18"/>
  <c r="Q57" i="6"/>
  <c r="M28" i="4"/>
  <c r="K17" i="18"/>
  <c r="R57" i="6"/>
  <c r="N43" i="11"/>
  <c r="O43" i="11"/>
  <c r="K70" i="11"/>
  <c r="L41" i="18"/>
  <c r="I66" i="14"/>
  <c r="J43" i="18"/>
  <c r="G22" i="20"/>
  <c r="N65" i="15"/>
  <c r="F35" i="18"/>
  <c r="D58" i="1"/>
  <c r="M40" i="18"/>
  <c r="S56" i="13"/>
  <c r="E61" i="16"/>
  <c r="H15" i="20"/>
  <c r="H17" i="20"/>
  <c r="K68" i="6"/>
  <c r="I42" i="18"/>
  <c r="G45" i="18"/>
  <c r="M67" i="16"/>
  <c r="H41" i="18"/>
  <c r="R67" i="13"/>
  <c r="J19" i="18"/>
  <c r="R58" i="14"/>
  <c r="O13" i="13"/>
  <c r="N13" i="13"/>
  <c r="O32" i="4"/>
  <c r="N32" i="4"/>
  <c r="D50" i="4"/>
  <c r="D24" i="20"/>
  <c r="K26" i="18"/>
  <c r="D9" i="20"/>
  <c r="P57" i="6"/>
  <c r="G9" i="18"/>
  <c r="O55" i="12"/>
  <c r="Q65" i="6"/>
  <c r="H8" i="18"/>
  <c r="E20" i="20"/>
  <c r="O11" i="13"/>
  <c r="N11" i="13"/>
  <c r="D25" i="20"/>
  <c r="E28" i="9"/>
  <c r="L23" i="18"/>
  <c r="W66" i="6"/>
  <c r="N21" i="9"/>
  <c r="O21" i="9"/>
  <c r="E19" i="18"/>
  <c r="L65" i="13"/>
  <c r="J27" i="18"/>
  <c r="L62" i="14"/>
  <c r="M26" i="18"/>
  <c r="M70" i="6"/>
  <c r="I71" i="6"/>
  <c r="N33" i="4"/>
  <c r="O33" i="4"/>
  <c r="D47" i="18"/>
  <c r="L17" i="20"/>
  <c r="K39" i="18"/>
  <c r="E21" i="18"/>
  <c r="E69" i="13"/>
  <c r="P60" i="8"/>
  <c r="Q59" i="8"/>
  <c r="I48" i="18"/>
  <c r="D62" i="13"/>
  <c r="V65" i="16"/>
  <c r="P55" i="8"/>
  <c r="W55" i="12"/>
  <c r="S55" i="9"/>
  <c r="D48" i="18"/>
  <c r="L63" i="7"/>
  <c r="F17" i="18"/>
  <c r="O47" i="13"/>
  <c r="N47" i="13"/>
  <c r="F56" i="8"/>
  <c r="G60" i="13"/>
  <c r="V66" i="1"/>
  <c r="L40" i="18"/>
  <c r="L15" i="20"/>
  <c r="D71" i="1"/>
  <c r="I9" i="20"/>
  <c r="J59" i="6"/>
  <c r="H64" i="7"/>
  <c r="W63" i="8"/>
  <c r="L60" i="11"/>
  <c r="G42" i="18"/>
  <c r="F67" i="8"/>
  <c r="J67" i="13"/>
  <c r="L58" i="8"/>
  <c r="H17" i="18"/>
  <c r="M69" i="13"/>
  <c r="J50" i="15"/>
  <c r="F68" i="14"/>
  <c r="I66" i="6"/>
  <c r="J7" i="20"/>
  <c r="X66" i="1"/>
  <c r="T56" i="16"/>
  <c r="Q58" i="11"/>
  <c r="H63" i="7"/>
  <c r="U62" i="4"/>
  <c r="X61" i="7"/>
  <c r="E56" i="4"/>
  <c r="K19" i="18"/>
  <c r="S60" i="8"/>
  <c r="S63" i="11"/>
  <c r="S58" i="13"/>
  <c r="E48" i="9"/>
  <c r="T65" i="11"/>
  <c r="T69" i="7"/>
  <c r="H19" i="20"/>
  <c r="D20" i="18"/>
  <c r="K28" i="8"/>
  <c r="D23" i="20"/>
  <c r="F64" i="8"/>
  <c r="L66" i="7"/>
  <c r="K33" i="18"/>
  <c r="L60" i="14"/>
  <c r="K45" i="18"/>
  <c r="S69" i="7"/>
  <c r="J59" i="14"/>
  <c r="X66" i="8"/>
  <c r="I27" i="18"/>
  <c r="N59" i="15"/>
  <c r="M22" i="20"/>
  <c r="M37" i="18"/>
  <c r="K62" i="8"/>
  <c r="L70" i="16"/>
  <c r="S56" i="16"/>
  <c r="X59" i="14"/>
  <c r="L27" i="20"/>
  <c r="O55" i="4"/>
  <c r="W62" i="8"/>
  <c r="L57" i="13"/>
  <c r="H25" i="18"/>
  <c r="G62" i="11"/>
  <c r="K15" i="18"/>
  <c r="E16" i="18"/>
  <c r="J55" i="6"/>
  <c r="P58" i="15"/>
  <c r="L56" i="7"/>
  <c r="L57" i="11"/>
  <c r="F18" i="20"/>
  <c r="Q64" i="6"/>
  <c r="L13" i="20"/>
  <c r="X64" i="11"/>
  <c r="I10" i="20"/>
  <c r="T59" i="11"/>
  <c r="I62" i="7"/>
  <c r="R62" i="6"/>
  <c r="H69" i="4"/>
  <c r="H23" i="20"/>
  <c r="O57" i="6"/>
  <c r="T70" i="4"/>
  <c r="L8" i="18"/>
  <c r="R70" i="6"/>
  <c r="P63" i="7"/>
  <c r="G37" i="18"/>
  <c r="H67" i="13"/>
  <c r="S64" i="8"/>
  <c r="K66" i="16"/>
  <c r="F38" i="18"/>
  <c r="V69" i="1"/>
  <c r="H22" i="20"/>
  <c r="J48" i="9"/>
  <c r="E18" i="18"/>
  <c r="Q68" i="13"/>
  <c r="L24" i="18"/>
  <c r="D67" i="11"/>
  <c r="H61" i="11"/>
  <c r="L55" i="8"/>
  <c r="M19" i="18"/>
  <c r="D11" i="20"/>
  <c r="J28" i="7"/>
  <c r="M63" i="6"/>
  <c r="F65" i="11"/>
  <c r="K46" i="18"/>
  <c r="E68" i="6"/>
  <c r="R61" i="6"/>
  <c r="W57" i="1"/>
  <c r="E72" i="1"/>
  <c r="F27" i="18"/>
  <c r="G21" i="18"/>
  <c r="R68" i="14"/>
  <c r="H69" i="1"/>
  <c r="D25" i="18"/>
  <c r="H56" i="4"/>
  <c r="H28" i="13"/>
  <c r="F46" i="18"/>
  <c r="H22" i="18"/>
  <c r="F15" i="20"/>
  <c r="R67" i="8"/>
  <c r="J27" i="20"/>
  <c r="Q56" i="16"/>
  <c r="K7" i="20"/>
  <c r="F20" i="20"/>
  <c r="G25" i="18"/>
  <c r="F67" i="1"/>
  <c r="X55" i="6"/>
  <c r="L68" i="7"/>
  <c r="O16" i="7"/>
  <c r="N16" i="7"/>
  <c r="S68" i="7"/>
  <c r="L61" i="7"/>
  <c r="M17" i="18"/>
  <c r="T58" i="11"/>
  <c r="E9" i="20"/>
  <c r="T63" i="11"/>
  <c r="R56" i="11"/>
  <c r="U60" i="6"/>
  <c r="J11" i="20"/>
  <c r="L55" i="11"/>
  <c r="J14" i="20"/>
  <c r="J65" i="15"/>
  <c r="P58" i="11"/>
  <c r="E15" i="20"/>
  <c r="L72" i="1"/>
  <c r="R65" i="7"/>
  <c r="G66" i="1"/>
  <c r="E63" i="4"/>
  <c r="H60" i="13"/>
  <c r="T71" i="1"/>
  <c r="H8" i="20"/>
  <c r="N64" i="13"/>
  <c r="K66" i="6"/>
  <c r="G41" i="18"/>
  <c r="D65" i="6"/>
  <c r="L10" i="18"/>
  <c r="W61" i="14"/>
  <c r="E64" i="8"/>
  <c r="O68" i="6"/>
  <c r="R69" i="7"/>
  <c r="W63" i="13"/>
  <c r="P68" i="15"/>
  <c r="R55" i="13"/>
  <c r="U66" i="6"/>
  <c r="F11" i="18"/>
  <c r="X71" i="8"/>
  <c r="H59" i="1"/>
  <c r="K61" i="1"/>
  <c r="D59" i="1"/>
  <c r="K65" i="11"/>
  <c r="M59" i="4"/>
  <c r="H59" i="15"/>
  <c r="S66" i="7"/>
  <c r="G68" i="11"/>
  <c r="O69" i="7"/>
  <c r="K69" i="11"/>
  <c r="H67" i="6"/>
  <c r="G56" i="6"/>
  <c r="N60" i="7"/>
  <c r="K63" i="13"/>
  <c r="J22" i="20"/>
  <c r="L18" i="18"/>
  <c r="N71" i="16"/>
  <c r="W64" i="13"/>
  <c r="I15" i="18"/>
  <c r="N69" i="1"/>
  <c r="M56" i="1"/>
  <c r="H71" i="4"/>
  <c r="J17" i="18"/>
  <c r="L63" i="6"/>
  <c r="F13" i="18"/>
  <c r="U56" i="6"/>
  <c r="U67" i="13"/>
  <c r="O68" i="4"/>
  <c r="K64" i="4"/>
  <c r="E22" i="20"/>
  <c r="F16" i="18"/>
  <c r="X71" i="11"/>
  <c r="K69" i="4"/>
  <c r="V63" i="13"/>
  <c r="I39" i="18"/>
  <c r="I25" i="20"/>
  <c r="M14" i="18"/>
  <c r="K11" i="20"/>
  <c r="G55" i="7"/>
  <c r="L70" i="1"/>
  <c r="H18" i="18"/>
  <c r="F12" i="20"/>
  <c r="F68" i="7"/>
  <c r="P63" i="4"/>
  <c r="G60" i="15"/>
  <c r="X65" i="1"/>
  <c r="L62" i="15"/>
  <c r="N61" i="13"/>
  <c r="W60" i="16"/>
  <c r="E17" i="18"/>
  <c r="F63" i="15"/>
  <c r="D27" i="20"/>
  <c r="V64" i="13"/>
  <c r="R63" i="4"/>
  <c r="E40" i="18"/>
  <c r="I65" i="4"/>
  <c r="R70" i="11"/>
  <c r="Q67" i="16"/>
  <c r="I10" i="18"/>
  <c r="L68" i="1"/>
  <c r="L55" i="16"/>
  <c r="J24" i="18"/>
  <c r="R55" i="15"/>
  <c r="G58" i="15"/>
  <c r="X68" i="6"/>
  <c r="D37" i="18"/>
  <c r="O55" i="8"/>
  <c r="F70" i="1"/>
  <c r="K67" i="14"/>
  <c r="O71" i="14"/>
  <c r="N48" i="4"/>
  <c r="O48" i="4"/>
  <c r="R64" i="11"/>
  <c r="Q70" i="7"/>
  <c r="E71" i="4"/>
  <c r="F45" i="18"/>
  <c r="J71" i="14"/>
  <c r="D64" i="6"/>
  <c r="X57" i="1"/>
  <c r="I55" i="4"/>
  <c r="K60" i="11"/>
  <c r="F57" i="7"/>
  <c r="K41" i="18"/>
  <c r="V60" i="16"/>
  <c r="I8" i="18"/>
  <c r="N63" i="15"/>
  <c r="X55" i="11"/>
  <c r="I17" i="20"/>
  <c r="T61" i="6"/>
  <c r="E23" i="18"/>
  <c r="E44" i="18"/>
  <c r="L46" i="18"/>
  <c r="I67" i="11"/>
  <c r="D23" i="18"/>
  <c r="O56" i="15"/>
  <c r="Q59" i="14"/>
  <c r="D61" i="1"/>
  <c r="L62" i="16"/>
  <c r="D11" i="18"/>
  <c r="D18" i="20"/>
  <c r="K55" i="9"/>
  <c r="U59" i="13"/>
  <c r="Q65" i="8"/>
  <c r="I15" i="20"/>
  <c r="U62" i="11"/>
  <c r="K61" i="13"/>
  <c r="R67" i="6"/>
  <c r="V68" i="11"/>
  <c r="S55" i="7"/>
  <c r="M71" i="14"/>
  <c r="F19" i="20"/>
  <c r="H27" i="18"/>
  <c r="E21" i="20"/>
  <c r="D55" i="4"/>
  <c r="M66" i="6"/>
  <c r="S57" i="13"/>
  <c r="T61" i="14"/>
  <c r="F25" i="18"/>
  <c r="L44" i="18"/>
  <c r="P57" i="4"/>
  <c r="P60" i="4"/>
  <c r="D16" i="18"/>
  <c r="K18" i="20"/>
  <c r="R60" i="6"/>
  <c r="M70" i="11"/>
  <c r="K65" i="13"/>
  <c r="D19" i="20"/>
  <c r="Q67" i="11"/>
  <c r="H42" i="18"/>
  <c r="O57" i="4"/>
  <c r="F24" i="18"/>
  <c r="E50" i="11"/>
  <c r="X56" i="4"/>
  <c r="X61" i="11"/>
  <c r="F16" i="20"/>
  <c r="X62" i="8"/>
  <c r="Q65" i="11"/>
  <c r="M7" i="20"/>
  <c r="D70" i="13"/>
  <c r="I20" i="18"/>
  <c r="E57" i="11"/>
  <c r="P57" i="15"/>
  <c r="R55" i="14"/>
  <c r="N37" i="11"/>
  <c r="O37" i="11"/>
  <c r="K59" i="8"/>
  <c r="E55" i="12"/>
  <c r="F55" i="4"/>
  <c r="E48" i="13"/>
  <c r="K59" i="16"/>
  <c r="W62" i="6"/>
  <c r="L64" i="1"/>
  <c r="P64" i="16"/>
  <c r="L50" i="11"/>
  <c r="Q55" i="7"/>
  <c r="E59" i="1"/>
  <c r="E24" i="18"/>
  <c r="F70" i="16"/>
  <c r="M32" i="18"/>
  <c r="O67" i="15"/>
  <c r="D69" i="11"/>
  <c r="D64" i="11"/>
  <c r="M56" i="16"/>
  <c r="L22" i="20"/>
  <c r="P70" i="8"/>
  <c r="H70" i="7"/>
  <c r="L69" i="4"/>
  <c r="T66" i="4"/>
  <c r="N18" i="11"/>
  <c r="O18" i="11"/>
  <c r="F26" i="18"/>
  <c r="I23" i="18"/>
  <c r="H44" i="18"/>
  <c r="V59" i="1"/>
  <c r="H67" i="4"/>
  <c r="P68" i="8"/>
  <c r="N60" i="4"/>
  <c r="E33" i="18"/>
  <c r="M8" i="18"/>
  <c r="D19" i="18"/>
  <c r="G12" i="20"/>
  <c r="K61" i="6"/>
  <c r="U69" i="16"/>
  <c r="J28" i="13"/>
  <c r="G18" i="18"/>
  <c r="T66" i="15"/>
  <c r="P70" i="6"/>
  <c r="L33" i="18"/>
  <c r="K23" i="20"/>
  <c r="G65" i="4"/>
  <c r="J67" i="4"/>
  <c r="E56" i="15"/>
  <c r="D34" i="18"/>
  <c r="J66" i="6"/>
  <c r="Q57" i="13"/>
  <c r="J65" i="11"/>
  <c r="E10" i="18"/>
  <c r="N70" i="13"/>
  <c r="F48" i="18"/>
  <c r="W64" i="15"/>
  <c r="J7" i="18"/>
  <c r="K19" i="20"/>
  <c r="J55" i="8"/>
  <c r="E36" i="18"/>
  <c r="D35" i="18"/>
  <c r="N61" i="15"/>
  <c r="I45" i="18"/>
  <c r="J70" i="15"/>
  <c r="D26" i="20"/>
  <c r="H59" i="13"/>
  <c r="R67" i="14"/>
  <c r="G59" i="6"/>
  <c r="I70" i="6"/>
  <c r="G12" i="18"/>
  <c r="S68" i="15"/>
  <c r="Q61" i="11"/>
  <c r="D63" i="6"/>
  <c r="D8" i="18"/>
  <c r="L71" i="4"/>
  <c r="X56" i="7"/>
  <c r="K11" i="18"/>
  <c r="F25" i="20"/>
  <c r="X67" i="13"/>
  <c r="O62" i="16"/>
  <c r="H71" i="7"/>
  <c r="I67" i="4"/>
  <c r="I50" i="4"/>
  <c r="R65" i="14"/>
  <c r="H63" i="6"/>
  <c r="R64" i="14"/>
  <c r="L16" i="20"/>
  <c r="H68" i="16"/>
  <c r="K68" i="15"/>
  <c r="G27" i="20"/>
  <c r="K17" i="20"/>
  <c r="T69" i="15"/>
  <c r="U57" i="4"/>
  <c r="O60" i="7"/>
  <c r="S55" i="6"/>
  <c r="Q60" i="7"/>
  <c r="G10" i="20"/>
  <c r="X57" i="4"/>
  <c r="M36" i="18"/>
  <c r="M15" i="18"/>
  <c r="D24" i="18"/>
  <c r="S67" i="1"/>
  <c r="M14" i="20"/>
  <c r="P67" i="11"/>
  <c r="X66" i="14"/>
  <c r="I65" i="7"/>
  <c r="M66" i="1"/>
  <c r="E18" i="20"/>
  <c r="J21" i="20"/>
  <c r="E8" i="20"/>
  <c r="I7" i="20"/>
  <c r="J9" i="18"/>
  <c r="N36" i="13"/>
  <c r="O36" i="13"/>
  <c r="M24" i="18"/>
  <c r="H70" i="13"/>
  <c r="W70" i="16"/>
  <c r="W56" i="4"/>
  <c r="X64" i="6"/>
  <c r="X65" i="11"/>
  <c r="L25" i="20"/>
  <c r="H60" i="11"/>
  <c r="G27" i="18"/>
  <c r="D56" i="7"/>
  <c r="L16" i="18"/>
  <c r="O62" i="13"/>
  <c r="N71" i="1"/>
  <c r="F7" i="20"/>
  <c r="P71" i="16"/>
  <c r="J60" i="7"/>
  <c r="H63" i="4"/>
  <c r="F47" i="18"/>
  <c r="N66" i="11"/>
  <c r="R60" i="1"/>
  <c r="V58" i="6"/>
  <c r="I47" i="18"/>
  <c r="K57" i="11"/>
  <c r="M26" i="20"/>
  <c r="J35" i="18"/>
  <c r="L55" i="9"/>
  <c r="P66" i="11"/>
  <c r="K12" i="18"/>
  <c r="J62" i="7"/>
  <c r="I35" i="18"/>
  <c r="J68" i="14"/>
  <c r="I26" i="20"/>
  <c r="E20" i="18"/>
  <c r="F7" i="18"/>
  <c r="H45" i="18"/>
  <c r="S61" i="13"/>
  <c r="S65" i="11"/>
  <c r="N64" i="7"/>
  <c r="F21" i="20"/>
  <c r="G71" i="4"/>
  <c r="K9" i="20"/>
  <c r="I57" i="1"/>
  <c r="I22" i="20"/>
  <c r="X69" i="7"/>
  <c r="G59" i="1"/>
  <c r="R69" i="15"/>
  <c r="M48" i="13"/>
  <c r="J50" i="4"/>
  <c r="M69" i="16"/>
  <c r="N45" i="9"/>
  <c r="O45" i="9"/>
  <c r="K62" i="11"/>
  <c r="H58" i="1"/>
  <c r="G69" i="7"/>
  <c r="N69" i="16"/>
  <c r="H34" i="18"/>
  <c r="X57" i="16"/>
  <c r="J23" i="20"/>
  <c r="F61" i="7"/>
  <c r="M67" i="6"/>
  <c r="O32" i="13"/>
  <c r="N32" i="13"/>
  <c r="D48" i="13"/>
  <c r="J64" i="15"/>
  <c r="O19" i="13"/>
  <c r="N19" i="13"/>
  <c r="T60" i="4"/>
  <c r="K7" i="18"/>
  <c r="L9" i="20"/>
  <c r="G64" i="16"/>
  <c r="F26" i="20"/>
  <c r="M33" i="18"/>
  <c r="K55" i="11"/>
  <c r="N64" i="8"/>
  <c r="V60" i="11"/>
  <c r="F59" i="11"/>
  <c r="L66" i="11"/>
  <c r="W67" i="4"/>
  <c r="W65" i="4"/>
  <c r="M44" i="18"/>
  <c r="N15" i="7"/>
  <c r="O15" i="7"/>
  <c r="E14" i="20"/>
  <c r="N7" i="8"/>
  <c r="O7" i="8"/>
  <c r="D28" i="8"/>
  <c r="V55" i="6"/>
  <c r="E27" i="18"/>
  <c r="H46" i="18"/>
  <c r="O20" i="7"/>
  <c r="N20" i="7"/>
  <c r="D66" i="13"/>
  <c r="N62" i="11"/>
  <c r="L71" i="6"/>
  <c r="O46" i="13"/>
  <c r="N46" i="13"/>
  <c r="D26" i="18"/>
  <c r="Q68" i="1"/>
  <c r="V62" i="11"/>
  <c r="U65" i="4"/>
  <c r="N67" i="7"/>
  <c r="F70" i="7"/>
  <c r="N60" i="11"/>
  <c r="S59" i="14"/>
  <c r="N70" i="7"/>
  <c r="F63" i="13"/>
  <c r="J12" i="18"/>
  <c r="H10" i="18"/>
  <c r="L23" i="20"/>
  <c r="M67" i="1"/>
  <c r="W70" i="6"/>
  <c r="J47" i="18"/>
  <c r="J57" i="7"/>
  <c r="V57" i="1"/>
  <c r="D36" i="18"/>
  <c r="P67" i="6"/>
  <c r="M9" i="18"/>
  <c r="F57" i="8"/>
  <c r="V66" i="7"/>
  <c r="K35" i="18"/>
  <c r="V68" i="13"/>
  <c r="N69" i="7"/>
  <c r="F60" i="11"/>
  <c r="H58" i="11"/>
  <c r="E13" i="18"/>
  <c r="D55" i="11"/>
  <c r="K58" i="7"/>
  <c r="J19" i="20"/>
  <c r="K57" i="7"/>
  <c r="H70" i="14"/>
  <c r="K16" i="20"/>
  <c r="X63" i="7"/>
  <c r="E42" i="18"/>
  <c r="X67" i="14"/>
  <c r="T58" i="4"/>
  <c r="J57" i="4"/>
  <c r="O58" i="1"/>
  <c r="N9" i="13"/>
  <c r="O9" i="13"/>
  <c r="K59" i="11"/>
  <c r="D68" i="13"/>
  <c r="E68" i="14"/>
  <c r="P65" i="6"/>
  <c r="O59" i="4"/>
  <c r="O34" i="4"/>
  <c r="N34" i="4"/>
  <c r="R61" i="11"/>
  <c r="T55" i="16"/>
  <c r="S59" i="16"/>
  <c r="G57" i="4"/>
  <c r="P56" i="8"/>
  <c r="M67" i="11"/>
  <c r="E16" i="20"/>
  <c r="D68" i="11"/>
  <c r="L42" i="18"/>
  <c r="O57" i="1"/>
  <c r="O7" i="7"/>
  <c r="N7" i="7"/>
  <c r="D28" i="7"/>
  <c r="S63" i="8"/>
  <c r="H23" i="18"/>
  <c r="X65" i="15"/>
  <c r="T64" i="1"/>
  <c r="M43" i="18"/>
  <c r="K14" i="18"/>
  <c r="M19" i="20"/>
  <c r="G32" i="18"/>
  <c r="E19" i="20"/>
  <c r="J8" i="18"/>
  <c r="O55" i="13"/>
  <c r="K48" i="13"/>
  <c r="E7" i="18"/>
  <c r="H38" i="18"/>
  <c r="D27" i="18"/>
  <c r="M64" i="13"/>
  <c r="L43" i="18"/>
  <c r="J63" i="8"/>
  <c r="J60" i="15"/>
  <c r="Q67" i="8"/>
  <c r="G58" i="13"/>
  <c r="K25" i="18"/>
  <c r="D66" i="4"/>
  <c r="L18" i="20"/>
  <c r="O57" i="11"/>
  <c r="F60" i="8"/>
  <c r="H20" i="20"/>
  <c r="X63" i="13"/>
  <c r="K42" i="18"/>
  <c r="E47" i="18"/>
  <c r="T66" i="6"/>
  <c r="M64" i="6"/>
  <c r="R70" i="7"/>
  <c r="N71" i="7"/>
  <c r="D21" i="20"/>
  <c r="M12" i="20"/>
  <c r="D61" i="14"/>
  <c r="F58" i="11"/>
  <c r="E28" i="15"/>
  <c r="K60" i="15"/>
  <c r="I66" i="11"/>
  <c r="F23" i="18"/>
  <c r="D70" i="14"/>
  <c r="S70" i="8"/>
  <c r="K47" i="18"/>
  <c r="V59" i="4"/>
  <c r="M59" i="6"/>
  <c r="N33" i="13"/>
  <c r="O33" i="13"/>
  <c r="P64" i="1"/>
  <c r="H7" i="20"/>
  <c r="D70" i="11"/>
  <c r="E58" i="1"/>
  <c r="J56" i="4"/>
  <c r="F57" i="13"/>
  <c r="X58" i="15"/>
  <c r="K20" i="20"/>
  <c r="U68" i="13"/>
  <c r="V57" i="4"/>
  <c r="I67" i="1"/>
  <c r="K63" i="6"/>
  <c r="K9" i="18"/>
  <c r="Q61" i="7"/>
  <c r="X60" i="11"/>
  <c r="P56" i="15"/>
  <c r="R70" i="4"/>
  <c r="X64" i="15"/>
  <c r="F55" i="8"/>
  <c r="I46" i="18"/>
  <c r="F61" i="1"/>
  <c r="P61" i="7"/>
  <c r="E67" i="15"/>
  <c r="E58" i="16"/>
  <c r="L13" i="18"/>
  <c r="W61" i="1"/>
  <c r="I62" i="11"/>
  <c r="L21" i="18"/>
  <c r="S62" i="13"/>
  <c r="N55" i="13"/>
  <c r="I9" i="18"/>
  <c r="N56" i="4"/>
  <c r="K13" i="20"/>
  <c r="F60" i="15"/>
  <c r="M8" i="20"/>
  <c r="G17" i="20"/>
  <c r="N11" i="4"/>
  <c r="O11" i="4"/>
  <c r="M68" i="1"/>
  <c r="T65" i="15"/>
  <c r="G9" i="20"/>
  <c r="Q57" i="1"/>
  <c r="S68" i="13"/>
  <c r="H69" i="13"/>
  <c r="H61" i="13"/>
  <c r="N61" i="7"/>
  <c r="U56" i="1"/>
  <c r="Q59" i="13"/>
  <c r="S63" i="6"/>
  <c r="T55" i="8"/>
  <c r="T56" i="6"/>
  <c r="L26" i="18"/>
  <c r="M11" i="18"/>
  <c r="H21" i="20"/>
  <c r="Q55" i="14"/>
  <c r="D64" i="4"/>
  <c r="G67" i="11"/>
  <c r="I13" i="20"/>
  <c r="O62" i="11"/>
  <c r="X62" i="7"/>
  <c r="J56" i="11"/>
  <c r="W58" i="13"/>
  <c r="J59" i="4"/>
  <c r="K58" i="11"/>
  <c r="I7" i="18"/>
  <c r="D15" i="18"/>
  <c r="O36" i="9"/>
  <c r="N36" i="9"/>
  <c r="W65" i="11"/>
  <c r="G64" i="4"/>
  <c r="S59" i="13"/>
  <c r="L55" i="6"/>
  <c r="J56" i="13"/>
  <c r="N67" i="11"/>
  <c r="M55" i="15"/>
  <c r="W59" i="1"/>
  <c r="R64" i="7"/>
  <c r="O64" i="15"/>
  <c r="V55" i="15"/>
  <c r="S67" i="8"/>
  <c r="J65" i="8"/>
  <c r="T70" i="6"/>
  <c r="R71" i="4"/>
  <c r="U69" i="13"/>
  <c r="W65" i="1"/>
  <c r="N68" i="6"/>
  <c r="H63" i="14"/>
  <c r="N61" i="8"/>
  <c r="P62" i="16"/>
  <c r="F58" i="6"/>
  <c r="H70" i="1"/>
  <c r="H11" i="18"/>
  <c r="J26" i="18"/>
  <c r="G16" i="20"/>
  <c r="E26" i="20"/>
  <c r="V60" i="6"/>
  <c r="R63" i="1"/>
  <c r="T71" i="11"/>
  <c r="M25" i="20"/>
  <c r="G71" i="11"/>
  <c r="D65" i="7"/>
  <c r="M63" i="16"/>
  <c r="M58" i="8"/>
  <c r="P63" i="8"/>
  <c r="O66" i="4"/>
  <c r="S65" i="7"/>
  <c r="D58" i="15"/>
  <c r="O10" i="11"/>
  <c r="N10" i="11"/>
  <c r="M60" i="7"/>
  <c r="M12" i="18"/>
  <c r="H21" i="18"/>
  <c r="O57" i="16"/>
  <c r="O39" i="11"/>
  <c r="N39" i="11"/>
  <c r="H55" i="13"/>
  <c r="G28" i="14"/>
  <c r="R60" i="4"/>
  <c r="I14" i="18"/>
  <c r="G70" i="15"/>
  <c r="G11" i="20"/>
  <c r="S69" i="6"/>
  <c r="I55" i="11"/>
  <c r="G55" i="13"/>
  <c r="K70" i="4"/>
  <c r="L14" i="18"/>
  <c r="H20" i="18"/>
  <c r="O58" i="13"/>
  <c r="E11" i="18"/>
  <c r="J61" i="11"/>
  <c r="J68" i="13"/>
  <c r="O58" i="8"/>
  <c r="L61" i="6"/>
  <c r="N22" i="8"/>
  <c r="O22" i="8"/>
  <c r="F18" i="18"/>
  <c r="U55" i="12"/>
  <c r="K65" i="16"/>
  <c r="O61" i="13"/>
  <c r="F15" i="18"/>
  <c r="R57" i="7"/>
  <c r="N27" i="13"/>
  <c r="O27" i="13"/>
  <c r="E15" i="18"/>
  <c r="W57" i="14"/>
  <c r="G23" i="20"/>
  <c r="T55" i="7"/>
  <c r="I34" i="18"/>
  <c r="R68" i="8"/>
  <c r="H11" i="20"/>
  <c r="L62" i="4"/>
  <c r="N32" i="9"/>
  <c r="D48" i="9"/>
  <c r="N48" i="9" s="1"/>
  <c r="O32" i="9"/>
  <c r="D56" i="11"/>
  <c r="F32" i="18"/>
  <c r="S66" i="13"/>
  <c r="L20" i="20"/>
  <c r="M17" i="20"/>
  <c r="V72" i="1"/>
  <c r="D21" i="18"/>
  <c r="F10" i="20"/>
  <c r="J66" i="13"/>
  <c r="V69" i="8"/>
  <c r="X66" i="16"/>
  <c r="I55" i="13"/>
  <c r="E14" i="18"/>
  <c r="L57" i="4"/>
  <c r="E65" i="16"/>
  <c r="H25" i="20"/>
  <c r="M11" i="20"/>
  <c r="M58" i="13"/>
  <c r="O69" i="15"/>
  <c r="O66" i="7"/>
  <c r="J28" i="8"/>
  <c r="T61" i="1"/>
  <c r="M65" i="15"/>
  <c r="V59" i="13"/>
  <c r="G64" i="11"/>
  <c r="R64" i="15"/>
  <c r="N60" i="16"/>
  <c r="S58" i="6"/>
  <c r="G61" i="7"/>
  <c r="K23" i="18"/>
  <c r="G48" i="9"/>
  <c r="G61" i="4"/>
  <c r="P69" i="1"/>
  <c r="K62" i="1"/>
  <c r="F61" i="16"/>
  <c r="M34" i="18"/>
  <c r="L60" i="1"/>
  <c r="E71" i="8"/>
  <c r="J72" i="1"/>
  <c r="D62" i="4"/>
  <c r="D46" i="18"/>
  <c r="P69" i="7"/>
  <c r="H48" i="18"/>
  <c r="L21" i="20"/>
  <c r="K26" i="20"/>
  <c r="G44" i="18"/>
  <c r="N71" i="14"/>
  <c r="H59" i="7"/>
  <c r="Q68" i="6"/>
  <c r="V63" i="16"/>
  <c r="M69" i="6"/>
  <c r="D38" i="18"/>
  <c r="F22" i="20"/>
  <c r="I60" i="4"/>
  <c r="F70" i="14"/>
  <c r="H27" i="20"/>
  <c r="O63" i="15"/>
  <c r="H13" i="20"/>
  <c r="E8" i="18"/>
  <c r="M66" i="11"/>
  <c r="D7" i="18"/>
  <c r="N14" i="11"/>
  <c r="O14" i="11"/>
  <c r="H72" i="1"/>
  <c r="T62" i="6"/>
  <c r="L36" i="18"/>
  <c r="F70" i="15"/>
  <c r="X62" i="6"/>
  <c r="E63" i="1"/>
  <c r="I67" i="16"/>
  <c r="O27" i="4"/>
  <c r="N27" i="4"/>
  <c r="F28" i="13"/>
  <c r="I65" i="14"/>
  <c r="L7" i="20"/>
  <c r="E65" i="6"/>
  <c r="I65" i="11"/>
  <c r="N63" i="4"/>
  <c r="L34" i="18"/>
  <c r="D57" i="4"/>
  <c r="D28" i="11"/>
  <c r="N7" i="11"/>
  <c r="O7" i="11"/>
  <c r="D14" i="20"/>
  <c r="K24" i="20"/>
  <c r="T62" i="13"/>
  <c r="H56" i="11"/>
  <c r="I38" i="18"/>
  <c r="F66" i="6"/>
  <c r="T71" i="8"/>
  <c r="H71" i="6"/>
  <c r="M23" i="18"/>
  <c r="K25" i="20"/>
  <c r="J42" i="18"/>
  <c r="O68" i="7"/>
  <c r="Q71" i="6"/>
  <c r="G55" i="12"/>
  <c r="O56" i="13"/>
  <c r="P71" i="14"/>
  <c r="L62" i="11"/>
  <c r="R59" i="16"/>
  <c r="I65" i="15"/>
  <c r="E69" i="8"/>
  <c r="M16" i="20"/>
  <c r="R69" i="13"/>
  <c r="F28" i="7"/>
  <c r="N61" i="6"/>
  <c r="N69" i="6"/>
  <c r="H71" i="8"/>
  <c r="D62" i="6"/>
  <c r="L50" i="4"/>
  <c r="E66" i="8"/>
  <c r="K67" i="13"/>
  <c r="N67" i="15"/>
  <c r="N17" i="9"/>
  <c r="O17" i="9"/>
  <c r="V68" i="1"/>
  <c r="N71" i="4"/>
  <c r="K66" i="1"/>
  <c r="V55" i="7"/>
  <c r="W61" i="11"/>
  <c r="D43" i="18"/>
  <c r="E24" i="20"/>
  <c r="K70" i="7"/>
  <c r="H35" i="18"/>
  <c r="J34" i="18"/>
  <c r="J41" i="18"/>
  <c r="W65" i="6"/>
  <c r="P55" i="16"/>
  <c r="V63" i="15"/>
  <c r="X68" i="14"/>
  <c r="N57" i="11"/>
  <c r="D71" i="11"/>
  <c r="W67" i="13"/>
  <c r="P60" i="11"/>
  <c r="J70" i="14"/>
  <c r="P61" i="16"/>
  <c r="N23" i="4"/>
  <c r="O23" i="4"/>
  <c r="F57" i="14"/>
  <c r="X68" i="4"/>
  <c r="D66" i="15"/>
  <c r="W70" i="13"/>
  <c r="Q58" i="13"/>
  <c r="M56" i="4"/>
  <c r="I69" i="4"/>
  <c r="M61" i="7"/>
  <c r="N10" i="9"/>
  <c r="O10" i="9"/>
  <c r="Q60" i="4"/>
  <c r="I64" i="7"/>
  <c r="F55" i="16"/>
  <c r="L68" i="4"/>
  <c r="Q64" i="7"/>
  <c r="L70" i="6"/>
  <c r="N65" i="4"/>
  <c r="T59" i="14"/>
  <c r="X67" i="4"/>
  <c r="K62" i="13"/>
  <c r="M70" i="14"/>
  <c r="K66" i="11"/>
  <c r="O66" i="13"/>
  <c r="F56" i="13"/>
  <c r="T69" i="8"/>
  <c r="L28" i="9"/>
  <c r="R59" i="14"/>
  <c r="E65" i="11"/>
  <c r="N21" i="8"/>
  <c r="O21" i="8"/>
  <c r="J70" i="4"/>
  <c r="P63" i="16"/>
  <c r="V58" i="4"/>
  <c r="S68" i="1"/>
  <c r="H68" i="13"/>
  <c r="U62" i="15"/>
  <c r="L68" i="15"/>
  <c r="I69" i="1"/>
  <c r="I71" i="15"/>
  <c r="U65" i="1"/>
  <c r="L58" i="7"/>
  <c r="G62" i="7"/>
  <c r="U69" i="1"/>
  <c r="G58" i="7"/>
  <c r="U55" i="4"/>
  <c r="O13" i="8"/>
  <c r="N13" i="8"/>
  <c r="O18" i="4"/>
  <c r="N18" i="4"/>
  <c r="U70" i="4"/>
  <c r="U70" i="6"/>
  <c r="L58" i="13"/>
  <c r="J71" i="1"/>
  <c r="J28" i="11"/>
  <c r="L56" i="8"/>
  <c r="X57" i="6"/>
  <c r="N55" i="14"/>
  <c r="X67" i="8"/>
  <c r="V64" i="6"/>
  <c r="F14" i="20"/>
  <c r="S64" i="16"/>
  <c r="D65" i="11"/>
  <c r="L58" i="15"/>
  <c r="D67" i="4"/>
  <c r="J18" i="18"/>
  <c r="I20" i="20"/>
  <c r="G70" i="14"/>
  <c r="N48" i="15"/>
  <c r="O48" i="15"/>
  <c r="U63" i="4"/>
  <c r="L63" i="1"/>
  <c r="Q59" i="11"/>
  <c r="X66" i="6"/>
  <c r="T64" i="16"/>
  <c r="O65" i="8"/>
  <c r="P61" i="11"/>
  <c r="M63" i="13"/>
  <c r="D65" i="14"/>
  <c r="S57" i="1"/>
  <c r="W70" i="11"/>
  <c r="Q70" i="13"/>
  <c r="K56" i="15"/>
  <c r="S64" i="4"/>
  <c r="P59" i="4"/>
  <c r="W59" i="11"/>
  <c r="S67" i="7"/>
  <c r="T69" i="16"/>
  <c r="F58" i="8"/>
  <c r="P55" i="12"/>
  <c r="V67" i="4"/>
  <c r="I57" i="15"/>
  <c r="X68" i="16"/>
  <c r="K55" i="12"/>
  <c r="N39" i="15"/>
  <c r="O39" i="15"/>
  <c r="Q58" i="14"/>
  <c r="I28" i="13"/>
  <c r="E69" i="4"/>
  <c r="N23" i="7"/>
  <c r="O23" i="7"/>
  <c r="M57" i="13"/>
  <c r="G69" i="13"/>
  <c r="X63" i="15"/>
  <c r="E67" i="6"/>
  <c r="Q63" i="1"/>
  <c r="I61" i="8"/>
  <c r="R63" i="6"/>
  <c r="Q63" i="13"/>
  <c r="X69" i="6"/>
  <c r="T56" i="8"/>
  <c r="F28" i="8"/>
  <c r="N58" i="11"/>
  <c r="S58" i="7"/>
  <c r="Q69" i="14"/>
  <c r="V56" i="1"/>
  <c r="L59" i="15"/>
  <c r="N59" i="16"/>
  <c r="O60" i="15"/>
  <c r="O67" i="6"/>
  <c r="H69" i="8"/>
  <c r="J66" i="7"/>
  <c r="V62" i="6"/>
  <c r="J65" i="16"/>
  <c r="X61" i="8"/>
  <c r="I55" i="6"/>
  <c r="D56" i="13"/>
  <c r="Q57" i="15"/>
  <c r="I55" i="7"/>
  <c r="G65" i="1"/>
  <c r="L67" i="4"/>
  <c r="L47" i="18"/>
  <c r="V63" i="14"/>
  <c r="E61" i="15"/>
  <c r="O61" i="6"/>
  <c r="X68" i="13"/>
  <c r="E68" i="13"/>
  <c r="F62" i="8"/>
  <c r="V61" i="4"/>
  <c r="G58" i="11"/>
  <c r="G21" i="20"/>
  <c r="V56" i="16"/>
  <c r="T68" i="13"/>
  <c r="O56" i="14"/>
  <c r="O47" i="11"/>
  <c r="N47" i="11"/>
  <c r="M13" i="18"/>
  <c r="L61" i="8"/>
  <c r="X56" i="8"/>
  <c r="M20" i="18"/>
  <c r="L60" i="16"/>
  <c r="H64" i="8"/>
  <c r="N9" i="7"/>
  <c r="O9" i="7"/>
  <c r="M64" i="4"/>
  <c r="J61" i="8"/>
  <c r="T67" i="15"/>
  <c r="M64" i="11"/>
  <c r="I59" i="16"/>
  <c r="K12" i="20"/>
  <c r="W69" i="6"/>
  <c r="E66" i="6"/>
  <c r="R61" i="16"/>
  <c r="F9" i="18"/>
  <c r="O32" i="11"/>
  <c r="D50" i="11"/>
  <c r="N32" i="11"/>
  <c r="T71" i="6"/>
  <c r="O67" i="13"/>
  <c r="I60" i="11"/>
  <c r="X68" i="11"/>
  <c r="O57" i="7"/>
  <c r="D68" i="7"/>
  <c r="N11" i="8"/>
  <c r="O11" i="8"/>
  <c r="V55" i="13"/>
  <c r="P67" i="16"/>
  <c r="P57" i="14"/>
  <c r="F62" i="13"/>
  <c r="G71" i="1"/>
  <c r="P57" i="11"/>
  <c r="R68" i="6"/>
  <c r="O27" i="11"/>
  <c r="N27" i="11"/>
  <c r="G56" i="1"/>
  <c r="Q63" i="6"/>
  <c r="E62" i="11"/>
  <c r="T56" i="13"/>
  <c r="G55" i="16"/>
  <c r="K60" i="16"/>
  <c r="S56" i="15"/>
  <c r="L70" i="4"/>
  <c r="I71" i="16"/>
  <c r="T60" i="13"/>
  <c r="T68" i="11"/>
  <c r="P58" i="13"/>
  <c r="J63" i="14"/>
  <c r="N22" i="13"/>
  <c r="O22" i="13"/>
  <c r="W62" i="4"/>
  <c r="G69" i="15"/>
  <c r="G36" i="18"/>
  <c r="O21" i="13"/>
  <c r="N21" i="13"/>
  <c r="U68" i="11"/>
  <c r="L63" i="15"/>
  <c r="V60" i="7"/>
  <c r="T68" i="6"/>
  <c r="J64" i="11"/>
  <c r="F56" i="6"/>
  <c r="E61" i="4"/>
  <c r="J61" i="4"/>
  <c r="L58" i="4"/>
  <c r="R61" i="13"/>
  <c r="G67" i="7"/>
  <c r="L67" i="1"/>
  <c r="M59" i="11"/>
  <c r="X55" i="7"/>
  <c r="L35" i="18"/>
  <c r="T62" i="1"/>
  <c r="F60" i="7"/>
  <c r="O55" i="16"/>
  <c r="W70" i="8"/>
  <c r="F57" i="4"/>
  <c r="N17" i="11"/>
  <c r="O17" i="11"/>
  <c r="K61" i="16"/>
  <c r="P61" i="8"/>
  <c r="M65" i="14"/>
  <c r="G66" i="14"/>
  <c r="E64" i="14"/>
  <c r="R58" i="11"/>
  <c r="W59" i="6"/>
  <c r="V68" i="14"/>
  <c r="X59" i="6"/>
  <c r="L56" i="1"/>
  <c r="P55" i="14"/>
  <c r="J13" i="18"/>
  <c r="K66" i="15"/>
  <c r="E10" i="20"/>
  <c r="E66" i="14"/>
  <c r="M9" i="20"/>
  <c r="X66" i="13"/>
  <c r="G48" i="13"/>
  <c r="I65" i="6"/>
  <c r="T65" i="7"/>
  <c r="H70" i="4"/>
  <c r="G19" i="18"/>
  <c r="L45" i="18"/>
  <c r="S60" i="6"/>
  <c r="E27" i="20"/>
  <c r="F19" i="18"/>
  <c r="N61" i="16"/>
  <c r="F14" i="18"/>
  <c r="V56" i="7"/>
  <c r="E38" i="18"/>
  <c r="R65" i="16"/>
  <c r="J67" i="14"/>
  <c r="M65" i="6"/>
  <c r="R55" i="4"/>
  <c r="J63" i="6"/>
  <c r="R66" i="6"/>
  <c r="J69" i="7"/>
  <c r="D60" i="1"/>
  <c r="E66" i="7"/>
  <c r="O58" i="4"/>
  <c r="R56" i="6"/>
  <c r="J64" i="4"/>
  <c r="L64" i="13"/>
  <c r="H68" i="14"/>
  <c r="P65" i="13"/>
  <c r="X64" i="8"/>
  <c r="N19" i="9"/>
  <c r="O19" i="9"/>
  <c r="E62" i="6"/>
  <c r="W61" i="15"/>
  <c r="K50" i="4"/>
  <c r="F64" i="14"/>
  <c r="N24" i="13"/>
  <c r="O24" i="13"/>
  <c r="H57" i="11"/>
  <c r="J60" i="4"/>
  <c r="M63" i="8"/>
  <c r="R62" i="15"/>
  <c r="F69" i="7"/>
  <c r="R67" i="4"/>
  <c r="R71" i="15"/>
  <c r="O59" i="13"/>
  <c r="T59" i="6"/>
  <c r="J55" i="9"/>
  <c r="N10" i="8"/>
  <c r="O10" i="8"/>
  <c r="F62" i="4"/>
  <c r="O16" i="13"/>
  <c r="N16" i="13"/>
  <c r="X70" i="13"/>
  <c r="D64" i="15"/>
  <c r="L71" i="15"/>
  <c r="L56" i="14"/>
  <c r="J59" i="13"/>
  <c r="F70" i="11"/>
  <c r="O68" i="11"/>
  <c r="N58" i="16"/>
  <c r="G68" i="13"/>
  <c r="W69" i="4"/>
  <c r="O71" i="4"/>
  <c r="S60" i="13"/>
  <c r="H68" i="1"/>
  <c r="K63" i="16"/>
  <c r="L67" i="7"/>
  <c r="V70" i="7"/>
  <c r="F60" i="6"/>
  <c r="E28" i="8"/>
  <c r="D62" i="14"/>
  <c r="L48" i="9"/>
  <c r="F72" i="1"/>
  <c r="N70" i="15"/>
  <c r="U56" i="15"/>
  <c r="H66" i="13"/>
  <c r="Q63" i="4"/>
  <c r="S62" i="14"/>
  <c r="X59" i="15"/>
  <c r="D65" i="8"/>
  <c r="Q65" i="4"/>
  <c r="T63" i="13"/>
  <c r="N9" i="4"/>
  <c r="O9" i="4"/>
  <c r="Q66" i="11"/>
  <c r="H14" i="20"/>
  <c r="M18" i="18"/>
  <c r="E7" i="20"/>
  <c r="H67" i="7"/>
  <c r="Q70" i="4"/>
  <c r="D40" i="18"/>
  <c r="F61" i="6"/>
  <c r="K21" i="18"/>
  <c r="P62" i="8"/>
  <c r="O63" i="13"/>
  <c r="H70" i="8"/>
  <c r="D12" i="20"/>
  <c r="X65" i="4"/>
  <c r="W70" i="15"/>
  <c r="I70" i="7"/>
  <c r="Q57" i="16"/>
  <c r="S57" i="7"/>
  <c r="N67" i="1"/>
  <c r="M56" i="7"/>
  <c r="O18" i="8"/>
  <c r="N18" i="8"/>
  <c r="N63" i="13"/>
  <c r="U59" i="6"/>
  <c r="P55" i="11"/>
  <c r="K28" i="14"/>
  <c r="N24" i="7"/>
  <c r="O24" i="7"/>
  <c r="O68" i="15"/>
  <c r="D57" i="16"/>
  <c r="Q61" i="15"/>
  <c r="N45" i="11"/>
  <c r="O45" i="11"/>
  <c r="E55" i="6"/>
  <c r="I71" i="4"/>
  <c r="O64" i="11"/>
  <c r="M63" i="1"/>
  <c r="O71" i="8"/>
  <c r="E59" i="7"/>
  <c r="N44" i="13"/>
  <c r="O44" i="13"/>
  <c r="V67" i="6"/>
  <c r="R67" i="1"/>
  <c r="H56" i="1"/>
  <c r="F59" i="4"/>
  <c r="D8" i="20"/>
  <c r="I68" i="1"/>
  <c r="O39" i="9"/>
  <c r="N39" i="9"/>
  <c r="Q68" i="8"/>
  <c r="V58" i="15"/>
  <c r="N64" i="16"/>
  <c r="S56" i="8"/>
  <c r="P66" i="1"/>
  <c r="R59" i="15"/>
  <c r="H70" i="16"/>
  <c r="D59" i="14"/>
  <c r="D65" i="4"/>
  <c r="Q68" i="7"/>
  <c r="D60" i="11"/>
  <c r="O61" i="16"/>
  <c r="M70" i="15"/>
  <c r="Q63" i="16"/>
  <c r="R58" i="13"/>
  <c r="W60" i="14"/>
  <c r="G60" i="7"/>
  <c r="V64" i="11"/>
  <c r="E55" i="11"/>
  <c r="S62" i="4"/>
  <c r="K50" i="11"/>
  <c r="K63" i="14"/>
  <c r="M61" i="11"/>
  <c r="T55" i="15"/>
  <c r="K28" i="15"/>
  <c r="E59" i="8"/>
  <c r="D58" i="11"/>
  <c r="S64" i="11"/>
  <c r="O14" i="4"/>
  <c r="N14" i="4"/>
  <c r="T56" i="1"/>
  <c r="U63" i="1"/>
  <c r="M67" i="7"/>
  <c r="O69" i="14"/>
  <c r="M58" i="11"/>
  <c r="T63" i="7"/>
  <c r="H50" i="15"/>
  <c r="E55" i="14"/>
  <c r="M60" i="15"/>
  <c r="F58" i="15"/>
  <c r="L68" i="13"/>
  <c r="O70" i="7"/>
  <c r="M27" i="20"/>
  <c r="F57" i="6"/>
  <c r="L28" i="4"/>
  <c r="K62" i="6"/>
  <c r="F55" i="6"/>
  <c r="I21" i="18"/>
  <c r="K15" i="20"/>
  <c r="J38" i="18"/>
  <c r="L19" i="18"/>
  <c r="F8" i="20"/>
  <c r="H16" i="20"/>
  <c r="M25" i="18"/>
  <c r="H43" i="18"/>
  <c r="X65" i="6"/>
  <c r="O56" i="4"/>
  <c r="F55" i="13"/>
  <c r="R65" i="4"/>
  <c r="L61" i="16"/>
  <c r="T59" i="4"/>
  <c r="K60" i="13"/>
  <c r="M60" i="11"/>
  <c r="K68" i="1"/>
  <c r="W59" i="4"/>
  <c r="L65" i="11"/>
  <c r="D55" i="9"/>
  <c r="P55" i="15"/>
  <c r="H55" i="14"/>
  <c r="F60" i="4"/>
  <c r="P59" i="13"/>
  <c r="L63" i="14"/>
  <c r="K28" i="11"/>
  <c r="E58" i="6"/>
  <c r="G68" i="8"/>
  <c r="P56" i="1"/>
  <c r="U66" i="13"/>
  <c r="V66" i="11"/>
  <c r="N58" i="6"/>
  <c r="K66" i="13"/>
  <c r="G65" i="13"/>
  <c r="I69" i="11"/>
  <c r="N40" i="13"/>
  <c r="O40" i="13"/>
  <c r="D64" i="13"/>
  <c r="I59" i="4"/>
  <c r="I63" i="6"/>
  <c r="S71" i="6"/>
  <c r="E68" i="8"/>
  <c r="E60" i="7"/>
  <c r="I71" i="11"/>
  <c r="G28" i="9"/>
  <c r="W67" i="15"/>
  <c r="N69" i="13"/>
  <c r="O72" i="1"/>
  <c r="G20" i="20"/>
  <c r="R56" i="1"/>
  <c r="G63" i="7"/>
  <c r="X56" i="13"/>
  <c r="S62" i="6"/>
  <c r="V60" i="13"/>
  <c r="J69" i="4"/>
  <c r="X69" i="4"/>
  <c r="T59" i="13"/>
  <c r="D63" i="4"/>
  <c r="N57" i="16"/>
  <c r="L71" i="7"/>
  <c r="J56" i="14"/>
  <c r="F68" i="4"/>
  <c r="U61" i="13"/>
  <c r="H58" i="14"/>
  <c r="E71" i="15"/>
  <c r="N17" i="4"/>
  <c r="O17" i="4"/>
  <c r="N55" i="7"/>
  <c r="S62" i="7"/>
  <c r="K58" i="14"/>
  <c r="F41" i="18"/>
  <c r="G61" i="15"/>
  <c r="G69" i="1"/>
  <c r="P70" i="4"/>
  <c r="V63" i="11"/>
  <c r="O19" i="11"/>
  <c r="N19" i="11"/>
  <c r="M65" i="7"/>
  <c r="D17" i="20"/>
  <c r="X63" i="4"/>
  <c r="D70" i="4"/>
  <c r="Q70" i="15"/>
  <c r="E55" i="4"/>
  <c r="D59" i="8"/>
  <c r="D62" i="7"/>
  <c r="J28" i="9"/>
  <c r="D42" i="18"/>
  <c r="V55" i="9"/>
  <c r="G59" i="4"/>
  <c r="J46" i="18"/>
  <c r="F23" i="20"/>
  <c r="S64" i="14"/>
  <c r="I61" i="7"/>
  <c r="L57" i="7"/>
  <c r="R66" i="16"/>
  <c r="R56" i="15"/>
  <c r="H68" i="4"/>
  <c r="I60" i="7"/>
  <c r="W63" i="15"/>
  <c r="N47" i="4"/>
  <c r="O47" i="4"/>
  <c r="R61" i="8"/>
  <c r="W69" i="1"/>
  <c r="O60" i="14"/>
  <c r="D28" i="12"/>
  <c r="G63" i="8"/>
  <c r="K69" i="14"/>
  <c r="J70" i="8"/>
  <c r="E59" i="13"/>
  <c r="P62" i="1"/>
  <c r="N42" i="4"/>
  <c r="O42" i="4"/>
  <c r="W63" i="1"/>
  <c r="J55" i="16"/>
  <c r="X61" i="14"/>
  <c r="R69" i="4"/>
  <c r="P64" i="11"/>
  <c r="O60" i="6"/>
  <c r="E60" i="1"/>
  <c r="N62" i="4"/>
  <c r="N60" i="6"/>
  <c r="H62" i="13"/>
  <c r="H67" i="14"/>
  <c r="N34" i="11"/>
  <c r="O34" i="11"/>
  <c r="H60" i="6"/>
  <c r="G58" i="6"/>
  <c r="N66" i="15"/>
  <c r="O45" i="13"/>
  <c r="N45" i="13"/>
  <c r="X55" i="13"/>
  <c r="O55" i="6"/>
  <c r="X55" i="4"/>
  <c r="P56" i="6"/>
  <c r="K67" i="6"/>
  <c r="N62" i="7"/>
  <c r="V55" i="12"/>
  <c r="K59" i="4"/>
  <c r="D66" i="14"/>
  <c r="T67" i="6"/>
  <c r="O62" i="1"/>
  <c r="E57" i="4"/>
  <c r="W57" i="4"/>
  <c r="N60" i="1"/>
  <c r="S66" i="11"/>
  <c r="M59" i="13"/>
  <c r="M56" i="8"/>
  <c r="E28" i="11"/>
  <c r="W58" i="7"/>
  <c r="N35" i="9"/>
  <c r="O35" i="9"/>
  <c r="M66" i="7"/>
  <c r="X68" i="15"/>
  <c r="Q71" i="15"/>
  <c r="H70" i="6"/>
  <c r="J55" i="12"/>
  <c r="W55" i="7"/>
  <c r="E57" i="7"/>
  <c r="X58" i="11"/>
  <c r="S68" i="8"/>
  <c r="G24" i="20"/>
  <c r="J61" i="14"/>
  <c r="J20" i="18"/>
  <c r="I13" i="18"/>
  <c r="M50" i="4"/>
  <c r="D55" i="12"/>
  <c r="I16" i="18"/>
  <c r="N58" i="13"/>
  <c r="N58" i="4"/>
  <c r="E64" i="6"/>
  <c r="R64" i="6"/>
  <c r="E65" i="4"/>
  <c r="D67" i="8"/>
  <c r="T66" i="11"/>
  <c r="W62" i="13"/>
  <c r="F20" i="18"/>
  <c r="Q58" i="6"/>
  <c r="H7" i="18"/>
  <c r="E43" i="18"/>
  <c r="E64" i="16"/>
  <c r="I43" i="18"/>
  <c r="P69" i="6"/>
  <c r="J26" i="20"/>
  <c r="I28" i="4"/>
  <c r="G65" i="11"/>
  <c r="F57" i="16"/>
  <c r="R65" i="6"/>
  <c r="L69" i="1"/>
  <c r="N22" i="9"/>
  <c r="O22" i="9"/>
  <c r="I28" i="14"/>
  <c r="N70" i="4"/>
  <c r="G67" i="16"/>
  <c r="X62" i="16"/>
  <c r="W62" i="11"/>
  <c r="M64" i="14"/>
  <c r="X59" i="1"/>
  <c r="J61" i="13"/>
  <c r="U67" i="15"/>
  <c r="R64" i="16"/>
  <c r="Q66" i="8"/>
  <c r="W67" i="7"/>
  <c r="G62" i="15"/>
  <c r="J28" i="14"/>
  <c r="V67" i="7"/>
  <c r="X65" i="7"/>
  <c r="E70" i="1"/>
  <c r="J67" i="6"/>
  <c r="L28" i="13"/>
  <c r="Q69" i="6"/>
  <c r="S63" i="15"/>
  <c r="D55" i="7"/>
  <c r="Q61" i="14"/>
  <c r="F55" i="9"/>
  <c r="W65" i="8"/>
  <c r="N7" i="9"/>
  <c r="D28" i="9"/>
  <c r="O7" i="9"/>
  <c r="D58" i="4"/>
  <c r="S59" i="7"/>
  <c r="Q66" i="6"/>
  <c r="I67" i="14"/>
  <c r="N57" i="14"/>
  <c r="L65" i="6"/>
  <c r="M71" i="1"/>
  <c r="F28" i="4"/>
  <c r="P63" i="11"/>
  <c r="D57" i="8"/>
  <c r="X67" i="1"/>
  <c r="U61" i="4"/>
  <c r="W60" i="11"/>
  <c r="I60" i="1"/>
  <c r="I59" i="11"/>
  <c r="U57" i="1"/>
  <c r="J61" i="6"/>
  <c r="F55" i="15"/>
  <c r="K70" i="1"/>
  <c r="F56" i="16"/>
  <c r="K56" i="16"/>
  <c r="N55" i="16"/>
  <c r="N35" i="4"/>
  <c r="O35" i="4"/>
  <c r="L55" i="12"/>
  <c r="N66" i="1"/>
  <c r="R57" i="1"/>
  <c r="P66" i="13"/>
  <c r="R72" i="1"/>
  <c r="N63" i="7"/>
  <c r="W61" i="8"/>
  <c r="U56" i="13"/>
  <c r="Q60" i="8"/>
  <c r="H50" i="4"/>
  <c r="I59" i="13"/>
  <c r="O46" i="9"/>
  <c r="N46" i="9"/>
  <c r="R61" i="15"/>
  <c r="J66" i="16"/>
  <c r="J12" i="20"/>
  <c r="Q69" i="16"/>
  <c r="Q68" i="11"/>
  <c r="N63" i="11"/>
  <c r="R63" i="7"/>
  <c r="L58" i="1"/>
  <c r="M66" i="4"/>
  <c r="D13" i="20"/>
  <c r="M41" i="18"/>
  <c r="J56" i="16"/>
  <c r="G70" i="13"/>
  <c r="T62" i="4"/>
  <c r="X57" i="8"/>
  <c r="F58" i="16"/>
  <c r="O56" i="16"/>
  <c r="K66" i="4"/>
  <c r="S63" i="14"/>
  <c r="X69" i="1"/>
  <c r="O61" i="7"/>
  <c r="D13" i="18"/>
  <c r="L26" i="20"/>
  <c r="M61" i="1"/>
  <c r="I41" i="18"/>
  <c r="J23" i="18"/>
  <c r="O63" i="8"/>
  <c r="L67" i="13"/>
  <c r="H57" i="16"/>
  <c r="O60" i="1"/>
  <c r="G65" i="8"/>
  <c r="O67" i="11"/>
  <c r="T65" i="6"/>
  <c r="L37" i="18"/>
  <c r="Q64" i="13"/>
  <c r="O26" i="4"/>
  <c r="N26" i="4"/>
  <c r="Q66" i="7"/>
  <c r="E66" i="13"/>
  <c r="F56" i="1"/>
  <c r="V65" i="14"/>
  <c r="J60" i="14"/>
  <c r="E58" i="4"/>
  <c r="P69" i="11"/>
  <c r="H71" i="15"/>
  <c r="G56" i="4"/>
  <c r="G57" i="6"/>
  <c r="D67" i="14"/>
  <c r="M71" i="8"/>
  <c r="G62" i="4"/>
  <c r="T63" i="6"/>
  <c r="N62" i="6"/>
  <c r="W55" i="13"/>
  <c r="H28" i="14"/>
  <c r="J58" i="7"/>
  <c r="Q71" i="1"/>
  <c r="P56" i="11"/>
  <c r="D61" i="8"/>
  <c r="F55" i="7"/>
  <c r="X70" i="8"/>
  <c r="H48" i="9"/>
  <c r="P68" i="14"/>
  <c r="O12" i="8"/>
  <c r="N12" i="8"/>
  <c r="H57" i="15"/>
  <c r="N55" i="8"/>
  <c r="U70" i="11"/>
  <c r="X64" i="13"/>
  <c r="E62" i="4"/>
  <c r="N24" i="4"/>
  <c r="O24" i="4"/>
  <c r="V69" i="4"/>
  <c r="O25" i="11"/>
  <c r="N25" i="11"/>
  <c r="N26" i="8"/>
  <c r="O26" i="8"/>
  <c r="L66" i="14"/>
  <c r="D71" i="6"/>
  <c r="O55" i="7"/>
  <c r="Q55" i="4"/>
  <c r="N11" i="7"/>
  <c r="O11" i="7"/>
  <c r="D66" i="11"/>
  <c r="O69" i="6"/>
  <c r="I60" i="8"/>
  <c r="E64" i="15"/>
  <c r="K66" i="14"/>
  <c r="R68" i="1"/>
  <c r="I67" i="8"/>
  <c r="E62" i="1"/>
  <c r="Q60" i="11"/>
  <c r="G17" i="18"/>
  <c r="O12" i="9"/>
  <c r="N12" i="9"/>
  <c r="E60" i="4"/>
  <c r="N34" i="9"/>
  <c r="O34" i="9"/>
  <c r="J60" i="6"/>
  <c r="K56" i="7"/>
  <c r="L39" i="18"/>
  <c r="O11" i="9"/>
  <c r="N11" i="9"/>
  <c r="X56" i="15"/>
  <c r="S70" i="4"/>
  <c r="H26" i="20"/>
  <c r="X56" i="11"/>
  <c r="M58" i="16"/>
  <c r="G39" i="18"/>
  <c r="P55" i="7"/>
  <c r="F67" i="7"/>
  <c r="R59" i="8"/>
  <c r="K50" i="15"/>
  <c r="T56" i="11"/>
  <c r="L24" i="20"/>
  <c r="N15" i="9"/>
  <c r="O15" i="9"/>
  <c r="F11" i="20"/>
  <c r="E70" i="11"/>
  <c r="L11" i="18"/>
  <c r="F66" i="13"/>
  <c r="M57" i="1"/>
  <c r="D56" i="8"/>
  <c r="O63" i="1"/>
  <c r="L61" i="13"/>
  <c r="L60" i="4"/>
  <c r="K67" i="11"/>
  <c r="M64" i="8"/>
  <c r="O67" i="14"/>
  <c r="Q70" i="6"/>
  <c r="H66" i="6"/>
  <c r="X70" i="1"/>
  <c r="Q71" i="8"/>
  <c r="N9" i="11"/>
  <c r="O9" i="11"/>
  <c r="E63" i="14"/>
  <c r="W56" i="7"/>
  <c r="V62" i="4"/>
  <c r="N58" i="8"/>
  <c r="D63" i="7"/>
  <c r="O70" i="15"/>
  <c r="J59" i="7"/>
  <c r="W60" i="13"/>
  <c r="F64" i="16"/>
  <c r="U70" i="1"/>
  <c r="M68" i="4"/>
  <c r="S65" i="13"/>
  <c r="J60" i="11"/>
  <c r="R59" i="4"/>
  <c r="T72" i="1"/>
  <c r="E59" i="4"/>
  <c r="V69" i="14"/>
  <c r="X64" i="16"/>
  <c r="U63" i="6"/>
  <c r="X69" i="13"/>
  <c r="X71" i="14"/>
  <c r="N26" i="11"/>
  <c r="O26" i="11"/>
  <c r="K71" i="15"/>
  <c r="H64" i="13"/>
  <c r="F63" i="14"/>
  <c r="L65" i="14"/>
  <c r="F67" i="15"/>
  <c r="E46" i="18"/>
  <c r="G70" i="1"/>
  <c r="D60" i="7"/>
  <c r="K59" i="6"/>
  <c r="V67" i="13"/>
  <c r="T70" i="15"/>
  <c r="K58" i="1"/>
  <c r="H64" i="6"/>
  <c r="E68" i="1"/>
  <c r="O71" i="15"/>
  <c r="L64" i="11"/>
  <c r="O60" i="4"/>
  <c r="S61" i="14"/>
  <c r="J69" i="1"/>
  <c r="P61" i="1"/>
  <c r="I61" i="6"/>
  <c r="V63" i="4"/>
  <c r="F65" i="4"/>
  <c r="O15" i="13"/>
  <c r="N15" i="13"/>
  <c r="Q71" i="4"/>
  <c r="V71" i="16"/>
  <c r="T66" i="13"/>
  <c r="U66" i="16"/>
  <c r="P58" i="7"/>
  <c r="T67" i="4"/>
  <c r="R64" i="8"/>
  <c r="D65" i="13"/>
  <c r="E70" i="15"/>
  <c r="F62" i="16"/>
  <c r="J70" i="1"/>
  <c r="J10" i="20"/>
  <c r="I61" i="4"/>
  <c r="V59" i="8"/>
  <c r="O65" i="6"/>
  <c r="S67" i="11"/>
  <c r="F50" i="11"/>
  <c r="N41" i="15"/>
  <c r="O41" i="15"/>
  <c r="D39" i="18"/>
  <c r="D69" i="13"/>
  <c r="X63" i="16"/>
  <c r="I40" i="18"/>
  <c r="K67" i="1"/>
  <c r="S69" i="11"/>
  <c r="D49" i="18"/>
  <c r="R58" i="16"/>
  <c r="S68" i="11"/>
  <c r="T69" i="6"/>
  <c r="J57" i="13"/>
  <c r="N44" i="9"/>
  <c r="O44" i="9"/>
  <c r="R55" i="7"/>
  <c r="D58" i="13"/>
  <c r="N64" i="14"/>
  <c r="O13" i="11"/>
  <c r="N13" i="11"/>
  <c r="G10" i="18"/>
  <c r="T59" i="8"/>
  <c r="P55" i="9"/>
  <c r="D68" i="6"/>
  <c r="G64" i="8"/>
  <c r="L62" i="6"/>
  <c r="E56" i="1"/>
  <c r="Q64" i="14"/>
  <c r="P65" i="4"/>
  <c r="U68" i="16"/>
  <c r="H65" i="6"/>
  <c r="E67" i="7"/>
  <c r="D56" i="6"/>
  <c r="E64" i="13"/>
  <c r="O57" i="14"/>
  <c r="Q67" i="13"/>
  <c r="F62" i="1"/>
  <c r="T68" i="14"/>
  <c r="V63" i="6"/>
  <c r="T63" i="4"/>
  <c r="P66" i="6"/>
  <c r="R67" i="16"/>
  <c r="V68" i="4"/>
  <c r="M55" i="9"/>
  <c r="O39" i="13"/>
  <c r="N39" i="13"/>
  <c r="E61" i="13"/>
  <c r="J68" i="16"/>
  <c r="M65" i="1"/>
  <c r="S67" i="6"/>
  <c r="D66" i="6"/>
  <c r="K57" i="6"/>
  <c r="X65" i="16"/>
  <c r="J66" i="1"/>
  <c r="R63" i="16"/>
  <c r="P65" i="8"/>
  <c r="E56" i="13"/>
  <c r="X60" i="15"/>
  <c r="N59" i="4"/>
  <c r="U61" i="6"/>
  <c r="P68" i="7"/>
  <c r="G70" i="11"/>
  <c r="N63" i="8"/>
  <c r="H66" i="4"/>
  <c r="J68" i="8"/>
  <c r="X57" i="7"/>
  <c r="T55" i="9"/>
  <c r="J68" i="15"/>
  <c r="L70" i="7"/>
  <c r="D61" i="15"/>
  <c r="H57" i="6"/>
  <c r="L69" i="14"/>
  <c r="D58" i="6"/>
  <c r="J67" i="8"/>
  <c r="Q58" i="1"/>
  <c r="V58" i="1"/>
  <c r="O64" i="8"/>
  <c r="O25" i="13"/>
  <c r="N25" i="13"/>
  <c r="M63" i="14"/>
  <c r="N34" i="15"/>
  <c r="O34" i="15"/>
  <c r="J62" i="8"/>
  <c r="X60" i="13"/>
  <c r="H19" i="18"/>
  <c r="G43" i="18"/>
  <c r="D22" i="18"/>
  <c r="Q62" i="11"/>
  <c r="V57" i="14"/>
  <c r="M39" i="18"/>
  <c r="H12" i="20"/>
  <c r="W68" i="11"/>
  <c r="D45" i="18"/>
  <c r="T59" i="1"/>
  <c r="J24" i="20"/>
  <c r="F10" i="18"/>
  <c r="E69" i="14"/>
  <c r="O63" i="7"/>
  <c r="R69" i="11"/>
  <c r="U71" i="11"/>
  <c r="X65" i="13"/>
  <c r="T58" i="16"/>
  <c r="K65" i="1"/>
  <c r="K8" i="20"/>
  <c r="O66" i="6"/>
  <c r="H56" i="16"/>
  <c r="R59" i="7"/>
  <c r="F39" i="18"/>
  <c r="D58" i="7"/>
  <c r="L69" i="8"/>
  <c r="P68" i="1"/>
  <c r="T60" i="16"/>
  <c r="N58" i="1"/>
  <c r="P57" i="16"/>
  <c r="V59" i="11"/>
  <c r="F65" i="1"/>
  <c r="N68" i="13"/>
  <c r="G58" i="1"/>
  <c r="I64" i="14"/>
  <c r="S59" i="8"/>
  <c r="X66" i="7"/>
  <c r="L63" i="13"/>
  <c r="R59" i="13"/>
  <c r="D63" i="11"/>
  <c r="S60" i="1"/>
  <c r="S69" i="16"/>
  <c r="J58" i="4"/>
  <c r="R68" i="13"/>
  <c r="J66" i="11"/>
  <c r="H62" i="7"/>
  <c r="K64" i="13"/>
  <c r="F71" i="6"/>
  <c r="G11" i="18"/>
  <c r="V71" i="7"/>
  <c r="R62" i="13"/>
  <c r="K67" i="7"/>
  <c r="V67" i="15"/>
  <c r="O23" i="13"/>
  <c r="N23" i="13"/>
  <c r="E63" i="7"/>
  <c r="D57" i="1"/>
  <c r="N55" i="9"/>
  <c r="F65" i="6"/>
  <c r="P67" i="14"/>
  <c r="I58" i="11"/>
  <c r="U67" i="6"/>
  <c r="D65" i="15"/>
  <c r="N64" i="11"/>
  <c r="L62" i="1"/>
  <c r="H69" i="7"/>
  <c r="W71" i="1"/>
  <c r="W59" i="15"/>
  <c r="E60" i="15"/>
  <c r="I63" i="7"/>
  <c r="E67" i="11"/>
  <c r="F56" i="11"/>
  <c r="M71" i="4"/>
  <c r="K57" i="1"/>
  <c r="V66" i="15"/>
  <c r="G57" i="15"/>
  <c r="I61" i="14"/>
  <c r="N14" i="13"/>
  <c r="O14" i="13"/>
  <c r="H49" i="18"/>
  <c r="G56" i="16"/>
  <c r="I56" i="6"/>
  <c r="J61" i="1"/>
  <c r="O61" i="1"/>
  <c r="R70" i="14"/>
  <c r="J63" i="11"/>
  <c r="W57" i="8"/>
  <c r="N68" i="8"/>
  <c r="V55" i="16"/>
  <c r="L67" i="11"/>
  <c r="M55" i="11"/>
  <c r="E39" i="18"/>
  <c r="O57" i="13"/>
  <c r="J55" i="7"/>
  <c r="I8" i="20"/>
  <c r="Q69" i="4"/>
  <c r="T62" i="14"/>
  <c r="N62" i="8"/>
  <c r="Q66" i="14"/>
  <c r="I23" i="20"/>
  <c r="F12" i="18"/>
  <c r="F69" i="1"/>
  <c r="F55" i="14"/>
  <c r="N56" i="15"/>
  <c r="U58" i="15"/>
  <c r="E65" i="15"/>
  <c r="J50" i="11"/>
  <c r="N14" i="9"/>
  <c r="O14" i="9"/>
  <c r="I14" i="20"/>
  <c r="K60" i="8"/>
  <c r="S61" i="16"/>
  <c r="O56" i="6"/>
  <c r="L59" i="16"/>
  <c r="G62" i="6"/>
  <c r="O58" i="7"/>
  <c r="X66" i="4"/>
  <c r="I67" i="7"/>
  <c r="X58" i="13"/>
  <c r="M55" i="7"/>
  <c r="J63" i="4"/>
  <c r="S70" i="14"/>
  <c r="S61" i="7"/>
  <c r="E58" i="13"/>
  <c r="P64" i="13"/>
  <c r="J56" i="7"/>
  <c r="R67" i="7"/>
  <c r="D58" i="14"/>
  <c r="N67" i="4"/>
  <c r="F71" i="1"/>
  <c r="D55" i="16"/>
  <c r="S67" i="4"/>
  <c r="X58" i="1"/>
  <c r="U70" i="15"/>
  <c r="P66" i="7"/>
  <c r="K65" i="6"/>
  <c r="N61" i="14"/>
  <c r="L70" i="14"/>
  <c r="P71" i="11"/>
  <c r="U66" i="4"/>
  <c r="U62" i="6"/>
  <c r="L57" i="16"/>
  <c r="R58" i="7"/>
  <c r="F70" i="4"/>
  <c r="F68" i="1"/>
  <c r="S64" i="7"/>
  <c r="D44" i="18"/>
  <c r="I63" i="13"/>
  <c r="L69" i="13"/>
  <c r="T67" i="13"/>
  <c r="M69" i="11"/>
  <c r="N65" i="11"/>
  <c r="D66" i="8"/>
  <c r="R71" i="8"/>
  <c r="I61" i="15"/>
  <c r="G58" i="8"/>
  <c r="X60" i="8"/>
  <c r="O71" i="6"/>
  <c r="D57" i="6"/>
  <c r="D57" i="7"/>
  <c r="V62" i="13"/>
  <c r="U59" i="11"/>
  <c r="M58" i="14"/>
  <c r="R59" i="1"/>
  <c r="U60" i="13"/>
  <c r="D62" i="11"/>
  <c r="I69" i="16"/>
  <c r="L66" i="6"/>
  <c r="H65" i="14"/>
  <c r="V66" i="4"/>
  <c r="E68" i="11"/>
  <c r="O42" i="15"/>
  <c r="N42" i="15"/>
  <c r="U61" i="1"/>
  <c r="S70" i="6"/>
  <c r="I66" i="13"/>
  <c r="T62" i="11"/>
  <c r="E66" i="11"/>
  <c r="I57" i="14"/>
  <c r="F59" i="7"/>
  <c r="K65" i="4"/>
  <c r="M71" i="7"/>
  <c r="R62" i="1"/>
  <c r="P59" i="7"/>
  <c r="R63" i="15"/>
  <c r="O64" i="1"/>
  <c r="G69" i="6"/>
  <c r="Q66" i="15"/>
  <c r="Q68" i="4"/>
  <c r="W65" i="13"/>
  <c r="K58" i="6"/>
  <c r="T70" i="16"/>
  <c r="I66" i="15"/>
  <c r="J59" i="1"/>
  <c r="S71" i="8"/>
  <c r="J57" i="11"/>
  <c r="T58" i="13"/>
  <c r="X55" i="14"/>
  <c r="J69" i="8"/>
  <c r="F60" i="1"/>
  <c r="N67" i="8"/>
  <c r="O16" i="11"/>
  <c r="N16" i="11"/>
  <c r="O59" i="1"/>
  <c r="E58" i="15"/>
  <c r="N59" i="8"/>
  <c r="D68" i="8"/>
  <c r="V60" i="14"/>
  <c r="D57" i="15"/>
  <c r="T55" i="4"/>
  <c r="M50" i="15"/>
  <c r="H66" i="16"/>
  <c r="S55" i="15"/>
  <c r="K71" i="8"/>
  <c r="Q59" i="1"/>
  <c r="R66" i="14"/>
  <c r="P65" i="15"/>
  <c r="P62" i="13"/>
  <c r="I66" i="8"/>
  <c r="F71" i="16"/>
  <c r="V59" i="16"/>
  <c r="D67" i="7"/>
  <c r="R71" i="14"/>
  <c r="J69" i="14"/>
  <c r="O20" i="13"/>
  <c r="N20" i="13"/>
  <c r="L62" i="13"/>
  <c r="Q62" i="6"/>
  <c r="H62" i="1"/>
  <c r="U55" i="11"/>
  <c r="J64" i="13"/>
  <c r="E57" i="15"/>
  <c r="T70" i="11"/>
  <c r="W66" i="16"/>
  <c r="U59" i="4"/>
  <c r="V70" i="13"/>
  <c r="X69" i="14"/>
  <c r="Q65" i="13"/>
  <c r="N68" i="11"/>
  <c r="U61" i="15"/>
  <c r="I64" i="4"/>
  <c r="E58" i="14"/>
  <c r="D56" i="14"/>
  <c r="S70" i="11"/>
  <c r="L65" i="16"/>
  <c r="F60" i="13"/>
  <c r="H59" i="11"/>
  <c r="S55" i="13"/>
  <c r="J63" i="15"/>
  <c r="Q72" i="1"/>
  <c r="S57" i="8"/>
  <c r="S59" i="11"/>
  <c r="H66" i="7"/>
  <c r="M65" i="4"/>
  <c r="F61" i="13"/>
  <c r="H64" i="14"/>
  <c r="T61" i="7"/>
  <c r="I64" i="6"/>
  <c r="K63" i="11"/>
  <c r="U64" i="15"/>
  <c r="W57" i="16"/>
  <c r="R62" i="16"/>
  <c r="I50" i="11"/>
  <c r="D67" i="1"/>
  <c r="E59" i="14"/>
  <c r="J58" i="16"/>
  <c r="V62" i="1"/>
  <c r="X57" i="11"/>
  <c r="G64" i="7"/>
  <c r="M69" i="8"/>
  <c r="X70" i="11"/>
  <c r="T57" i="15"/>
  <c r="N56" i="11"/>
  <c r="X68" i="7"/>
  <c r="O65" i="16"/>
  <c r="L57" i="15"/>
  <c r="W56" i="15"/>
  <c r="N62" i="14"/>
  <c r="J65" i="6"/>
  <c r="H28" i="8"/>
  <c r="N66" i="16"/>
  <c r="W64" i="1"/>
  <c r="O17" i="7"/>
  <c r="N17" i="7"/>
  <c r="H67" i="1"/>
  <c r="Q68" i="16"/>
  <c r="H71" i="11"/>
  <c r="V69" i="7"/>
  <c r="O65" i="13"/>
  <c r="E67" i="4"/>
  <c r="O56" i="11"/>
  <c r="G56" i="15"/>
  <c r="V60" i="1"/>
  <c r="Q57" i="8"/>
  <c r="V64" i="7"/>
  <c r="N58" i="7"/>
  <c r="O7" i="13"/>
  <c r="D28" i="13"/>
  <c r="O28" i="13" s="1"/>
  <c r="N7" i="13"/>
  <c r="K48" i="18"/>
  <c r="O65" i="4"/>
  <c r="T65" i="4"/>
  <c r="M59" i="14"/>
  <c r="H64" i="11"/>
  <c r="V70" i="14"/>
  <c r="O11" i="11"/>
  <c r="N11" i="11"/>
  <c r="J68" i="7"/>
  <c r="F62" i="15"/>
  <c r="M38" i="18"/>
  <c r="S70" i="1"/>
  <c r="H57" i="8"/>
  <c r="W58" i="15"/>
  <c r="U57" i="11"/>
  <c r="X70" i="15"/>
  <c r="I70" i="15"/>
  <c r="L49" i="18"/>
  <c r="J68" i="1"/>
  <c r="M60" i="8"/>
  <c r="I60" i="6"/>
  <c r="Q58" i="8"/>
  <c r="H66" i="14"/>
  <c r="R70" i="13"/>
  <c r="X56" i="1"/>
  <c r="N34" i="13"/>
  <c r="O34" i="13"/>
  <c r="J55" i="4"/>
  <c r="O55" i="14"/>
  <c r="W64" i="4"/>
  <c r="D59" i="4"/>
  <c r="I56" i="13"/>
  <c r="Q57" i="11"/>
  <c r="F68" i="8"/>
  <c r="T69" i="4"/>
  <c r="E64" i="1"/>
  <c r="D64" i="1"/>
  <c r="S66" i="15"/>
  <c r="K57" i="14"/>
  <c r="I67" i="13"/>
  <c r="M69" i="1"/>
  <c r="M67" i="4"/>
  <c r="W58" i="11"/>
  <c r="O61" i="11"/>
  <c r="I71" i="7"/>
  <c r="P70" i="14"/>
  <c r="D60" i="6"/>
  <c r="G57" i="16"/>
  <c r="H66" i="11"/>
  <c r="O56" i="7"/>
  <c r="F57" i="11"/>
  <c r="W64" i="7"/>
  <c r="X56" i="16"/>
  <c r="N56" i="8"/>
  <c r="F66" i="14"/>
  <c r="H59" i="6"/>
  <c r="G67" i="6"/>
  <c r="H28" i="7"/>
  <c r="I68" i="14"/>
  <c r="X62" i="13"/>
  <c r="W63" i="14"/>
  <c r="Q61" i="4"/>
  <c r="G70" i="4"/>
  <c r="L60" i="7"/>
  <c r="T60" i="6"/>
  <c r="L59" i="7"/>
  <c r="N24" i="9"/>
  <c r="O24" i="9"/>
  <c r="H62" i="8"/>
  <c r="V62" i="15"/>
  <c r="F67" i="4"/>
  <c r="X55" i="8"/>
  <c r="W62" i="15"/>
  <c r="D61" i="4"/>
  <c r="K68" i="7"/>
  <c r="S69" i="8"/>
  <c r="G66" i="7"/>
  <c r="I62" i="16"/>
  <c r="X64" i="4"/>
  <c r="O57" i="8"/>
  <c r="V67" i="1"/>
  <c r="J57" i="16"/>
  <c r="M67" i="14"/>
  <c r="F56" i="4"/>
  <c r="T68" i="4"/>
  <c r="F61" i="8"/>
  <c r="G63" i="4"/>
  <c r="M65" i="11"/>
  <c r="R70" i="8"/>
  <c r="H64" i="16"/>
  <c r="T62" i="15"/>
  <c r="P70" i="16"/>
  <c r="D66" i="1"/>
  <c r="O58" i="11"/>
  <c r="Q62" i="7"/>
  <c r="W61" i="6"/>
  <c r="H28" i="11"/>
  <c r="J28" i="15"/>
  <c r="U64" i="1"/>
  <c r="N38" i="11"/>
  <c r="O38" i="11"/>
  <c r="R57" i="4"/>
  <c r="N59" i="7"/>
  <c r="U64" i="16"/>
  <c r="I62" i="13"/>
  <c r="K58" i="13"/>
  <c r="J67" i="16"/>
  <c r="M65" i="8"/>
  <c r="M59" i="15"/>
  <c r="Q66" i="16"/>
  <c r="K68" i="13"/>
  <c r="H58" i="13"/>
  <c r="I66" i="1"/>
  <c r="G63" i="13"/>
  <c r="X60" i="4"/>
  <c r="F71" i="8"/>
  <c r="Q69" i="7"/>
  <c r="O66" i="11"/>
  <c r="X71" i="16"/>
  <c r="X69" i="15"/>
  <c r="M61" i="16"/>
  <c r="J55" i="13"/>
  <c r="L56" i="16"/>
  <c r="X71" i="15"/>
  <c r="Q55" i="12"/>
  <c r="S58" i="11"/>
  <c r="D72" i="1"/>
  <c r="J70" i="7"/>
  <c r="K58" i="15"/>
  <c r="L57" i="6"/>
  <c r="K59" i="1"/>
  <c r="I55" i="12"/>
  <c r="K65" i="15"/>
  <c r="T61" i="4"/>
  <c r="L69" i="16"/>
  <c r="R68" i="16"/>
  <c r="H56" i="8"/>
  <c r="S57" i="11"/>
  <c r="I56" i="4"/>
  <c r="N63" i="16"/>
  <c r="D56" i="16"/>
  <c r="X68" i="1"/>
  <c r="L59" i="1"/>
  <c r="N55" i="15"/>
  <c r="M48" i="9"/>
  <c r="H58" i="16"/>
  <c r="O8" i="8"/>
  <c r="N8" i="8"/>
  <c r="O62" i="7"/>
  <c r="T66" i="1"/>
  <c r="I69" i="7"/>
  <c r="V71" i="15"/>
  <c r="F69" i="4"/>
  <c r="P71" i="15"/>
  <c r="J60" i="1"/>
  <c r="T64" i="15"/>
  <c r="H69" i="11"/>
  <c r="H61" i="4"/>
  <c r="Q57" i="7"/>
  <c r="V63" i="7"/>
  <c r="E62" i="7"/>
  <c r="O57" i="15"/>
  <c r="W64" i="11"/>
  <c r="K57" i="13"/>
  <c r="M64" i="15"/>
  <c r="F66" i="1"/>
  <c r="N67" i="14"/>
  <c r="E56" i="11"/>
  <c r="U56" i="16"/>
  <c r="P66" i="14"/>
  <c r="P59" i="6"/>
  <c r="L64" i="14"/>
  <c r="M57" i="11"/>
  <c r="I59" i="1"/>
  <c r="M62" i="15"/>
  <c r="F63" i="6"/>
  <c r="O17" i="13"/>
  <c r="N17" i="13"/>
  <c r="W71" i="16"/>
  <c r="O40" i="4"/>
  <c r="N40" i="4"/>
  <c r="U55" i="16"/>
  <c r="P64" i="4"/>
  <c r="O70" i="11"/>
  <c r="U63" i="11"/>
  <c r="F65" i="8"/>
  <c r="N66" i="6"/>
  <c r="T58" i="8"/>
  <c r="K69" i="15"/>
  <c r="W68" i="15"/>
  <c r="G69" i="11"/>
  <c r="X62" i="15"/>
  <c r="V65" i="7"/>
  <c r="D71" i="15"/>
  <c r="G66" i="6"/>
  <c r="I69" i="15"/>
  <c r="G7" i="18"/>
  <c r="V68" i="7"/>
  <c r="M60" i="16"/>
  <c r="D12" i="18"/>
  <c r="N57" i="1"/>
  <c r="N59" i="13"/>
  <c r="D70" i="1"/>
  <c r="W67" i="14"/>
  <c r="E68" i="16"/>
  <c r="N67" i="6"/>
  <c r="Q55" i="6"/>
  <c r="W61" i="16"/>
  <c r="D69" i="15"/>
  <c r="K63" i="7"/>
  <c r="O41" i="11"/>
  <c r="N41" i="11"/>
  <c r="I56" i="7"/>
  <c r="I69" i="6"/>
  <c r="G71" i="15"/>
  <c r="N70" i="16"/>
  <c r="D64" i="16"/>
  <c r="O63" i="4"/>
  <c r="L68" i="8"/>
  <c r="G57" i="11"/>
  <c r="F58" i="1"/>
  <c r="M60" i="13"/>
  <c r="V71" i="6"/>
  <c r="W70" i="14"/>
  <c r="Q56" i="4"/>
  <c r="R58" i="6"/>
  <c r="H70" i="11"/>
  <c r="T56" i="15"/>
  <c r="I71" i="14"/>
  <c r="Q61" i="1"/>
  <c r="O43" i="9"/>
  <c r="N43" i="9"/>
  <c r="G67" i="15"/>
  <c r="U71" i="4"/>
  <c r="P72" i="1"/>
  <c r="E63" i="6"/>
  <c r="W64" i="8"/>
  <c r="I68" i="6"/>
  <c r="V66" i="13"/>
  <c r="O69" i="13"/>
  <c r="W60" i="8"/>
  <c r="W69" i="15"/>
  <c r="F63" i="16"/>
  <c r="L64" i="8"/>
  <c r="R66" i="4"/>
  <c r="O40" i="9"/>
  <c r="N40" i="9"/>
  <c r="O21" i="11"/>
  <c r="N21" i="11"/>
  <c r="K62" i="15"/>
  <c r="R59" i="6"/>
  <c r="J69" i="6"/>
  <c r="P56" i="7"/>
  <c r="W65" i="7"/>
  <c r="D63" i="14"/>
  <c r="X71" i="6"/>
  <c r="V63" i="1"/>
  <c r="N64" i="4"/>
  <c r="G56" i="11"/>
  <c r="T65" i="14"/>
  <c r="U61" i="16"/>
  <c r="O62" i="15"/>
  <c r="M68" i="11"/>
  <c r="Q58" i="7"/>
  <c r="O26" i="13"/>
  <c r="N26" i="13"/>
  <c r="N24" i="8"/>
  <c r="O24" i="8"/>
  <c r="Q60" i="6"/>
  <c r="L65" i="4"/>
  <c r="G57" i="1"/>
  <c r="G61" i="13"/>
  <c r="L28" i="8"/>
  <c r="F69" i="15"/>
  <c r="E62" i="15"/>
  <c r="P71" i="4"/>
  <c r="O12" i="13"/>
  <c r="N12" i="13"/>
  <c r="W59" i="13"/>
  <c r="D50" i="15"/>
  <c r="O32" i="15"/>
  <c r="N32" i="15"/>
  <c r="I70" i="11"/>
  <c r="N23" i="11"/>
  <c r="O23" i="11"/>
  <c r="H61" i="1"/>
  <c r="E57" i="14"/>
  <c r="D67" i="6"/>
  <c r="N56" i="7"/>
  <c r="J58" i="11"/>
  <c r="I58" i="4"/>
  <c r="P70" i="7"/>
  <c r="O20" i="4"/>
  <c r="N20" i="4"/>
  <c r="I64" i="16"/>
  <c r="F65" i="7"/>
  <c r="X71" i="4"/>
  <c r="G55" i="14"/>
  <c r="I69" i="14"/>
  <c r="W57" i="6"/>
  <c r="M68" i="15"/>
  <c r="H66" i="1"/>
  <c r="S60" i="7"/>
  <c r="E58" i="8"/>
  <c r="T64" i="8"/>
  <c r="N22" i="11"/>
  <c r="O22" i="11"/>
  <c r="H65" i="13"/>
  <c r="H66" i="8"/>
  <c r="T68" i="1"/>
  <c r="W62" i="14"/>
  <c r="L64" i="15"/>
  <c r="H56" i="14"/>
  <c r="U69" i="15"/>
  <c r="X61" i="4"/>
  <c r="W60" i="4"/>
  <c r="M57" i="14"/>
  <c r="K71" i="1"/>
  <c r="F68" i="15"/>
  <c r="G62" i="8"/>
  <c r="H61" i="8"/>
  <c r="G55" i="6"/>
  <c r="O63" i="6"/>
  <c r="H67" i="16"/>
  <c r="L55" i="14"/>
  <c r="Q56" i="7"/>
  <c r="T65" i="1"/>
  <c r="S62" i="16"/>
  <c r="V60" i="8"/>
  <c r="H55" i="9"/>
  <c r="K57" i="4"/>
  <c r="W55" i="15"/>
  <c r="V70" i="4"/>
  <c r="M61" i="4"/>
  <c r="D56" i="15"/>
  <c r="N65" i="14"/>
  <c r="E62" i="13"/>
  <c r="M28" i="8"/>
  <c r="N47" i="9"/>
  <c r="O47" i="9"/>
  <c r="T63" i="14"/>
  <c r="G61" i="6"/>
  <c r="T57" i="13"/>
  <c r="K70" i="14"/>
  <c r="M62" i="4"/>
  <c r="N70" i="8"/>
  <c r="M55" i="4"/>
  <c r="P65" i="11"/>
  <c r="L70" i="15"/>
  <c r="N58" i="15"/>
  <c r="J71" i="11"/>
  <c r="K61" i="7"/>
  <c r="V57" i="11"/>
  <c r="Q69" i="1"/>
  <c r="N19" i="8"/>
  <c r="O19" i="8"/>
  <c r="J67" i="1"/>
  <c r="G66" i="8"/>
  <c r="T57" i="14"/>
  <c r="O60" i="8"/>
  <c r="H28" i="4"/>
  <c r="E55" i="15"/>
  <c r="W65" i="14"/>
  <c r="U64" i="11"/>
  <c r="R63" i="8"/>
  <c r="J63" i="13"/>
  <c r="Q61" i="6"/>
  <c r="E56" i="14"/>
  <c r="X55" i="15"/>
  <c r="V57" i="15"/>
  <c r="P58" i="16"/>
  <c r="J62" i="6"/>
  <c r="L59" i="4"/>
  <c r="E50" i="4"/>
  <c r="D62" i="1"/>
  <c r="T66" i="8"/>
  <c r="D68" i="16"/>
  <c r="T60" i="15"/>
  <c r="G59" i="8"/>
  <c r="W71" i="7"/>
  <c r="I61" i="16"/>
  <c r="P64" i="6"/>
  <c r="G70" i="16"/>
  <c r="D69" i="6"/>
  <c r="D59" i="15"/>
  <c r="N66" i="13"/>
  <c r="X67" i="6"/>
  <c r="H58" i="8"/>
  <c r="J61" i="16"/>
  <c r="V64" i="8"/>
  <c r="O59" i="14"/>
  <c r="Q67" i="6"/>
  <c r="L60" i="6"/>
  <c r="J21" i="18"/>
  <c r="O70" i="1"/>
  <c r="J14" i="18"/>
  <c r="L67" i="14"/>
  <c r="P63" i="13"/>
  <c r="D66" i="16"/>
  <c r="E70" i="7"/>
  <c r="V64" i="16"/>
  <c r="O39" i="4"/>
  <c r="N39" i="4"/>
  <c r="M57" i="8"/>
  <c r="U66" i="1"/>
  <c r="J68" i="6"/>
  <c r="R56" i="8"/>
  <c r="P57" i="7"/>
  <c r="D55" i="13"/>
  <c r="E69" i="11"/>
  <c r="E70" i="16"/>
  <c r="L56" i="6"/>
  <c r="E63" i="13"/>
  <c r="S68" i="14"/>
  <c r="E60" i="11"/>
  <c r="W60" i="6"/>
  <c r="T67" i="7"/>
  <c r="O67" i="7"/>
  <c r="N10" i="13"/>
  <c r="O10" i="13"/>
  <c r="R64" i="4"/>
  <c r="E55" i="13"/>
  <c r="U68" i="4"/>
  <c r="N55" i="4"/>
  <c r="J28" i="4"/>
  <c r="H65" i="4"/>
  <c r="L56" i="4"/>
  <c r="G68" i="16"/>
  <c r="Q60" i="13"/>
  <c r="P70" i="11"/>
  <c r="Q59" i="7"/>
  <c r="U72" i="1"/>
  <c r="W68" i="7"/>
  <c r="G50" i="15"/>
  <c r="O8" i="9"/>
  <c r="N8" i="9"/>
  <c r="I55" i="15"/>
  <c r="F63" i="7"/>
  <c r="E56" i="7"/>
  <c r="T64" i="4"/>
  <c r="G60" i="16"/>
  <c r="E70" i="8"/>
  <c r="S71" i="15"/>
  <c r="I70" i="16"/>
  <c r="N15" i="8"/>
  <c r="O15" i="8"/>
  <c r="I61" i="11"/>
  <c r="M66" i="13"/>
  <c r="H68" i="11"/>
  <c r="K56" i="8"/>
  <c r="E61" i="7"/>
  <c r="S68" i="4"/>
  <c r="X69" i="8"/>
  <c r="V68" i="6"/>
  <c r="J60" i="8"/>
  <c r="P67" i="8"/>
  <c r="R62" i="7"/>
  <c r="D68" i="14"/>
  <c r="Q58" i="4"/>
  <c r="U67" i="11"/>
  <c r="K70" i="15"/>
  <c r="E71" i="11"/>
  <c r="T56" i="7"/>
  <c r="X62" i="11"/>
  <c r="O37" i="9"/>
  <c r="N37" i="9"/>
  <c r="W59" i="16"/>
  <c r="I57" i="8"/>
  <c r="J33" i="18"/>
  <c r="L59" i="13"/>
  <c r="U62" i="13"/>
  <c r="S69" i="4"/>
  <c r="T67" i="11"/>
  <c r="D55" i="14"/>
  <c r="E62" i="16"/>
  <c r="W60" i="7"/>
  <c r="W69" i="14"/>
  <c r="M49" i="18"/>
  <c r="M61" i="13"/>
  <c r="X67" i="7"/>
  <c r="J55" i="11"/>
  <c r="N13" i="4"/>
  <c r="O13" i="4"/>
  <c r="D71" i="8"/>
  <c r="F61" i="11"/>
  <c r="V65" i="15"/>
  <c r="K57" i="8"/>
  <c r="R71" i="16"/>
  <c r="I60" i="15"/>
  <c r="N62" i="13"/>
  <c r="O59" i="8"/>
  <c r="H69" i="6"/>
  <c r="X61" i="16"/>
  <c r="H64" i="15"/>
  <c r="K60" i="14"/>
  <c r="R63" i="11"/>
  <c r="R56" i="7"/>
  <c r="N61" i="1"/>
  <c r="G59" i="7"/>
  <c r="Q60" i="14"/>
  <c r="F56" i="14"/>
  <c r="M62" i="6"/>
  <c r="W58" i="16"/>
  <c r="G65" i="6"/>
  <c r="W57" i="11"/>
  <c r="H60" i="1"/>
  <c r="X58" i="6"/>
  <c r="N25" i="4"/>
  <c r="O25" i="4"/>
  <c r="F58" i="7"/>
  <c r="G58" i="4"/>
  <c r="K68" i="4"/>
  <c r="G63" i="16"/>
  <c r="G67" i="1"/>
  <c r="G55" i="11"/>
  <c r="X59" i="7"/>
  <c r="Q61" i="8"/>
  <c r="T67" i="14"/>
  <c r="J66" i="8"/>
  <c r="S55" i="14"/>
  <c r="W58" i="8"/>
  <c r="O27" i="7"/>
  <c r="N27" i="7"/>
  <c r="G66" i="15"/>
  <c r="D63" i="1"/>
  <c r="V65" i="4"/>
  <c r="W66" i="1"/>
  <c r="I72" i="1"/>
  <c r="J67" i="7"/>
  <c r="U65" i="6"/>
  <c r="G60" i="4"/>
  <c r="M56" i="15"/>
  <c r="R56" i="16"/>
  <c r="P67" i="4"/>
  <c r="H56" i="13"/>
  <c r="Q55" i="15"/>
  <c r="W65" i="15"/>
  <c r="G56" i="13"/>
  <c r="T57" i="11"/>
  <c r="K61" i="11"/>
  <c r="N46" i="11"/>
  <c r="O46" i="11"/>
  <c r="N42" i="9"/>
  <c r="O42" i="9"/>
  <c r="W69" i="8"/>
  <c r="R69" i="6"/>
  <c r="G70" i="6"/>
  <c r="U63" i="13"/>
  <c r="T62" i="8"/>
  <c r="T60" i="11"/>
  <c r="X60" i="7"/>
  <c r="I62" i="14"/>
  <c r="D55" i="8"/>
  <c r="U55" i="13"/>
  <c r="I68" i="4"/>
  <c r="G59" i="15"/>
  <c r="S62" i="8"/>
  <c r="J71" i="7"/>
  <c r="K56" i="11"/>
  <c r="W66" i="8"/>
  <c r="J68" i="11"/>
  <c r="V58" i="7"/>
  <c r="O61" i="4"/>
  <c r="Q69" i="11"/>
  <c r="K63" i="8"/>
  <c r="P64" i="8"/>
  <c r="X60" i="1"/>
  <c r="N14" i="7"/>
  <c r="O14" i="7"/>
  <c r="M63" i="11"/>
  <c r="G67" i="8"/>
  <c r="X63" i="1"/>
  <c r="O63" i="16"/>
  <c r="K64" i="6"/>
  <c r="I28" i="15"/>
  <c r="K56" i="1"/>
  <c r="M55" i="8"/>
  <c r="J60" i="16"/>
  <c r="K28" i="13"/>
  <c r="T61" i="13"/>
  <c r="L70" i="13"/>
  <c r="R65" i="13"/>
  <c r="V57" i="8"/>
  <c r="P69" i="14"/>
  <c r="E60" i="8"/>
  <c r="N57" i="4"/>
  <c r="V61" i="7"/>
  <c r="K55" i="8"/>
  <c r="T55" i="14"/>
  <c r="W66" i="7"/>
  <c r="N66" i="8"/>
  <c r="S65" i="8"/>
  <c r="U67" i="4"/>
  <c r="X59" i="11"/>
  <c r="S55" i="16"/>
  <c r="V71" i="11"/>
  <c r="K59" i="15"/>
  <c r="W57" i="7"/>
  <c r="P62" i="11"/>
  <c r="H64" i="4"/>
  <c r="K70" i="13"/>
  <c r="E58" i="7"/>
  <c r="W71" i="14"/>
  <c r="N62" i="16"/>
  <c r="O40" i="11"/>
  <c r="N40" i="11"/>
  <c r="O70" i="6"/>
  <c r="N68" i="4"/>
  <c r="R70" i="16"/>
  <c r="I56" i="11"/>
  <c r="X55" i="9"/>
  <c r="G68" i="15"/>
  <c r="W66" i="4"/>
  <c r="K60" i="4"/>
  <c r="G68" i="1"/>
  <c r="J70" i="6"/>
  <c r="O42" i="13"/>
  <c r="N42" i="13"/>
  <c r="N68" i="7"/>
  <c r="M60" i="6"/>
  <c r="N56" i="6"/>
  <c r="J58" i="14"/>
  <c r="O63" i="14"/>
  <c r="K64" i="11"/>
  <c r="U57" i="16"/>
  <c r="N69" i="15"/>
  <c r="H67" i="8"/>
  <c r="F63" i="11"/>
  <c r="O36" i="4"/>
  <c r="N36" i="4"/>
  <c r="H61" i="14"/>
  <c r="I64" i="8"/>
  <c r="P67" i="1"/>
  <c r="H50" i="11"/>
  <c r="E57" i="13"/>
  <c r="V57" i="13"/>
  <c r="J56" i="1"/>
  <c r="R56" i="4"/>
  <c r="T66" i="14"/>
  <c r="N62" i="15"/>
  <c r="X71" i="7"/>
  <c r="I61" i="1"/>
  <c r="W69" i="13"/>
  <c r="S56" i="11"/>
  <c r="E69" i="16"/>
  <c r="W55" i="8"/>
  <c r="V71" i="4"/>
  <c r="P68" i="4"/>
  <c r="N63" i="6"/>
  <c r="I60" i="16"/>
  <c r="T69" i="13"/>
  <c r="N70" i="6"/>
  <c r="E64" i="11"/>
  <c r="S61" i="11"/>
  <c r="Q55" i="9"/>
  <c r="Q65" i="16"/>
  <c r="E57" i="8"/>
  <c r="P69" i="15"/>
  <c r="N65" i="8"/>
  <c r="D57" i="14"/>
  <c r="E66" i="4"/>
  <c r="S65" i="4"/>
  <c r="S63" i="7"/>
  <c r="E57" i="6"/>
  <c r="O64" i="4"/>
  <c r="G65" i="15"/>
  <c r="F69" i="13"/>
  <c r="K59" i="13"/>
  <c r="S65" i="6"/>
  <c r="H56" i="15"/>
  <c r="O59" i="6"/>
  <c r="D56" i="1"/>
  <c r="F60" i="16"/>
  <c r="P65" i="14"/>
  <c r="D61" i="13"/>
  <c r="D62" i="16"/>
  <c r="X57" i="13"/>
  <c r="T58" i="14"/>
  <c r="E67" i="8"/>
  <c r="R60" i="16"/>
  <c r="I66" i="4"/>
  <c r="I57" i="4"/>
  <c r="J62" i="15"/>
  <c r="O27" i="8"/>
  <c r="N27" i="8"/>
  <c r="M70" i="8"/>
  <c r="I62" i="1"/>
  <c r="L55" i="13"/>
  <c r="W63" i="16"/>
  <c r="F66" i="11"/>
  <c r="P60" i="16"/>
  <c r="W58" i="14"/>
  <c r="X61" i="6"/>
  <c r="K68" i="16"/>
  <c r="O61" i="14"/>
  <c r="O62" i="4"/>
  <c r="D59" i="16"/>
  <c r="W68" i="4"/>
  <c r="Q66" i="13"/>
  <c r="X63" i="14"/>
  <c r="M55" i="6"/>
  <c r="I63" i="1"/>
  <c r="H55" i="6"/>
  <c r="K69" i="7"/>
  <c r="M71" i="16"/>
  <c r="R65" i="11"/>
  <c r="V61" i="15"/>
  <c r="S69" i="14"/>
  <c r="H65" i="7"/>
  <c r="L28" i="11"/>
  <c r="X62" i="4"/>
  <c r="J56" i="8"/>
  <c r="M56" i="14"/>
  <c r="S66" i="4"/>
  <c r="H68" i="15"/>
  <c r="S64" i="15"/>
  <c r="D60" i="4"/>
  <c r="L69" i="6"/>
  <c r="P60" i="15"/>
  <c r="I68" i="16"/>
  <c r="V56" i="13"/>
  <c r="D64" i="7"/>
  <c r="L69" i="7"/>
  <c r="H71" i="1"/>
  <c r="T55" i="12"/>
  <c r="L57" i="8"/>
  <c r="E49" i="18"/>
  <c r="L65" i="7"/>
  <c r="L28" i="15"/>
  <c r="I60" i="13"/>
  <c r="V71" i="1"/>
  <c r="U55" i="6"/>
  <c r="M57" i="15"/>
  <c r="K59" i="14"/>
  <c r="N69" i="4"/>
  <c r="F64" i="6"/>
  <c r="N55" i="6"/>
  <c r="M70" i="16"/>
  <c r="Q56" i="1"/>
  <c r="K64" i="1"/>
  <c r="D69" i="8"/>
  <c r="R55" i="16"/>
  <c r="L58" i="14"/>
  <c r="G64" i="1"/>
  <c r="T62" i="16"/>
  <c r="Q60" i="15"/>
  <c r="I58" i="6"/>
  <c r="D61" i="6"/>
  <c r="I59" i="6"/>
  <c r="G66" i="11"/>
  <c r="N60" i="13"/>
  <c r="L69" i="15"/>
  <c r="G57" i="14"/>
  <c r="S72" i="1"/>
  <c r="Q64" i="8"/>
  <c r="E70" i="13"/>
  <c r="R62" i="11"/>
  <c r="L71" i="14"/>
  <c r="Q63" i="15"/>
  <c r="P66" i="15"/>
  <c r="P58" i="4"/>
  <c r="K63" i="15"/>
  <c r="W56" i="1"/>
  <c r="Q63" i="8"/>
  <c r="F58" i="4"/>
  <c r="T65" i="8"/>
  <c r="X68" i="8"/>
  <c r="O67" i="1"/>
  <c r="L59" i="8"/>
  <c r="X70" i="4"/>
  <c r="N8" i="4"/>
  <c r="O8" i="4"/>
  <c r="D67" i="15"/>
  <c r="V69" i="16"/>
  <c r="D70" i="16"/>
  <c r="N64" i="15"/>
  <c r="U60" i="4"/>
  <c r="P62" i="14"/>
  <c r="E65" i="7"/>
  <c r="J56" i="15"/>
  <c r="N40" i="15"/>
  <c r="O40" i="15"/>
  <c r="J65" i="13"/>
  <c r="O38" i="15"/>
  <c r="N38" i="15"/>
  <c r="S66" i="16"/>
  <c r="M68" i="16"/>
  <c r="E71" i="6"/>
  <c r="Q69" i="8"/>
  <c r="G56" i="14"/>
  <c r="D65" i="16"/>
  <c r="P65" i="7"/>
  <c r="W59" i="7"/>
  <c r="W70" i="1"/>
  <c r="V60" i="15"/>
  <c r="N9" i="9"/>
  <c r="O9" i="9"/>
  <c r="T68" i="15"/>
  <c r="T68" i="8"/>
  <c r="S59" i="6"/>
  <c r="V61" i="6"/>
  <c r="R69" i="8"/>
  <c r="E66" i="1"/>
  <c r="E67" i="16"/>
  <c r="W55" i="4"/>
  <c r="S57" i="6"/>
  <c r="S64" i="1"/>
  <c r="O65" i="11"/>
  <c r="O8" i="13"/>
  <c r="N8" i="13"/>
  <c r="I55" i="8"/>
  <c r="V60" i="4"/>
  <c r="J58" i="6"/>
  <c r="S58" i="16"/>
  <c r="Q67" i="14"/>
  <c r="D69" i="16"/>
  <c r="I63" i="16"/>
  <c r="H28" i="9"/>
  <c r="V66" i="6"/>
  <c r="R57" i="13"/>
  <c r="D63" i="15"/>
  <c r="E71" i="7"/>
  <c r="S69" i="13"/>
  <c r="I59" i="7"/>
  <c r="O70" i="8"/>
  <c r="H60" i="16"/>
  <c r="E63" i="8"/>
  <c r="U67" i="1"/>
  <c r="E28" i="7"/>
  <c r="N43" i="4"/>
  <c r="O43" i="4"/>
  <c r="V62" i="16"/>
  <c r="V56" i="4"/>
  <c r="G56" i="8"/>
  <c r="W68" i="8"/>
  <c r="E28" i="14"/>
  <c r="L57" i="1"/>
  <c r="M56" i="11"/>
  <c r="S59" i="4"/>
  <c r="W58" i="1"/>
  <c r="K58" i="4"/>
  <c r="H60" i="7"/>
  <c r="U60" i="15"/>
  <c r="M67" i="13"/>
  <c r="K56" i="13"/>
  <c r="Q67" i="7"/>
  <c r="K55" i="14"/>
  <c r="W56" i="11"/>
  <c r="M56" i="6"/>
  <c r="F56" i="15"/>
  <c r="M50" i="11"/>
  <c r="N57" i="6"/>
  <c r="K55" i="7"/>
  <c r="D64" i="14"/>
  <c r="L59" i="6"/>
  <c r="H60" i="15"/>
  <c r="K66" i="8"/>
  <c r="I64" i="1"/>
  <c r="V67" i="14"/>
  <c r="J58" i="13"/>
  <c r="Q67" i="1"/>
  <c r="G64" i="14"/>
  <c r="R58" i="4"/>
  <c r="F50" i="4"/>
  <c r="J55" i="15"/>
  <c r="L63" i="4"/>
  <c r="K28" i="7"/>
  <c r="T59" i="15"/>
  <c r="H63" i="13"/>
  <c r="R58" i="1"/>
  <c r="X62" i="14"/>
  <c r="U66" i="15"/>
  <c r="E60" i="13"/>
  <c r="X70" i="6"/>
  <c r="K70" i="8"/>
  <c r="K71" i="6"/>
  <c r="W59" i="14"/>
  <c r="S68" i="6"/>
  <c r="Q69" i="13"/>
  <c r="I59" i="14"/>
  <c r="K61" i="4"/>
  <c r="E61" i="6"/>
  <c r="O21" i="4"/>
  <c r="N21" i="4"/>
  <c r="V58" i="13"/>
  <c r="J64" i="1"/>
  <c r="M55" i="12"/>
  <c r="M58" i="4"/>
  <c r="R60" i="15"/>
  <c r="G60" i="1"/>
  <c r="L68" i="6"/>
  <c r="D69" i="1"/>
  <c r="W61" i="7"/>
  <c r="O66" i="1"/>
  <c r="N59" i="6"/>
  <c r="F28" i="14"/>
  <c r="I28" i="11"/>
  <c r="N18" i="7"/>
  <c r="O18" i="7"/>
  <c r="O69" i="8"/>
  <c r="W67" i="8"/>
  <c r="Q64" i="1"/>
  <c r="F64" i="7"/>
  <c r="H63" i="15"/>
  <c r="O66" i="8"/>
  <c r="U71" i="15"/>
  <c r="Q59" i="15"/>
  <c r="W67" i="1"/>
  <c r="V58" i="11"/>
  <c r="E63" i="11"/>
  <c r="J57" i="1"/>
  <c r="G61" i="16"/>
  <c r="U56" i="11"/>
  <c r="S56" i="4"/>
  <c r="O10" i="4"/>
  <c r="N10" i="4"/>
  <c r="P67" i="7"/>
  <c r="M64" i="1"/>
  <c r="F63" i="1"/>
  <c r="O41" i="13"/>
  <c r="N41" i="13"/>
  <c r="S61" i="4"/>
  <c r="L65" i="8"/>
  <c r="I65" i="13"/>
  <c r="M71" i="11"/>
  <c r="H59" i="8"/>
  <c r="L28" i="14"/>
  <c r="N66" i="14"/>
  <c r="I64" i="15"/>
  <c r="L61" i="11"/>
  <c r="N38" i="9"/>
  <c r="O38" i="9"/>
  <c r="R61" i="1"/>
  <c r="O46" i="15"/>
  <c r="N46" i="15"/>
  <c r="H55" i="12"/>
  <c r="R65" i="15"/>
  <c r="O58" i="6"/>
  <c r="G61" i="11"/>
  <c r="Q70" i="11"/>
  <c r="K62" i="4"/>
  <c r="N57" i="8"/>
  <c r="F58" i="14"/>
  <c r="L61" i="15"/>
  <c r="N60" i="15"/>
  <c r="J61" i="15"/>
  <c r="S60" i="16"/>
  <c r="X66" i="11"/>
  <c r="E64" i="4"/>
  <c r="V69" i="13"/>
  <c r="W62" i="7"/>
  <c r="V55" i="14"/>
  <c r="V65" i="8"/>
  <c r="K55" i="15"/>
  <c r="D70" i="6"/>
  <c r="G71" i="6"/>
  <c r="L67" i="6"/>
  <c r="G62" i="16"/>
  <c r="M58" i="7"/>
  <c r="P58" i="14"/>
  <c r="T58" i="1"/>
  <c r="K66" i="7"/>
  <c r="O64" i="14"/>
  <c r="U65" i="16"/>
  <c r="S67" i="13"/>
  <c r="G61" i="14"/>
  <c r="S66" i="8"/>
  <c r="R60" i="11"/>
  <c r="L62" i="7"/>
  <c r="F28" i="11"/>
  <c r="M28" i="15"/>
  <c r="L55" i="7"/>
  <c r="H71" i="14"/>
  <c r="V65" i="13"/>
  <c r="R64" i="1"/>
  <c r="P65" i="1"/>
  <c r="S70" i="13"/>
  <c r="T63" i="15"/>
  <c r="Q58" i="15"/>
  <c r="O69" i="16"/>
  <c r="F67" i="6"/>
  <c r="U55" i="9"/>
  <c r="J70" i="13"/>
  <c r="O15" i="11"/>
  <c r="N15" i="11"/>
  <c r="N71" i="15"/>
  <c r="Q55" i="16"/>
  <c r="K57" i="15"/>
  <c r="X59" i="4"/>
  <c r="S57" i="4"/>
  <c r="X58" i="4"/>
  <c r="E62" i="14"/>
  <c r="T71" i="4"/>
  <c r="P70" i="15"/>
  <c r="X63" i="11"/>
  <c r="G59" i="13"/>
  <c r="P63" i="15"/>
  <c r="R55" i="9"/>
  <c r="T55" i="6"/>
  <c r="W68" i="13"/>
  <c r="S65" i="16"/>
  <c r="M70" i="4"/>
  <c r="R58" i="15"/>
  <c r="D65" i="1"/>
  <c r="Q67" i="15"/>
  <c r="J69" i="13"/>
  <c r="X71" i="1"/>
  <c r="F57" i="1"/>
  <c r="P68" i="6"/>
  <c r="O68" i="14"/>
  <c r="I68" i="7"/>
  <c r="J63" i="1"/>
  <c r="J65" i="14"/>
  <c r="N57" i="15"/>
  <c r="X61" i="13"/>
  <c r="X63" i="8"/>
  <c r="T60" i="7"/>
  <c r="L65" i="1"/>
  <c r="H69" i="16"/>
  <c r="G63" i="11"/>
  <c r="U71" i="16"/>
  <c r="I64" i="11"/>
  <c r="G55" i="8"/>
  <c r="U66" i="11"/>
  <c r="T64" i="7"/>
  <c r="L71" i="11"/>
  <c r="V66" i="8"/>
  <c r="E50" i="15"/>
  <c r="K56" i="6"/>
  <c r="I60" i="14"/>
  <c r="W68" i="14"/>
  <c r="I56" i="15"/>
  <c r="L66" i="16"/>
  <c r="E61" i="1"/>
  <c r="H67" i="11"/>
  <c r="N65" i="7"/>
  <c r="Q63" i="11"/>
  <c r="O59" i="16"/>
  <c r="W56" i="13"/>
  <c r="O56" i="8"/>
  <c r="O65" i="15"/>
  <c r="O65" i="1"/>
  <c r="L64" i="7"/>
  <c r="K70" i="6"/>
  <c r="F66" i="4"/>
  <c r="S60" i="4"/>
  <c r="P69" i="13"/>
  <c r="S69" i="15"/>
  <c r="M70" i="7"/>
  <c r="V56" i="11"/>
  <c r="K71" i="14"/>
  <c r="D62" i="8"/>
  <c r="F58" i="13"/>
  <c r="W56" i="6"/>
  <c r="L28" i="7"/>
  <c r="R71" i="6"/>
  <c r="E70" i="6"/>
  <c r="F67" i="13"/>
  <c r="E61" i="14"/>
  <c r="H64" i="1"/>
  <c r="T63" i="1"/>
  <c r="N71" i="11"/>
  <c r="W64" i="16"/>
  <c r="W66" i="15"/>
  <c r="U71" i="1"/>
  <c r="N43" i="13"/>
  <c r="O43" i="13"/>
  <c r="M62" i="7"/>
  <c r="W62" i="16"/>
  <c r="O66" i="14"/>
  <c r="U64" i="13"/>
  <c r="P60" i="14"/>
  <c r="U70" i="16"/>
  <c r="F65" i="14"/>
  <c r="M57" i="16"/>
  <c r="O64" i="16"/>
  <c r="T67" i="16"/>
  <c r="G59" i="16"/>
  <c r="D63" i="16"/>
  <c r="U59" i="16"/>
  <c r="D58" i="8"/>
  <c r="Q56" i="14"/>
  <c r="T63" i="16"/>
  <c r="T61" i="11"/>
  <c r="T68" i="16"/>
  <c r="I58" i="13"/>
  <c r="V62" i="14"/>
  <c r="J66" i="14"/>
  <c r="I63" i="8"/>
  <c r="S65" i="14"/>
  <c r="J71" i="15"/>
  <c r="T55" i="13"/>
  <c r="S64" i="13"/>
  <c r="P58" i="1"/>
  <c r="Q56" i="6"/>
  <c r="P55" i="4"/>
  <c r="Q65" i="14"/>
  <c r="I71" i="1"/>
  <c r="I61" i="13"/>
  <c r="E71" i="16"/>
  <c r="W63" i="6"/>
  <c r="F71" i="4"/>
  <c r="J65" i="4"/>
  <c r="O60" i="13"/>
  <c r="K62" i="7"/>
  <c r="Q62" i="8"/>
  <c r="K57" i="16"/>
  <c r="K58" i="16"/>
  <c r="R61" i="4"/>
  <c r="J63" i="7"/>
  <c r="O16" i="4"/>
  <c r="N16" i="4"/>
  <c r="H70" i="15"/>
  <c r="G67" i="13"/>
  <c r="D60" i="14"/>
  <c r="S55" i="11"/>
  <c r="H65" i="11"/>
  <c r="M59" i="8"/>
  <c r="D67" i="13"/>
  <c r="M63" i="4"/>
  <c r="Q57" i="4"/>
  <c r="I55" i="14"/>
  <c r="F68" i="6"/>
  <c r="I68" i="13"/>
  <c r="Q71" i="11"/>
  <c r="S70" i="7"/>
  <c r="U68" i="1"/>
  <c r="X72" i="1"/>
  <c r="P60" i="1"/>
  <c r="J60" i="13"/>
  <c r="T57" i="16"/>
  <c r="O17" i="8"/>
  <c r="N17" i="8"/>
  <c r="M68" i="14"/>
  <c r="P67" i="13"/>
  <c r="S58" i="1"/>
  <c r="R60" i="8"/>
  <c r="O64" i="6"/>
  <c r="X55" i="16"/>
  <c r="S56" i="14"/>
  <c r="L63" i="8"/>
  <c r="N37" i="13"/>
  <c r="O37" i="13"/>
  <c r="L64" i="4"/>
  <c r="V61" i="13"/>
  <c r="G60" i="11"/>
  <c r="K67" i="16"/>
  <c r="K63" i="1"/>
  <c r="P71" i="8"/>
  <c r="T56" i="14"/>
  <c r="L66" i="1"/>
  <c r="U65" i="15"/>
  <c r="T70" i="1"/>
  <c r="I57" i="16"/>
  <c r="K65" i="14"/>
  <c r="E64" i="7"/>
  <c r="D68" i="15"/>
  <c r="R66" i="13"/>
  <c r="X64" i="7"/>
  <c r="E56" i="16"/>
  <c r="F55" i="12"/>
  <c r="O38" i="13"/>
  <c r="N38" i="13"/>
  <c r="J71" i="6"/>
  <c r="N66" i="7"/>
  <c r="M28" i="9"/>
  <c r="W66" i="11"/>
  <c r="H60" i="4"/>
  <c r="H58" i="7"/>
  <c r="I63" i="4"/>
  <c r="N62" i="1"/>
  <c r="R66" i="7"/>
  <c r="X60" i="16"/>
  <c r="L56" i="13"/>
  <c r="J65" i="7"/>
  <c r="M57" i="4"/>
  <c r="P64" i="15"/>
  <c r="G69" i="8"/>
  <c r="N55" i="12"/>
  <c r="T71" i="15"/>
  <c r="W63" i="7"/>
  <c r="L65" i="15"/>
  <c r="X70" i="7"/>
  <c r="D59" i="13"/>
  <c r="M62" i="16"/>
  <c r="K49" i="18"/>
  <c r="D71" i="4"/>
  <c r="N44" i="15"/>
  <c r="O44" i="15"/>
  <c r="P57" i="13"/>
  <c r="V56" i="15"/>
  <c r="S57" i="16"/>
  <c r="J65" i="1"/>
  <c r="W63" i="4"/>
  <c r="W60" i="15"/>
  <c r="P67" i="15"/>
  <c r="Q64" i="16"/>
  <c r="S57" i="14"/>
  <c r="K61" i="14"/>
  <c r="M68" i="6"/>
  <c r="G50" i="11"/>
  <c r="O67" i="16"/>
  <c r="M61" i="14"/>
  <c r="T57" i="6"/>
  <c r="F68" i="13"/>
  <c r="J66" i="15"/>
  <c r="V63" i="8"/>
  <c r="U58" i="1"/>
  <c r="O64" i="13"/>
  <c r="O65" i="7"/>
  <c r="J58" i="8"/>
  <c r="I58" i="15"/>
  <c r="N71" i="6"/>
  <c r="Q65" i="7"/>
  <c r="U59" i="1"/>
  <c r="Q70" i="16"/>
  <c r="H58" i="15"/>
  <c r="I28" i="8"/>
  <c r="E55" i="16"/>
  <c r="H66" i="15"/>
  <c r="X65" i="14"/>
  <c r="P62" i="6"/>
  <c r="K69" i="6"/>
  <c r="E67" i="13"/>
  <c r="U69" i="6"/>
  <c r="G28" i="11"/>
  <c r="W58" i="6"/>
  <c r="M68" i="8"/>
  <c r="P56" i="14"/>
  <c r="F67" i="16"/>
  <c r="F70" i="13"/>
  <c r="S65" i="15"/>
  <c r="I63" i="15"/>
  <c r="I56" i="8"/>
  <c r="P69" i="8"/>
  <c r="I63" i="14"/>
  <c r="X70" i="14"/>
  <c r="N69" i="11"/>
  <c r="M68" i="7"/>
  <c r="P58" i="6"/>
  <c r="F49" i="18"/>
  <c r="X65" i="8"/>
  <c r="G57" i="7"/>
  <c r="M62" i="8"/>
  <c r="G63" i="14"/>
  <c r="G64" i="13"/>
  <c r="V58" i="14"/>
  <c r="R56" i="13"/>
  <c r="D58" i="16"/>
  <c r="X59" i="16"/>
  <c r="K65" i="8"/>
  <c r="G55" i="9"/>
  <c r="R68" i="7"/>
  <c r="Q62" i="13"/>
  <c r="T62" i="7"/>
  <c r="V67" i="11"/>
  <c r="O67" i="8"/>
  <c r="N66" i="4"/>
  <c r="G60" i="8"/>
  <c r="R62" i="4"/>
  <c r="F59" i="6"/>
  <c r="K68" i="8"/>
  <c r="V71" i="8"/>
  <c r="I70" i="1"/>
  <c r="N56" i="1"/>
  <c r="N61" i="11"/>
  <c r="V59" i="15"/>
  <c r="H62" i="4"/>
  <c r="X67" i="11"/>
  <c r="S55" i="12"/>
  <c r="S71" i="7"/>
  <c r="H62" i="11"/>
  <c r="L71" i="16"/>
  <c r="S70" i="15"/>
  <c r="V70" i="1"/>
  <c r="N56" i="13"/>
  <c r="K56" i="4"/>
  <c r="S62" i="1"/>
  <c r="P61" i="13"/>
  <c r="J62" i="14"/>
  <c r="L58" i="6"/>
  <c r="Q71" i="14"/>
  <c r="G50" i="4"/>
  <c r="S63" i="16"/>
  <c r="L48" i="13"/>
  <c r="J67" i="15"/>
  <c r="S58" i="8"/>
  <c r="O68" i="16"/>
  <c r="I48" i="13"/>
  <c r="N20" i="9"/>
  <c r="O20" i="9"/>
  <c r="J68" i="4"/>
  <c r="J69" i="16"/>
  <c r="I68" i="8"/>
  <c r="J71" i="8"/>
  <c r="G28" i="4"/>
  <c r="U57" i="6"/>
  <c r="O12" i="4"/>
  <c r="N12" i="4"/>
  <c r="H58" i="4"/>
  <c r="O68" i="1"/>
  <c r="V70" i="16"/>
  <c r="N33" i="9"/>
  <c r="O33" i="9"/>
  <c r="R70" i="1"/>
  <c r="V62" i="7"/>
  <c r="U62" i="1"/>
  <c r="O61" i="15"/>
  <c r="N35" i="11"/>
  <c r="O35" i="11"/>
  <c r="R69" i="1"/>
  <c r="G62" i="13"/>
  <c r="I65" i="8"/>
  <c r="O71" i="1"/>
  <c r="D71" i="14"/>
  <c r="Q56" i="8"/>
  <c r="G63" i="15"/>
  <c r="N37" i="4"/>
  <c r="O37" i="4"/>
  <c r="J57" i="15"/>
  <c r="Q64" i="15"/>
  <c r="K71" i="4"/>
  <c r="F62" i="14"/>
  <c r="K72" i="1"/>
  <c r="H61" i="7"/>
  <c r="O14" i="8"/>
  <c r="N14" i="8"/>
  <c r="M69" i="14"/>
  <c r="P55" i="6"/>
  <c r="M68" i="13"/>
  <c r="G60" i="6"/>
  <c r="R55" i="11"/>
  <c r="O58" i="14"/>
  <c r="I58" i="16"/>
  <c r="R63" i="14"/>
  <c r="E59" i="16"/>
  <c r="H59" i="16"/>
  <c r="G65" i="14"/>
  <c r="X55" i="12"/>
  <c r="X69" i="16"/>
  <c r="U56" i="4"/>
  <c r="G69" i="16"/>
  <c r="F64" i="15"/>
  <c r="D61" i="16"/>
  <c r="G60" i="14"/>
  <c r="F66" i="15"/>
  <c r="D61" i="11"/>
  <c r="G28" i="7"/>
  <c r="S71" i="11"/>
  <c r="H57" i="14"/>
  <c r="O66" i="16"/>
  <c r="V70" i="6"/>
  <c r="X64" i="1"/>
  <c r="O60" i="11"/>
  <c r="I67" i="6"/>
  <c r="G69" i="4"/>
  <c r="X57" i="15"/>
  <c r="T70" i="7"/>
  <c r="J63" i="16"/>
  <c r="H55" i="4"/>
  <c r="J64" i="16"/>
  <c r="E60" i="6"/>
  <c r="M71" i="6"/>
  <c r="K71" i="11"/>
  <c r="V59" i="6"/>
  <c r="W63" i="11"/>
  <c r="V59" i="7"/>
  <c r="J64" i="6"/>
  <c r="M67" i="8"/>
  <c r="W71" i="15"/>
  <c r="J71" i="4"/>
  <c r="M61" i="6"/>
  <c r="X60" i="6"/>
  <c r="L66" i="13"/>
  <c r="L61" i="14"/>
  <c r="H57" i="1"/>
  <c r="J69" i="11"/>
  <c r="D59" i="6"/>
  <c r="P63" i="14"/>
  <c r="H59" i="14"/>
  <c r="G62" i="1"/>
  <c r="N12" i="7"/>
  <c r="O12" i="7"/>
  <c r="E71" i="1"/>
  <c r="P66" i="16"/>
  <c r="L60" i="15"/>
  <c r="J48" i="13"/>
  <c r="G70" i="8"/>
  <c r="V64" i="4"/>
  <c r="L59" i="11"/>
  <c r="P62" i="4"/>
  <c r="T70" i="13"/>
  <c r="P62" i="15"/>
  <c r="K48" i="9"/>
  <c r="V69" i="15"/>
  <c r="M65" i="13"/>
  <c r="V55" i="11"/>
  <c r="K69" i="13"/>
  <c r="W72" i="1"/>
  <c r="O68" i="13"/>
  <c r="N68" i="14"/>
  <c r="X58" i="16"/>
  <c r="L58" i="11"/>
  <c r="N35" i="15"/>
  <c r="O35" i="15"/>
  <c r="O59" i="11"/>
  <c r="P68" i="11"/>
  <c r="P61" i="14"/>
  <c r="P69" i="4"/>
  <c r="D70" i="8"/>
  <c r="R61" i="7"/>
  <c r="U71" i="6"/>
  <c r="F68" i="16"/>
  <c r="M66" i="16"/>
  <c r="R57" i="15"/>
  <c r="H57" i="7"/>
  <c r="L68" i="16"/>
  <c r="W67" i="11"/>
  <c r="W66" i="14"/>
  <c r="H55" i="11"/>
  <c r="O22" i="4"/>
  <c r="N22" i="4"/>
  <c r="E66" i="15"/>
  <c r="D68" i="1"/>
  <c r="D55" i="6"/>
  <c r="S67" i="16"/>
  <c r="D60" i="15"/>
  <c r="U57" i="13"/>
  <c r="M58" i="1"/>
  <c r="X58" i="14"/>
  <c r="K70" i="16"/>
  <c r="Q56" i="15"/>
  <c r="R69" i="16"/>
  <c r="O35" i="13"/>
  <c r="N35" i="13"/>
  <c r="V58" i="8"/>
  <c r="U63" i="16"/>
  <c r="V56" i="14"/>
  <c r="Q56" i="11"/>
  <c r="F59" i="13"/>
  <c r="H62" i="15"/>
  <c r="V67" i="16"/>
  <c r="L62" i="8"/>
  <c r="O70" i="16"/>
  <c r="E65" i="14"/>
  <c r="V65" i="11"/>
  <c r="X56" i="6"/>
  <c r="L56" i="15"/>
  <c r="N13" i="7"/>
  <c r="O13" i="7"/>
  <c r="M69" i="15"/>
  <c r="L70" i="11"/>
  <c r="D59" i="7"/>
  <c r="Q61" i="13"/>
  <c r="G68" i="7"/>
  <c r="V65" i="1"/>
  <c r="D55" i="15"/>
  <c r="R66" i="11"/>
  <c r="L61" i="1"/>
  <c r="Q56" i="13"/>
  <c r="Q62" i="16"/>
  <c r="T64" i="14"/>
  <c r="N71" i="8"/>
  <c r="R68" i="15"/>
  <c r="O55" i="9"/>
  <c r="G59" i="14"/>
  <c r="G59" i="11"/>
  <c r="G28" i="8"/>
  <c r="F62" i="7"/>
  <c r="N20" i="11"/>
  <c r="O20" i="11"/>
  <c r="M61" i="15"/>
  <c r="S60" i="15"/>
  <c r="V61" i="16"/>
  <c r="J62" i="11"/>
  <c r="K55" i="16"/>
  <c r="L70" i="8"/>
  <c r="V68" i="8"/>
  <c r="U63" i="15"/>
  <c r="D63" i="8"/>
  <c r="T58" i="15"/>
  <c r="F66" i="8"/>
  <c r="J62" i="1"/>
  <c r="V61" i="11"/>
  <c r="I70" i="8"/>
  <c r="V68" i="16"/>
  <c r="E55" i="9"/>
  <c r="O45" i="4"/>
  <c r="N45" i="4"/>
  <c r="O7" i="4"/>
  <c r="N7" i="4"/>
  <c r="D28" i="4"/>
  <c r="K55" i="4"/>
  <c r="X70" i="16"/>
  <c r="Q55" i="11"/>
  <c r="E55" i="8"/>
  <c r="P71" i="7"/>
  <c r="H65" i="1"/>
  <c r="T58" i="6"/>
  <c r="N64" i="1"/>
  <c r="G65" i="16"/>
  <c r="K68" i="14"/>
  <c r="X67" i="16"/>
  <c r="D56" i="4"/>
  <c r="P68" i="13"/>
  <c r="I28" i="7"/>
  <c r="I71" i="8"/>
  <c r="H61" i="15"/>
  <c r="T67" i="1"/>
  <c r="H55" i="8"/>
  <c r="O41" i="9"/>
  <c r="N41" i="9"/>
  <c r="H56" i="7"/>
  <c r="W56" i="16"/>
  <c r="V56" i="8"/>
  <c r="I70" i="14"/>
  <c r="H60" i="14"/>
  <c r="N60" i="8"/>
  <c r="E57" i="1"/>
  <c r="P65" i="16"/>
  <c r="W55" i="6"/>
  <c r="N22" i="7"/>
  <c r="O22" i="7"/>
  <c r="M72" i="1"/>
  <c r="T70" i="14"/>
  <c r="Q59" i="6"/>
  <c r="Q71" i="16"/>
  <c r="L58" i="16"/>
  <c r="F48" i="9"/>
  <c r="P66" i="8"/>
  <c r="T65" i="13"/>
  <c r="E67" i="14"/>
  <c r="R57" i="8"/>
  <c r="J57" i="14"/>
  <c r="K62" i="16"/>
  <c r="Q70" i="1"/>
  <c r="T71" i="16"/>
  <c r="H61" i="16"/>
  <c r="S55" i="4"/>
  <c r="V55" i="4"/>
  <c r="F69" i="16"/>
  <c r="W69" i="11"/>
  <c r="K64" i="7"/>
  <c r="E28" i="4"/>
  <c r="I55" i="9"/>
  <c r="P60" i="13"/>
  <c r="E61" i="8"/>
  <c r="O67" i="4"/>
  <c r="R57" i="14"/>
  <c r="O63" i="11"/>
  <c r="S69" i="1"/>
  <c r="Q64" i="4"/>
  <c r="W55" i="9"/>
  <c r="K67" i="4"/>
  <c r="F65" i="16"/>
  <c r="H61" i="6"/>
  <c r="T56" i="4"/>
  <c r="R68" i="4"/>
  <c r="P56" i="13"/>
  <c r="K60" i="7"/>
  <c r="K69" i="1"/>
  <c r="E65" i="13"/>
  <c r="K71" i="16"/>
  <c r="M64" i="16"/>
  <c r="S60" i="11"/>
  <c r="T66" i="7"/>
  <c r="S61" i="6"/>
  <c r="L68" i="11"/>
  <c r="N63" i="1"/>
  <c r="O59" i="15"/>
  <c r="X59" i="8"/>
  <c r="O71" i="11"/>
  <c r="R62" i="8"/>
  <c r="O23" i="8"/>
  <c r="N23" i="8"/>
  <c r="J57" i="6"/>
  <c r="J57" i="8"/>
  <c r="T67" i="8"/>
  <c r="M62" i="13"/>
  <c r="Q57" i="14"/>
  <c r="F48" i="13"/>
  <c r="N70" i="14"/>
  <c r="E56" i="6"/>
  <c r="T64" i="6"/>
  <c r="L66" i="15"/>
  <c r="F62" i="6"/>
  <c r="P57" i="1"/>
  <c r="O62" i="14"/>
  <c r="F68" i="11"/>
  <c r="N64" i="6"/>
  <c r="Q69" i="15"/>
  <c r="I62" i="8"/>
  <c r="N12" i="11"/>
  <c r="O12" i="11"/>
  <c r="D69" i="4"/>
  <c r="I55" i="16"/>
  <c r="V71" i="14"/>
  <c r="I58" i="1"/>
  <c r="D64" i="8"/>
  <c r="V64" i="14"/>
  <c r="N9" i="8"/>
  <c r="O9" i="8"/>
  <c r="D70" i="15"/>
  <c r="X61" i="1"/>
  <c r="O43" i="15"/>
  <c r="N43" i="15"/>
  <c r="J62" i="13"/>
  <c r="P69" i="16"/>
  <c r="N26" i="9"/>
  <c r="O26" i="9"/>
  <c r="V64" i="15"/>
  <c r="T63" i="8"/>
  <c r="O69" i="4"/>
  <c r="W57" i="13"/>
  <c r="F59" i="1"/>
  <c r="U58" i="6"/>
  <c r="S59" i="15"/>
  <c r="F62" i="11"/>
  <c r="J69" i="15"/>
  <c r="H65" i="8"/>
  <c r="N69" i="8"/>
  <c r="H62" i="14"/>
  <c r="S63" i="4"/>
  <c r="P60" i="7"/>
  <c r="R71" i="1"/>
  <c r="D59" i="11"/>
  <c r="G68" i="4"/>
  <c r="L63" i="11"/>
  <c r="X64" i="14"/>
  <c r="R66" i="1"/>
  <c r="Q66" i="1"/>
  <c r="L60" i="8"/>
  <c r="R71" i="11"/>
  <c r="S58" i="14"/>
  <c r="P55" i="13"/>
  <c r="S56" i="1"/>
  <c r="M69" i="4"/>
  <c r="I64" i="13"/>
  <c r="P59" i="11"/>
  <c r="M60" i="14"/>
  <c r="I65" i="16"/>
  <c r="R64" i="13"/>
  <c r="F70" i="8"/>
  <c r="W56" i="8"/>
  <c r="N65" i="13"/>
  <c r="Q62" i="4"/>
  <c r="W61" i="4"/>
  <c r="K28" i="9"/>
  <c r="X67" i="15"/>
  <c r="N58" i="14"/>
  <c r="E69" i="7"/>
  <c r="F69" i="11"/>
  <c r="W62" i="1"/>
  <c r="F69" i="8"/>
  <c r="I56" i="16"/>
  <c r="U69" i="4"/>
  <c r="M70" i="13"/>
  <c r="T59" i="7"/>
  <c r="F64" i="1"/>
  <c r="U68" i="6"/>
  <c r="R55" i="6"/>
  <c r="G57" i="8"/>
  <c r="M60" i="4"/>
  <c r="R57" i="11"/>
  <c r="M66" i="14"/>
  <c r="P63" i="1"/>
  <c r="I65" i="1"/>
  <c r="S64" i="6"/>
  <c r="Q64" i="11"/>
  <c r="M28" i="13"/>
  <c r="W68" i="1"/>
  <c r="K64" i="8"/>
  <c r="M62" i="11"/>
  <c r="G28" i="15"/>
  <c r="I56" i="1"/>
  <c r="F59" i="8"/>
  <c r="N25" i="9"/>
  <c r="O25" i="9"/>
  <c r="P59" i="14"/>
  <c r="H59" i="4"/>
  <c r="U55" i="15"/>
  <c r="W58" i="4"/>
  <c r="G68" i="6"/>
  <c r="F60" i="14"/>
  <c r="W61" i="13"/>
  <c r="T64" i="11"/>
  <c r="U70" i="13"/>
  <c r="I70" i="13"/>
  <c r="I66" i="7"/>
  <c r="O64" i="7"/>
  <c r="E59" i="15"/>
  <c r="H69" i="14"/>
  <c r="G70" i="7"/>
  <c r="Q70" i="8"/>
  <c r="N63" i="14"/>
  <c r="S60" i="14"/>
  <c r="H57" i="13"/>
  <c r="R56" i="14"/>
  <c r="D71" i="7"/>
  <c r="I68" i="11"/>
  <c r="W69" i="7"/>
  <c r="V70" i="15"/>
  <c r="X57" i="14"/>
  <c r="K28" i="4"/>
  <c r="K67" i="15"/>
  <c r="N46" i="4"/>
  <c r="O46" i="4"/>
  <c r="G63" i="6"/>
  <c r="I57" i="7"/>
  <c r="N21" i="7"/>
  <c r="O21" i="7"/>
  <c r="Q66" i="4"/>
  <c r="O70" i="4"/>
  <c r="P62" i="7"/>
  <c r="D60" i="8"/>
  <c r="K62" i="14"/>
  <c r="U58" i="11"/>
  <c r="O37" i="15"/>
  <c r="N37" i="15"/>
  <c r="L66" i="4"/>
  <c r="O71" i="7"/>
  <c r="K71" i="7"/>
  <c r="P59" i="15"/>
  <c r="S58" i="15"/>
  <c r="M57" i="7"/>
  <c r="L55" i="15"/>
  <c r="S67" i="15"/>
  <c r="G71" i="14"/>
  <c r="N20" i="8"/>
  <c r="O20" i="8"/>
  <c r="I67" i="15"/>
  <c r="E63" i="16"/>
  <c r="M55" i="13"/>
  <c r="K61" i="15"/>
  <c r="M63" i="7"/>
  <c r="L67" i="15"/>
  <c r="S66" i="6"/>
  <c r="R55" i="8"/>
  <c r="M57" i="6"/>
  <c r="O69" i="1"/>
  <c r="O55" i="11"/>
  <c r="G72" i="1"/>
  <c r="H71" i="16"/>
  <c r="H62" i="16"/>
  <c r="V62" i="8"/>
  <c r="I58" i="7"/>
  <c r="T61" i="8"/>
  <c r="N68" i="1"/>
  <c r="R66" i="8"/>
  <c r="V69" i="6"/>
  <c r="P64" i="14"/>
  <c r="Q59" i="4"/>
  <c r="G69" i="14"/>
  <c r="J70" i="16"/>
  <c r="U59" i="15"/>
  <c r="K68" i="11"/>
  <c r="D62" i="15"/>
  <c r="O60" i="16"/>
  <c r="X66" i="15"/>
  <c r="O16" i="9"/>
  <c r="N16" i="9"/>
  <c r="Q59" i="16"/>
  <c r="T61" i="16"/>
  <c r="M55" i="16"/>
  <c r="N47" i="15"/>
  <c r="O47" i="15"/>
  <c r="K64" i="15"/>
  <c r="V70" i="11"/>
  <c r="V57" i="6"/>
  <c r="W64" i="14"/>
  <c r="X69" i="11"/>
  <c r="I66" i="16"/>
  <c r="L71" i="8"/>
  <c r="P56" i="16"/>
  <c r="K63" i="4"/>
  <c r="N72" i="1"/>
  <c r="E28" i="13"/>
  <c r="T57" i="1"/>
  <c r="V68" i="15"/>
  <c r="W66" i="13"/>
  <c r="F71" i="14"/>
  <c r="R65" i="1"/>
  <c r="I58" i="14"/>
  <c r="O16" i="8"/>
  <c r="N16" i="8"/>
  <c r="X60" i="14"/>
  <c r="V61" i="14"/>
  <c r="G66" i="16"/>
  <c r="H55" i="15"/>
  <c r="N60" i="14"/>
  <c r="R63" i="13"/>
  <c r="Q63" i="14"/>
  <c r="S63" i="1"/>
  <c r="G61" i="1"/>
  <c r="S59" i="1"/>
  <c r="Q63" i="7"/>
  <c r="S67" i="14"/>
  <c r="W67" i="16"/>
  <c r="N8" i="11"/>
  <c r="O8" i="11"/>
  <c r="T58" i="7"/>
  <c r="O58" i="16"/>
  <c r="G28" i="13"/>
  <c r="O69" i="11"/>
  <c r="I48" i="9"/>
  <c r="D60" i="16"/>
  <c r="W68" i="16"/>
  <c r="M66" i="15"/>
  <c r="L55" i="4"/>
  <c r="F69" i="14"/>
  <c r="T61" i="15"/>
  <c r="T57" i="8"/>
  <c r="O71" i="16"/>
  <c r="E58" i="11"/>
  <c r="G71" i="16"/>
  <c r="R60" i="14"/>
  <c r="K55" i="6"/>
  <c r="P57" i="8"/>
  <c r="E68" i="7"/>
  <c r="O42" i="11"/>
  <c r="N42" i="11"/>
  <c r="Q65" i="1"/>
  <c r="R65" i="8"/>
  <c r="L61" i="4"/>
  <c r="H63" i="1"/>
  <c r="M62" i="14"/>
  <c r="E67" i="1"/>
  <c r="W60" i="1"/>
  <c r="P59" i="16"/>
  <c r="P59" i="1"/>
  <c r="M58" i="6"/>
  <c r="D60" i="13"/>
  <c r="F59" i="16"/>
  <c r="R57" i="16"/>
  <c r="O56" i="1"/>
  <c r="Q55" i="8"/>
  <c r="I59" i="15"/>
  <c r="P60" i="6"/>
  <c r="W68" i="6"/>
  <c r="P70" i="13"/>
  <c r="L64" i="16"/>
  <c r="T71" i="7"/>
  <c r="S57" i="15"/>
  <c r="O44" i="11"/>
  <c r="N44" i="11"/>
  <c r="E71" i="14"/>
  <c r="U69" i="11"/>
  <c r="R69" i="14"/>
  <c r="L67" i="8"/>
  <c r="M56" i="13"/>
  <c r="W67" i="6"/>
  <c r="H65" i="16"/>
  <c r="V66" i="16"/>
  <c r="J58" i="1"/>
  <c r="T60" i="8"/>
  <c r="D70" i="7"/>
  <c r="R60" i="7"/>
  <c r="N44" i="4"/>
  <c r="O44" i="4"/>
  <c r="V57" i="7"/>
  <c r="L69" i="11"/>
  <c r="U60" i="1"/>
  <c r="W71" i="4"/>
  <c r="L63" i="16"/>
  <c r="F71" i="15"/>
  <c r="D69" i="14"/>
  <c r="F61" i="4"/>
  <c r="G61" i="8"/>
  <c r="L66" i="8"/>
  <c r="P64" i="7"/>
  <c r="S63" i="13"/>
  <c r="U60" i="16"/>
  <c r="L71" i="1"/>
  <c r="W56" i="14"/>
  <c r="X56" i="14"/>
  <c r="N15" i="4"/>
  <c r="O15" i="4"/>
  <c r="V55" i="8"/>
  <c r="L67" i="16"/>
  <c r="H69" i="15"/>
  <c r="N69" i="14"/>
  <c r="R61" i="14"/>
  <c r="F65" i="13"/>
  <c r="R62" i="14"/>
  <c r="M71" i="15"/>
  <c r="G66" i="13"/>
  <c r="G63" i="1"/>
  <c r="Q58" i="16"/>
  <c r="E69" i="1"/>
  <c r="I57" i="13"/>
  <c r="J56" i="6"/>
  <c r="J64" i="8"/>
  <c r="N13" i="9"/>
  <c r="O13" i="9"/>
  <c r="D57" i="13"/>
  <c r="T57" i="7"/>
  <c r="G71" i="8"/>
  <c r="M28" i="11"/>
  <c r="E69" i="15"/>
  <c r="F67" i="14"/>
  <c r="O8" i="7"/>
  <c r="N8" i="7"/>
  <c r="E69" i="6"/>
  <c r="S62" i="11"/>
  <c r="P61" i="4"/>
  <c r="M66" i="8"/>
  <c r="M59" i="1"/>
  <c r="O68" i="8"/>
  <c r="O61" i="8"/>
  <c r="Q55" i="13"/>
  <c r="J62" i="4"/>
  <c r="J59" i="8"/>
  <c r="H65" i="15"/>
  <c r="K69" i="8"/>
  <c r="N70" i="1"/>
  <c r="F57" i="15"/>
  <c r="K65" i="7"/>
  <c r="F69" i="6"/>
  <c r="M62" i="1"/>
  <c r="E59" i="11"/>
  <c r="O25" i="8"/>
  <c r="N25" i="8"/>
  <c r="T68" i="7"/>
  <c r="T55" i="11"/>
  <c r="N23" i="9"/>
  <c r="O23" i="9"/>
  <c r="R70" i="15"/>
  <c r="X62" i="1"/>
  <c r="J59" i="11"/>
  <c r="S66" i="1"/>
  <c r="T69" i="14"/>
  <c r="N65" i="16"/>
  <c r="F28" i="9"/>
  <c r="I57" i="11"/>
  <c r="D71" i="16"/>
  <c r="U64" i="6"/>
  <c r="S58" i="4"/>
  <c r="N19" i="4"/>
  <c r="O19" i="4"/>
  <c r="R67" i="15"/>
  <c r="P56" i="4"/>
  <c r="V57" i="16"/>
  <c r="T57" i="4"/>
  <c r="G57" i="13"/>
  <c r="N56" i="16"/>
  <c r="O70" i="13"/>
  <c r="E63" i="15"/>
  <c r="M28" i="14"/>
  <c r="X61" i="15"/>
  <c r="V56" i="6"/>
  <c r="F56" i="7"/>
  <c r="V61" i="8"/>
  <c r="X58" i="8"/>
  <c r="Q67" i="4"/>
  <c r="J58" i="15"/>
  <c r="V64" i="1"/>
  <c r="D61" i="7"/>
  <c r="O66" i="15"/>
  <c r="F71" i="7"/>
  <c r="U58" i="16"/>
  <c r="G55" i="15"/>
  <c r="Q70" i="14"/>
  <c r="M65" i="16"/>
  <c r="I70" i="4"/>
  <c r="E68" i="4"/>
  <c r="M64" i="7"/>
  <c r="U60" i="11"/>
  <c r="P71" i="6"/>
  <c r="F70" i="6"/>
  <c r="O62" i="8"/>
  <c r="W70" i="4"/>
  <c r="I62" i="15"/>
  <c r="L68" i="14"/>
  <c r="G62" i="14"/>
  <c r="Q68" i="14"/>
  <c r="E68" i="15"/>
  <c r="U68" i="15"/>
  <c r="W59" i="8"/>
  <c r="N57" i="13"/>
  <c r="P63" i="6"/>
  <c r="O62" i="6"/>
  <c r="P59" i="8"/>
  <c r="K59" i="7"/>
  <c r="K60" i="1"/>
  <c r="Q71" i="7"/>
  <c r="W71" i="6"/>
  <c r="R67" i="11"/>
  <c r="N70" i="11"/>
  <c r="G66" i="4"/>
  <c r="I69" i="13"/>
  <c r="M60" i="1"/>
  <c r="K60" i="6"/>
  <c r="J59" i="15"/>
  <c r="W71" i="8"/>
  <c r="F64" i="13"/>
  <c r="W55" i="14"/>
  <c r="U61" i="11"/>
  <c r="Q60" i="16"/>
  <c r="O55" i="15"/>
  <c r="G58" i="14"/>
  <c r="O18" i="13"/>
  <c r="N18" i="13"/>
  <c r="I56" i="14"/>
  <c r="E60" i="16"/>
  <c r="Q68" i="15"/>
  <c r="H68" i="6"/>
  <c r="N26" i="7"/>
  <c r="O26" i="7"/>
  <c r="N68" i="16"/>
  <c r="W57" i="15"/>
  <c r="N41" i="4"/>
  <c r="O41" i="4"/>
  <c r="M63" i="15"/>
  <c r="Q62" i="15"/>
  <c r="J71" i="16"/>
  <c r="T60" i="14"/>
  <c r="T65" i="16"/>
  <c r="M28" i="7"/>
  <c r="S61" i="15"/>
  <c r="V70" i="8"/>
  <c r="F66" i="7"/>
  <c r="O59" i="7"/>
  <c r="W69" i="16"/>
  <c r="E66" i="16"/>
  <c r="F63" i="8"/>
  <c r="X63" i="6"/>
  <c r="J66" i="4"/>
  <c r="J49" i="18"/>
  <c r="N25" i="7"/>
  <c r="O25" i="7"/>
  <c r="U62" i="16"/>
  <c r="E55" i="7"/>
  <c r="J61" i="7"/>
  <c r="N55" i="11"/>
  <c r="Q65" i="15"/>
  <c r="S71" i="1"/>
  <c r="E59" i="6"/>
  <c r="H58" i="6"/>
  <c r="R58" i="8"/>
  <c r="F61" i="14"/>
  <c r="S56" i="7"/>
  <c r="S71" i="16"/>
  <c r="N61" i="4"/>
  <c r="I58" i="8"/>
  <c r="W71" i="11"/>
  <c r="J59" i="16"/>
  <c r="R71" i="7"/>
  <c r="N57" i="7"/>
  <c r="W64" i="6"/>
  <c r="L60" i="13"/>
  <c r="R59" i="11"/>
  <c r="D66" i="7"/>
  <c r="V58" i="16"/>
  <c r="K64" i="16"/>
  <c r="K58" i="8"/>
  <c r="K61" i="8"/>
  <c r="J70" i="11"/>
  <c r="S71" i="4"/>
  <c r="W65" i="16"/>
  <c r="F61" i="15"/>
  <c r="E70" i="14"/>
  <c r="H57" i="4"/>
  <c r="P66" i="4"/>
  <c r="H63" i="11"/>
  <c r="R66" i="15"/>
  <c r="N67" i="16"/>
  <c r="N10" i="7"/>
  <c r="O10" i="7"/>
  <c r="M67" i="15"/>
  <c r="I57" i="6"/>
  <c r="S65" i="1"/>
  <c r="E57" i="16"/>
  <c r="R55" i="12"/>
  <c r="N59" i="14"/>
  <c r="Q60" i="1"/>
  <c r="V67" i="8"/>
  <c r="H55" i="7"/>
  <c r="F64" i="11"/>
  <c r="F67" i="11"/>
  <c r="H48" i="13"/>
  <c r="Q62" i="14"/>
  <c r="V66" i="14"/>
  <c r="N59" i="11"/>
  <c r="F59" i="14"/>
  <c r="U64" i="4"/>
  <c r="P68" i="16"/>
  <c r="S62" i="15"/>
  <c r="G55" i="4"/>
  <c r="S61" i="1"/>
  <c r="K56" i="14"/>
  <c r="I49" i="18"/>
  <c r="K69" i="16"/>
  <c r="T71" i="14"/>
  <c r="M59" i="7"/>
  <c r="G64" i="15"/>
  <c r="H56" i="6"/>
  <c r="O58" i="15"/>
  <c r="L57" i="14"/>
  <c r="N24" i="11"/>
  <c r="O24" i="11"/>
  <c r="G49" i="18"/>
  <c r="N65" i="6"/>
  <c r="D69" i="7"/>
  <c r="F71" i="11"/>
  <c r="J64" i="14"/>
  <c r="G68" i="14"/>
  <c r="V61" i="1"/>
  <c r="O65" i="14"/>
  <c r="S56" i="6"/>
  <c r="H67" i="15"/>
  <c r="F65" i="15"/>
  <c r="P61" i="6"/>
  <c r="I59" i="8"/>
  <c r="U65" i="11"/>
  <c r="N33" i="11"/>
  <c r="O33" i="11"/>
  <c r="S61" i="8"/>
  <c r="M70" i="1"/>
  <c r="J64" i="7"/>
  <c r="K67" i="8"/>
  <c r="G67" i="4"/>
  <c r="U57" i="15"/>
  <c r="L56" i="11"/>
  <c r="I62" i="4"/>
  <c r="E60" i="14"/>
  <c r="D67" i="16"/>
  <c r="U58" i="13"/>
  <c r="N59" i="1"/>
  <c r="P71" i="1"/>
  <c r="H60" i="8"/>
  <c r="I28" i="9"/>
  <c r="W55" i="16"/>
  <c r="P61" i="15"/>
  <c r="I62" i="6"/>
  <c r="T64" i="13"/>
  <c r="H68" i="8"/>
  <c r="I69" i="8"/>
  <c r="F59" i="15"/>
  <c r="L64" i="6"/>
  <c r="O19" i="7"/>
  <c r="N19" i="7"/>
  <c r="O45" i="15"/>
  <c r="N45" i="15"/>
  <c r="L50" i="15"/>
  <c r="M69" i="7"/>
  <c r="E65" i="1"/>
  <c r="M58" i="15"/>
  <c r="H28" i="15"/>
  <c r="G71" i="7"/>
  <c r="E65" i="8"/>
  <c r="E56" i="8"/>
  <c r="M55" i="14"/>
  <c r="O33" i="15"/>
  <c r="N33" i="15"/>
  <c r="O36" i="11"/>
  <c r="N36" i="11"/>
  <c r="U58" i="4"/>
  <c r="N36" i="15"/>
  <c r="O36" i="15"/>
  <c r="M61" i="8"/>
  <c r="T70" i="8"/>
  <c r="O38" i="4"/>
  <c r="N38" i="4"/>
  <c r="F55" i="11"/>
  <c r="H63" i="8"/>
  <c r="F66" i="16"/>
  <c r="H55" i="16"/>
  <c r="J67" i="11"/>
  <c r="U67" i="16"/>
  <c r="O27" i="9"/>
  <c r="N27" i="9"/>
  <c r="I68" i="15"/>
  <c r="N68" i="15"/>
  <c r="S70" i="16"/>
  <c r="H63" i="16"/>
  <c r="G65" i="7"/>
  <c r="N56" i="14"/>
  <c r="T66" i="16"/>
  <c r="Q62" i="1"/>
  <c r="H62" i="6"/>
  <c r="D57" i="11"/>
  <c r="S71" i="14"/>
  <c r="G67" i="14"/>
  <c r="J62" i="16"/>
  <c r="D63" i="13"/>
  <c r="U65" i="13"/>
  <c r="S55" i="8"/>
  <c r="E70" i="4"/>
  <c r="P70" i="1"/>
  <c r="F28" i="15"/>
  <c r="J55" i="14"/>
  <c r="G58" i="16"/>
  <c r="E62" i="8"/>
  <c r="R60" i="13"/>
  <c r="V59" i="14"/>
  <c r="K55" i="13"/>
  <c r="K64" i="14"/>
  <c r="T59" i="16"/>
  <c r="M59" i="16"/>
  <c r="W70" i="7"/>
  <c r="G56" i="7"/>
  <c r="P58" i="8"/>
  <c r="N7" i="18"/>
  <c r="F8" i="18"/>
  <c r="M23" i="20"/>
  <c r="K38" i="18"/>
  <c r="H12" i="18"/>
  <c r="K43" i="18"/>
  <c r="K14" i="20"/>
  <c r="I19" i="18"/>
  <c r="L27" i="18"/>
  <c r="I36" i="18"/>
  <c r="I37" i="18"/>
  <c r="H40" i="18"/>
  <c r="H18" i="20"/>
  <c r="D14" i="18"/>
  <c r="E35" i="18"/>
  <c r="H37" i="18"/>
  <c r="G33" i="18"/>
  <c r="J25" i="20"/>
  <c r="L38" i="18"/>
  <c r="J17" i="20"/>
  <c r="D22" i="20"/>
  <c r="K10" i="20"/>
  <c r="J13" i="20"/>
  <c r="K27" i="20"/>
  <c r="K22" i="20"/>
  <c r="E22" i="18"/>
  <c r="G15" i="20"/>
  <c r="M13" i="20"/>
  <c r="L9" i="18"/>
  <c r="I33" i="18"/>
  <c r="E41" i="18"/>
  <c r="G14" i="18"/>
  <c r="H24" i="20"/>
  <c r="G15" i="18"/>
  <c r="I21" i="20"/>
  <c r="J16" i="20"/>
  <c r="G8" i="20"/>
  <c r="E23" i="20"/>
  <c r="G20" i="18"/>
  <c r="H14" i="18"/>
  <c r="K27" i="18"/>
  <c r="M46" i="18"/>
  <c r="I19" i="20"/>
  <c r="G40" i="18"/>
  <c r="G13" i="18"/>
  <c r="L22" i="18"/>
  <c r="K22" i="18"/>
  <c r="I11" i="20"/>
  <c r="K37" i="18"/>
  <c r="J15" i="20"/>
  <c r="K8" i="18"/>
  <c r="I25" i="18"/>
  <c r="K36" i="18"/>
  <c r="M10" i="18"/>
  <c r="F17" i="20"/>
  <c r="F9" i="20"/>
  <c r="G22" i="18"/>
  <c r="I26" i="18"/>
  <c r="J8" i="20"/>
  <c r="J44" i="18"/>
  <c r="L12" i="18"/>
  <c r="L12" i="20"/>
  <c r="G23" i="18"/>
  <c r="J25" i="18"/>
  <c r="F34" i="18"/>
  <c r="J15" i="18"/>
  <c r="G48" i="18"/>
  <c r="K10" i="18"/>
  <c r="G26" i="20"/>
  <c r="L20" i="18"/>
  <c r="F42" i="18"/>
  <c r="J11" i="18"/>
  <c r="E34" i="18"/>
  <c r="I11" i="18"/>
  <c r="J48" i="18"/>
  <c r="I44" i="18"/>
  <c r="M21" i="18"/>
  <c r="H39" i="18"/>
  <c r="G7" i="20"/>
  <c r="I18" i="18"/>
  <c r="G25" i="20"/>
  <c r="E32" i="18"/>
  <c r="L11" i="20"/>
  <c r="F22" i="18"/>
  <c r="I16" i="20"/>
  <c r="H13" i="18"/>
  <c r="J40" i="18"/>
  <c r="M24" i="20"/>
  <c r="F36" i="18"/>
  <c r="M21" i="20"/>
  <c r="F24" i="20"/>
  <c r="M27" i="18"/>
  <c r="J9" i="20"/>
  <c r="J36" i="18"/>
  <c r="G14" i="20"/>
  <c r="G19" i="20"/>
  <c r="F33" i="18"/>
  <c r="O7" i="18"/>
  <c r="I24" i="20" a="1"/>
  <c r="K18" i="18" a="1"/>
  <c r="L32" i="18" a="1"/>
  <c r="D18" i="18" a="1"/>
  <c r="J16" i="18" a="1"/>
  <c r="H36" i="18" a="1"/>
  <c r="G26" i="18" a="1"/>
  <c r="L15" i="18" a="1"/>
  <c r="M22" i="18" a="1"/>
  <c r="G13" i="20" a="1"/>
  <c r="K13" i="18" a="1"/>
  <c r="K21" i="20" a="1"/>
  <c r="M47" i="18" a="1"/>
  <c r="K32" i="18" a="1"/>
  <c r="K24" i="18" a="1"/>
  <c r="D10" i="18" a="1"/>
  <c r="H15" i="18" a="1"/>
  <c r="L48" i="18" a="1"/>
  <c r="H33" i="18" a="1"/>
  <c r="M10" i="20" a="1"/>
  <c r="K44" i="18" a="1"/>
  <c r="M20" i="20" a="1"/>
  <c r="K20" i="18" a="1"/>
  <c r="G46" i="18" a="1"/>
  <c r="L8" i="20" a="1"/>
  <c r="F21" i="18" a="1"/>
  <c r="K34" i="18" a="1"/>
  <c r="J37" i="18" a="1"/>
  <c r="K40" i="18" a="1"/>
  <c r="L10" i="20" a="1"/>
  <c r="D7" i="20" a="1"/>
  <c r="L17" i="18" a="1"/>
  <c r="M18" i="20" a="1"/>
  <c r="G35" i="18" a="1"/>
  <c r="L19" i="20" a="1"/>
  <c r="G8" i="18" a="1"/>
  <c r="L25" i="18" a="1"/>
  <c r="G24" i="18" a="1"/>
  <c r="F43" i="18" a="1"/>
  <c r="J45" i="18" a="1"/>
  <c r="E37" i="18" a="1"/>
  <c r="I17" i="18" a="1"/>
  <c r="E25" i="20" a="1"/>
  <c r="G38" i="18" a="1"/>
  <c r="M45" i="18" a="1"/>
  <c r="H10" i="20" a="1"/>
  <c r="J18" i="20" a="1"/>
  <c r="E12" i="18" a="1"/>
  <c r="M48" i="18" a="1"/>
  <c r="G16" i="18" a="1"/>
  <c r="I12" i="20" a="1"/>
  <c r="E13" i="20" a="1"/>
  <c r="J39" i="18" a="1"/>
  <c r="H16" i="18" a="1"/>
  <c r="E12" i="20" a="1"/>
  <c r="K16" i="18" a="1"/>
  <c r="F44" i="18" a="1"/>
  <c r="I24" i="18" a="1"/>
  <c r="H9" i="18" a="1"/>
  <c r="D10" i="20" a="1"/>
  <c r="F13" i="20" a="1"/>
  <c r="H47" i="18" a="1"/>
  <c r="H26" i="18" a="1"/>
  <c r="M35" i="18" a="1"/>
  <c r="J10" i="18" a="1"/>
  <c r="J20" i="20" a="1"/>
  <c r="G18" i="20" a="1"/>
  <c r="F40" i="18" a="1"/>
  <c r="H9" i="20" a="1"/>
  <c r="E25" i="18" a="1"/>
  <c r="G47" i="18" a="1"/>
  <c r="E9" i="18" a="1"/>
  <c r="G34" i="18" a="1"/>
  <c r="E17" i="20" a="1"/>
  <c r="E45" i="18" a="1"/>
  <c r="L14" i="20" a="1"/>
  <c r="J22" i="18" a="1"/>
  <c r="D41" i="18" a="1"/>
  <c r="F27" i="20" a="1"/>
  <c r="M42" i="18" a="1"/>
  <c r="M15" i="20" a="1"/>
  <c r="N50" i="15" l="1"/>
  <c r="N28" i="11"/>
  <c r="O49" i="18"/>
  <c r="N50" i="11"/>
  <c r="N28" i="15"/>
  <c r="O50" i="11"/>
  <c r="O50" i="15"/>
  <c r="O28" i="11"/>
  <c r="O28" i="15"/>
  <c r="N50" i="4"/>
  <c r="N49" i="18"/>
  <c r="O48" i="9"/>
  <c r="N28" i="7"/>
  <c r="O28" i="8"/>
  <c r="N28" i="8"/>
  <c r="N28" i="14"/>
  <c r="O28" i="14"/>
  <c r="O28" i="7"/>
  <c r="N26" i="20"/>
  <c r="O50" i="4"/>
  <c r="M15" i="20"/>
  <c r="N15" i="20" s="1"/>
  <c r="M42" i="18"/>
  <c r="N42" i="18" s="1"/>
  <c r="F27" i="20"/>
  <c r="N27" i="20" s="1"/>
  <c r="D41" i="18"/>
  <c r="J22" i="18"/>
  <c r="L14" i="20"/>
  <c r="N14" i="20" s="1"/>
  <c r="E45" i="18"/>
  <c r="E17" i="20"/>
  <c r="O17" i="20" s="1"/>
  <c r="G34" i="18"/>
  <c r="O34" i="18" s="1"/>
  <c r="E9" i="18"/>
  <c r="O9" i="18" s="1"/>
  <c r="G47" i="18"/>
  <c r="E25" i="18"/>
  <c r="H9" i="20"/>
  <c r="F40" i="18"/>
  <c r="G18" i="20"/>
  <c r="J20" i="20"/>
  <c r="J10" i="18"/>
  <c r="M35" i="18"/>
  <c r="H26" i="18"/>
  <c r="H47" i="18"/>
  <c r="F13" i="20"/>
  <c r="F28" i="20" s="1"/>
  <c r="D10" i="20"/>
  <c r="H9" i="18"/>
  <c r="I24" i="18"/>
  <c r="F44" i="18"/>
  <c r="K16" i="18"/>
  <c r="E12" i="20"/>
  <c r="H16" i="18"/>
  <c r="J39" i="18"/>
  <c r="O39" i="18" s="1"/>
  <c r="E13" i="20"/>
  <c r="I12" i="20"/>
  <c r="G16" i="18"/>
  <c r="M48" i="18"/>
  <c r="E12" i="18"/>
  <c r="N12" i="18" s="1"/>
  <c r="J18" i="20"/>
  <c r="H10" i="20"/>
  <c r="H28" i="20" s="1"/>
  <c r="M45" i="18"/>
  <c r="G38" i="18"/>
  <c r="O38" i="18" s="1"/>
  <c r="E25" i="20"/>
  <c r="N25" i="20" s="1"/>
  <c r="I17" i="18"/>
  <c r="I28" i="18" s="1"/>
  <c r="E37" i="18"/>
  <c r="E50" i="18" s="1"/>
  <c r="J45" i="18"/>
  <c r="N45" i="18" s="1"/>
  <c r="F43" i="18"/>
  <c r="N43" i="18" s="1"/>
  <c r="G24" i="18"/>
  <c r="L25" i="18"/>
  <c r="G8" i="18"/>
  <c r="O8" i="18" s="1"/>
  <c r="L19" i="20"/>
  <c r="N19" i="20" s="1"/>
  <c r="G35" i="18"/>
  <c r="M18" i="20"/>
  <c r="L17" i="18"/>
  <c r="D7" i="20"/>
  <c r="O7" i="20" s="1"/>
  <c r="L10" i="20"/>
  <c r="K40" i="18"/>
  <c r="N40" i="18" s="1"/>
  <c r="J37" i="18"/>
  <c r="K34" i="18"/>
  <c r="F21" i="18"/>
  <c r="N21" i="18" s="1"/>
  <c r="L8" i="20"/>
  <c r="O8" i="20" s="1"/>
  <c r="G46" i="18"/>
  <c r="O46" i="18" s="1"/>
  <c r="K20" i="18"/>
  <c r="O20" i="18" s="1"/>
  <c r="M20" i="20"/>
  <c r="K44" i="18"/>
  <c r="M10" i="20"/>
  <c r="H33" i="18"/>
  <c r="N33" i="18" s="1"/>
  <c r="L48" i="18"/>
  <c r="H15" i="18"/>
  <c r="D10" i="18"/>
  <c r="N10" i="18" s="1"/>
  <c r="K24" i="18"/>
  <c r="K32" i="18"/>
  <c r="M47" i="18"/>
  <c r="K21" i="20"/>
  <c r="N21" i="20" s="1"/>
  <c r="K13" i="18"/>
  <c r="O13" i="18" s="1"/>
  <c r="G13" i="20"/>
  <c r="M22" i="18"/>
  <c r="M28" i="18" s="1"/>
  <c r="L15" i="18"/>
  <c r="N15" i="18" s="1"/>
  <c r="G26" i="18"/>
  <c r="H36" i="18"/>
  <c r="O36" i="18" s="1"/>
  <c r="J16" i="18"/>
  <c r="D18" i="18"/>
  <c r="L32" i="18"/>
  <c r="L50" i="18" s="1"/>
  <c r="K18" i="18"/>
  <c r="I24" i="20"/>
  <c r="O24" i="20" s="1"/>
  <c r="N39" i="18"/>
  <c r="N28" i="9"/>
  <c r="O28" i="9"/>
  <c r="N28" i="13"/>
  <c r="N28" i="4"/>
  <c r="O28" i="4"/>
  <c r="O26" i="20"/>
  <c r="O11" i="20"/>
  <c r="O48" i="13"/>
  <c r="N48" i="13"/>
  <c r="O16" i="20"/>
  <c r="O11" i="18"/>
  <c r="O9" i="20"/>
  <c r="N9" i="20"/>
  <c r="N11" i="18"/>
  <c r="N16" i="20"/>
  <c r="N11" i="20"/>
  <c r="I50" i="18"/>
  <c r="O15" i="20"/>
  <c r="O23" i="20"/>
  <c r="N23" i="20"/>
  <c r="O19" i="20"/>
  <c r="O22" i="18"/>
  <c r="N27" i="18"/>
  <c r="O27" i="18"/>
  <c r="O42" i="18"/>
  <c r="N19" i="18"/>
  <c r="O19" i="18"/>
  <c r="O23" i="18"/>
  <c r="N23" i="18"/>
  <c r="N14" i="18"/>
  <c r="N37" i="18"/>
  <c r="N25" i="18"/>
  <c r="O25" i="18"/>
  <c r="O22" i="20"/>
  <c r="N22" i="20"/>
  <c r="O14" i="18"/>
  <c r="K45" i="14"/>
  <c r="E38" i="7"/>
  <c r="D42" i="14"/>
  <c r="F43" i="8"/>
  <c r="G32" i="14"/>
  <c r="J44" i="14"/>
  <c r="I34" i="7"/>
  <c r="E43" i="7"/>
  <c r="F49" i="14"/>
  <c r="L47" i="14"/>
  <c r="X72" i="6" a="1"/>
  <c r="F37" i="8"/>
  <c r="I72" i="6" a="1"/>
  <c r="I38" i="8"/>
  <c r="D44" i="7"/>
  <c r="F39" i="7"/>
  <c r="U69" i="7" a="1"/>
  <c r="M48" i="14"/>
  <c r="M33" i="7"/>
  <c r="I49" i="7"/>
  <c r="U62" i="14" a="1"/>
  <c r="J39" i="8"/>
  <c r="G38" i="14"/>
  <c r="M39" i="8"/>
  <c r="E49" i="8"/>
  <c r="G39" i="14"/>
  <c r="L34" i="8"/>
  <c r="F49" i="7"/>
  <c r="I33" i="7"/>
  <c r="K38" i="7"/>
  <c r="D34" i="14"/>
  <c r="I35" i="8"/>
  <c r="F35" i="14"/>
  <c r="J36" i="8"/>
  <c r="U59" i="14" a="1"/>
  <c r="E72" i="6" a="1"/>
  <c r="M40" i="7"/>
  <c r="I46" i="7"/>
  <c r="K48" i="8"/>
  <c r="I48" i="14"/>
  <c r="M46" i="7"/>
  <c r="D35" i="7"/>
  <c r="F38" i="8"/>
  <c r="U63" i="7" a="1"/>
  <c r="F72" i="16" a="1"/>
  <c r="E46" i="14"/>
  <c r="K49" i="8"/>
  <c r="K45" i="7"/>
  <c r="D35" i="14"/>
  <c r="R72" i="6" a="1"/>
  <c r="D47" i="7"/>
  <c r="I47" i="7"/>
  <c r="J41" i="8"/>
  <c r="I45" i="14"/>
  <c r="L39" i="8"/>
  <c r="K34" i="7"/>
  <c r="U61" i="8" a="1"/>
  <c r="J47" i="14"/>
  <c r="L34" i="7"/>
  <c r="G41" i="14"/>
  <c r="H41" i="8"/>
  <c r="M43" i="14"/>
  <c r="J36" i="14"/>
  <c r="J32" i="8"/>
  <c r="U65" i="14" a="1"/>
  <c r="H36" i="8"/>
  <c r="E49" i="14"/>
  <c r="K47" i="14"/>
  <c r="I43" i="8"/>
  <c r="U56" i="14" a="1"/>
  <c r="E72" i="16" a="1"/>
  <c r="K44" i="14"/>
  <c r="M49" i="14"/>
  <c r="F35" i="8"/>
  <c r="U71" i="8" a="1"/>
  <c r="J35" i="14"/>
  <c r="D48" i="7"/>
  <c r="H46" i="8"/>
  <c r="I42" i="14"/>
  <c r="R72" i="16" a="1"/>
  <c r="E42" i="7"/>
  <c r="G38" i="8"/>
  <c r="G49" i="7"/>
  <c r="E33" i="14"/>
  <c r="K37" i="8"/>
  <c r="M45" i="14"/>
  <c r="K36" i="14"/>
  <c r="K36" i="7"/>
  <c r="Q73" i="1" a="1"/>
  <c r="J49" i="7"/>
  <c r="F33" i="7"/>
  <c r="G37" i="7"/>
  <c r="K42" i="8"/>
  <c r="F44" i="8"/>
  <c r="G46" i="7"/>
  <c r="I72" i="16" a="1"/>
  <c r="L48" i="14"/>
  <c r="H36" i="7"/>
  <c r="M33" i="14"/>
  <c r="E41" i="7"/>
  <c r="G43" i="14"/>
  <c r="U62" i="8" a="1"/>
  <c r="D45" i="8"/>
  <c r="G43" i="7"/>
  <c r="F48" i="8"/>
  <c r="J37" i="7"/>
  <c r="I5" i="25" a="1"/>
  <c r="L35" i="7"/>
  <c r="J39" i="7"/>
  <c r="G41" i="8"/>
  <c r="M32" i="7"/>
  <c r="J47" i="8"/>
  <c r="F32" i="8"/>
  <c r="K34" i="14"/>
  <c r="M40" i="14"/>
  <c r="G42" i="8"/>
  <c r="J43" i="7"/>
  <c r="L40" i="7"/>
  <c r="D49" i="8"/>
  <c r="I49" i="14"/>
  <c r="H45" i="14"/>
  <c r="F46" i="14"/>
  <c r="N72" i="16" a="1"/>
  <c r="K32" i="7"/>
  <c r="J41" i="7"/>
  <c r="M46" i="14"/>
  <c r="F45" i="8"/>
  <c r="L47" i="8"/>
  <c r="D41" i="8"/>
  <c r="G34" i="8"/>
  <c r="M34" i="7"/>
  <c r="D39" i="14"/>
  <c r="M44" i="7"/>
  <c r="G73" i="1" a="1"/>
  <c r="K43" i="8"/>
  <c r="D46" i="8"/>
  <c r="M38" i="7"/>
  <c r="D46" i="14"/>
  <c r="I38" i="7"/>
  <c r="H72" i="16" a="1"/>
  <c r="U72" i="8" a="1"/>
  <c r="L35" i="8"/>
  <c r="D47" i="14"/>
  <c r="G47" i="14"/>
  <c r="L33" i="8"/>
  <c r="E41" i="14"/>
  <c r="M47" i="7"/>
  <c r="F40" i="8"/>
  <c r="I37" i="8"/>
  <c r="H35" i="8"/>
  <c r="U55" i="8" a="1"/>
  <c r="U67" i="8" a="1"/>
  <c r="H46" i="7"/>
  <c r="J45" i="14"/>
  <c r="G45" i="7"/>
  <c r="G44" i="14"/>
  <c r="M41" i="7"/>
  <c r="J37" i="8"/>
  <c r="F40" i="7"/>
  <c r="F45" i="7"/>
  <c r="G48" i="14"/>
  <c r="X73" i="1" a="1"/>
  <c r="M39" i="14"/>
  <c r="L33" i="14"/>
  <c r="D32" i="14"/>
  <c r="E38" i="14"/>
  <c r="E32" i="7"/>
  <c r="M44" i="8"/>
  <c r="O72" i="6" a="1"/>
  <c r="L46" i="7"/>
  <c r="J34" i="7"/>
  <c r="I33" i="8"/>
  <c r="E32" i="8"/>
  <c r="F34" i="8"/>
  <c r="K35" i="7"/>
  <c r="J33" i="14"/>
  <c r="U68" i="14" a="1"/>
  <c r="H35" i="7"/>
  <c r="H46" i="14"/>
  <c r="D42" i="8"/>
  <c r="U60" i="8" a="1"/>
  <c r="G35" i="8"/>
  <c r="H48" i="8"/>
  <c r="G46" i="14"/>
  <c r="D49" i="7"/>
  <c r="D38" i="8"/>
  <c r="I43" i="7"/>
  <c r="H39" i="14"/>
  <c r="H47" i="14"/>
  <c r="H41" i="14"/>
  <c r="I47" i="8"/>
  <c r="W72" i="16" a="1"/>
  <c r="Q72" i="6" a="1"/>
  <c r="F47" i="7"/>
  <c r="G44" i="8"/>
  <c r="J33" i="7"/>
  <c r="W72" i="6" a="1"/>
  <c r="E35" i="8"/>
  <c r="E33" i="7"/>
  <c r="L43" i="8"/>
  <c r="M5" i="25" a="1"/>
  <c r="F48" i="14"/>
  <c r="U69" i="14" a="1"/>
  <c r="F38" i="7"/>
  <c r="D36" i="8"/>
  <c r="E47" i="14"/>
  <c r="M37" i="7"/>
  <c r="G35" i="14"/>
  <c r="I48" i="7"/>
  <c r="L43" i="14"/>
  <c r="G45" i="8"/>
  <c r="M48" i="7"/>
  <c r="I44" i="7"/>
  <c r="H42" i="7"/>
  <c r="I73" i="1" a="1"/>
  <c r="I40" i="8"/>
  <c r="U72" i="14" a="1"/>
  <c r="U63" i="8" a="1"/>
  <c r="H48" i="7"/>
  <c r="D39" i="8"/>
  <c r="U65" i="7" a="1"/>
  <c r="D37" i="7"/>
  <c r="J38" i="7"/>
  <c r="D32" i="7"/>
  <c r="M33" i="8"/>
  <c r="M33" i="20" s="1" a="1"/>
  <c r="I41" i="14"/>
  <c r="I38" i="14"/>
  <c r="E34" i="8"/>
  <c r="F41" i="14"/>
  <c r="H38" i="8"/>
  <c r="K48" i="7"/>
  <c r="F47" i="8"/>
  <c r="H43" i="7"/>
  <c r="I46" i="8"/>
  <c r="H43" i="14"/>
  <c r="U70" i="7" a="1"/>
  <c r="E42" i="14"/>
  <c r="E37" i="8"/>
  <c r="G45" i="14"/>
  <c r="M36" i="7"/>
  <c r="F49" i="8"/>
  <c r="M42" i="7"/>
  <c r="G44" i="7"/>
  <c r="L48" i="7"/>
  <c r="H37" i="14"/>
  <c r="V73" i="1" a="1"/>
  <c r="F33" i="8"/>
  <c r="U72" i="6" a="1"/>
  <c r="K32" i="14"/>
  <c r="K39" i="7"/>
  <c r="J47" i="7"/>
  <c r="U57" i="14" a="1"/>
  <c r="E34" i="7"/>
  <c r="U58" i="8" a="1"/>
  <c r="H44" i="7"/>
  <c r="L38" i="8"/>
  <c r="J37" i="14"/>
  <c r="M48" i="8"/>
  <c r="U65" i="8" a="1"/>
  <c r="J43" i="14"/>
  <c r="K42" i="14"/>
  <c r="E44" i="14"/>
  <c r="U72" i="16" a="1"/>
  <c r="M49" i="8"/>
  <c r="I39" i="7"/>
  <c r="H47" i="7"/>
  <c r="K33" i="14"/>
  <c r="F43" i="7"/>
  <c r="E32" i="14"/>
  <c r="U67" i="14" a="1"/>
  <c r="K36" i="8"/>
  <c r="L49" i="7"/>
  <c r="L45" i="14"/>
  <c r="I34" i="14"/>
  <c r="K41" i="8"/>
  <c r="E48" i="14"/>
  <c r="D33" i="14"/>
  <c r="J45" i="8"/>
  <c r="I42" i="8"/>
  <c r="G36" i="8"/>
  <c r="K44" i="7"/>
  <c r="M43" i="8"/>
  <c r="I44" i="14"/>
  <c r="U64" i="8" a="1"/>
  <c r="G33" i="7"/>
  <c r="D37" i="8"/>
  <c r="K38" i="14"/>
  <c r="F44" i="7"/>
  <c r="J34" i="8"/>
  <c r="J36" i="7"/>
  <c r="E36" i="8"/>
  <c r="E45" i="8"/>
  <c r="J42" i="7"/>
  <c r="D49" i="14"/>
  <c r="E34" i="14"/>
  <c r="G42" i="7"/>
  <c r="J46" i="7"/>
  <c r="E36" i="7"/>
  <c r="I44" i="8"/>
  <c r="T72" i="16" a="1"/>
  <c r="M34" i="8"/>
  <c r="F44" i="14"/>
  <c r="N72" i="6" a="1"/>
  <c r="L32" i="7"/>
  <c r="K38" i="8"/>
  <c r="H38" i="14"/>
  <c r="L49" i="8"/>
  <c r="D48" i="8"/>
  <c r="E47" i="8"/>
  <c r="I40" i="14"/>
  <c r="K43" i="7"/>
  <c r="H39" i="8"/>
  <c r="M47" i="8"/>
  <c r="L36" i="7"/>
  <c r="U67" i="7" a="1"/>
  <c r="I33" i="14"/>
  <c r="M44" i="14"/>
  <c r="U64" i="7" a="1"/>
  <c r="H37" i="8"/>
  <c r="L49" i="14"/>
  <c r="G37" i="14"/>
  <c r="L36" i="14"/>
  <c r="Q72" i="16" a="1"/>
  <c r="J38" i="8"/>
  <c r="M35" i="14"/>
  <c r="E44" i="7"/>
  <c r="J42" i="14"/>
  <c r="E73" i="1" a="1"/>
  <c r="D43" i="14"/>
  <c r="J32" i="7"/>
  <c r="U57" i="8" a="1"/>
  <c r="I37" i="7"/>
  <c r="K44" i="8"/>
  <c r="L32" i="14"/>
  <c r="L40" i="14"/>
  <c r="M37" i="8"/>
  <c r="F35" i="7"/>
  <c r="I41" i="8"/>
  <c r="E35" i="7"/>
  <c r="L39" i="14"/>
  <c r="K49" i="14"/>
  <c r="E47" i="7"/>
  <c r="G33" i="14"/>
  <c r="D44" i="14"/>
  <c r="G43" i="8"/>
  <c r="K40" i="14"/>
  <c r="G38" i="7"/>
  <c r="U68" i="8" a="1"/>
  <c r="H73" i="1" a="1"/>
  <c r="E33" i="8"/>
  <c r="E33" i="20" s="1" a="1"/>
  <c r="K33" i="8"/>
  <c r="M47" i="14"/>
  <c r="H41" i="7"/>
  <c r="L48" i="8"/>
  <c r="F73" i="1" a="1"/>
  <c r="F34" i="14"/>
  <c r="M42" i="14"/>
  <c r="E38" i="8"/>
  <c r="E39" i="8"/>
  <c r="L42" i="7"/>
  <c r="U55" i="7" a="1"/>
  <c r="K32" i="8"/>
  <c r="E36" i="14"/>
  <c r="U73" i="1" a="1"/>
  <c r="H44" i="14"/>
  <c r="S72" i="6" a="1"/>
  <c r="L34" i="14"/>
  <c r="J40" i="8"/>
  <c r="H40" i="8"/>
  <c r="L46" i="14"/>
  <c r="H38" i="7"/>
  <c r="D33" i="7"/>
  <c r="F34" i="7"/>
  <c r="I47" i="14"/>
  <c r="F36" i="7"/>
  <c r="E45" i="7"/>
  <c r="M32" i="8"/>
  <c r="J44" i="8"/>
  <c r="H36" i="14"/>
  <c r="G35" i="7"/>
  <c r="F32" i="14"/>
  <c r="E35" i="14"/>
  <c r="G48" i="7"/>
  <c r="M39" i="7"/>
  <c r="I45" i="7"/>
  <c r="D36" i="7"/>
  <c r="F38" i="14"/>
  <c r="G72" i="16" a="1"/>
  <c r="U69" i="8" a="1"/>
  <c r="H40" i="14"/>
  <c r="K42" i="7"/>
  <c r="D41" i="7"/>
  <c r="M45" i="7"/>
  <c r="G34" i="14"/>
  <c r="D45" i="7"/>
  <c r="F7" i="25" a="1"/>
  <c r="U71" i="7" a="1"/>
  <c r="O72" i="16" a="1"/>
  <c r="E44" i="8"/>
  <c r="U61" i="14" a="1"/>
  <c r="H34" i="7"/>
  <c r="D43" i="7"/>
  <c r="H37" i="7"/>
  <c r="I39" i="14"/>
  <c r="H47" i="8"/>
  <c r="H45" i="7"/>
  <c r="G49" i="8"/>
  <c r="D37" i="14"/>
  <c r="L38" i="7"/>
  <c r="I46" i="14"/>
  <c r="F41" i="7"/>
  <c r="F43" i="14"/>
  <c r="F43" i="20" s="1" a="1"/>
  <c r="M32" i="14"/>
  <c r="E49" i="7"/>
  <c r="M40" i="8"/>
  <c r="F37" i="7"/>
  <c r="J41" i="14"/>
  <c r="F39" i="14"/>
  <c r="K40" i="8"/>
  <c r="H45" i="8"/>
  <c r="L37" i="7"/>
  <c r="H72" i="6" a="1"/>
  <c r="E39" i="7"/>
  <c r="U55" i="14" a="1"/>
  <c r="G41" i="7"/>
  <c r="D43" i="8"/>
  <c r="D40" i="7"/>
  <c r="L44" i="7"/>
  <c r="G40" i="7"/>
  <c r="M41" i="8"/>
  <c r="H32" i="8"/>
  <c r="F46" i="7"/>
  <c r="F32" i="7"/>
  <c r="U56" i="8" a="1"/>
  <c r="U64" i="14" a="1"/>
  <c r="L35" i="14"/>
  <c r="U72" i="7" a="1"/>
  <c r="I35" i="7"/>
  <c r="L45" i="8"/>
  <c r="G47" i="7"/>
  <c r="U68" i="7" a="1"/>
  <c r="L36" i="8"/>
  <c r="K35" i="8"/>
  <c r="U60" i="7" a="1"/>
  <c r="U66" i="8" a="1"/>
  <c r="D37" i="20" a="1"/>
  <c r="K35" i="14"/>
  <c r="P72" i="16" a="1"/>
  <c r="U63" i="14" a="1"/>
  <c r="G39" i="7"/>
  <c r="G49" i="14"/>
  <c r="P73" i="1" a="1"/>
  <c r="T73" i="1" a="1"/>
  <c r="E42" i="8"/>
  <c r="O73" i="1" a="1"/>
  <c r="G47" i="8"/>
  <c r="L49" i="20" a="1"/>
  <c r="V72" i="16" a="1"/>
  <c r="K41" i="14"/>
  <c r="D41" i="14"/>
  <c r="U57" i="7" a="1"/>
  <c r="D38" i="14"/>
  <c r="K46" i="7"/>
  <c r="E40" i="14"/>
  <c r="G37" i="8"/>
  <c r="K37" i="7"/>
  <c r="G36" i="14"/>
  <c r="V72" i="6" a="1"/>
  <c r="G36" i="7"/>
  <c r="E43" i="14"/>
  <c r="F42" i="7"/>
  <c r="M35" i="8"/>
  <c r="M37" i="14"/>
  <c r="F37" i="14"/>
  <c r="J47" i="20" a="1"/>
  <c r="I49" i="8"/>
  <c r="D38" i="7"/>
  <c r="M35" i="7"/>
  <c r="L41" i="7"/>
  <c r="U59" i="8" a="1"/>
  <c r="J39" i="14"/>
  <c r="M34" i="14"/>
  <c r="M34" i="20" s="1" a="1"/>
  <c r="H39" i="7"/>
  <c r="J44" i="7"/>
  <c r="S72" i="16" a="1"/>
  <c r="G33" i="8"/>
  <c r="K33" i="7"/>
  <c r="E46" i="7"/>
  <c r="U70" i="8" a="1"/>
  <c r="L40" i="8"/>
  <c r="L40" i="20" s="1" a="1"/>
  <c r="I48" i="8"/>
  <c r="W73" i="1" a="1"/>
  <c r="L38" i="14"/>
  <c r="L38" i="20" s="1" a="1"/>
  <c r="U71" i="14" a="1"/>
  <c r="J49" i="8"/>
  <c r="I36" i="7"/>
  <c r="H32" i="14"/>
  <c r="L37" i="14"/>
  <c r="K46" i="14"/>
  <c r="J40" i="7"/>
  <c r="K45" i="8"/>
  <c r="U59" i="7" a="1"/>
  <c r="U58" i="7" a="1"/>
  <c r="J38" i="14"/>
  <c r="J49" i="14"/>
  <c r="E48" i="8"/>
  <c r="U61" i="7" a="1"/>
  <c r="I39" i="8"/>
  <c r="I39" i="20" s="1" a="1"/>
  <c r="U58" i="14" a="1"/>
  <c r="D47" i="8"/>
  <c r="D47" i="20" s="1" a="1"/>
  <c r="H33" i="14"/>
  <c r="M46" i="8"/>
  <c r="E48" i="7"/>
  <c r="E46" i="8"/>
  <c r="E46" i="20" s="1" a="1"/>
  <c r="E35" i="20" a="1"/>
  <c r="D44" i="8"/>
  <c r="X72" i="16" a="1"/>
  <c r="H36" i="20" a="1"/>
  <c r="L42" i="8"/>
  <c r="F41" i="8"/>
  <c r="U70" i="14" a="1"/>
  <c r="F36" i="8"/>
  <c r="H34" i="14"/>
  <c r="D32" i="8"/>
  <c r="M42" i="8"/>
  <c r="L32" i="8"/>
  <c r="K49" i="7"/>
  <c r="L41" i="8"/>
  <c r="J35" i="8"/>
  <c r="J32" i="14"/>
  <c r="K41" i="7"/>
  <c r="I45" i="8"/>
  <c r="I45" i="20" s="1" a="1"/>
  <c r="L44" i="14"/>
  <c r="H40" i="7"/>
  <c r="J48" i="7"/>
  <c r="K47" i="8"/>
  <c r="F42" i="14"/>
  <c r="H42" i="8"/>
  <c r="L41" i="14"/>
  <c r="F72" i="6" a="1"/>
  <c r="J43" i="8"/>
  <c r="F42" i="8"/>
  <c r="K46" i="8"/>
  <c r="D42" i="7"/>
  <c r="D42" i="20" s="1" a="1"/>
  <c r="T72" i="6" a="1"/>
  <c r="K36" i="20" a="1"/>
  <c r="P72" i="6" a="1"/>
  <c r="I40" i="7"/>
  <c r="E37" i="14"/>
  <c r="E41" i="8"/>
  <c r="E41" i="20" s="1" a="1"/>
  <c r="D46" i="7"/>
  <c r="G32" i="8"/>
  <c r="G44" i="20" a="1"/>
  <c r="F40" i="14"/>
  <c r="F40" i="20" s="1" a="1"/>
  <c r="L46" i="8"/>
  <c r="L46" i="20" s="1" a="1"/>
  <c r="G72" i="6" a="1"/>
  <c r="I38" i="20" a="1"/>
  <c r="H39" i="20" a="1"/>
  <c r="H7" i="25" a="1"/>
  <c r="L43" i="7"/>
  <c r="I35" i="14"/>
  <c r="D33" i="8"/>
  <c r="H35" i="14"/>
  <c r="H35" i="20" s="1" a="1"/>
  <c r="K40" i="7"/>
  <c r="J46" i="8"/>
  <c r="L45" i="7"/>
  <c r="U62" i="7" a="1"/>
  <c r="H44" i="8"/>
  <c r="H44" i="20" s="1" a="1"/>
  <c r="U66" i="7" a="1"/>
  <c r="J48" i="8"/>
  <c r="D39" i="7"/>
  <c r="J46" i="14"/>
  <c r="M38" i="14"/>
  <c r="E40" i="8"/>
  <c r="M49" i="7"/>
  <c r="J33" i="8"/>
  <c r="H49" i="8"/>
  <c r="G48" i="8"/>
  <c r="J35" i="7"/>
  <c r="K43" i="14"/>
  <c r="M43" i="7"/>
  <c r="W72" i="14" a="1"/>
  <c r="H48" i="14"/>
  <c r="G34" i="7"/>
  <c r="F36" i="14"/>
  <c r="J45" i="7"/>
  <c r="J45" i="20" s="1" a="1"/>
  <c r="K39" i="14"/>
  <c r="H33" i="7"/>
  <c r="I41" i="7"/>
  <c r="D40" i="14"/>
  <c r="S73" i="1" a="1"/>
  <c r="M45" i="8"/>
  <c r="K37" i="14"/>
  <c r="M35" i="20" a="1"/>
  <c r="E37" i="7"/>
  <c r="L42" i="14"/>
  <c r="K37" i="20" a="1"/>
  <c r="J41" i="20" a="1"/>
  <c r="D48" i="14"/>
  <c r="D36" i="14"/>
  <c r="K41" i="20" a="1"/>
  <c r="E49" i="20" a="1"/>
  <c r="M36" i="14"/>
  <c r="F46" i="8"/>
  <c r="F46" i="20" s="1" a="1"/>
  <c r="H33" i="8"/>
  <c r="L39" i="7"/>
  <c r="E45" i="14"/>
  <c r="F47" i="14"/>
  <c r="L33" i="7"/>
  <c r="F33" i="14"/>
  <c r="J40" i="14"/>
  <c r="J40" i="20" s="1" a="1"/>
  <c r="U66" i="14" a="1"/>
  <c r="G46" i="8"/>
  <c r="M41" i="14"/>
  <c r="I34" i="8"/>
  <c r="G39" i="8"/>
  <c r="J42" i="8"/>
  <c r="I36" i="14"/>
  <c r="H43" i="8"/>
  <c r="H43" i="20" s="1" a="1"/>
  <c r="I43" i="14"/>
  <c r="G32" i="7"/>
  <c r="K48" i="14"/>
  <c r="E40" i="7"/>
  <c r="H42" i="14"/>
  <c r="L44" i="8"/>
  <c r="L44" i="20" s="1" a="1"/>
  <c r="D40" i="8"/>
  <c r="K39" i="8"/>
  <c r="I37" i="14"/>
  <c r="I32" i="7"/>
  <c r="F45" i="14"/>
  <c r="M36" i="8"/>
  <c r="H49" i="14"/>
  <c r="N73" i="1" a="1"/>
  <c r="K42" i="20" a="1"/>
  <c r="G40" i="8"/>
  <c r="G40" i="14"/>
  <c r="I32" i="8"/>
  <c r="L47" i="7"/>
  <c r="D34" i="8"/>
  <c r="J48" i="14"/>
  <c r="J34" i="14"/>
  <c r="F48" i="7"/>
  <c r="F48" i="20" s="1" a="1"/>
  <c r="K34" i="8"/>
  <c r="U56" i="7" a="1"/>
  <c r="F39" i="8"/>
  <c r="E39" i="14"/>
  <c r="E39" i="20" s="1" a="1"/>
  <c r="I42" i="7"/>
  <c r="I36" i="8"/>
  <c r="M38" i="8"/>
  <c r="M38" i="20" s="1" a="1"/>
  <c r="H32" i="7"/>
  <c r="H34" i="8"/>
  <c r="D35" i="8"/>
  <c r="K47" i="7"/>
  <c r="G42" i="14"/>
  <c r="D34" i="7"/>
  <c r="R73" i="1" a="1"/>
  <c r="U60" i="14" a="1"/>
  <c r="E43" i="8"/>
  <c r="L37" i="8"/>
  <c r="L37" i="20" s="1" a="1"/>
  <c r="H49" i="7"/>
  <c r="H49" i="20" s="1" a="1"/>
  <c r="D45" i="14"/>
  <c r="I32" i="14"/>
  <c r="O45" i="18" l="1"/>
  <c r="N8" i="20"/>
  <c r="O26" i="18"/>
  <c r="O43" i="18"/>
  <c r="H28" i="18"/>
  <c r="O47" i="18"/>
  <c r="N20" i="18"/>
  <c r="K28" i="18"/>
  <c r="N36" i="18"/>
  <c r="J28" i="18"/>
  <c r="N20" i="20"/>
  <c r="K28" i="20"/>
  <c r="N12" i="20"/>
  <c r="F50" i="18"/>
  <c r="O37" i="18"/>
  <c r="N22" i="18"/>
  <c r="N44" i="18"/>
  <c r="N46" i="18"/>
  <c r="K50" i="18"/>
  <c r="O21" i="18"/>
  <c r="L28" i="18"/>
  <c r="M50" i="18"/>
  <c r="O15" i="18"/>
  <c r="N9" i="18"/>
  <c r="N38" i="18"/>
  <c r="N13" i="18"/>
  <c r="N48" i="18"/>
  <c r="G50" i="18"/>
  <c r="O16" i="18"/>
  <c r="N34" i="18"/>
  <c r="M28" i="20"/>
  <c r="O40" i="18"/>
  <c r="F28" i="18"/>
  <c r="N17" i="20"/>
  <c r="O13" i="20"/>
  <c r="O48" i="18"/>
  <c r="O44" i="18"/>
  <c r="J50" i="18"/>
  <c r="G28" i="20"/>
  <c r="N26" i="18"/>
  <c r="N47" i="18"/>
  <c r="O33" i="18"/>
  <c r="E28" i="18"/>
  <c r="G28" i="18"/>
  <c r="O18" i="18"/>
  <c r="N24" i="18"/>
  <c r="O24" i="18"/>
  <c r="N32" i="18"/>
  <c r="N16" i="18"/>
  <c r="O12" i="20"/>
  <c r="O20" i="20"/>
  <c r="D28" i="18"/>
  <c r="O35" i="18"/>
  <c r="O32" i="18"/>
  <c r="O10" i="18"/>
  <c r="N35" i="18"/>
  <c r="O27" i="20"/>
  <c r="O10" i="20"/>
  <c r="O17" i="18"/>
  <c r="H50" i="18"/>
  <c r="N8" i="18"/>
  <c r="O12" i="18"/>
  <c r="N13" i="20"/>
  <c r="L28" i="20"/>
  <c r="N41" i="18"/>
  <c r="D50" i="18"/>
  <c r="N17" i="18"/>
  <c r="N24" i="20"/>
  <c r="O18" i="20"/>
  <c r="O21" i="20"/>
  <c r="N10" i="20"/>
  <c r="E28" i="20"/>
  <c r="I28" i="20"/>
  <c r="O14" i="20"/>
  <c r="D28" i="20"/>
  <c r="O25" i="20"/>
  <c r="J28" i="20"/>
  <c r="O41" i="18"/>
  <c r="N18" i="20"/>
  <c r="N7" i="20"/>
  <c r="N18" i="18"/>
  <c r="H7" i="25"/>
  <c r="F7" i="25"/>
  <c r="M5" i="25"/>
  <c r="I5" i="25"/>
  <c r="D47" i="20"/>
  <c r="D42" i="20"/>
  <c r="O35" i="14"/>
  <c r="N35" i="14"/>
  <c r="U63" i="14"/>
  <c r="N42" i="14"/>
  <c r="O42" i="14"/>
  <c r="N45" i="7"/>
  <c r="O45" i="7"/>
  <c r="O38" i="8"/>
  <c r="N38" i="8"/>
  <c r="N33" i="8"/>
  <c r="O33" i="8"/>
  <c r="U68" i="8"/>
  <c r="O41" i="7"/>
  <c r="N41" i="7"/>
  <c r="D37" i="20"/>
  <c r="O48" i="8"/>
  <c r="N48" i="8"/>
  <c r="H50" i="7"/>
  <c r="U67" i="7"/>
  <c r="G72" i="16"/>
  <c r="U70" i="7"/>
  <c r="N46" i="7"/>
  <c r="O46" i="7"/>
  <c r="G72" i="6"/>
  <c r="N45" i="14"/>
  <c r="O45" i="14"/>
  <c r="Q72" i="16"/>
  <c r="P72" i="16"/>
  <c r="U59" i="14"/>
  <c r="V73" i="1"/>
  <c r="D50" i="14"/>
  <c r="N32" i="14"/>
  <c r="O32" i="14"/>
  <c r="V72" i="6"/>
  <c r="N40" i="7"/>
  <c r="O40" i="7"/>
  <c r="U55" i="14"/>
  <c r="M50" i="14"/>
  <c r="O40" i="8"/>
  <c r="N40" i="8"/>
  <c r="O47" i="14"/>
  <c r="N47" i="14"/>
  <c r="U69" i="7"/>
  <c r="W72" i="16"/>
  <c r="W73" i="1"/>
  <c r="N33" i="14"/>
  <c r="O33" i="14"/>
  <c r="U58" i="7"/>
  <c r="N39" i="8"/>
  <c r="O39" i="8"/>
  <c r="N46" i="8"/>
  <c r="O46" i="8"/>
  <c r="O34" i="14"/>
  <c r="N34" i="14"/>
  <c r="U58" i="14"/>
  <c r="H73" i="1"/>
  <c r="U55" i="8"/>
  <c r="G50" i="14"/>
  <c r="H72" i="16"/>
  <c r="M50" i="8"/>
  <c r="E50" i="14"/>
  <c r="N36" i="8"/>
  <c r="O36" i="8"/>
  <c r="N72" i="16"/>
  <c r="K50" i="8"/>
  <c r="O34" i="8"/>
  <c r="N34" i="8"/>
  <c r="O45" i="8"/>
  <c r="N45" i="8"/>
  <c r="Q73" i="1"/>
  <c r="R72" i="16"/>
  <c r="U64" i="14"/>
  <c r="I72" i="6"/>
  <c r="U72" i="14"/>
  <c r="L50" i="8"/>
  <c r="S73" i="1"/>
  <c r="U69" i="14"/>
  <c r="U62" i="7"/>
  <c r="U56" i="7"/>
  <c r="J50" i="7"/>
  <c r="V72" i="16"/>
  <c r="U66" i="14"/>
  <c r="O44" i="14"/>
  <c r="N44" i="14"/>
  <c r="W72" i="6"/>
  <c r="U70" i="8"/>
  <c r="U67" i="14"/>
  <c r="R73" i="1"/>
  <c r="O36" i="14"/>
  <c r="N36" i="14"/>
  <c r="N40" i="14"/>
  <c r="O40" i="14"/>
  <c r="X73" i="1"/>
  <c r="O34" i="7"/>
  <c r="N34" i="7"/>
  <c r="O35" i="8"/>
  <c r="N35" i="8"/>
  <c r="O43" i="14"/>
  <c r="N43" i="14"/>
  <c r="U70" i="14"/>
  <c r="L50" i="14"/>
  <c r="U58" i="8"/>
  <c r="X72" i="16"/>
  <c r="U71" i="7"/>
  <c r="U62" i="14"/>
  <c r="J50" i="14"/>
  <c r="N38" i="7"/>
  <c r="O38" i="7"/>
  <c r="U64" i="7"/>
  <c r="U68" i="7"/>
  <c r="F72" i="16"/>
  <c r="U66" i="8"/>
  <c r="H50" i="14"/>
  <c r="U71" i="14"/>
  <c r="O37" i="14"/>
  <c r="N37" i="14"/>
  <c r="L50" i="7"/>
  <c r="P73" i="1"/>
  <c r="O43" i="8"/>
  <c r="N43" i="8"/>
  <c r="E50" i="7"/>
  <c r="U73" i="1"/>
  <c r="U66" i="7"/>
  <c r="U69" i="8"/>
  <c r="U71" i="8"/>
  <c r="U65" i="14"/>
  <c r="U57" i="8"/>
  <c r="U65" i="8"/>
  <c r="E72" i="16"/>
  <c r="O47" i="7"/>
  <c r="N47" i="7"/>
  <c r="U59" i="7"/>
  <c r="N37" i="7"/>
  <c r="O37" i="7"/>
  <c r="K50" i="14"/>
  <c r="M50" i="7"/>
  <c r="U61" i="8"/>
  <c r="I50" i="7"/>
  <c r="E72" i="6"/>
  <c r="O73" i="1"/>
  <c r="H50" i="8"/>
  <c r="O49" i="8"/>
  <c r="N49" i="8"/>
  <c r="U55" i="7"/>
  <c r="U59" i="8"/>
  <c r="U72" i="7"/>
  <c r="U57" i="14"/>
  <c r="N33" i="7"/>
  <c r="O33" i="7"/>
  <c r="U62" i="8"/>
  <c r="U64" i="8"/>
  <c r="N38" i="14"/>
  <c r="O38" i="14"/>
  <c r="N73" i="1"/>
  <c r="G50" i="8"/>
  <c r="T72" i="6"/>
  <c r="N43" i="7"/>
  <c r="O43" i="7"/>
  <c r="U56" i="8"/>
  <c r="O44" i="7"/>
  <c r="N44" i="7"/>
  <c r="G73" i="1"/>
  <c r="U61" i="14"/>
  <c r="U60" i="14"/>
  <c r="F50" i="7"/>
  <c r="T72" i="16"/>
  <c r="F72" i="6"/>
  <c r="P72" i="6"/>
  <c r="N49" i="14"/>
  <c r="O49" i="14"/>
  <c r="N48" i="14"/>
  <c r="O48" i="14"/>
  <c r="I72" i="16"/>
  <c r="O32" i="8"/>
  <c r="N32" i="8"/>
  <c r="D50" i="8"/>
  <c r="O47" i="8"/>
  <c r="N47" i="8"/>
  <c r="O39" i="14"/>
  <c r="N39" i="14"/>
  <c r="O35" i="7"/>
  <c r="N35" i="7"/>
  <c r="G50" i="7"/>
  <c r="O72" i="16"/>
  <c r="U57" i="7"/>
  <c r="U72" i="16"/>
  <c r="O44" i="8"/>
  <c r="N44" i="8"/>
  <c r="N49" i="7"/>
  <c r="O49" i="7"/>
  <c r="O41" i="8"/>
  <c r="N41" i="8"/>
  <c r="S72" i="16"/>
  <c r="O41" i="14"/>
  <c r="N41" i="14"/>
  <c r="E73" i="1"/>
  <c r="U63" i="7"/>
  <c r="U60" i="8"/>
  <c r="N39" i="7"/>
  <c r="O39" i="7"/>
  <c r="U72" i="6"/>
  <c r="U60" i="7"/>
  <c r="F50" i="14"/>
  <c r="X72" i="6"/>
  <c r="O48" i="7"/>
  <c r="N48" i="7"/>
  <c r="N36" i="7"/>
  <c r="O36" i="7"/>
  <c r="N72" i="6"/>
  <c r="I50" i="8"/>
  <c r="N42" i="8"/>
  <c r="O42" i="8"/>
  <c r="F73" i="1"/>
  <c r="U68" i="14"/>
  <c r="N42" i="7"/>
  <c r="O42" i="7"/>
  <c r="H72" i="6"/>
  <c r="F50" i="8"/>
  <c r="I73" i="1"/>
  <c r="E50" i="8"/>
  <c r="I50" i="14"/>
  <c r="D50" i="7"/>
  <c r="O32" i="7"/>
  <c r="N32" i="7"/>
  <c r="S72" i="6"/>
  <c r="O72" i="6"/>
  <c r="J50" i="8"/>
  <c r="N37" i="8"/>
  <c r="O37" i="8"/>
  <c r="U72" i="8"/>
  <c r="Q72" i="6"/>
  <c r="U56" i="14"/>
  <c r="R72" i="6"/>
  <c r="K50" i="7"/>
  <c r="U65" i="7"/>
  <c r="U63" i="8"/>
  <c r="U61" i="7"/>
  <c r="W72" i="14"/>
  <c r="T73" i="1"/>
  <c r="U67" i="8"/>
  <c r="N46" i="14"/>
  <c r="O46" i="14"/>
  <c r="L37" i="20"/>
  <c r="M33" i="20"/>
  <c r="I39" i="20"/>
  <c r="E41" i="20"/>
  <c r="E35" i="20"/>
  <c r="E46" i="20"/>
  <c r="G44" i="20"/>
  <c r="H49" i="20"/>
  <c r="J45" i="20"/>
  <c r="L44" i="20"/>
  <c r="K36" i="20"/>
  <c r="M35" i="20"/>
  <c r="E33" i="20"/>
  <c r="L46" i="20"/>
  <c r="H39" i="20"/>
  <c r="H35" i="20"/>
  <c r="K37" i="20"/>
  <c r="F48" i="20"/>
  <c r="E39" i="20"/>
  <c r="H44" i="20"/>
  <c r="J40" i="20"/>
  <c r="J41" i="20"/>
  <c r="J47" i="20"/>
  <c r="M38" i="20"/>
  <c r="K42" i="20"/>
  <c r="L40" i="20"/>
  <c r="M34" i="20"/>
  <c r="F46" i="20"/>
  <c r="K41" i="20"/>
  <c r="H43" i="20"/>
  <c r="F43" i="20"/>
  <c r="F40" i="20"/>
  <c r="L38" i="20"/>
  <c r="L49" i="20"/>
  <c r="H36" i="20"/>
  <c r="I38" i="20"/>
  <c r="E49" i="20"/>
  <c r="I45" i="20"/>
  <c r="H5" i="25" a="1"/>
  <c r="K5" i="25" a="1"/>
  <c r="J5" i="25" a="1"/>
  <c r="K7" i="25" a="1"/>
  <c r="F5" i="25" a="1"/>
  <c r="L5" i="25" a="1"/>
  <c r="G7" i="25" a="1"/>
  <c r="M7" i="25" a="1"/>
  <c r="E5" i="25" a="1"/>
  <c r="G5" i="25" a="1"/>
  <c r="L7" i="25" a="1"/>
  <c r="D5" i="25" a="1"/>
  <c r="E7" i="25" a="1"/>
  <c r="I7" i="25" a="1"/>
  <c r="D7" i="25" a="1"/>
  <c r="J7" i="25" a="1"/>
  <c r="E43" i="20" a="1"/>
  <c r="K46" i="20" a="1"/>
  <c r="G37" i="20" a="1"/>
  <c r="J44" i="20" a="1"/>
  <c r="H38" i="20" a="1"/>
  <c r="L48" i="20" a="1"/>
  <c r="E38" i="20" a="1"/>
  <c r="L34" i="20" a="1"/>
  <c r="G32" i="20" a="1"/>
  <c r="K40" i="20" a="1"/>
  <c r="F45" i="20" a="1"/>
  <c r="D38" i="20" a="1"/>
  <c r="D41" i="20" a="1"/>
  <c r="F42" i="20" a="1"/>
  <c r="G47" i="20" a="1"/>
  <c r="E45" i="20" a="1"/>
  <c r="K38" i="20" a="1"/>
  <c r="M42" i="20" a="1"/>
  <c r="D32" i="20" a="1"/>
  <c r="K34" i="20" a="1"/>
  <c r="D35" i="20" a="1"/>
  <c r="M36" i="20" a="1"/>
  <c r="I47" i="20" a="1"/>
  <c r="M39" i="20" a="1"/>
  <c r="L47" i="20" a="1"/>
  <c r="K47" i="20" a="1"/>
  <c r="L35" i="20" a="1"/>
  <c r="K33" i="20" a="1"/>
  <c r="L32" i="20" a="1"/>
  <c r="F49" i="20" a="1"/>
  <c r="L33" i="20" a="1"/>
  <c r="L39" i="20" a="1"/>
  <c r="D40" i="20" a="1"/>
  <c r="F44" i="20" a="1"/>
  <c r="L41" i="20" a="1"/>
  <c r="I32" i="20" a="1"/>
  <c r="J48" i="20" a="1"/>
  <c r="G40" i="20" a="1"/>
  <c r="I37" i="20" a="1"/>
  <c r="F36" i="20" a="1"/>
  <c r="H45" i="20" a="1"/>
  <c r="G43" i="20" a="1"/>
  <c r="I44" i="20" a="1"/>
  <c r="G45" i="20" a="1"/>
  <c r="J37" i="20" a="1"/>
  <c r="K45" i="20" a="1"/>
  <c r="K32" i="20" a="1"/>
  <c r="D39" i="20" a="1"/>
  <c r="M41" i="20" a="1"/>
  <c r="I49" i="20" a="1"/>
  <c r="J36" i="20" a="1"/>
  <c r="H32" i="20" a="1"/>
  <c r="K39" i="20" a="1"/>
  <c r="F41" i="20" a="1"/>
  <c r="H47" i="20" a="1"/>
  <c r="K49" i="20" a="1"/>
  <c r="E36" i="20" a="1"/>
  <c r="E47" i="20" a="1"/>
  <c r="G49" i="20" a="1"/>
  <c r="M46" i="20" a="1"/>
  <c r="D44" i="20" a="1"/>
  <c r="J33" i="20" a="1"/>
  <c r="M48" i="20" a="1"/>
  <c r="H42" i="20" a="1"/>
  <c r="L42" i="20" a="1"/>
  <c r="H34" i="20" a="1"/>
  <c r="K44" i="20" a="1"/>
  <c r="J46" i="20" a="1"/>
  <c r="L43" i="20" a="1"/>
  <c r="G38" i="20" a="1"/>
  <c r="I48" i="20" a="1"/>
  <c r="F38" i="20" a="1"/>
  <c r="K35" i="20" a="1"/>
  <c r="E40" i="20" a="1"/>
  <c r="E48" i="20" a="1"/>
  <c r="D45" i="20" a="1"/>
  <c r="J32" i="20" a="1"/>
  <c r="G42" i="20" a="1"/>
  <c r="F47" i="20" a="1"/>
  <c r="E42" i="20" a="1"/>
  <c r="K48" i="20" a="1"/>
  <c r="D34" i="20" a="1"/>
  <c r="J39" i="20" a="1"/>
  <c r="J43" i="20" a="1"/>
  <c r="I36" i="20" a="1"/>
  <c r="H33" i="20" a="1"/>
  <c r="G34" i="20" a="1"/>
  <c r="D43" i="20" a="1"/>
  <c r="G33" i="20" a="1"/>
  <c r="I43" i="20" a="1"/>
  <c r="I42" i="20" a="1"/>
  <c r="I46" i="20" a="1"/>
  <c r="D33" i="20" a="1"/>
  <c r="D49" i="20" a="1"/>
  <c r="F35" i="20" a="1"/>
  <c r="J42" i="20" a="1"/>
  <c r="J49" i="20" a="1"/>
  <c r="M45" i="20" a="1"/>
  <c r="E44" i="20" a="1"/>
  <c r="I34" i="20" a="1"/>
  <c r="G46" i="20" a="1"/>
  <c r="H46" i="20" a="1"/>
  <c r="M40" i="20" a="1"/>
  <c r="M32" i="20" a="1"/>
  <c r="I35" i="20" a="1"/>
  <c r="I33" i="20" a="1"/>
  <c r="L36" i="20" a="1"/>
  <c r="G39" i="20" a="1"/>
  <c r="J38" i="20" a="1"/>
  <c r="H40" i="20" a="1"/>
  <c r="M44" i="20" a="1"/>
  <c r="L45" i="20" a="1"/>
  <c r="H48" i="20" a="1"/>
  <c r="J35" i="20" a="1"/>
  <c r="M49" i="20" a="1"/>
  <c r="D36" i="20" a="1"/>
  <c r="E37" i="20" a="1"/>
  <c r="F37" i="20" a="1"/>
  <c r="G48" i="20" a="1"/>
  <c r="M47" i="20" a="1"/>
  <c r="E34" i="20" a="1"/>
  <c r="F34" i="20" a="1"/>
  <c r="M43" i="20" a="1"/>
  <c r="F39" i="20" a="1"/>
  <c r="G35" i="20" a="1"/>
  <c r="J34" i="20" a="1"/>
  <c r="D48" i="20" a="1"/>
  <c r="I41" i="20" a="1"/>
  <c r="M37" i="20" a="1"/>
  <c r="F32" i="20" a="1"/>
  <c r="K43" i="20" a="1"/>
  <c r="F33" i="20" a="1"/>
  <c r="E32" i="20" a="1"/>
  <c r="H41" i="20" a="1"/>
  <c r="G36" i="20" a="1"/>
  <c r="I40" i="20" a="1"/>
  <c r="H37" i="20" a="1"/>
  <c r="G41" i="20" a="1"/>
  <c r="D46" i="20" a="1"/>
  <c r="K7" i="25" l="1"/>
  <c r="J5" i="25"/>
  <c r="K5" i="25"/>
  <c r="H5" i="25"/>
  <c r="O50" i="18"/>
  <c r="M7" i="25"/>
  <c r="G7" i="25"/>
  <c r="L5" i="25"/>
  <c r="F5" i="25"/>
  <c r="N28" i="20"/>
  <c r="N50" i="18"/>
  <c r="D5" i="25"/>
  <c r="L7" i="25"/>
  <c r="G5" i="25"/>
  <c r="E5" i="25"/>
  <c r="O28" i="18"/>
  <c r="N28" i="18"/>
  <c r="J7" i="25"/>
  <c r="D7" i="25"/>
  <c r="I7" i="25"/>
  <c r="E7" i="25"/>
  <c r="O28" i="20"/>
  <c r="O50" i="14"/>
  <c r="D46" i="20"/>
  <c r="G41" i="20"/>
  <c r="H37" i="20"/>
  <c r="I40" i="20"/>
  <c r="G36" i="20"/>
  <c r="H41" i="20"/>
  <c r="E32" i="20"/>
  <c r="F33" i="20"/>
  <c r="K43" i="20"/>
  <c r="F32" i="20"/>
  <c r="M37" i="20"/>
  <c r="I41" i="20"/>
  <c r="J34" i="20"/>
  <c r="G35" i="20"/>
  <c r="F39" i="20"/>
  <c r="M43" i="20"/>
  <c r="F34" i="20"/>
  <c r="E34" i="20"/>
  <c r="M47" i="20"/>
  <c r="G48" i="20"/>
  <c r="F37" i="20"/>
  <c r="E37" i="20"/>
  <c r="O37" i="20" s="1"/>
  <c r="D36" i="20"/>
  <c r="M49" i="20"/>
  <c r="J35" i="20"/>
  <c r="H48" i="20"/>
  <c r="L45" i="20"/>
  <c r="M44" i="20"/>
  <c r="H40" i="20"/>
  <c r="J38" i="20"/>
  <c r="G39" i="20"/>
  <c r="L36" i="20"/>
  <c r="I33" i="20"/>
  <c r="I35" i="20"/>
  <c r="M40" i="20"/>
  <c r="H46" i="20"/>
  <c r="G46" i="20"/>
  <c r="I34" i="20"/>
  <c r="E44" i="20"/>
  <c r="M45" i="20"/>
  <c r="J49" i="20"/>
  <c r="J42" i="20"/>
  <c r="F35" i="20"/>
  <c r="I46" i="20"/>
  <c r="I42" i="20"/>
  <c r="I43" i="20"/>
  <c r="G33" i="20"/>
  <c r="D43" i="20"/>
  <c r="G34" i="20"/>
  <c r="H33" i="20"/>
  <c r="I36" i="20"/>
  <c r="J43" i="20"/>
  <c r="J39" i="20"/>
  <c r="K48" i="20"/>
  <c r="E42" i="20"/>
  <c r="F47" i="20"/>
  <c r="G42" i="20"/>
  <c r="J32" i="20"/>
  <c r="D45" i="20"/>
  <c r="E48" i="20"/>
  <c r="E40" i="20"/>
  <c r="K35" i="20"/>
  <c r="F38" i="20"/>
  <c r="I48" i="20"/>
  <c r="G38" i="20"/>
  <c r="L43" i="20"/>
  <c r="J46" i="20"/>
  <c r="K44" i="20"/>
  <c r="H34" i="20"/>
  <c r="L42" i="20"/>
  <c r="H42" i="20"/>
  <c r="M48" i="20"/>
  <c r="J33" i="20"/>
  <c r="M46" i="20"/>
  <c r="G49" i="20"/>
  <c r="E47" i="20"/>
  <c r="E36" i="20"/>
  <c r="K49" i="20"/>
  <c r="H47" i="20"/>
  <c r="F41" i="20"/>
  <c r="K39" i="20"/>
  <c r="J36" i="20"/>
  <c r="I49" i="20"/>
  <c r="M41" i="20"/>
  <c r="K45" i="20"/>
  <c r="J37" i="20"/>
  <c r="G45" i="20"/>
  <c r="I44" i="20"/>
  <c r="G43" i="20"/>
  <c r="H45" i="20"/>
  <c r="F36" i="20"/>
  <c r="I37" i="20"/>
  <c r="G40" i="20"/>
  <c r="J48" i="20"/>
  <c r="I32" i="20"/>
  <c r="L41" i="20"/>
  <c r="F44" i="20"/>
  <c r="L39" i="20"/>
  <c r="L33" i="20"/>
  <c r="F49" i="20"/>
  <c r="L32" i="20"/>
  <c r="K33" i="20"/>
  <c r="L35" i="20"/>
  <c r="K47" i="20"/>
  <c r="L47" i="20"/>
  <c r="M39" i="20"/>
  <c r="I47" i="20"/>
  <c r="M36" i="20"/>
  <c r="K34" i="20"/>
  <c r="D32" i="20"/>
  <c r="M42" i="20"/>
  <c r="K38" i="20"/>
  <c r="E45" i="20"/>
  <c r="G47" i="20"/>
  <c r="F42" i="20"/>
  <c r="F45" i="20"/>
  <c r="K40" i="20"/>
  <c r="L34" i="20"/>
  <c r="E38" i="20"/>
  <c r="L48" i="20"/>
  <c r="H38" i="20"/>
  <c r="J44" i="20"/>
  <c r="G37" i="20"/>
  <c r="K46" i="20"/>
  <c r="E43" i="20"/>
  <c r="N50" i="7"/>
  <c r="N50" i="8"/>
  <c r="D35" i="20"/>
  <c r="D48" i="20"/>
  <c r="N50" i="14"/>
  <c r="O50" i="7"/>
  <c r="O50" i="8"/>
  <c r="K32" i="20"/>
  <c r="D39" i="20"/>
  <c r="H32" i="20"/>
  <c r="D38" i="20"/>
  <c r="D41" i="20"/>
  <c r="D33" i="20"/>
  <c r="D34" i="20"/>
  <c r="D44" i="20"/>
  <c r="D40" i="20"/>
  <c r="G32" i="20"/>
  <c r="D49" i="20"/>
  <c r="M32" i="20"/>
  <c r="N7" i="25" a="1"/>
  <c r="N5" i="25" a="1"/>
  <c r="O5" i="25" a="1"/>
  <c r="O7" i="25" a="1"/>
  <c r="N37" i="20" l="1"/>
  <c r="N7" i="25"/>
  <c r="O46" i="20"/>
  <c r="E50" i="20"/>
  <c r="O5" i="25"/>
  <c r="N5" i="25"/>
  <c r="J50" i="20"/>
  <c r="F50" i="20"/>
  <c r="K50" i="20"/>
  <c r="N42" i="20"/>
  <c r="N36" i="20"/>
  <c r="N46" i="20"/>
  <c r="N39" i="20"/>
  <c r="O42" i="20"/>
  <c r="O47" i="20"/>
  <c r="L50" i="20"/>
  <c r="O7" i="25"/>
  <c r="O35" i="20"/>
  <c r="G50" i="20"/>
  <c r="O40" i="20"/>
  <c r="N49" i="20"/>
  <c r="I50" i="20"/>
  <c r="N44" i="20"/>
  <c r="N35" i="20"/>
  <c r="O34" i="20"/>
  <c r="N47" i="20"/>
  <c r="O48" i="20"/>
  <c r="O43" i="20"/>
  <c r="N41" i="20"/>
  <c r="N38" i="20"/>
  <c r="M50" i="20"/>
  <c r="H50" i="20"/>
  <c r="O45" i="20"/>
  <c r="O36" i="20"/>
  <c r="N45" i="20"/>
  <c r="N43" i="20"/>
  <c r="N48" i="20"/>
  <c r="N40" i="20"/>
  <c r="D50" i="20"/>
  <c r="N34" i="20"/>
  <c r="O49" i="20"/>
  <c r="O33" i="20"/>
  <c r="O38" i="20"/>
  <c r="N32" i="20"/>
  <c r="N33" i="20"/>
  <c r="O32" i="20"/>
  <c r="O44" i="20"/>
  <c r="O41" i="20"/>
  <c r="O39" i="20"/>
  <c r="O50" i="20" l="1"/>
  <c r="N50" i="20"/>
  <c r="D26" i="1"/>
  <c r="L41" i="1"/>
  <c r="H17" i="16"/>
  <c r="L8" i="6"/>
  <c r="F9" i="1"/>
  <c r="I18" i="1"/>
  <c r="I34" i="6"/>
  <c r="K7" i="6"/>
  <c r="F43" i="1"/>
  <c r="L26" i="6"/>
  <c r="E12" i="6"/>
  <c r="J48" i="16"/>
  <c r="I7" i="6"/>
  <c r="D42" i="6"/>
  <c r="K8" i="1"/>
  <c r="K12" i="6"/>
  <c r="G48" i="16"/>
  <c r="L7" i="12"/>
  <c r="J42" i="6"/>
  <c r="D32" i="6"/>
  <c r="L24" i="1"/>
  <c r="G21" i="1"/>
  <c r="D14" i="1"/>
  <c r="E32" i="6"/>
  <c r="F46" i="6"/>
  <c r="J21" i="1"/>
  <c r="G14" i="1"/>
  <c r="M37" i="16"/>
  <c r="K22" i="16"/>
  <c r="D41" i="1"/>
  <c r="M15" i="6"/>
  <c r="D16" i="1"/>
  <c r="L24" i="21" a="1"/>
  <c r="L11" i="6"/>
  <c r="I20" i="6"/>
  <c r="G36" i="16"/>
  <c r="I9" i="16"/>
  <c r="K49" i="1"/>
  <c r="M9" i="1"/>
  <c r="J14" i="16"/>
  <c r="G18" i="6"/>
  <c r="H7" i="6"/>
  <c r="K47" i="16"/>
  <c r="D27" i="6"/>
  <c r="H37" i="6"/>
  <c r="L32" i="1"/>
  <c r="G38" i="1"/>
  <c r="L23" i="1"/>
  <c r="F46" i="22" a="1"/>
  <c r="E8" i="16"/>
  <c r="J13" i="6"/>
  <c r="F43" i="6"/>
  <c r="J33" i="6"/>
  <c r="G14" i="21" a="1"/>
  <c r="H12" i="1"/>
  <c r="G42" i="1"/>
  <c r="I43" i="16"/>
  <c r="G44" i="1"/>
  <c r="D46" i="1"/>
  <c r="H27" i="16"/>
  <c r="D32" i="12"/>
  <c r="J35" i="6"/>
  <c r="L41" i="6"/>
  <c r="I21" i="6"/>
  <c r="I32" i="16"/>
  <c r="L45" i="6"/>
  <c r="J41" i="16"/>
  <c r="M17" i="1"/>
  <c r="L40" i="16"/>
  <c r="J20" i="1"/>
  <c r="F35" i="6"/>
  <c r="E11" i="16"/>
  <c r="H9" i="1"/>
  <c r="L18" i="1"/>
  <c r="J34" i="6"/>
  <c r="D9" i="16"/>
  <c r="M43" i="1"/>
  <c r="D16" i="21" a="1"/>
  <c r="M42" i="16"/>
  <c r="G7" i="6"/>
  <c r="L22" i="16"/>
  <c r="H23" i="6"/>
  <c r="E15" i="6"/>
  <c r="H47" i="16"/>
  <c r="K8" i="6"/>
  <c r="F49" i="1"/>
  <c r="F49" i="21" s="1" a="1"/>
  <c r="M14" i="16"/>
  <c r="J35" i="1"/>
  <c r="F21" i="1"/>
  <c r="G15" i="6"/>
  <c r="G49" i="1"/>
  <c r="E23" i="1"/>
  <c r="K48" i="1"/>
  <c r="D21" i="16"/>
  <c r="G13" i="16"/>
  <c r="F20" i="6"/>
  <c r="F38" i="6"/>
  <c r="G13" i="1"/>
  <c r="D49" i="1"/>
  <c r="M26" i="6"/>
  <c r="F12" i="6"/>
  <c r="I48" i="16"/>
  <c r="F7" i="6"/>
  <c r="K42" i="6"/>
  <c r="I47" i="6"/>
  <c r="F49" i="16"/>
  <c r="H45" i="16"/>
  <c r="G20" i="16"/>
  <c r="J27" i="16"/>
  <c r="F47" i="6"/>
  <c r="I49" i="16"/>
  <c r="M45" i="16"/>
  <c r="E20" i="16"/>
  <c r="F27" i="16"/>
  <c r="L37" i="16"/>
  <c r="J26" i="1"/>
  <c r="M41" i="1"/>
  <c r="I15" i="6"/>
  <c r="F8" i="6"/>
  <c r="I37" i="16"/>
  <c r="G22" i="16"/>
  <c r="F41" i="1"/>
  <c r="L15" i="6"/>
  <c r="D8" i="6"/>
  <c r="M11" i="6"/>
  <c r="E20" i="6"/>
  <c r="E36" i="16"/>
  <c r="L13" i="1"/>
  <c r="M49" i="1"/>
  <c r="L9" i="1"/>
  <c r="D14" i="16"/>
  <c r="L18" i="6"/>
  <c r="K7" i="12"/>
  <c r="E47" i="16"/>
  <c r="M8" i="1"/>
  <c r="H10" i="1"/>
  <c r="E48" i="16"/>
  <c r="E48" i="1"/>
  <c r="D40" i="1"/>
  <c r="M21" i="16"/>
  <c r="F33" i="1"/>
  <c r="J24" i="16"/>
  <c r="K34" i="1"/>
  <c r="E19" i="16"/>
  <c r="K44" i="6"/>
  <c r="K11" i="1"/>
  <c r="F42" i="16"/>
  <c r="M24" i="6"/>
  <c r="L38" i="6"/>
  <c r="J25" i="1"/>
  <c r="E37" i="6"/>
  <c r="G32" i="1"/>
  <c r="I38" i="1"/>
  <c r="K23" i="1"/>
  <c r="M26" i="1"/>
  <c r="M26" i="21" s="1" a="1"/>
  <c r="G22" i="1"/>
  <c r="M34" i="16"/>
  <c r="I19" i="1"/>
  <c r="M49" i="6"/>
  <c r="I35" i="16"/>
  <c r="G46" i="16"/>
  <c r="K27" i="1"/>
  <c r="K14" i="6"/>
  <c r="K48" i="6"/>
  <c r="K9" i="6"/>
  <c r="D26" i="21" a="1"/>
  <c r="H26" i="6"/>
  <c r="L12" i="6"/>
  <c r="E18" i="6"/>
  <c r="J7" i="12"/>
  <c r="F42" i="6"/>
  <c r="D46" i="21" a="1"/>
  <c r="K23" i="21" a="1"/>
  <c r="K48" i="21" a="1"/>
  <c r="J41" i="6"/>
  <c r="D13" i="6"/>
  <c r="M13" i="16"/>
  <c r="E46" i="16"/>
  <c r="I48" i="6"/>
  <c r="G41" i="1"/>
  <c r="G41" i="21" s="1" a="1"/>
  <c r="I23" i="16"/>
  <c r="J26" i="6"/>
  <c r="L8" i="16"/>
  <c r="K21" i="1"/>
  <c r="F42" i="1"/>
  <c r="F42" i="19" s="1" a="1"/>
  <c r="J40" i="1"/>
  <c r="J22" i="6"/>
  <c r="G9" i="1"/>
  <c r="D18" i="1"/>
  <c r="G34" i="6"/>
  <c r="M9" i="16"/>
  <c r="G43" i="1"/>
  <c r="G43" i="21" s="1" a="1"/>
  <c r="J47" i="6"/>
  <c r="J49" i="16"/>
  <c r="K45" i="16"/>
  <c r="K20" i="16"/>
  <c r="M40" i="1"/>
  <c r="M40" i="21" s="1" a="1"/>
  <c r="M27" i="6"/>
  <c r="E43" i="16"/>
  <c r="J33" i="16"/>
  <c r="F38" i="1"/>
  <c r="F25" i="6"/>
  <c r="I27" i="6"/>
  <c r="D43" i="16"/>
  <c r="D43" i="23" s="1" a="1"/>
  <c r="H33" i="16"/>
  <c r="L38" i="1"/>
  <c r="I25" i="6"/>
  <c r="L13" i="16"/>
  <c r="L20" i="6"/>
  <c r="M36" i="16"/>
  <c r="J13" i="1"/>
  <c r="L49" i="1"/>
  <c r="K11" i="6"/>
  <c r="K20" i="6"/>
  <c r="I36" i="16"/>
  <c r="D13" i="1"/>
  <c r="E49" i="1"/>
  <c r="J9" i="1"/>
  <c r="J9" i="21" s="1" a="1"/>
  <c r="L14" i="16"/>
  <c r="M34" i="6"/>
  <c r="D7" i="6"/>
  <c r="M47" i="16"/>
  <c r="H8" i="1"/>
  <c r="K10" i="1"/>
  <c r="F48" i="16"/>
  <c r="L48" i="1"/>
  <c r="I42" i="6"/>
  <c r="M42" i="1"/>
  <c r="M42" i="21" s="1" a="1"/>
  <c r="G49" i="16"/>
  <c r="J44" i="1"/>
  <c r="L46" i="1"/>
  <c r="L27" i="16"/>
  <c r="K42" i="1"/>
  <c r="J17" i="1"/>
  <c r="F47" i="1"/>
  <c r="F20" i="1"/>
  <c r="H10" i="16"/>
  <c r="G15" i="1"/>
  <c r="I39" i="1"/>
  <c r="E12" i="1"/>
  <c r="J40" i="6"/>
  <c r="L22" i="1"/>
  <c r="J45" i="16"/>
  <c r="L21" i="16"/>
  <c r="J33" i="1"/>
  <c r="F24" i="16"/>
  <c r="I34" i="1"/>
  <c r="D17" i="6"/>
  <c r="E18" i="1"/>
  <c r="F47" i="16"/>
  <c r="F47" i="17" s="1" a="1"/>
  <c r="J8" i="16"/>
  <c r="E13" i="6"/>
  <c r="F37" i="1"/>
  <c r="G33" i="6"/>
  <c r="D41" i="6"/>
  <c r="F21" i="6"/>
  <c r="J32" i="16"/>
  <c r="I45" i="6"/>
  <c r="L41" i="16"/>
  <c r="E47" i="6"/>
  <c r="G10" i="1"/>
  <c r="F45" i="16"/>
  <c r="F20" i="16"/>
  <c r="L40" i="1"/>
  <c r="F47" i="21" a="1"/>
  <c r="M49" i="21" a="1"/>
  <c r="H10" i="21" a="1"/>
  <c r="F47" i="19" a="1"/>
  <c r="F11" i="16"/>
  <c r="G26" i="6"/>
  <c r="J26" i="21" a="1"/>
  <c r="K33" i="6"/>
  <c r="H11" i="1"/>
  <c r="M24" i="1"/>
  <c r="G44" i="21" a="1"/>
  <c r="G14" i="6"/>
  <c r="E16" i="1"/>
  <c r="E41" i="6"/>
  <c r="D35" i="6"/>
  <c r="D23" i="1"/>
  <c r="I32" i="6"/>
  <c r="D9" i="1"/>
  <c r="G35" i="1"/>
  <c r="G45" i="1"/>
  <c r="E11" i="6"/>
  <c r="M49" i="16"/>
  <c r="I38" i="16"/>
  <c r="E10" i="1"/>
  <c r="H46" i="16"/>
  <c r="I13" i="1"/>
  <c r="I26" i="6"/>
  <c r="D12" i="6"/>
  <c r="H18" i="6"/>
  <c r="E7" i="6"/>
  <c r="M42" i="6"/>
  <c r="M42" i="19" s="1" a="1"/>
  <c r="G27" i="6"/>
  <c r="G43" i="16"/>
  <c r="M33" i="16"/>
  <c r="F46" i="1"/>
  <c r="D25" i="6"/>
  <c r="E25" i="1"/>
  <c r="D39" i="6"/>
  <c r="D39" i="22" s="1" a="1"/>
  <c r="I32" i="1"/>
  <c r="I32" i="21" s="1" a="1"/>
  <c r="J36" i="6"/>
  <c r="H19" i="16"/>
  <c r="I25" i="1"/>
  <c r="K39" i="6"/>
  <c r="L24" i="16"/>
  <c r="F36" i="6"/>
  <c r="L19" i="16"/>
  <c r="E9" i="1"/>
  <c r="K14" i="16"/>
  <c r="D34" i="6"/>
  <c r="I7" i="12"/>
  <c r="G47" i="16"/>
  <c r="K9" i="1"/>
  <c r="H14" i="16"/>
  <c r="H34" i="6"/>
  <c r="E7" i="12"/>
  <c r="I47" i="16"/>
  <c r="G8" i="1"/>
  <c r="H12" i="6"/>
  <c r="D48" i="16"/>
  <c r="D48" i="23" s="1" a="1"/>
  <c r="J48" i="1"/>
  <c r="E42" i="6"/>
  <c r="F21" i="21" a="1"/>
  <c r="H42" i="1"/>
  <c r="L49" i="16"/>
  <c r="H44" i="1"/>
  <c r="D20" i="16"/>
  <c r="D20" i="23" s="1" a="1"/>
  <c r="G27" i="16"/>
  <c r="J27" i="6"/>
  <c r="K37" i="6"/>
  <c r="F33" i="16"/>
  <c r="D38" i="1"/>
  <c r="J23" i="1"/>
  <c r="I44" i="1"/>
  <c r="F36" i="1"/>
  <c r="I27" i="1"/>
  <c r="G16" i="16"/>
  <c r="L10" i="6"/>
  <c r="I9" i="6"/>
  <c r="H32" i="12"/>
  <c r="I45" i="1"/>
  <c r="J23" i="6"/>
  <c r="E16" i="6"/>
  <c r="G20" i="1"/>
  <c r="G20" i="21" s="1" a="1"/>
  <c r="D17" i="1"/>
  <c r="E47" i="1"/>
  <c r="E20" i="1"/>
  <c r="I35" i="6"/>
  <c r="F15" i="1"/>
  <c r="D42" i="22" a="1"/>
  <c r="F10" i="1"/>
  <c r="I17" i="6"/>
  <c r="L44" i="6"/>
  <c r="D7" i="16"/>
  <c r="H42" i="16"/>
  <c r="K24" i="6"/>
  <c r="L32" i="21" a="1"/>
  <c r="K34" i="16"/>
  <c r="K19" i="1"/>
  <c r="K49" i="6"/>
  <c r="G35" i="16"/>
  <c r="I42" i="1"/>
  <c r="L43" i="16"/>
  <c r="K33" i="16"/>
  <c r="M46" i="1"/>
  <c r="E25" i="6"/>
  <c r="M46" i="21" a="1"/>
  <c r="M49" i="19" a="1"/>
  <c r="H44" i="21" a="1"/>
  <c r="I27" i="21" a="1"/>
  <c r="H34" i="1"/>
  <c r="M18" i="6"/>
  <c r="M18" i="22" s="1" a="1"/>
  <c r="F8" i="16"/>
  <c r="F16" i="1"/>
  <c r="I32" i="12"/>
  <c r="F27" i="1"/>
  <c r="F27" i="21" s="1" a="1"/>
  <c r="M9" i="6"/>
  <c r="F22" i="16"/>
  <c r="M7" i="1"/>
  <c r="L7" i="6"/>
  <c r="L7" i="22" s="1" a="1"/>
  <c r="K40" i="16"/>
  <c r="F33" i="21" a="1"/>
  <c r="H38" i="6"/>
  <c r="D43" i="1"/>
  <c r="D43" i="21" s="1" a="1"/>
  <c r="H18" i="16"/>
  <c r="H41" i="1"/>
  <c r="H41" i="21" s="1" a="1"/>
  <c r="F36" i="16"/>
  <c r="M44" i="1"/>
  <c r="J49" i="6"/>
  <c r="M48" i="1"/>
  <c r="D10" i="6"/>
  <c r="F34" i="1"/>
  <c r="F34" i="21" s="1" a="1"/>
  <c r="K13" i="16"/>
  <c r="L41" i="17" a="1"/>
  <c r="D13" i="22" a="1"/>
  <c r="H47" i="6"/>
  <c r="L10" i="1"/>
  <c r="G45" i="16"/>
  <c r="H20" i="16"/>
  <c r="E40" i="1"/>
  <c r="K25" i="1"/>
  <c r="H39" i="6"/>
  <c r="F32" i="1"/>
  <c r="G36" i="6"/>
  <c r="I19" i="16"/>
  <c r="K19" i="6"/>
  <c r="L33" i="1"/>
  <c r="E22" i="6"/>
  <c r="I10" i="16"/>
  <c r="L17" i="6"/>
  <c r="F19" i="6"/>
  <c r="I47" i="1"/>
  <c r="D22" i="6"/>
  <c r="D22" i="22" s="1" a="1"/>
  <c r="M10" i="16"/>
  <c r="G17" i="6"/>
  <c r="D8" i="1"/>
  <c r="I12" i="6"/>
  <c r="K48" i="16"/>
  <c r="H48" i="1"/>
  <c r="H42" i="6"/>
  <c r="L8" i="1"/>
  <c r="L8" i="19" s="1" a="1"/>
  <c r="M12" i="6"/>
  <c r="H48" i="16"/>
  <c r="D48" i="1"/>
  <c r="D48" i="21" s="1" a="1"/>
  <c r="L42" i="6"/>
  <c r="L47" i="6"/>
  <c r="E49" i="16"/>
  <c r="F44" i="1"/>
  <c r="L20" i="16"/>
  <c r="E27" i="16"/>
  <c r="E27" i="6"/>
  <c r="L37" i="6"/>
  <c r="L33" i="16"/>
  <c r="E38" i="1"/>
  <c r="I23" i="1"/>
  <c r="K21" i="16"/>
  <c r="L39" i="6"/>
  <c r="I24" i="16"/>
  <c r="M34" i="1"/>
  <c r="M34" i="19" s="1" a="1"/>
  <c r="K19" i="16"/>
  <c r="K19" i="17" s="1" a="1"/>
  <c r="L23" i="6"/>
  <c r="F41" i="6"/>
  <c r="K23" i="16"/>
  <c r="G32" i="16"/>
  <c r="E45" i="6"/>
  <c r="D7" i="1"/>
  <c r="K32" i="12"/>
  <c r="J46" i="6"/>
  <c r="K17" i="16"/>
  <c r="J14" i="1"/>
  <c r="E43" i="6"/>
  <c r="L36" i="1"/>
  <c r="M27" i="1"/>
  <c r="M14" i="6"/>
  <c r="K10" i="6"/>
  <c r="G9" i="6"/>
  <c r="F37" i="6"/>
  <c r="L8" i="17" a="1"/>
  <c r="K35" i="1"/>
  <c r="D12" i="1"/>
  <c r="K25" i="16"/>
  <c r="I22" i="1"/>
  <c r="D8" i="16"/>
  <c r="H13" i="6"/>
  <c r="H37" i="1"/>
  <c r="L33" i="6"/>
  <c r="L33" i="19" s="1" a="1"/>
  <c r="D12" i="22" a="1"/>
  <c r="D25" i="1"/>
  <c r="J39" i="6"/>
  <c r="D32" i="1"/>
  <c r="M36" i="6"/>
  <c r="H23" i="1"/>
  <c r="D25" i="22" a="1"/>
  <c r="G35" i="21" a="1"/>
  <c r="J21" i="21" a="1"/>
  <c r="H34" i="21" a="1"/>
  <c r="I38" i="21" a="1"/>
  <c r="F15" i="21" a="1"/>
  <c r="E18" i="21" a="1"/>
  <c r="G22" i="21" a="1"/>
  <c r="M17" i="21" a="1"/>
  <c r="G10" i="6"/>
  <c r="J42" i="1"/>
  <c r="M43" i="16"/>
  <c r="D33" i="16"/>
  <c r="G46" i="1"/>
  <c r="L25" i="6"/>
  <c r="I19" i="6"/>
  <c r="K33" i="1"/>
  <c r="L22" i="6"/>
  <c r="L22" i="17" s="1" a="1"/>
  <c r="D10" i="16"/>
  <c r="J17" i="6"/>
  <c r="I17" i="1"/>
  <c r="M40" i="16"/>
  <c r="M16" i="16"/>
  <c r="L35" i="6"/>
  <c r="H11" i="16"/>
  <c r="I36" i="1"/>
  <c r="I40" i="16"/>
  <c r="L16" i="16"/>
  <c r="H35" i="6"/>
  <c r="D11" i="16"/>
  <c r="G47" i="6"/>
  <c r="K49" i="16"/>
  <c r="K49" i="19" s="1" a="1"/>
  <c r="D45" i="16"/>
  <c r="D45" i="23" s="1" a="1"/>
  <c r="I20" i="16"/>
  <c r="D27" i="16"/>
  <c r="D27" i="23" s="1" a="1"/>
  <c r="K47" i="6"/>
  <c r="D49" i="16"/>
  <c r="E44" i="1"/>
  <c r="E44" i="21" s="1" a="1"/>
  <c r="J20" i="16"/>
  <c r="M27" i="16"/>
  <c r="M27" i="19" s="1" a="1"/>
  <c r="K27" i="6"/>
  <c r="J37" i="6"/>
  <c r="I33" i="16"/>
  <c r="M38" i="1"/>
  <c r="M23" i="1"/>
  <c r="M23" i="21" s="1" a="1"/>
  <c r="G21" i="16"/>
  <c r="I39" i="6"/>
  <c r="K24" i="16"/>
  <c r="J34" i="1"/>
  <c r="G19" i="16"/>
  <c r="F17" i="1"/>
  <c r="F17" i="21" s="1" a="1"/>
  <c r="L19" i="6"/>
  <c r="H47" i="1"/>
  <c r="H47" i="17" s="1" a="1"/>
  <c r="L20" i="1"/>
  <c r="G10" i="16"/>
  <c r="G10" i="19" s="1" a="1"/>
  <c r="J15" i="1"/>
  <c r="E7" i="22" a="1"/>
  <c r="K46" i="1"/>
  <c r="H38" i="16"/>
  <c r="F19" i="1"/>
  <c r="D49" i="6"/>
  <c r="D49" i="22" s="1" a="1"/>
  <c r="J39" i="16"/>
  <c r="F42" i="21" a="1"/>
  <c r="K26" i="6"/>
  <c r="J37" i="16"/>
  <c r="E22" i="16"/>
  <c r="I38" i="6"/>
  <c r="I38" i="17" s="1" a="1"/>
  <c r="J15" i="6"/>
  <c r="M16" i="1"/>
  <c r="M17" i="16"/>
  <c r="I41" i="6"/>
  <c r="K21" i="6"/>
  <c r="E32" i="16"/>
  <c r="H45" i="6"/>
  <c r="I7" i="1"/>
  <c r="L23" i="21" a="1"/>
  <c r="D27" i="1"/>
  <c r="D27" i="21" s="1" a="1"/>
  <c r="L32" i="12"/>
  <c r="F24" i="1"/>
  <c r="M23" i="6"/>
  <c r="F16" i="6"/>
  <c r="F44" i="6"/>
  <c r="M7" i="16"/>
  <c r="E42" i="16"/>
  <c r="G24" i="6"/>
  <c r="L8" i="21" a="1"/>
  <c r="D19" i="6"/>
  <c r="G33" i="1"/>
  <c r="I22" i="6"/>
  <c r="L34" i="1"/>
  <c r="L34" i="21" s="1" a="1"/>
  <c r="F17" i="6"/>
  <c r="I38" i="19" a="1"/>
  <c r="K10" i="21" a="1"/>
  <c r="L22" i="21" a="1"/>
  <c r="H12" i="21" a="1"/>
  <c r="I7" i="21" a="1"/>
  <c r="K27" i="21" a="1"/>
  <c r="D21" i="23" a="1"/>
  <c r="L12" i="22" a="1"/>
  <c r="H16" i="16"/>
  <c r="E24" i="16"/>
  <c r="J47" i="16"/>
  <c r="J45" i="6"/>
  <c r="L43" i="6"/>
  <c r="I13" i="16"/>
  <c r="E13" i="1"/>
  <c r="E13" i="21" s="1" a="1"/>
  <c r="F37" i="21" a="1"/>
  <c r="L16" i="6"/>
  <c r="G15" i="21" a="1"/>
  <c r="I9" i="1"/>
  <c r="E18" i="16"/>
  <c r="H46" i="6"/>
  <c r="I32" i="22" a="1"/>
  <c r="G49" i="21" a="1"/>
  <c r="L45" i="16"/>
  <c r="J14" i="6"/>
  <c r="J14" i="19" s="1" a="1"/>
  <c r="J16" i="1"/>
  <c r="F20" i="19" a="1"/>
  <c r="H25" i="1"/>
  <c r="E39" i="6"/>
  <c r="M32" i="1"/>
  <c r="L36" i="6"/>
  <c r="J19" i="16"/>
  <c r="J19" i="23" s="1" a="1"/>
  <c r="E17" i="1"/>
  <c r="E40" i="16"/>
  <c r="E16" i="16"/>
  <c r="E16" i="17" s="1" a="1"/>
  <c r="K35" i="6"/>
  <c r="G11" i="16"/>
  <c r="M46" i="16"/>
  <c r="J23" i="16"/>
  <c r="H14" i="6"/>
  <c r="D48" i="6"/>
  <c r="D48" i="19" s="1" a="1"/>
  <c r="J7" i="1"/>
  <c r="L46" i="16"/>
  <c r="F23" i="16"/>
  <c r="I14" i="6"/>
  <c r="G48" i="6"/>
  <c r="G7" i="1"/>
  <c r="F27" i="6"/>
  <c r="J43" i="16"/>
  <c r="E33" i="16"/>
  <c r="K38" i="1"/>
  <c r="M25" i="6"/>
  <c r="L27" i="6"/>
  <c r="D37" i="6"/>
  <c r="G33" i="16"/>
  <c r="G33" i="19" s="1" a="1"/>
  <c r="H38" i="1"/>
  <c r="H38" i="17" s="1" a="1"/>
  <c r="H25" i="6"/>
  <c r="I21" i="16"/>
  <c r="M39" i="6"/>
  <c r="D24" i="16"/>
  <c r="D24" i="23" s="1" a="1"/>
  <c r="G34" i="1"/>
  <c r="G34" i="21" s="1" a="1"/>
  <c r="M19" i="16"/>
  <c r="D48" i="22" a="1"/>
  <c r="H19" i="6"/>
  <c r="D47" i="1"/>
  <c r="K20" i="1"/>
  <c r="K20" i="21" s="1" a="1"/>
  <c r="E10" i="16"/>
  <c r="I15" i="1"/>
  <c r="G48" i="23" a="1"/>
  <c r="I49" i="6"/>
  <c r="H36" i="1"/>
  <c r="H36" i="21" s="1" a="1"/>
  <c r="G27" i="1"/>
  <c r="F16" i="16"/>
  <c r="F16" i="19" s="1" a="1"/>
  <c r="H10" i="6"/>
  <c r="L9" i="6"/>
  <c r="M35" i="16"/>
  <c r="H8" i="16"/>
  <c r="K13" i="6"/>
  <c r="G43" i="6"/>
  <c r="I33" i="6"/>
  <c r="E25" i="21" a="1"/>
  <c r="M46" i="6"/>
  <c r="M46" i="19" s="1" a="1"/>
  <c r="J11" i="6"/>
  <c r="K18" i="1"/>
  <c r="J36" i="16"/>
  <c r="E9" i="16"/>
  <c r="E43" i="1"/>
  <c r="E32" i="22" a="1"/>
  <c r="F7" i="12"/>
  <c r="J34" i="16"/>
  <c r="H19" i="1"/>
  <c r="F49" i="6"/>
  <c r="K39" i="16"/>
  <c r="K9" i="21" a="1"/>
  <c r="G19" i="1"/>
  <c r="L26" i="1"/>
  <c r="D46" i="6"/>
  <c r="I17" i="16"/>
  <c r="G8" i="6"/>
  <c r="H35" i="1"/>
  <c r="H35" i="21" s="1" a="1"/>
  <c r="G12" i="1"/>
  <c r="F25" i="16"/>
  <c r="D18" i="16"/>
  <c r="D37" i="22" a="1"/>
  <c r="K17" i="1"/>
  <c r="K17" i="21" s="1" a="1"/>
  <c r="J40" i="16"/>
  <c r="J40" i="19" s="1" a="1"/>
  <c r="I20" i="1"/>
  <c r="G35" i="6"/>
  <c r="G35" i="19" s="1" a="1"/>
  <c r="M11" i="16"/>
  <c r="L20" i="21" a="1"/>
  <c r="K34" i="21" a="1"/>
  <c r="D41" i="21" a="1"/>
  <c r="L48" i="21" a="1"/>
  <c r="J17" i="21" a="1"/>
  <c r="F19" i="21" a="1"/>
  <c r="L22" i="19" a="1"/>
  <c r="I34" i="21" a="1"/>
  <c r="D27" i="17" a="1"/>
  <c r="J20" i="21" a="1"/>
  <c r="F27" i="17" a="1"/>
  <c r="I20" i="19" a="1"/>
  <c r="M43" i="21" a="1"/>
  <c r="H27" i="1"/>
  <c r="G23" i="16"/>
  <c r="K32" i="16"/>
  <c r="G45" i="6"/>
  <c r="L7" i="1"/>
  <c r="I8" i="6"/>
  <c r="M44" i="6"/>
  <c r="E11" i="1"/>
  <c r="I14" i="16"/>
  <c r="K38" i="6"/>
  <c r="I37" i="6"/>
  <c r="E41" i="1"/>
  <c r="I36" i="21" a="1"/>
  <c r="D17" i="21" a="1"/>
  <c r="E13" i="16"/>
  <c r="F34" i="6"/>
  <c r="E23" i="6"/>
  <c r="E37" i="16"/>
  <c r="E46" i="1"/>
  <c r="J14" i="21" a="1"/>
  <c r="E17" i="6"/>
  <c r="D25" i="21" a="1"/>
  <c r="H42" i="21" a="1"/>
  <c r="F24" i="21" a="1"/>
  <c r="E41" i="21" a="1"/>
  <c r="E19" i="6"/>
  <c r="D33" i="1"/>
  <c r="D33" i="21" s="1" a="1"/>
  <c r="H22" i="6"/>
  <c r="J10" i="16"/>
  <c r="M17" i="6"/>
  <c r="D46" i="16"/>
  <c r="E23" i="16"/>
  <c r="L14" i="6"/>
  <c r="M48" i="6"/>
  <c r="F9" i="6"/>
  <c r="M38" i="16"/>
  <c r="D21" i="6"/>
  <c r="J12" i="16"/>
  <c r="L39" i="16"/>
  <c r="I41" i="16"/>
  <c r="E38" i="16"/>
  <c r="E21" i="6"/>
  <c r="D12" i="16"/>
  <c r="D12" i="23" s="1" a="1"/>
  <c r="G39" i="16"/>
  <c r="D41" i="16"/>
  <c r="L25" i="1"/>
  <c r="G39" i="6"/>
  <c r="G24" i="16"/>
  <c r="I36" i="6"/>
  <c r="I36" i="19" s="1" a="1"/>
  <c r="D19" i="16"/>
  <c r="F21" i="16"/>
  <c r="F39" i="6"/>
  <c r="M24" i="16"/>
  <c r="M24" i="17" s="1" a="1"/>
  <c r="D36" i="6"/>
  <c r="F19" i="16"/>
  <c r="F19" i="17" s="1" a="1"/>
  <c r="G19" i="6"/>
  <c r="G19" i="19" s="1" a="1"/>
  <c r="J47" i="1"/>
  <c r="K22" i="6"/>
  <c r="K10" i="16"/>
  <c r="K10" i="17" s="1" a="1"/>
  <c r="D15" i="1"/>
  <c r="D36" i="1"/>
  <c r="D36" i="21" s="1" a="1"/>
  <c r="M26" i="16"/>
  <c r="G17" i="1"/>
  <c r="G40" i="16"/>
  <c r="M20" i="1"/>
  <c r="M35" i="6"/>
  <c r="J11" i="16"/>
  <c r="L38" i="16"/>
  <c r="L38" i="19" s="1" a="1"/>
  <c r="H21" i="6"/>
  <c r="H12" i="16"/>
  <c r="F45" i="6"/>
  <c r="F41" i="16"/>
  <c r="E34" i="16"/>
  <c r="D15" i="16"/>
  <c r="D15" i="23" s="1" a="1"/>
  <c r="H49" i="6"/>
  <c r="L35" i="16"/>
  <c r="G34" i="16"/>
  <c r="H15" i="16"/>
  <c r="M43" i="6"/>
  <c r="K35" i="16"/>
  <c r="K35" i="19" s="1" a="1"/>
  <c r="M19" i="6"/>
  <c r="K47" i="1"/>
  <c r="K47" i="17" s="1" a="1"/>
  <c r="F22" i="6"/>
  <c r="F10" i="16"/>
  <c r="E15" i="1"/>
  <c r="E15" i="21" s="1" a="1"/>
  <c r="J19" i="6"/>
  <c r="L47" i="1"/>
  <c r="M22" i="6"/>
  <c r="L10" i="16"/>
  <c r="K15" i="1"/>
  <c r="J36" i="1"/>
  <c r="H40" i="16"/>
  <c r="J16" i="16"/>
  <c r="J10" i="6"/>
  <c r="I11" i="16"/>
  <c r="M41" i="6"/>
  <c r="L23" i="16"/>
  <c r="L32" i="16"/>
  <c r="L48" i="6"/>
  <c r="K7" i="1"/>
  <c r="H33" i="6"/>
  <c r="D38" i="16"/>
  <c r="J19" i="1"/>
  <c r="M12" i="16"/>
  <c r="D39" i="16"/>
  <c r="E9" i="21" a="1"/>
  <c r="L38" i="21" a="1"/>
  <c r="G25" i="6"/>
  <c r="G25" i="22" s="1" a="1"/>
  <c r="F39" i="1"/>
  <c r="F39" i="21" s="1" a="1"/>
  <c r="K12" i="1"/>
  <c r="F40" i="6"/>
  <c r="J22" i="1"/>
  <c r="G13" i="21" a="1"/>
  <c r="M32" i="16"/>
  <c r="E8" i="1"/>
  <c r="J10" i="1"/>
  <c r="J10" i="19" s="1" a="1"/>
  <c r="L48" i="16"/>
  <c r="F48" i="1"/>
  <c r="F48" i="21" s="1" a="1"/>
  <c r="K40" i="1"/>
  <c r="L10" i="19" a="1"/>
  <c r="I11" i="6"/>
  <c r="I16" i="6"/>
  <c r="H44" i="6"/>
  <c r="G11" i="1"/>
  <c r="I42" i="16"/>
  <c r="I42" i="19" s="1" a="1"/>
  <c r="F24" i="6"/>
  <c r="F24" i="17" s="1" a="1"/>
  <c r="I25" i="21" a="1"/>
  <c r="L13" i="21" a="1"/>
  <c r="F8" i="1"/>
  <c r="H24" i="1"/>
  <c r="H11" i="6"/>
  <c r="G18" i="1"/>
  <c r="K34" i="6"/>
  <c r="J9" i="16"/>
  <c r="J43" i="1"/>
  <c r="I17" i="21" a="1"/>
  <c r="D40" i="21" a="1"/>
  <c r="H26" i="1"/>
  <c r="L46" i="6"/>
  <c r="F17" i="16"/>
  <c r="E8" i="6"/>
  <c r="E8" i="19" s="1" a="1"/>
  <c r="J42" i="21" a="1"/>
  <c r="I47" i="21" a="1"/>
  <c r="H41" i="6"/>
  <c r="L21" i="6"/>
  <c r="L12" i="16"/>
  <c r="D45" i="6"/>
  <c r="D45" i="22" s="1" a="1"/>
  <c r="K41" i="16"/>
  <c r="K11" i="21" a="1"/>
  <c r="K32" i="23" a="1"/>
  <c r="F24" i="19" a="1"/>
  <c r="K47" i="21" a="1"/>
  <c r="F21" i="17" a="1"/>
  <c r="J23" i="17" a="1"/>
  <c r="F36" i="17" a="1"/>
  <c r="K40" i="21" a="1"/>
  <c r="G32" i="21" a="1"/>
  <c r="F8" i="17" a="1"/>
  <c r="D27" i="19" a="1"/>
  <c r="E13" i="19" a="1"/>
  <c r="K19" i="21" a="1"/>
  <c r="F27" i="19" a="1"/>
  <c r="J47" i="19" a="1"/>
  <c r="J14" i="17" a="1"/>
  <c r="D8" i="17" a="1"/>
  <c r="E11" i="23" a="1"/>
  <c r="F42" i="17" a="1"/>
  <c r="F17" i="17" a="1"/>
  <c r="M48" i="21" a="1"/>
  <c r="H9" i="21" a="1"/>
  <c r="M48" i="16"/>
  <c r="D12" i="19" a="1"/>
  <c r="G20" i="6"/>
  <c r="G20" i="17" s="1" a="1"/>
  <c r="K46" i="16"/>
  <c r="E27" i="1"/>
  <c r="E27" i="17" s="1" a="1"/>
  <c r="D14" i="6"/>
  <c r="D14" i="22" s="1" a="1"/>
  <c r="J48" i="6"/>
  <c r="D9" i="6"/>
  <c r="D9" i="22" s="1" a="1"/>
  <c r="D34" i="16"/>
  <c r="D34" i="23" s="1" a="1"/>
  <c r="E15" i="16"/>
  <c r="E49" i="6"/>
  <c r="J35" i="16"/>
  <c r="J35" i="17" s="1" a="1"/>
  <c r="H25" i="21" a="1"/>
  <c r="D44" i="16"/>
  <c r="F13" i="6"/>
  <c r="J37" i="1"/>
  <c r="J37" i="21" s="1" a="1"/>
  <c r="L26" i="16"/>
  <c r="L26" i="19" s="1" a="1"/>
  <c r="I44" i="16"/>
  <c r="J11" i="1"/>
  <c r="I37" i="1"/>
  <c r="E26" i="16"/>
  <c r="M36" i="1"/>
  <c r="D40" i="16"/>
  <c r="D40" i="23" s="1" a="1"/>
  <c r="K16" i="16"/>
  <c r="F10" i="6"/>
  <c r="K11" i="16"/>
  <c r="K11" i="17" s="1" a="1"/>
  <c r="G36" i="1"/>
  <c r="F40" i="16"/>
  <c r="I16" i="16"/>
  <c r="I10" i="6"/>
  <c r="L11" i="16"/>
  <c r="J46" i="16"/>
  <c r="D23" i="16"/>
  <c r="F32" i="16"/>
  <c r="F32" i="23" s="1" a="1"/>
  <c r="H48" i="6"/>
  <c r="H48" i="17" s="1" a="1"/>
  <c r="H7" i="1"/>
  <c r="H7" i="21" s="1" a="1"/>
  <c r="E40" i="21" a="1"/>
  <c r="G38" i="16"/>
  <c r="E19" i="1"/>
  <c r="F12" i="16"/>
  <c r="H39" i="16"/>
  <c r="K43" i="1"/>
  <c r="G8" i="16"/>
  <c r="G15" i="16"/>
  <c r="G15" i="17" s="1" a="1"/>
  <c r="J43" i="6"/>
  <c r="J43" i="19" s="1" a="1"/>
  <c r="F33" i="6"/>
  <c r="F33" i="19" s="1" a="1"/>
  <c r="G17" i="21" a="1"/>
  <c r="J34" i="21" a="1"/>
  <c r="G41" i="16"/>
  <c r="G32" i="6"/>
  <c r="G32" i="17" s="1" a="1"/>
  <c r="H45" i="1"/>
  <c r="H45" i="21" s="1" a="1"/>
  <c r="D23" i="6"/>
  <c r="D23" i="22" s="1" a="1"/>
  <c r="K16" i="6"/>
  <c r="D32" i="22" a="1"/>
  <c r="E25" i="16"/>
  <c r="D42" i="1"/>
  <c r="H49" i="16"/>
  <c r="D44" i="1"/>
  <c r="I46" i="1"/>
  <c r="K27" i="16"/>
  <c r="D39" i="1"/>
  <c r="D39" i="19" s="1" a="1"/>
  <c r="I40" i="1"/>
  <c r="M39" i="1"/>
  <c r="M12" i="1"/>
  <c r="J25" i="16"/>
  <c r="F22" i="1"/>
  <c r="E17" i="21" a="1"/>
  <c r="H48" i="19" a="1"/>
  <c r="G25" i="1"/>
  <c r="D36" i="16"/>
  <c r="D36" i="23" s="1" a="1"/>
  <c r="F26" i="6"/>
  <c r="G12" i="6"/>
  <c r="J18" i="6"/>
  <c r="G7" i="12"/>
  <c r="D47" i="16"/>
  <c r="D36" i="17" a="1"/>
  <c r="E11" i="21" a="1"/>
  <c r="H13" i="16"/>
  <c r="J22" i="16"/>
  <c r="J22" i="19" s="1" a="1"/>
  <c r="M38" i="6"/>
  <c r="M38" i="19" s="1" a="1"/>
  <c r="K13" i="1"/>
  <c r="K13" i="19" s="1" a="1"/>
  <c r="H16" i="1"/>
  <c r="H47" i="21" a="1"/>
  <c r="K20" i="19" a="1"/>
  <c r="F24" i="22" a="1"/>
  <c r="L34" i="16"/>
  <c r="F15" i="16"/>
  <c r="G49" i="6"/>
  <c r="E35" i="16"/>
  <c r="F9" i="21" a="1"/>
  <c r="K47" i="19" a="1"/>
  <c r="F21" i="19" a="1"/>
  <c r="E38" i="21" a="1"/>
  <c r="M9" i="17" a="1"/>
  <c r="J23" i="21" a="1"/>
  <c r="F36" i="21" a="1"/>
  <c r="H45" i="17" a="1"/>
  <c r="G15" i="19" a="1"/>
  <c r="K18" i="21" a="1"/>
  <c r="K11" i="19" a="1"/>
  <c r="E10" i="21" a="1"/>
  <c r="G32" i="19" a="1"/>
  <c r="F22" i="19" a="1"/>
  <c r="F8" i="19" a="1"/>
  <c r="H11" i="17" a="1"/>
  <c r="I19" i="21" a="1"/>
  <c r="K19" i="19" a="1"/>
  <c r="H37" i="21" a="1"/>
  <c r="L40" i="21" a="1"/>
  <c r="J47" i="17" a="1"/>
  <c r="I32" i="17" a="1"/>
  <c r="D8" i="19" a="1"/>
  <c r="D9" i="17" a="1"/>
  <c r="E25" i="19" a="1"/>
  <c r="G12" i="21" a="1"/>
  <c r="D23" i="17" a="1"/>
  <c r="I32" i="19" a="1"/>
  <c r="D9" i="19" a="1"/>
  <c r="D12" i="21" a="1"/>
  <c r="G35" i="17" a="1"/>
  <c r="K42" i="21" a="1"/>
  <c r="E23" i="21" a="1"/>
  <c r="H24" i="21" a="1"/>
  <c r="I13" i="21" a="1"/>
  <c r="E14" i="1"/>
  <c r="D32" i="16"/>
  <c r="D32" i="19" s="1" a="1"/>
  <c r="D18" i="6"/>
  <c r="F15" i="6"/>
  <c r="F15" i="17" s="1" a="1"/>
  <c r="D39" i="21" a="1"/>
  <c r="L38" i="17" a="1"/>
  <c r="E24" i="1"/>
  <c r="H43" i="1"/>
  <c r="J7" i="6"/>
  <c r="F43" i="21" a="1"/>
  <c r="H22" i="16"/>
  <c r="L9" i="16"/>
  <c r="L9" i="17" s="1" a="1"/>
  <c r="I27" i="16"/>
  <c r="M19" i="1"/>
  <c r="I8" i="1"/>
  <c r="G44" i="6"/>
  <c r="M41" i="21" a="1"/>
  <c r="J38" i="6"/>
  <c r="I36" i="17" a="1"/>
  <c r="D39" i="17" a="1"/>
  <c r="M46" i="17" a="1"/>
  <c r="K41" i="6"/>
  <c r="J21" i="6"/>
  <c r="I12" i="16"/>
  <c r="K45" i="6"/>
  <c r="H41" i="16"/>
  <c r="H41" i="19" s="1" a="1"/>
  <c r="L44" i="16"/>
  <c r="L13" i="6"/>
  <c r="L13" i="19" s="1" a="1"/>
  <c r="G37" i="1"/>
  <c r="G37" i="21" s="1" a="1"/>
  <c r="J26" i="16"/>
  <c r="K7" i="22" a="1"/>
  <c r="J44" i="6"/>
  <c r="I7" i="16"/>
  <c r="L40" i="6"/>
  <c r="L40" i="17" s="1" a="1"/>
  <c r="I24" i="6"/>
  <c r="D18" i="21" a="1"/>
  <c r="E39" i="1"/>
  <c r="J7" i="16"/>
  <c r="J7" i="19" s="1" a="1"/>
  <c r="M40" i="6"/>
  <c r="M40" i="19" s="1" a="1"/>
  <c r="J24" i="6"/>
  <c r="M32" i="21" a="1"/>
  <c r="I46" i="16"/>
  <c r="M23" i="16"/>
  <c r="F14" i="6"/>
  <c r="E48" i="6"/>
  <c r="E48" i="17" s="1" a="1"/>
  <c r="F7" i="1"/>
  <c r="F46" i="16"/>
  <c r="F46" i="19" s="1" a="1"/>
  <c r="H23" i="16"/>
  <c r="H32" i="16"/>
  <c r="H32" i="23" s="1" a="1"/>
  <c r="F48" i="6"/>
  <c r="F48" i="19" s="1" a="1"/>
  <c r="E7" i="1"/>
  <c r="E7" i="21" s="1" a="1"/>
  <c r="F38" i="16"/>
  <c r="F38" i="19" s="1" a="1"/>
  <c r="D19" i="1"/>
  <c r="D19" i="17" s="1" a="1"/>
  <c r="K12" i="16"/>
  <c r="I39" i="16"/>
  <c r="I39" i="17" s="1" a="1"/>
  <c r="D11" i="23" a="1"/>
  <c r="I8" i="16"/>
  <c r="M15" i="16"/>
  <c r="I43" i="6"/>
  <c r="M33" i="6"/>
  <c r="K8" i="21" a="1"/>
  <c r="D13" i="21" a="1"/>
  <c r="M15" i="1"/>
  <c r="M15" i="17" s="1" a="1"/>
  <c r="G44" i="16"/>
  <c r="I11" i="1"/>
  <c r="I11" i="21" s="1" a="1"/>
  <c r="D42" i="16"/>
  <c r="D42" i="23" s="1" a="1"/>
  <c r="K26" i="16"/>
  <c r="E39" i="21" a="1"/>
  <c r="D39" i="23" a="1"/>
  <c r="F32" i="12"/>
  <c r="I46" i="6"/>
  <c r="I46" i="19" s="1" a="1"/>
  <c r="L17" i="16"/>
  <c r="L14" i="1"/>
  <c r="D14" i="23" a="1"/>
  <c r="F7" i="22" a="1"/>
  <c r="K9" i="16"/>
  <c r="H27" i="6"/>
  <c r="G37" i="6"/>
  <c r="J32" i="1"/>
  <c r="J38" i="1"/>
  <c r="J38" i="21" s="1" a="1"/>
  <c r="F23" i="1"/>
  <c r="D21" i="22" a="1"/>
  <c r="I22" i="16"/>
  <c r="I22" i="19" s="1" a="1"/>
  <c r="H9" i="6"/>
  <c r="M32" i="6"/>
  <c r="G24" i="1"/>
  <c r="G24" i="17" s="1" a="1"/>
  <c r="I23" i="6"/>
  <c r="I23" i="19" s="1" a="1"/>
  <c r="H16" i="6"/>
  <c r="H16" i="19" s="1" a="1"/>
  <c r="G45" i="17" a="1"/>
  <c r="L46" i="21" a="1"/>
  <c r="E21" i="16"/>
  <c r="I18" i="6"/>
  <c r="D47" i="6"/>
  <c r="M10" i="1"/>
  <c r="I45" i="16"/>
  <c r="G48" i="1"/>
  <c r="F40" i="1"/>
  <c r="D46" i="23" a="1"/>
  <c r="I7" i="23" a="1"/>
  <c r="G11" i="6"/>
  <c r="G11" i="19" s="1" a="1"/>
  <c r="H18" i="1"/>
  <c r="L34" i="6"/>
  <c r="H9" i="16"/>
  <c r="H9" i="19" s="1" a="1"/>
  <c r="L43" i="1"/>
  <c r="I17" i="17" a="1"/>
  <c r="H27" i="21" a="1"/>
  <c r="K46" i="21" a="1"/>
  <c r="E44" i="16"/>
  <c r="I13" i="6"/>
  <c r="I13" i="19" s="1" a="1"/>
  <c r="D37" i="1"/>
  <c r="E33" i="6"/>
  <c r="L9" i="19" a="1"/>
  <c r="M12" i="17" a="1"/>
  <c r="I37" i="19" a="1"/>
  <c r="D18" i="23" a="1"/>
  <c r="D7" i="21" a="1"/>
  <c r="I9" i="21" a="1"/>
  <c r="J48" i="21" a="1"/>
  <c r="L9" i="21" a="1"/>
  <c r="M9" i="21" a="1"/>
  <c r="J15" i="21" a="1"/>
  <c r="F36" i="19" a="1"/>
  <c r="H45" i="19" a="1"/>
  <c r="J32" i="21" a="1"/>
  <c r="E20" i="21" a="1"/>
  <c r="G25" i="21" a="1"/>
  <c r="H11" i="21" a="1"/>
  <c r="I19" i="17" a="1"/>
  <c r="H26" i="21" a="1"/>
  <c r="L40" i="19" a="1"/>
  <c r="I11" i="17" a="1"/>
  <c r="K33" i="19" a="1"/>
  <c r="D8" i="23" a="1"/>
  <c r="E25" i="17" a="1"/>
  <c r="H23" i="17" a="1"/>
  <c r="K35" i="17" a="1"/>
  <c r="K13" i="17" a="1"/>
  <c r="K49" i="21" a="1"/>
  <c r="I45" i="21" a="1"/>
  <c r="L17" i="1"/>
  <c r="L17" i="17" s="1" a="1"/>
  <c r="M25" i="1"/>
  <c r="I39" i="19" a="1"/>
  <c r="F19" i="19" a="1"/>
  <c r="F20" i="17" a="1"/>
  <c r="D16" i="6"/>
  <c r="E45" i="1"/>
  <c r="J47" i="21" a="1"/>
  <c r="E15" i="17" a="1"/>
  <c r="L10" i="21" a="1"/>
  <c r="J35" i="21" a="1"/>
  <c r="E47" i="21" a="1"/>
  <c r="M24" i="19" a="1"/>
  <c r="F34" i="16"/>
  <c r="J15" i="16"/>
  <c r="L49" i="6"/>
  <c r="D35" i="16"/>
  <c r="L41" i="21" a="1"/>
  <c r="I44" i="6"/>
  <c r="I44" i="19" s="1" a="1"/>
  <c r="H7" i="16"/>
  <c r="D40" i="6"/>
  <c r="D24" i="6"/>
  <c r="J10" i="23" a="1"/>
  <c r="L35" i="1"/>
  <c r="L35" i="17" s="1" a="1"/>
  <c r="J45" i="1"/>
  <c r="J45" i="17" s="1" a="1"/>
  <c r="D25" i="16"/>
  <c r="M18" i="16"/>
  <c r="M35" i="1"/>
  <c r="F45" i="1"/>
  <c r="I25" i="16"/>
  <c r="L18" i="16"/>
  <c r="L18" i="17" s="1" a="1"/>
  <c r="K21" i="21" a="1"/>
  <c r="J38" i="16"/>
  <c r="J38" i="23" s="1" a="1"/>
  <c r="M21" i="6"/>
  <c r="E12" i="16"/>
  <c r="E12" i="19" s="1" a="1"/>
  <c r="F39" i="16"/>
  <c r="M41" i="16"/>
  <c r="K38" i="16"/>
  <c r="K38" i="19" s="1" a="1"/>
  <c r="L19" i="1"/>
  <c r="G12" i="16"/>
  <c r="G12" i="19" s="1" a="1"/>
  <c r="M39" i="16"/>
  <c r="M39" i="19" s="1" a="1"/>
  <c r="E41" i="16"/>
  <c r="M8" i="16"/>
  <c r="K15" i="16"/>
  <c r="D43" i="6"/>
  <c r="D43" i="19" s="1" a="1"/>
  <c r="D33" i="6"/>
  <c r="D44" i="23" a="1"/>
  <c r="M33" i="1"/>
  <c r="H44" i="16"/>
  <c r="L11" i="1"/>
  <c r="L42" i="16"/>
  <c r="I26" i="16"/>
  <c r="F38" i="21" a="1"/>
  <c r="D49" i="23" a="1"/>
  <c r="J39" i="1"/>
  <c r="I12" i="1"/>
  <c r="K40" i="6"/>
  <c r="K22" i="1"/>
  <c r="G37" i="16"/>
  <c r="G37" i="19" s="1" a="1"/>
  <c r="D22" i="16"/>
  <c r="D38" i="6"/>
  <c r="H15" i="6"/>
  <c r="G16" i="1"/>
  <c r="L10" i="17" a="1"/>
  <c r="E48" i="21" a="1"/>
  <c r="K36" i="6"/>
  <c r="H21" i="16"/>
  <c r="H33" i="1"/>
  <c r="H33" i="21" s="1" a="1"/>
  <c r="H24" i="16"/>
  <c r="E34" i="1"/>
  <c r="K17" i="6"/>
  <c r="M19" i="19" a="1"/>
  <c r="L13" i="17" a="1"/>
  <c r="F14" i="16"/>
  <c r="D43" i="22" a="1"/>
  <c r="E26" i="1"/>
  <c r="G46" i="6"/>
  <c r="J17" i="16"/>
  <c r="H14" i="1"/>
  <c r="F39" i="19" a="1"/>
  <c r="E24" i="21" a="1"/>
  <c r="K36" i="1"/>
  <c r="K32" i="1"/>
  <c r="E42" i="1"/>
  <c r="K43" i="16"/>
  <c r="K44" i="1"/>
  <c r="J46" i="1"/>
  <c r="J25" i="6"/>
  <c r="E12" i="17" a="1"/>
  <c r="D26" i="6"/>
  <c r="J12" i="6"/>
  <c r="F18" i="6"/>
  <c r="M7" i="12"/>
  <c r="G42" i="6"/>
  <c r="L32" i="23" a="1"/>
  <c r="E44" i="6"/>
  <c r="G7" i="16"/>
  <c r="K42" i="16"/>
  <c r="L24" i="6"/>
  <c r="G8" i="19" a="1"/>
  <c r="J48" i="17" a="1"/>
  <c r="I9" i="19" a="1"/>
  <c r="G8" i="21" a="1"/>
  <c r="J48" i="19" a="1"/>
  <c r="H8" i="21" a="1"/>
  <c r="E14" i="21" a="1"/>
  <c r="M9" i="19" a="1"/>
  <c r="J15" i="17" a="1"/>
  <c r="M44" i="21" a="1"/>
  <c r="J10" i="21" a="1"/>
  <c r="J33" i="21" a="1"/>
  <c r="E20" i="17" a="1"/>
  <c r="H11" i="19" a="1"/>
  <c r="I19" i="19" a="1"/>
  <c r="G48" i="19" a="1"/>
  <c r="G12" i="17" a="1"/>
  <c r="D23" i="21" a="1"/>
  <c r="H23" i="21" a="1"/>
  <c r="H7" i="22" a="1"/>
  <c r="I11" i="19" a="1"/>
  <c r="K21" i="17" a="1"/>
  <c r="K33" i="17" a="1"/>
  <c r="I32" i="23" a="1"/>
  <c r="L46" i="19" a="1"/>
  <c r="D19" i="19" a="1"/>
  <c r="G7" i="17" a="1"/>
  <c r="D9" i="23" a="1"/>
  <c r="F17" i="19" a="1"/>
  <c r="K13" i="21" a="1"/>
  <c r="I13" i="17" a="1"/>
  <c r="K21" i="19" a="1"/>
  <c r="D19" i="22" a="1"/>
  <c r="K36" i="21" a="1"/>
  <c r="M24" i="21" a="1"/>
  <c r="M40" i="17" a="1"/>
  <c r="E14" i="16"/>
  <c r="D20" i="1"/>
  <c r="H32" i="1"/>
  <c r="I26" i="1"/>
  <c r="J16" i="21" a="1"/>
  <c r="K42" i="17" a="1"/>
  <c r="H18" i="19" a="1"/>
  <c r="F13" i="1"/>
  <c r="F13" i="21" s="1" a="1"/>
  <c r="H43" i="21" a="1"/>
  <c r="K14" i="1"/>
  <c r="J20" i="6"/>
  <c r="K12" i="21" a="1"/>
  <c r="G13" i="6"/>
  <c r="J27" i="1"/>
  <c r="E33" i="1"/>
  <c r="E49" i="21" a="1"/>
  <c r="K42" i="19" a="1"/>
  <c r="J40" i="21" a="1"/>
  <c r="L18" i="19" a="1"/>
  <c r="F44" i="16"/>
  <c r="F44" i="17" s="1" a="1"/>
  <c r="M13" i="6"/>
  <c r="E37" i="1"/>
  <c r="H26" i="16"/>
  <c r="G46" i="21" a="1"/>
  <c r="I35" i="1"/>
  <c r="L45" i="1"/>
  <c r="G25" i="16"/>
  <c r="G25" i="17" s="1" a="1"/>
  <c r="I18" i="16"/>
  <c r="D49" i="21" a="1"/>
  <c r="M32" i="12"/>
  <c r="K24" i="1"/>
  <c r="M21" i="1"/>
  <c r="I14" i="1"/>
  <c r="I14" i="17" s="1" a="1"/>
  <c r="H7" i="23" a="1"/>
  <c r="F32" i="6"/>
  <c r="I24" i="1"/>
  <c r="L21" i="1"/>
  <c r="M14" i="1"/>
  <c r="J7" i="22" a="1"/>
  <c r="I34" i="16"/>
  <c r="I15" i="16"/>
  <c r="I15" i="19" s="1" a="1"/>
  <c r="H43" i="6"/>
  <c r="H43" i="22" s="1" a="1"/>
  <c r="F35" i="16"/>
  <c r="K25" i="21" a="1"/>
  <c r="K8" i="16"/>
  <c r="L15" i="16"/>
  <c r="K43" i="6"/>
  <c r="K43" i="19" s="1" a="1"/>
  <c r="H35" i="16"/>
  <c r="D9" i="21" a="1"/>
  <c r="M44" i="16"/>
  <c r="M44" i="17" s="1" a="1"/>
  <c r="M11" i="1"/>
  <c r="K37" i="1"/>
  <c r="F26" i="16"/>
  <c r="L35" i="21" a="1"/>
  <c r="G9" i="21" a="1"/>
  <c r="G39" i="1"/>
  <c r="F12" i="1"/>
  <c r="E40" i="6"/>
  <c r="H22" i="1"/>
  <c r="G36" i="21" a="1"/>
  <c r="G34" i="19" a="1"/>
  <c r="G45" i="21" a="1"/>
  <c r="L32" i="6"/>
  <c r="L32" i="17" s="1" a="1"/>
  <c r="K45" i="1"/>
  <c r="K45" i="17" s="1" a="1"/>
  <c r="K23" i="6"/>
  <c r="G16" i="6"/>
  <c r="G16" i="17" s="1" a="1"/>
  <c r="K33" i="21" a="1"/>
  <c r="D14" i="17" a="1"/>
  <c r="F11" i="6"/>
  <c r="J18" i="1"/>
  <c r="J18" i="21" s="1" a="1"/>
  <c r="H36" i="16"/>
  <c r="F9" i="16"/>
  <c r="I49" i="1"/>
  <c r="I49" i="17" s="1" a="1"/>
  <c r="M33" i="21" a="1"/>
  <c r="D38" i="21" a="1"/>
  <c r="E10" i="6"/>
  <c r="E10" i="17" s="1" a="1"/>
  <c r="H17" i="1"/>
  <c r="G47" i="1"/>
  <c r="H20" i="1"/>
  <c r="H20" i="21" s="1" a="1"/>
  <c r="E35" i="6"/>
  <c r="H15" i="1"/>
  <c r="K12" i="17" a="1"/>
  <c r="I7" i="22" a="1"/>
  <c r="H43" i="16"/>
  <c r="H43" i="19" s="1" a="1"/>
  <c r="J13" i="16"/>
  <c r="J13" i="19" s="1" a="1"/>
  <c r="M22" i="16"/>
  <c r="E38" i="6"/>
  <c r="K15" i="6"/>
  <c r="I16" i="1"/>
  <c r="M41" i="19" a="1"/>
  <c r="M34" i="21" a="1"/>
  <c r="G41" i="6"/>
  <c r="G41" i="19" s="1" a="1"/>
  <c r="E14" i="6"/>
  <c r="E14" i="19" s="1" a="1"/>
  <c r="F25" i="1"/>
  <c r="M37" i="6"/>
  <c r="E32" i="1"/>
  <c r="H36" i="6"/>
  <c r="G23" i="1"/>
  <c r="I39" i="21" a="1"/>
  <c r="H48" i="21" a="1"/>
  <c r="D15" i="21" a="1"/>
  <c r="M47" i="6"/>
  <c r="I10" i="1"/>
  <c r="E45" i="16"/>
  <c r="M20" i="16"/>
  <c r="G40" i="1"/>
  <c r="D41" i="22" a="1"/>
  <c r="G19" i="21" a="1"/>
  <c r="H14" i="17" a="1"/>
  <c r="D35" i="1"/>
  <c r="J12" i="1"/>
  <c r="L25" i="16"/>
  <c r="J18" i="16"/>
  <c r="J18" i="19" s="1" a="1"/>
  <c r="F8" i="21" a="1"/>
  <c r="L18" i="21" a="1"/>
  <c r="I8" i="22" a="1"/>
  <c r="I14" i="21" a="1"/>
  <c r="K24" i="21" a="1"/>
  <c r="G8" i="17" a="1"/>
  <c r="M38" i="21" a="1"/>
  <c r="E14" i="17" a="1"/>
  <c r="M8" i="21" a="1"/>
  <c r="K45" i="21" a="1"/>
  <c r="J15" i="19" a="1"/>
  <c r="M44" i="19" a="1"/>
  <c r="J10" i="17" a="1"/>
  <c r="J25" i="17" a="1"/>
  <c r="J33" i="17" a="1"/>
  <c r="E20" i="19" a="1"/>
  <c r="G25" i="19" a="1"/>
  <c r="J46" i="17" a="1"/>
  <c r="D23" i="19" a="1"/>
  <c r="I14" i="19" a="1"/>
  <c r="L46" i="17" a="1"/>
  <c r="J33" i="19" a="1"/>
  <c r="J38" i="17" a="1"/>
  <c r="I48" i="1"/>
  <c r="I48" i="17" s="1" a="1"/>
  <c r="K35" i="21" a="1"/>
  <c r="J38" i="19" a="1"/>
  <c r="E34" i="6"/>
  <c r="E34" i="19" s="1" a="1"/>
  <c r="D8" i="21" a="1"/>
  <c r="J7" i="23" a="1"/>
  <c r="H33" i="19" a="1"/>
  <c r="J36" i="17" a="1"/>
  <c r="D44" i="6"/>
  <c r="D44" i="19" s="1" a="1"/>
  <c r="E7" i="16"/>
  <c r="J42" i="16"/>
  <c r="E24" i="6"/>
  <c r="E24" i="19" s="1" a="1"/>
  <c r="D16" i="22" a="1"/>
  <c r="J32" i="12"/>
  <c r="J24" i="1"/>
  <c r="D21" i="1"/>
  <c r="M16" i="6"/>
  <c r="F37" i="16"/>
  <c r="F26" i="1"/>
  <c r="K41" i="1"/>
  <c r="G17" i="16"/>
  <c r="H8" i="6"/>
  <c r="K37" i="16"/>
  <c r="K37" i="19" s="1" a="1"/>
  <c r="K26" i="1"/>
  <c r="I41" i="1"/>
  <c r="D15" i="6"/>
  <c r="M8" i="6"/>
  <c r="M8" i="17" s="1" a="1"/>
  <c r="F46" i="21" a="1"/>
  <c r="J44" i="16"/>
  <c r="J44" i="19" s="1" a="1"/>
  <c r="D11" i="1"/>
  <c r="L37" i="1"/>
  <c r="D26" i="16"/>
  <c r="F45" i="21" a="1"/>
  <c r="K44" i="16"/>
  <c r="K44" i="19" s="1" a="1"/>
  <c r="F11" i="1"/>
  <c r="M37" i="1"/>
  <c r="G26" i="16"/>
  <c r="L35" i="19" a="1"/>
  <c r="K39" i="1"/>
  <c r="K7" i="16"/>
  <c r="K7" i="19" s="1" a="1"/>
  <c r="I40" i="6"/>
  <c r="I40" i="19" s="1" a="1"/>
  <c r="E22" i="1"/>
  <c r="I18" i="21" a="1"/>
  <c r="L19" i="21" a="1"/>
  <c r="E32" i="12"/>
  <c r="M45" i="1"/>
  <c r="G23" i="6"/>
  <c r="G23" i="19" s="1" a="1"/>
  <c r="K18" i="16"/>
  <c r="D44" i="22" a="1"/>
  <c r="D14" i="19" a="1"/>
  <c r="D15" i="19" a="1"/>
  <c r="H32" i="6"/>
  <c r="H32" i="19" s="1" a="1"/>
  <c r="K46" i="6"/>
  <c r="E21" i="1"/>
  <c r="E21" i="21" s="1" a="1"/>
  <c r="F14" i="1"/>
  <c r="E27" i="21" a="1"/>
  <c r="D43" i="17" a="1"/>
  <c r="E26" i="6"/>
  <c r="E26" i="19" s="1" a="1"/>
  <c r="G14" i="16"/>
  <c r="K18" i="6"/>
  <c r="H7" i="12"/>
  <c r="L47" i="16"/>
  <c r="D23" i="23" a="1"/>
  <c r="D14" i="21" a="1"/>
  <c r="H24" i="6"/>
  <c r="H24" i="17" s="1" a="1"/>
  <c r="E36" i="1"/>
  <c r="L27" i="1"/>
  <c r="D16" i="16"/>
  <c r="M10" i="6"/>
  <c r="M10" i="19" s="1" a="1"/>
  <c r="J9" i="6"/>
  <c r="G45" i="19" a="1"/>
  <c r="I48" i="21" a="1"/>
  <c r="M47" i="1"/>
  <c r="D11" i="6"/>
  <c r="D11" i="17" s="1" a="1"/>
  <c r="F18" i="1"/>
  <c r="K36" i="16"/>
  <c r="G9" i="16"/>
  <c r="I43" i="1"/>
  <c r="D22" i="23" a="1"/>
  <c r="D35" i="23" a="1"/>
  <c r="H34" i="16"/>
  <c r="H34" i="19" s="1" a="1"/>
  <c r="G42" i="16"/>
  <c r="J21" i="16"/>
  <c r="I33" i="1"/>
  <c r="G22" i="6"/>
  <c r="D34" i="1"/>
  <c r="H17" i="6"/>
  <c r="H17" i="19" s="1" a="1"/>
  <c r="J35" i="19" a="1"/>
  <c r="G24" i="21" a="1"/>
  <c r="F48" i="17" a="1"/>
  <c r="G7" i="21" a="1"/>
  <c r="L42" i="1"/>
  <c r="F43" i="16"/>
  <c r="F43" i="17" s="1" a="1"/>
  <c r="L44" i="1"/>
  <c r="H46" i="1"/>
  <c r="K25" i="6"/>
  <c r="D11" i="19" a="1"/>
  <c r="J37" i="17" a="1"/>
  <c r="M16" i="19" a="1"/>
  <c r="E21" i="17" a="1"/>
  <c r="K32" i="6"/>
  <c r="K32" i="19" s="1" a="1"/>
  <c r="D24" i="1"/>
  <c r="I21" i="1"/>
  <c r="J16" i="6"/>
  <c r="G42" i="21" a="1"/>
  <c r="K10" i="19" a="1"/>
  <c r="H24" i="19" a="1"/>
  <c r="E13" i="17" a="1"/>
  <c r="M16" i="21" a="1"/>
  <c r="M49" i="17" a="1"/>
  <c r="K24" i="19" a="1"/>
  <c r="M38" i="17" a="1"/>
  <c r="K45" i="19" a="1"/>
  <c r="F20" i="21" a="1"/>
  <c r="J25" i="21" a="1"/>
  <c r="D12" i="17" a="1"/>
  <c r="H23" i="19" a="1"/>
  <c r="D10" i="1"/>
  <c r="E17" i="16"/>
  <c r="H33" i="17" a="1"/>
  <c r="D49" i="17" a="1"/>
  <c r="M7" i="6"/>
  <c r="E9" i="6"/>
  <c r="H41" i="17" a="1"/>
  <c r="I10" i="21" a="1"/>
  <c r="E35" i="1"/>
  <c r="L12" i="1"/>
  <c r="H25" i="16"/>
  <c r="G18" i="16"/>
  <c r="G18" i="19" s="1" a="1"/>
  <c r="H37" i="16"/>
  <c r="G26" i="1"/>
  <c r="J41" i="1"/>
  <c r="D17" i="16"/>
  <c r="J8" i="6"/>
  <c r="D13" i="16"/>
  <c r="H20" i="6"/>
  <c r="G38" i="6"/>
  <c r="H13" i="1"/>
  <c r="J49" i="1"/>
  <c r="F13" i="16"/>
  <c r="F13" i="19" s="1" a="1"/>
  <c r="D20" i="6"/>
  <c r="L36" i="16"/>
  <c r="M13" i="1"/>
  <c r="H49" i="1"/>
  <c r="D10" i="23" a="1"/>
  <c r="H39" i="1"/>
  <c r="F7" i="16"/>
  <c r="H40" i="6"/>
  <c r="M22" i="1"/>
  <c r="F32" i="21" a="1"/>
  <c r="L39" i="1"/>
  <c r="L7" i="16"/>
  <c r="L7" i="17" s="1" a="1"/>
  <c r="G40" i="6"/>
  <c r="G40" i="19" s="1" a="1"/>
  <c r="D22" i="1"/>
  <c r="D22" i="17" s="1" a="1"/>
  <c r="L47" i="21" a="1"/>
  <c r="F35" i="1"/>
  <c r="D45" i="1"/>
  <c r="F23" i="6"/>
  <c r="F18" i="16"/>
  <c r="F18" i="19" s="1" a="1"/>
  <c r="D33" i="17" a="1"/>
  <c r="F13" i="17" a="1"/>
  <c r="J32" i="6"/>
  <c r="E46" i="6"/>
  <c r="E46" i="19" s="1" a="1"/>
  <c r="H21" i="1"/>
  <c r="D37" i="16"/>
  <c r="D37" i="19" s="1" a="1"/>
  <c r="J8" i="1"/>
  <c r="H40" i="1"/>
  <c r="L11" i="21" a="1"/>
  <c r="E16" i="21" a="1"/>
  <c r="K16" i="1"/>
  <c r="M45" i="6"/>
  <c r="M45" i="19" s="1" a="1"/>
  <c r="G21" i="6"/>
  <c r="E10" i="19" a="1"/>
  <c r="L15" i="1"/>
  <c r="E36" i="6"/>
  <c r="E36" i="19" s="1" a="1"/>
  <c r="J42" i="17" a="1"/>
  <c r="M8" i="19" a="1"/>
  <c r="I43" i="19" a="1"/>
  <c r="H9" i="17" a="1"/>
  <c r="K41" i="17" a="1"/>
  <c r="M18" i="1"/>
  <c r="M25" i="16"/>
  <c r="M25" i="19" s="1" a="1"/>
  <c r="G32" i="12"/>
  <c r="L16" i="1"/>
  <c r="E45" i="21" a="1"/>
  <c r="E39" i="16"/>
  <c r="E39" i="17" s="1" a="1"/>
  <c r="D33" i="23" a="1"/>
  <c r="F10" i="21" a="1"/>
  <c r="M20" i="6"/>
  <c r="M20" i="19" s="1" a="1"/>
  <c r="M7" i="21" a="1"/>
  <c r="F33" i="17" a="1"/>
  <c r="D34" i="21" a="1"/>
  <c r="D49" i="19" a="1"/>
  <c r="I48" i="19" a="1"/>
  <c r="F44" i="19" a="1"/>
  <c r="H38" i="19" a="1"/>
  <c r="L7" i="19" a="1"/>
  <c r="M12" i="19" a="1"/>
  <c r="F7" i="19" a="1"/>
  <c r="M15" i="19" a="1"/>
  <c r="L17" i="19" a="1"/>
  <c r="J45" i="19" a="1"/>
  <c r="G16" i="19" a="1"/>
  <c r="D20" i="19" a="1"/>
  <c r="I49" i="19" a="1"/>
  <c r="J13" i="17" a="1"/>
  <c r="J13" i="21" a="1"/>
  <c r="J44" i="21" a="1"/>
  <c r="J44" i="17" a="1"/>
  <c r="G10" i="21" a="1"/>
  <c r="G10" i="17" a="1"/>
  <c r="I44" i="21" a="1"/>
  <c r="I44" i="17" a="1"/>
  <c r="E47" i="17" a="1"/>
  <c r="E47" i="19" a="1"/>
  <c r="I42" i="17" a="1"/>
  <c r="I42" i="21" a="1"/>
  <c r="F16" i="17" a="1"/>
  <c r="F16" i="21" a="1"/>
  <c r="L33" i="17" a="1"/>
  <c r="L33" i="21" a="1"/>
  <c r="I47" i="17" a="1"/>
  <c r="I47" i="19" a="1"/>
  <c r="K48" i="17" a="1"/>
  <c r="K48" i="19" a="1"/>
  <c r="H42" i="17" a="1"/>
  <c r="H42" i="19" a="1"/>
  <c r="I23" i="17" a="1"/>
  <c r="I23" i="21" a="1"/>
  <c r="D7" i="17" a="1"/>
  <c r="D7" i="19" a="1"/>
  <c r="L36" i="21" a="1"/>
  <c r="L36" i="17" a="1"/>
  <c r="M27" i="21" a="1"/>
  <c r="M27" i="17" a="1"/>
  <c r="I22" i="21" a="1"/>
  <c r="I22" i="17" a="1"/>
  <c r="D32" i="21" a="1"/>
  <c r="D32" i="17" a="1"/>
  <c r="L20" i="17" a="1"/>
  <c r="L20" i="19" a="1"/>
  <c r="G33" i="21" a="1"/>
  <c r="G33" i="17" a="1"/>
  <c r="E18" i="17" a="1"/>
  <c r="E18" i="19" a="1"/>
  <c r="J7" i="17" a="1"/>
  <c r="J7" i="21" a="1"/>
  <c r="K38" i="17" a="1"/>
  <c r="K38" i="21" a="1"/>
  <c r="D47" i="21" a="1"/>
  <c r="D47" i="17" a="1"/>
  <c r="I15" i="21" a="1"/>
  <c r="I15" i="17" a="1"/>
  <c r="G27" i="21" a="1"/>
  <c r="G27" i="17" a="1"/>
  <c r="G27" i="19" a="1"/>
  <c r="H10" i="17" a="1"/>
  <c r="H10" i="19" a="1"/>
  <c r="G43" i="17" a="1"/>
  <c r="G43" i="19" a="1"/>
  <c r="E43" i="21" a="1"/>
  <c r="E43" i="17" a="1"/>
  <c r="J34" i="17" a="1"/>
  <c r="J34" i="19" a="1"/>
  <c r="H19" i="17" a="1"/>
  <c r="H19" i="21" a="1"/>
  <c r="H19" i="19" a="1"/>
  <c r="F49" i="17" a="1"/>
  <c r="F49" i="19" a="1"/>
  <c r="L26" i="17" a="1"/>
  <c r="L26" i="21" a="1"/>
  <c r="I20" i="21" a="1"/>
  <c r="I20" i="17" a="1"/>
  <c r="E11" i="17" a="1"/>
  <c r="E11" i="19" a="1"/>
  <c r="E46" i="17" a="1"/>
  <c r="E46" i="21" a="1"/>
  <c r="M17" i="17" a="1"/>
  <c r="M17" i="19" a="1"/>
  <c r="D46" i="17" a="1"/>
  <c r="D46" i="19" a="1"/>
  <c r="E23" i="17" a="1"/>
  <c r="E23" i="19" a="1"/>
  <c r="D41" i="17" a="1"/>
  <c r="D41" i="23" a="1"/>
  <c r="D41" i="19" a="1"/>
  <c r="L25" i="21" a="1"/>
  <c r="L25" i="17" a="1"/>
  <c r="M26" i="17" a="1"/>
  <c r="M26" i="19" a="1"/>
  <c r="M20" i="21" a="1"/>
  <c r="M20" i="17" a="1"/>
  <c r="H12" i="17" a="1"/>
  <c r="H12" i="19" a="1"/>
  <c r="F41" i="17" a="1"/>
  <c r="F41" i="19" a="1"/>
  <c r="M43" i="17" a="1"/>
  <c r="M43" i="22" a="1"/>
  <c r="M43" i="19" a="1"/>
  <c r="K15" i="17" a="1"/>
  <c r="K15" i="21" a="1"/>
  <c r="J36" i="21" a="1"/>
  <c r="J36" i="19" a="1"/>
  <c r="L23" i="17" a="1"/>
  <c r="L23" i="19" a="1"/>
  <c r="K7" i="21" a="1"/>
  <c r="K7" i="17" a="1"/>
  <c r="J19" i="17" a="1"/>
  <c r="J19" i="21" a="1"/>
  <c r="J19" i="19" a="1"/>
  <c r="J22" i="17" a="1"/>
  <c r="J22" i="21" a="1"/>
  <c r="E8" i="21" a="1"/>
  <c r="E8" i="17" a="1"/>
  <c r="L48" i="17" a="1"/>
  <c r="L48" i="19" a="1"/>
  <c r="G11" i="21" a="1"/>
  <c r="G11" i="17" a="1"/>
  <c r="G18" i="21" a="1"/>
  <c r="G18" i="17" a="1"/>
  <c r="K34" i="17" a="1"/>
  <c r="K34" i="22" a="1"/>
  <c r="K34" i="19" a="1"/>
  <c r="J43" i="21" a="1"/>
  <c r="J43" i="17" a="1"/>
  <c r="M48" i="17" a="1"/>
  <c r="M48" i="19" a="1"/>
  <c r="E49" i="17" a="1"/>
  <c r="E49" i="19" a="1"/>
  <c r="J11" i="21" a="1"/>
  <c r="J11" i="19" a="1"/>
  <c r="I37" i="17" a="1"/>
  <c r="I37" i="21" a="1"/>
  <c r="M36" i="21" a="1"/>
  <c r="M36" i="19" a="1"/>
  <c r="F10" i="17" a="1"/>
  <c r="F10" i="19" a="1"/>
  <c r="G36" i="17" a="1"/>
  <c r="G36" i="19" a="1"/>
  <c r="E19" i="17" a="1"/>
  <c r="E19" i="21" a="1"/>
  <c r="E19" i="19" a="1"/>
  <c r="K43" i="17" a="1"/>
  <c r="K43" i="21" a="1"/>
  <c r="D42" i="17" a="1"/>
  <c r="D42" i="21" a="1"/>
  <c r="D44" i="21" a="1"/>
  <c r="D44" i="17" a="1"/>
  <c r="I46" i="21" a="1"/>
  <c r="I46" i="17" a="1"/>
  <c r="K27" i="17" a="1"/>
  <c r="K27" i="19" a="1"/>
  <c r="I40" i="21" a="1"/>
  <c r="I40" i="17" a="1"/>
  <c r="M39" i="17" a="1"/>
  <c r="M39" i="21" a="1"/>
  <c r="F22" i="17" a="1"/>
  <c r="F22" i="21" a="1"/>
  <c r="H16" i="21" a="1"/>
  <c r="H16" i="17" a="1"/>
  <c r="G49" i="17" a="1"/>
  <c r="G49" i="19" a="1"/>
  <c r="D18" i="22" a="1"/>
  <c r="D18" i="17" a="1"/>
  <c r="D18" i="19" a="1"/>
  <c r="I27" i="17" a="1"/>
  <c r="I27" i="19" a="1"/>
  <c r="M19" i="21" a="1"/>
  <c r="M19" i="17" a="1"/>
  <c r="I8" i="17" a="1"/>
  <c r="I8" i="21" a="1"/>
  <c r="J26" i="17" a="1"/>
  <c r="J26" i="19" a="1"/>
  <c r="I7" i="17" a="1"/>
  <c r="I7" i="19" a="1"/>
  <c r="M23" i="17" a="1"/>
  <c r="M23" i="19" a="1"/>
  <c r="G44" i="17" a="1"/>
  <c r="G44" i="19" a="1"/>
  <c r="L14" i="17" a="1"/>
  <c r="L14" i="21" a="1"/>
  <c r="L14" i="19" a="1"/>
  <c r="K9" i="17" a="1"/>
  <c r="K9" i="19" a="1"/>
  <c r="H27" i="17" a="1"/>
  <c r="H27" i="19" a="1"/>
  <c r="M32" i="22" a="1"/>
  <c r="M32" i="17" a="1"/>
  <c r="M32" i="19" a="1"/>
  <c r="D47" i="22" a="1"/>
  <c r="D47" i="19" a="1"/>
  <c r="M10" i="21" a="1"/>
  <c r="M10" i="17" a="1"/>
  <c r="I45" i="17" a="1"/>
  <c r="I45" i="19" a="1"/>
  <c r="G48" i="17" a="1"/>
  <c r="G48" i="21" a="1"/>
  <c r="F40" i="21" a="1"/>
  <c r="F40" i="17" a="1"/>
  <c r="F40" i="19" a="1"/>
  <c r="H18" i="17" a="1"/>
  <c r="H18" i="21" a="1"/>
  <c r="L34" i="17" a="1"/>
  <c r="L34" i="22" a="1"/>
  <c r="L34" i="19" a="1"/>
  <c r="L43" i="21" a="1"/>
  <c r="L43" i="17" a="1"/>
  <c r="L43" i="19" a="1"/>
  <c r="D37" i="21" a="1"/>
  <c r="D37" i="17" a="1"/>
  <c r="M25" i="21" a="1"/>
  <c r="M25" i="17" a="1"/>
  <c r="F34" i="17" a="1"/>
  <c r="F34" i="19" a="1"/>
  <c r="L49" i="17" a="1"/>
  <c r="L49" i="19" a="1"/>
  <c r="H7" i="17" a="1"/>
  <c r="H7" i="19" a="1"/>
  <c r="D40" i="22" a="1"/>
  <c r="D40" i="17" a="1"/>
  <c r="D40" i="19" a="1"/>
  <c r="D25" i="23" a="1"/>
  <c r="D25" i="17" a="1"/>
  <c r="D25" i="19" a="1"/>
  <c r="M35" i="17" a="1"/>
  <c r="M35" i="21" a="1"/>
  <c r="F45" i="17" a="1"/>
  <c r="F45" i="19" a="1"/>
  <c r="I25" i="17" a="1"/>
  <c r="I25" i="19" a="1"/>
  <c r="L19" i="17" a="1"/>
  <c r="L19" i="19" a="1"/>
  <c r="E41" i="17" a="1"/>
  <c r="E41" i="19" a="1"/>
  <c r="D33" i="22" a="1"/>
  <c r="D33" i="19" a="1"/>
  <c r="M33" i="17" a="1"/>
  <c r="M33" i="19" a="1"/>
  <c r="H44" i="17" a="1"/>
  <c r="H44" i="19" a="1"/>
  <c r="L11" i="17" a="1"/>
  <c r="L11" i="19" a="1"/>
  <c r="J39" i="21" a="1"/>
  <c r="J39" i="17" a="1"/>
  <c r="J39" i="19" a="1"/>
  <c r="I12" i="21" a="1"/>
  <c r="I12" i="17" a="1"/>
  <c r="I12" i="19" a="1"/>
  <c r="K40" i="17" a="1"/>
  <c r="K40" i="19" a="1"/>
  <c r="K22" i="17" a="1"/>
  <c r="K22" i="21" a="1"/>
  <c r="K22" i="19" a="1"/>
  <c r="D38" i="17" a="1"/>
  <c r="D38" i="22" a="1"/>
  <c r="D38" i="19" a="1"/>
  <c r="E34" i="21" a="1"/>
  <c r="E34" i="17" a="1"/>
  <c r="K17" i="17" a="1"/>
  <c r="K17" i="19" a="1"/>
  <c r="E26" i="21" a="1"/>
  <c r="E26" i="17" a="1"/>
  <c r="G46" i="17" a="1"/>
  <c r="G46" i="19" a="1"/>
  <c r="J17" i="17" a="1"/>
  <c r="J17" i="19" a="1"/>
  <c r="H14" i="21" a="1"/>
  <c r="H14" i="19" a="1"/>
  <c r="K32" i="21" a="1"/>
  <c r="K32" i="17" a="1"/>
  <c r="E42" i="21" a="1"/>
  <c r="E42" i="17" a="1"/>
  <c r="E42" i="19" a="1"/>
  <c r="K44" i="17" a="1"/>
  <c r="K44" i="21" a="1"/>
  <c r="J46" i="21" a="1"/>
  <c r="J46" i="19" a="1"/>
  <c r="J25" i="22" a="1"/>
  <c r="J25" i="19" a="1"/>
  <c r="D26" i="22" a="1"/>
  <c r="D26" i="17" a="1"/>
  <c r="E44" i="17" a="1"/>
  <c r="E44" i="19" a="1"/>
  <c r="G7" i="23" a="1"/>
  <c r="G7" i="19" a="1"/>
  <c r="L24" i="17" a="1"/>
  <c r="L24" i="19" a="1"/>
  <c r="H32" i="17" a="1"/>
  <c r="H32" i="21" a="1"/>
  <c r="I26" i="17" a="1"/>
  <c r="I26" i="21" a="1"/>
  <c r="I26" i="19" a="1"/>
  <c r="K14" i="17" a="1"/>
  <c r="K14" i="21" a="1"/>
  <c r="J20" i="17" a="1"/>
  <c r="J20" i="19" a="1"/>
  <c r="G13" i="17" a="1"/>
  <c r="G13" i="19" a="1"/>
  <c r="J27" i="21" a="1"/>
  <c r="J27" i="17" a="1"/>
  <c r="J27" i="19" a="1"/>
  <c r="E33" i="21" a="1"/>
  <c r="E33" i="17" a="1"/>
  <c r="E33" i="19" a="1"/>
  <c r="E37" i="17" a="1"/>
  <c r="E37" i="21" a="1"/>
  <c r="E37" i="19" a="1"/>
  <c r="H26" i="17" a="1"/>
  <c r="H26" i="19" a="1"/>
  <c r="I35" i="21" a="1"/>
  <c r="I35" i="17" a="1"/>
  <c r="I35" i="19" a="1"/>
  <c r="L45" i="21" a="1"/>
  <c r="L45" i="19" a="1"/>
  <c r="I18" i="17" a="1"/>
  <c r="I18" i="19" a="1"/>
  <c r="M21" i="17" a="1"/>
  <c r="M21" i="21" a="1"/>
  <c r="M21" i="19" a="1"/>
  <c r="F32" i="22" a="1"/>
  <c r="F32" i="17" a="1"/>
  <c r="I24" i="21" a="1"/>
  <c r="I24" i="17" a="1"/>
  <c r="I24" i="19" a="1"/>
  <c r="L21" i="21" a="1"/>
  <c r="L21" i="17" a="1"/>
  <c r="L21" i="19" a="1"/>
  <c r="M14" i="21" a="1"/>
  <c r="M14" i="17" a="1"/>
  <c r="I34" i="17" a="1"/>
  <c r="I34" i="19" a="1"/>
  <c r="K8" i="17" a="1"/>
  <c r="K8" i="19" a="1"/>
  <c r="H35" i="17" a="1"/>
  <c r="H35" i="19" a="1"/>
  <c r="M11" i="21" a="1"/>
  <c r="M11" i="17" a="1"/>
  <c r="K37" i="21" a="1"/>
  <c r="K37" i="17" a="1"/>
  <c r="G39" i="17" a="1"/>
  <c r="G39" i="21" a="1"/>
  <c r="G39" i="19" a="1"/>
  <c r="F12" i="17" a="1"/>
  <c r="F12" i="21" a="1"/>
  <c r="F12" i="19" a="1"/>
  <c r="E40" i="17" a="1"/>
  <c r="E40" i="19" a="1"/>
  <c r="H22" i="17" a="1"/>
  <c r="H22" i="21" a="1"/>
  <c r="H22" i="19" a="1"/>
  <c r="K23" i="17" a="1"/>
  <c r="K23" i="19" a="1"/>
  <c r="F9" i="17" a="1"/>
  <c r="F9" i="19" a="1"/>
  <c r="H17" i="21" a="1"/>
  <c r="H17" i="17" a="1"/>
  <c r="G47" i="17" a="1"/>
  <c r="G47" i="21" a="1"/>
  <c r="G47" i="19" a="1"/>
  <c r="H15" i="17" a="1"/>
  <c r="H15" i="21" a="1"/>
  <c r="H15" i="19" a="1"/>
  <c r="E38" i="17" a="1"/>
  <c r="E38" i="19" a="1"/>
  <c r="I16" i="21" a="1"/>
  <c r="I16" i="17" a="1"/>
  <c r="I16" i="19" a="1"/>
  <c r="F25" i="21" a="1"/>
  <c r="F25" i="17" a="1"/>
  <c r="F25" i="19" a="1"/>
  <c r="E32" i="17" a="1"/>
  <c r="E32" i="21" a="1"/>
  <c r="E32" i="19" a="1"/>
  <c r="H36" i="17" a="1"/>
  <c r="H36" i="22" a="1"/>
  <c r="H36" i="19" a="1"/>
  <c r="G23" i="21" a="1"/>
  <c r="G23" i="17" a="1"/>
  <c r="I10" i="17" a="1"/>
  <c r="I10" i="19" a="1"/>
  <c r="E45" i="17" a="1"/>
  <c r="E45" i="19" a="1"/>
  <c r="G40" i="21" a="1"/>
  <c r="G40" i="17" a="1"/>
  <c r="D35" i="17" a="1"/>
  <c r="D35" i="21" a="1"/>
  <c r="D35" i="19" a="1"/>
  <c r="J12" i="17" a="1"/>
  <c r="J12" i="21" a="1"/>
  <c r="J12" i="19" a="1"/>
  <c r="E7" i="17" a="1"/>
  <c r="E7" i="23" a="1"/>
  <c r="E7" i="19" a="1"/>
  <c r="J24" i="21" a="1"/>
  <c r="J24" i="17" a="1"/>
  <c r="J24" i="19" a="1"/>
  <c r="D21" i="21" a="1"/>
  <c r="D21" i="17" a="1"/>
  <c r="D21" i="19" a="1"/>
  <c r="F37" i="17" a="1"/>
  <c r="F37" i="19" a="1"/>
  <c r="F26" i="17" a="1"/>
  <c r="F26" i="21" a="1"/>
  <c r="F26" i="19" a="1"/>
  <c r="K41" i="21" a="1"/>
  <c r="K41" i="19" a="1"/>
  <c r="G17" i="17" a="1"/>
  <c r="G17" i="19" a="1"/>
  <c r="H8" i="17" a="1"/>
  <c r="H8" i="19" a="1"/>
  <c r="K26" i="17" a="1"/>
  <c r="K26" i="21" a="1"/>
  <c r="K26" i="19" a="1"/>
  <c r="I41" i="17" a="1"/>
  <c r="I41" i="21" a="1"/>
  <c r="I41" i="19" a="1"/>
  <c r="D15" i="17" a="1"/>
  <c r="D15" i="22" a="1"/>
  <c r="L37" i="21" a="1"/>
  <c r="L37" i="19" a="1"/>
  <c r="D26" i="23" a="1"/>
  <c r="D26" i="19" a="1"/>
  <c r="F11" i="17" a="1"/>
  <c r="F11" i="21" a="1"/>
  <c r="F11" i="19" a="1"/>
  <c r="M37" i="21" a="1"/>
  <c r="M37" i="19" a="1"/>
  <c r="K39" i="17" a="1"/>
  <c r="K39" i="21" a="1"/>
  <c r="K39" i="19" a="1"/>
  <c r="E22" i="21" a="1"/>
  <c r="E22" i="17" a="1"/>
  <c r="E22" i="19" a="1"/>
  <c r="M45" i="17" a="1"/>
  <c r="M45" i="21" a="1"/>
  <c r="K46" i="17" a="1"/>
  <c r="K46" i="19" a="1"/>
  <c r="F14" i="17" a="1"/>
  <c r="F14" i="21" a="1"/>
  <c r="F14" i="19" a="1"/>
  <c r="G14" i="17" a="1"/>
  <c r="G14" i="19" a="1"/>
  <c r="K18" i="17" a="1"/>
  <c r="K18" i="19" a="1"/>
  <c r="L47" i="17" a="1"/>
  <c r="L47" i="19" a="1"/>
  <c r="E36" i="17" a="1"/>
  <c r="E36" i="21" a="1"/>
  <c r="L27" i="17" a="1"/>
  <c r="L27" i="21" a="1"/>
  <c r="L27" i="19" a="1"/>
  <c r="D16" i="17" a="1"/>
  <c r="D16" i="23" a="1"/>
  <c r="D16" i="19" a="1"/>
  <c r="J9" i="17" a="1"/>
  <c r="J9" i="19" a="1"/>
  <c r="M47" i="17" a="1"/>
  <c r="M47" i="21" a="1"/>
  <c r="M47" i="19" a="1"/>
  <c r="F18" i="21" a="1"/>
  <c r="F18" i="17" a="1"/>
  <c r="K36" i="17" a="1"/>
  <c r="K36" i="19" a="1"/>
  <c r="G9" i="17" a="1"/>
  <c r="G9" i="23" a="1"/>
  <c r="G9" i="19" a="1"/>
  <c r="I43" i="17" a="1"/>
  <c r="I43" i="21" a="1"/>
  <c r="G42" i="17" a="1"/>
  <c r="G42" i="19" a="1"/>
  <c r="J21" i="17" a="1"/>
  <c r="J21" i="19" a="1"/>
  <c r="I33" i="21" a="1"/>
  <c r="I33" i="17" a="1"/>
  <c r="G22" i="17" a="1"/>
  <c r="G22" i="19" a="1"/>
  <c r="D34" i="17" a="1"/>
  <c r="D34" i="19" a="1"/>
  <c r="L42" i="21" a="1"/>
  <c r="L42" i="17" a="1"/>
  <c r="L42" i="19" a="1"/>
  <c r="L44" i="21" a="1"/>
  <c r="L44" i="17" a="1"/>
  <c r="L44" i="19" a="1"/>
  <c r="H46" i="17" a="1"/>
  <c r="H46" i="21" a="1"/>
  <c r="H46" i="19" a="1"/>
  <c r="K25" i="17" a="1"/>
  <c r="K25" i="19" a="1"/>
  <c r="D24" i="17" a="1"/>
  <c r="D24" i="21" a="1"/>
  <c r="D24" i="19" a="1"/>
  <c r="I21" i="17" a="1"/>
  <c r="I21" i="21" a="1"/>
  <c r="I21" i="19" a="1"/>
  <c r="J16" i="17" a="1"/>
  <c r="J16" i="19" a="1"/>
  <c r="D10" i="17" a="1"/>
  <c r="D10" i="21" a="1"/>
  <c r="D10" i="19" a="1"/>
  <c r="E17" i="17" a="1"/>
  <c r="E17" i="19" a="1"/>
  <c r="M7" i="17" a="1"/>
  <c r="M7" i="22" a="1"/>
  <c r="M7" i="19" a="1"/>
  <c r="E9" i="17" a="1"/>
  <c r="E9" i="19" a="1"/>
  <c r="E35" i="17" a="1"/>
  <c r="E35" i="21" a="1"/>
  <c r="E35" i="19" a="1"/>
  <c r="L12" i="21" a="1"/>
  <c r="L12" i="17" a="1"/>
  <c r="L12" i="19" a="1"/>
  <c r="H25" i="17" a="1"/>
  <c r="H25" i="19" a="1"/>
  <c r="H37" i="17" a="1"/>
  <c r="H37" i="19" a="1"/>
  <c r="G26" i="21" a="1"/>
  <c r="G26" i="17" a="1"/>
  <c r="G26" i="19" a="1"/>
  <c r="J41" i="21" a="1"/>
  <c r="J41" i="17" a="1"/>
  <c r="J41" i="19" a="1"/>
  <c r="D17" i="23" a="1"/>
  <c r="D17" i="17" a="1"/>
  <c r="D17" i="19" a="1"/>
  <c r="D13" i="17" a="1"/>
  <c r="D13" i="23" a="1"/>
  <c r="D13" i="19" a="1"/>
  <c r="H20" i="17" a="1"/>
  <c r="H20" i="19" a="1"/>
  <c r="G38" i="17" a="1"/>
  <c r="G38" i="19" a="1"/>
  <c r="H13" i="21" a="1"/>
  <c r="H13" i="19" a="1"/>
  <c r="J49" i="21" a="1"/>
  <c r="J49" i="17" a="1"/>
  <c r="J49" i="19" a="1"/>
  <c r="D20" i="17" a="1"/>
  <c r="D20" i="22" a="1"/>
  <c r="L36" i="23" a="1"/>
  <c r="L36" i="19" a="1"/>
  <c r="M13" i="21" a="1"/>
  <c r="M13" i="17" a="1"/>
  <c r="M13" i="19" a="1"/>
  <c r="H49" i="21" a="1"/>
  <c r="H49" i="19" a="1"/>
  <c r="H39" i="17" a="1"/>
  <c r="H39" i="21" a="1"/>
  <c r="H39" i="19" a="1"/>
  <c r="F7" i="17" a="1"/>
  <c r="F7" i="23" a="1"/>
  <c r="M22" i="17" a="1"/>
  <c r="M22" i="21" a="1"/>
  <c r="M22" i="19" a="1"/>
  <c r="L39" i="21" a="1"/>
  <c r="L39" i="17" a="1"/>
  <c r="F35" i="21" a="1"/>
  <c r="F35" i="17" a="1"/>
  <c r="F35" i="19" a="1"/>
  <c r="D45" i="21" a="1"/>
  <c r="D45" i="17" a="1"/>
  <c r="D45" i="19" a="1"/>
  <c r="F23" i="17" a="1"/>
  <c r="F23" i="19" a="1"/>
  <c r="J32" i="22" a="1"/>
  <c r="J32" i="17" a="1"/>
  <c r="J32" i="19" a="1"/>
  <c r="H21" i="17" a="1"/>
  <c r="H21" i="21" a="1"/>
  <c r="H21" i="19" a="1"/>
  <c r="J8" i="17" a="1"/>
  <c r="J8" i="21" a="1"/>
  <c r="J8" i="19" a="1"/>
  <c r="H40" i="17" a="1"/>
  <c r="H40" i="21" a="1"/>
  <c r="H40" i="19" a="1"/>
  <c r="K16" i="17" a="1"/>
  <c r="K16" i="21" a="1"/>
  <c r="K16" i="19" a="1"/>
  <c r="G21" i="17" a="1"/>
  <c r="G21" i="19" a="1"/>
  <c r="L15" i="21" a="1"/>
  <c r="L15" i="17" a="1"/>
  <c r="L15" i="19" a="1"/>
  <c r="M18" i="17" a="1"/>
  <c r="M18" i="21" a="1"/>
  <c r="M18" i="19" a="1"/>
  <c r="L16" i="21" a="1"/>
  <c r="L16" i="17" a="1"/>
  <c r="O7" i="12" l="1"/>
  <c r="N7" i="12"/>
  <c r="D41" i="23"/>
  <c r="G41" i="19"/>
  <c r="I7" i="17"/>
  <c r="I7" i="19"/>
  <c r="I7" i="21"/>
  <c r="M7" i="21"/>
  <c r="M7" i="19"/>
  <c r="M7" i="17"/>
  <c r="D7" i="21"/>
  <c r="D7" i="17"/>
  <c r="D7" i="19"/>
  <c r="L7" i="17"/>
  <c r="L7" i="19"/>
  <c r="K7" i="21"/>
  <c r="K7" i="17"/>
  <c r="K7" i="19"/>
  <c r="H7" i="17"/>
  <c r="H7" i="21"/>
  <c r="H7" i="19"/>
  <c r="E7" i="21"/>
  <c r="E7" i="19"/>
  <c r="E7" i="17"/>
  <c r="F7" i="17"/>
  <c r="F7" i="19"/>
  <c r="G7" i="21"/>
  <c r="G7" i="17"/>
  <c r="G7" i="19"/>
  <c r="J7" i="21"/>
  <c r="J7" i="17"/>
  <c r="J7" i="19"/>
  <c r="D9" i="22"/>
  <c r="D11" i="23"/>
  <c r="E11" i="19"/>
  <c r="E11" i="23"/>
  <c r="L15" i="21"/>
  <c r="L15" i="17"/>
  <c r="L15" i="19"/>
  <c r="M15" i="17"/>
  <c r="M15" i="19"/>
  <c r="F15" i="21"/>
  <c r="F15" i="17"/>
  <c r="H15" i="21"/>
  <c r="H15" i="17"/>
  <c r="H15" i="19"/>
  <c r="G15" i="21"/>
  <c r="G15" i="17"/>
  <c r="G15" i="19"/>
  <c r="J15" i="21"/>
  <c r="J15" i="19"/>
  <c r="J15" i="17"/>
  <c r="I15" i="21"/>
  <c r="I15" i="19"/>
  <c r="I15" i="17"/>
  <c r="D15" i="17"/>
  <c r="D15" i="21"/>
  <c r="D15" i="19"/>
  <c r="K15" i="17"/>
  <c r="K15" i="21"/>
  <c r="E15" i="17"/>
  <c r="E15" i="21"/>
  <c r="K17" i="19"/>
  <c r="F19" i="19"/>
  <c r="J19" i="19"/>
  <c r="J19" i="23"/>
  <c r="H23" i="19"/>
  <c r="H23" i="17"/>
  <c r="H23" i="21"/>
  <c r="D23" i="17"/>
  <c r="D23" i="21"/>
  <c r="D23" i="19"/>
  <c r="G23" i="17"/>
  <c r="G23" i="21"/>
  <c r="G23" i="19"/>
  <c r="E23" i="21"/>
  <c r="E23" i="19"/>
  <c r="E23" i="17"/>
  <c r="K23" i="21"/>
  <c r="K23" i="19"/>
  <c r="K23" i="17"/>
  <c r="F23" i="17"/>
  <c r="F23" i="19"/>
  <c r="L23" i="21"/>
  <c r="L23" i="17"/>
  <c r="L23" i="19"/>
  <c r="J23" i="17"/>
  <c r="J23" i="21"/>
  <c r="I23" i="17"/>
  <c r="I23" i="19"/>
  <c r="I23" i="21"/>
  <c r="M23" i="17"/>
  <c r="M23" i="21"/>
  <c r="M23" i="19"/>
  <c r="D25" i="22"/>
  <c r="J25" i="19"/>
  <c r="J25" i="22"/>
  <c r="G25" i="19"/>
  <c r="G25" i="22"/>
  <c r="D27" i="23"/>
  <c r="M40" i="19"/>
  <c r="M40" i="17"/>
  <c r="M40" i="21"/>
  <c r="E40" i="21"/>
  <c r="E40" i="19"/>
  <c r="E40" i="17"/>
  <c r="L40" i="17"/>
  <c r="L40" i="19"/>
  <c r="L40" i="21"/>
  <c r="G40" i="21"/>
  <c r="G40" i="19"/>
  <c r="G40" i="17"/>
  <c r="F40" i="21"/>
  <c r="F40" i="19"/>
  <c r="F40" i="17"/>
  <c r="I40" i="17"/>
  <c r="I40" i="19"/>
  <c r="I40" i="21"/>
  <c r="J40" i="19"/>
  <c r="J40" i="21"/>
  <c r="K40" i="17"/>
  <c r="K40" i="21"/>
  <c r="K40" i="19"/>
  <c r="H40" i="21"/>
  <c r="H40" i="17"/>
  <c r="H40" i="19"/>
  <c r="D40" i="17"/>
  <c r="D40" i="21"/>
  <c r="D40" i="19"/>
  <c r="D42" i="22"/>
  <c r="D43" i="21"/>
  <c r="D43" i="17"/>
  <c r="D43" i="19"/>
  <c r="H43" i="21"/>
  <c r="F43" i="21"/>
  <c r="F43" i="17"/>
  <c r="G43" i="19"/>
  <c r="G43" i="17"/>
  <c r="G43" i="21"/>
  <c r="M43" i="17"/>
  <c r="M43" i="21"/>
  <c r="L43" i="21"/>
  <c r="L43" i="17"/>
  <c r="L43" i="19"/>
  <c r="J43" i="17"/>
  <c r="J43" i="21"/>
  <c r="J43" i="19"/>
  <c r="K43" i="21"/>
  <c r="K43" i="17"/>
  <c r="K43" i="19"/>
  <c r="I43" i="19"/>
  <c r="I43" i="21"/>
  <c r="I43" i="17"/>
  <c r="E43" i="17"/>
  <c r="E43" i="21"/>
  <c r="I49" i="17"/>
  <c r="I49" i="19"/>
  <c r="G49" i="19"/>
  <c r="G49" i="21"/>
  <c r="G49" i="17"/>
  <c r="K49" i="21"/>
  <c r="K49" i="19"/>
  <c r="M49" i="21"/>
  <c r="M49" i="19"/>
  <c r="M49" i="17"/>
  <c r="E49" i="19"/>
  <c r="E49" i="17"/>
  <c r="E49" i="21"/>
  <c r="L49" i="17"/>
  <c r="L49" i="19"/>
  <c r="H49" i="21"/>
  <c r="H49" i="19"/>
  <c r="J49" i="17"/>
  <c r="J49" i="19"/>
  <c r="J49" i="21"/>
  <c r="F49" i="21"/>
  <c r="F49" i="17"/>
  <c r="F49" i="19"/>
  <c r="D49" i="17"/>
  <c r="D49" i="21"/>
  <c r="D49" i="19"/>
  <c r="J16" i="21"/>
  <c r="J16" i="19"/>
  <c r="J16" i="17"/>
  <c r="H16" i="21"/>
  <c r="H16" i="17"/>
  <c r="H16" i="19"/>
  <c r="F16" i="21"/>
  <c r="F16" i="19"/>
  <c r="F16" i="17"/>
  <c r="K16" i="21"/>
  <c r="K16" i="17"/>
  <c r="K16" i="19"/>
  <c r="I16" i="17"/>
  <c r="I16" i="19"/>
  <c r="I16" i="21"/>
  <c r="M16" i="21"/>
  <c r="M16" i="19"/>
  <c r="G16" i="17"/>
  <c r="G16" i="19"/>
  <c r="E16" i="17"/>
  <c r="E16" i="21"/>
  <c r="L16" i="21"/>
  <c r="L16" i="17"/>
  <c r="D16" i="17"/>
  <c r="D16" i="21"/>
  <c r="D16" i="19"/>
  <c r="I8" i="22"/>
  <c r="H14" i="17"/>
  <c r="H14" i="19"/>
  <c r="H14" i="21"/>
  <c r="J14" i="21"/>
  <c r="J14" i="19"/>
  <c r="J14" i="17"/>
  <c r="L14" i="21"/>
  <c r="L14" i="19"/>
  <c r="L14" i="17"/>
  <c r="F14" i="21"/>
  <c r="F14" i="19"/>
  <c r="F14" i="17"/>
  <c r="E14" i="19"/>
  <c r="E14" i="21"/>
  <c r="E14" i="17"/>
  <c r="K14" i="17"/>
  <c r="K14" i="21"/>
  <c r="G14" i="19"/>
  <c r="G14" i="17"/>
  <c r="G14" i="21"/>
  <c r="D14" i="21"/>
  <c r="D14" i="17"/>
  <c r="D14" i="19"/>
  <c r="M14" i="21"/>
  <c r="M14" i="17"/>
  <c r="I14" i="17"/>
  <c r="I14" i="21"/>
  <c r="I14" i="19"/>
  <c r="D16" i="22"/>
  <c r="D18" i="23"/>
  <c r="I22" i="17"/>
  <c r="I22" i="21"/>
  <c r="I22" i="19"/>
  <c r="G22" i="21"/>
  <c r="G22" i="17"/>
  <c r="G22" i="19"/>
  <c r="F22" i="21"/>
  <c r="F22" i="17"/>
  <c r="F22" i="19"/>
  <c r="L22" i="21"/>
  <c r="L22" i="17"/>
  <c r="L22" i="19"/>
  <c r="J22" i="17"/>
  <c r="J22" i="19"/>
  <c r="J22" i="21"/>
  <c r="K22" i="19"/>
  <c r="K22" i="17"/>
  <c r="K22" i="21"/>
  <c r="H22" i="17"/>
  <c r="H22" i="19"/>
  <c r="H22" i="21"/>
  <c r="E22" i="17"/>
  <c r="E22" i="21"/>
  <c r="E22" i="19"/>
  <c r="D22" i="17"/>
  <c r="M22" i="17"/>
  <c r="M22" i="21"/>
  <c r="M22" i="19"/>
  <c r="F24" i="19"/>
  <c r="F24" i="22"/>
  <c r="D26" i="23"/>
  <c r="D33" i="22"/>
  <c r="D35" i="23"/>
  <c r="G35" i="19"/>
  <c r="D39" i="23"/>
  <c r="D45" i="22"/>
  <c r="D48" i="22"/>
  <c r="D10" i="23"/>
  <c r="J10" i="19"/>
  <c r="J10" i="23"/>
  <c r="L34" i="21"/>
  <c r="L34" i="17"/>
  <c r="F34" i="17"/>
  <c r="F34" i="19"/>
  <c r="F34" i="21"/>
  <c r="D34" i="21"/>
  <c r="D34" i="17"/>
  <c r="D34" i="19"/>
  <c r="H34" i="19"/>
  <c r="H34" i="21"/>
  <c r="I34" i="19"/>
  <c r="I34" i="17"/>
  <c r="I34" i="21"/>
  <c r="E34" i="17"/>
  <c r="E34" i="21"/>
  <c r="E34" i="19"/>
  <c r="K34" i="21"/>
  <c r="K34" i="17"/>
  <c r="M34" i="19"/>
  <c r="M34" i="21"/>
  <c r="J34" i="19"/>
  <c r="J34" i="17"/>
  <c r="J34" i="21"/>
  <c r="G34" i="19"/>
  <c r="G34" i="21"/>
  <c r="H36" i="19"/>
  <c r="H36" i="22"/>
  <c r="I38" i="17"/>
  <c r="I38" i="21"/>
  <c r="I38" i="19"/>
  <c r="J38" i="21"/>
  <c r="J38" i="17"/>
  <c r="G38" i="19"/>
  <c r="G38" i="17"/>
  <c r="D38" i="21"/>
  <c r="D38" i="17"/>
  <c r="D38" i="19"/>
  <c r="E38" i="17"/>
  <c r="E38" i="21"/>
  <c r="E38" i="19"/>
  <c r="M38" i="21"/>
  <c r="M38" i="17"/>
  <c r="M38" i="19"/>
  <c r="H38" i="17"/>
  <c r="H38" i="19"/>
  <c r="K38" i="21"/>
  <c r="K38" i="19"/>
  <c r="K38" i="17"/>
  <c r="L38" i="17"/>
  <c r="L38" i="19"/>
  <c r="L38" i="21"/>
  <c r="F38" i="21"/>
  <c r="F38" i="19"/>
  <c r="F46" i="21"/>
  <c r="G46" i="17"/>
  <c r="G46" i="19"/>
  <c r="G46" i="21"/>
  <c r="M46" i="21"/>
  <c r="M46" i="19"/>
  <c r="M46" i="17"/>
  <c r="H46" i="17"/>
  <c r="H46" i="21"/>
  <c r="J46" i="17"/>
  <c r="J46" i="19"/>
  <c r="J46" i="21"/>
  <c r="K46" i="19"/>
  <c r="K46" i="17"/>
  <c r="K46" i="21"/>
  <c r="D46" i="17"/>
  <c r="D46" i="21"/>
  <c r="D46" i="19"/>
  <c r="I46" i="21"/>
  <c r="I46" i="17"/>
  <c r="I46" i="19"/>
  <c r="E46" i="19"/>
  <c r="E46" i="21"/>
  <c r="E46" i="17"/>
  <c r="L46" i="21"/>
  <c r="L46" i="19"/>
  <c r="L46" i="17"/>
  <c r="D20" i="23"/>
  <c r="G48" i="21"/>
  <c r="G48" i="17"/>
  <c r="K48" i="17"/>
  <c r="K48" i="21"/>
  <c r="K48" i="19"/>
  <c r="M48" i="19"/>
  <c r="M48" i="21"/>
  <c r="M48" i="17"/>
  <c r="F48" i="21"/>
  <c r="F48" i="19"/>
  <c r="F48" i="17"/>
  <c r="I48" i="19"/>
  <c r="I48" i="17"/>
  <c r="I48" i="21"/>
  <c r="E48" i="21"/>
  <c r="E48" i="17"/>
  <c r="L48" i="17"/>
  <c r="L48" i="19"/>
  <c r="L48" i="21"/>
  <c r="J48" i="21"/>
  <c r="J48" i="17"/>
  <c r="J48" i="19"/>
  <c r="D48" i="21"/>
  <c r="D48" i="19"/>
  <c r="H48" i="21"/>
  <c r="H48" i="17"/>
  <c r="H48" i="19"/>
  <c r="I7" i="22"/>
  <c r="F7" i="22"/>
  <c r="E7" i="22"/>
  <c r="L7" i="22"/>
  <c r="H7" i="22"/>
  <c r="J7" i="22"/>
  <c r="M7" i="22"/>
  <c r="K7" i="22"/>
  <c r="D9" i="23"/>
  <c r="G9" i="19"/>
  <c r="G9" i="23"/>
  <c r="F9" i="19"/>
  <c r="L13" i="21"/>
  <c r="L13" i="17"/>
  <c r="L13" i="19"/>
  <c r="D13" i="17"/>
  <c r="D13" i="21"/>
  <c r="D13" i="19"/>
  <c r="J13" i="21"/>
  <c r="J13" i="19"/>
  <c r="J13" i="17"/>
  <c r="M13" i="17"/>
  <c r="M13" i="21"/>
  <c r="M13" i="19"/>
  <c r="H13" i="21"/>
  <c r="H13" i="19"/>
  <c r="F13" i="17"/>
  <c r="F13" i="19"/>
  <c r="F13" i="21"/>
  <c r="G13" i="21"/>
  <c r="G13" i="17"/>
  <c r="G13" i="19"/>
  <c r="I13" i="19"/>
  <c r="I13" i="17"/>
  <c r="I13" i="21"/>
  <c r="K13" i="21"/>
  <c r="K13" i="17"/>
  <c r="E13" i="19"/>
  <c r="E13" i="21"/>
  <c r="E13" i="17"/>
  <c r="D15" i="22"/>
  <c r="D17" i="23"/>
  <c r="E21" i="17"/>
  <c r="E21" i="21"/>
  <c r="H21" i="21"/>
  <c r="H21" i="17"/>
  <c r="H21" i="19"/>
  <c r="F21" i="21"/>
  <c r="F21" i="17"/>
  <c r="F21" i="19"/>
  <c r="J21" i="21"/>
  <c r="J21" i="19"/>
  <c r="J21" i="17"/>
  <c r="G21" i="17"/>
  <c r="G21" i="19"/>
  <c r="L21" i="17"/>
  <c r="L21" i="21"/>
  <c r="L21" i="19"/>
  <c r="M21" i="17"/>
  <c r="M21" i="19"/>
  <c r="M21" i="21"/>
  <c r="D21" i="21"/>
  <c r="D21" i="17"/>
  <c r="D21" i="19"/>
  <c r="K21" i="17"/>
  <c r="K21" i="21"/>
  <c r="K21" i="19"/>
  <c r="I21" i="21"/>
  <c r="I21" i="17"/>
  <c r="I21" i="19"/>
  <c r="D23" i="22"/>
  <c r="D25" i="23"/>
  <c r="D40" i="22"/>
  <c r="D42" i="23"/>
  <c r="K37" i="21"/>
  <c r="K37" i="17"/>
  <c r="K37" i="19"/>
  <c r="M37" i="21"/>
  <c r="M37" i="19"/>
  <c r="L37" i="19"/>
  <c r="L37" i="21"/>
  <c r="I37" i="21"/>
  <c r="I37" i="17"/>
  <c r="I37" i="19"/>
  <c r="J37" i="17"/>
  <c r="J37" i="21"/>
  <c r="G37" i="21"/>
  <c r="G37" i="19"/>
  <c r="E37" i="17"/>
  <c r="E37" i="21"/>
  <c r="E37" i="19"/>
  <c r="D37" i="21"/>
  <c r="D37" i="17"/>
  <c r="D37" i="19"/>
  <c r="H37" i="21"/>
  <c r="H37" i="17"/>
  <c r="H37" i="19"/>
  <c r="F37" i="19"/>
  <c r="F37" i="17"/>
  <c r="F37" i="21"/>
  <c r="D43" i="22"/>
  <c r="H43" i="19"/>
  <c r="H43" i="22"/>
  <c r="M43" i="19"/>
  <c r="M43" i="22"/>
  <c r="D49" i="22"/>
  <c r="D12" i="23"/>
  <c r="I32" i="23"/>
  <c r="K32" i="23"/>
  <c r="L32" i="23"/>
  <c r="F32" i="23"/>
  <c r="H32" i="23"/>
  <c r="D14" i="22"/>
  <c r="D16" i="23"/>
  <c r="M20" i="21"/>
  <c r="M20" i="19"/>
  <c r="M20" i="17"/>
  <c r="I20" i="17"/>
  <c r="I20" i="19"/>
  <c r="I20" i="21"/>
  <c r="J20" i="21"/>
  <c r="J20" i="17"/>
  <c r="J20" i="19"/>
  <c r="D20" i="17"/>
  <c r="D20" i="19"/>
  <c r="G20" i="17"/>
  <c r="G20" i="21"/>
  <c r="E20" i="21"/>
  <c r="E20" i="19"/>
  <c r="E20" i="17"/>
  <c r="H20" i="17"/>
  <c r="H20" i="21"/>
  <c r="H20" i="19"/>
  <c r="F20" i="21"/>
  <c r="F20" i="17"/>
  <c r="F20" i="19"/>
  <c r="L20" i="17"/>
  <c r="L20" i="19"/>
  <c r="L20" i="21"/>
  <c r="K20" i="19"/>
  <c r="K20" i="21"/>
  <c r="D22" i="22"/>
  <c r="D24" i="23"/>
  <c r="I32" i="17"/>
  <c r="I32" i="21"/>
  <c r="I32" i="19"/>
  <c r="F32" i="17"/>
  <c r="F32" i="21"/>
  <c r="M32" i="21"/>
  <c r="M32" i="17"/>
  <c r="M32" i="19"/>
  <c r="D32" i="21"/>
  <c r="D32" i="19"/>
  <c r="D32" i="17"/>
  <c r="H32" i="21"/>
  <c r="H32" i="17"/>
  <c r="H32" i="19"/>
  <c r="E32" i="21"/>
  <c r="E32" i="17"/>
  <c r="E32" i="19"/>
  <c r="K32" i="21"/>
  <c r="K32" i="19"/>
  <c r="K32" i="17"/>
  <c r="G32" i="17"/>
  <c r="G32" i="21"/>
  <c r="G32" i="19"/>
  <c r="J32" i="21"/>
  <c r="J32" i="19"/>
  <c r="J32" i="17"/>
  <c r="L32" i="17"/>
  <c r="L32" i="21"/>
  <c r="D33" i="23"/>
  <c r="K33" i="19"/>
  <c r="L44" i="17"/>
  <c r="L44" i="21"/>
  <c r="L44" i="19"/>
  <c r="K44" i="21"/>
  <c r="K44" i="17"/>
  <c r="K44" i="19"/>
  <c r="I44" i="19"/>
  <c r="I44" i="17"/>
  <c r="I44" i="21"/>
  <c r="G44" i="17"/>
  <c r="G44" i="21"/>
  <c r="G44" i="19"/>
  <c r="D44" i="17"/>
  <c r="D44" i="19"/>
  <c r="D44" i="21"/>
  <c r="M44" i="17"/>
  <c r="M44" i="19"/>
  <c r="M44" i="21"/>
  <c r="J44" i="17"/>
  <c r="J44" i="19"/>
  <c r="J44" i="21"/>
  <c r="H44" i="17"/>
  <c r="H44" i="19"/>
  <c r="H44" i="21"/>
  <c r="F44" i="19"/>
  <c r="F44" i="17"/>
  <c r="E44" i="21"/>
  <c r="E44" i="17"/>
  <c r="E44" i="19"/>
  <c r="D45" i="23"/>
  <c r="D48" i="23"/>
  <c r="G48" i="19"/>
  <c r="G48" i="23"/>
  <c r="D18" i="22"/>
  <c r="M18" i="19"/>
  <c r="M18" i="22"/>
  <c r="L18" i="19"/>
  <c r="L34" i="19"/>
  <c r="L34" i="22"/>
  <c r="K34" i="19"/>
  <c r="K34" i="22"/>
  <c r="D36" i="23"/>
  <c r="L36" i="19"/>
  <c r="L36" i="23"/>
  <c r="D38" i="22"/>
  <c r="G41" i="21"/>
  <c r="H41" i="19"/>
  <c r="H41" i="17"/>
  <c r="H41" i="21"/>
  <c r="D41" i="17"/>
  <c r="D41" i="21"/>
  <c r="D41" i="19"/>
  <c r="F41" i="17"/>
  <c r="F41" i="19"/>
  <c r="M41" i="21"/>
  <c r="M41" i="19"/>
  <c r="I41" i="19"/>
  <c r="I41" i="17"/>
  <c r="I41" i="21"/>
  <c r="K41" i="19"/>
  <c r="K41" i="17"/>
  <c r="K41" i="21"/>
  <c r="J41" i="19"/>
  <c r="J41" i="17"/>
  <c r="J41" i="21"/>
  <c r="L41" i="21"/>
  <c r="L41" i="17"/>
  <c r="E41" i="19"/>
  <c r="E41" i="21"/>
  <c r="E41" i="17"/>
  <c r="F46" i="19"/>
  <c r="F46" i="22"/>
  <c r="L24" i="19"/>
  <c r="L24" i="17"/>
  <c r="L24" i="21"/>
  <c r="I24" i="17"/>
  <c r="I24" i="19"/>
  <c r="I24" i="21"/>
  <c r="K24" i="21"/>
  <c r="K24" i="19"/>
  <c r="J24" i="21"/>
  <c r="J24" i="17"/>
  <c r="J24" i="19"/>
  <c r="E24" i="21"/>
  <c r="E24" i="19"/>
  <c r="D24" i="21"/>
  <c r="D24" i="19"/>
  <c r="D24" i="17"/>
  <c r="M24" i="21"/>
  <c r="M24" i="17"/>
  <c r="M24" i="19"/>
  <c r="F24" i="21"/>
  <c r="F24" i="17"/>
  <c r="H24" i="17"/>
  <c r="H24" i="21"/>
  <c r="H24" i="19"/>
  <c r="G24" i="17"/>
  <c r="G24" i="21"/>
  <c r="I45" i="17"/>
  <c r="I45" i="21"/>
  <c r="I45" i="19"/>
  <c r="H45" i="21"/>
  <c r="H45" i="17"/>
  <c r="H45" i="19"/>
  <c r="K45" i="17"/>
  <c r="K45" i="21"/>
  <c r="K45" i="19"/>
  <c r="M45" i="21"/>
  <c r="M45" i="17"/>
  <c r="M45" i="19"/>
  <c r="D45" i="21"/>
  <c r="D45" i="19"/>
  <c r="D45" i="17"/>
  <c r="G45" i="21"/>
  <c r="G45" i="17"/>
  <c r="G45" i="19"/>
  <c r="E45" i="17"/>
  <c r="E45" i="21"/>
  <c r="E45" i="19"/>
  <c r="F45" i="17"/>
  <c r="F45" i="19"/>
  <c r="F45" i="21"/>
  <c r="J45" i="19"/>
  <c r="J45" i="17"/>
  <c r="L45" i="19"/>
  <c r="L45" i="21"/>
  <c r="L12" i="21"/>
  <c r="L12" i="17"/>
  <c r="J12" i="21"/>
  <c r="J12" i="19"/>
  <c r="J12" i="17"/>
  <c r="G12" i="21"/>
  <c r="G12" i="17"/>
  <c r="D12" i="21"/>
  <c r="D12" i="17"/>
  <c r="D12" i="19"/>
  <c r="H12" i="17"/>
  <c r="H12" i="21"/>
  <c r="H12" i="19"/>
  <c r="M12" i="17"/>
  <c r="M12" i="19"/>
  <c r="E12" i="17"/>
  <c r="E12" i="19"/>
  <c r="K12" i="17"/>
  <c r="K12" i="21"/>
  <c r="I12" i="17"/>
  <c r="I12" i="21"/>
  <c r="I12" i="19"/>
  <c r="F12" i="19"/>
  <c r="F12" i="21"/>
  <c r="F12" i="17"/>
  <c r="F7" i="23"/>
  <c r="J7" i="23"/>
  <c r="I7" i="23"/>
  <c r="H7" i="23"/>
  <c r="E7" i="23"/>
  <c r="G7" i="23"/>
  <c r="H11" i="17"/>
  <c r="H11" i="19"/>
  <c r="H11" i="21"/>
  <c r="G11" i="17"/>
  <c r="G11" i="21"/>
  <c r="G11" i="19"/>
  <c r="K11" i="17"/>
  <c r="K11" i="19"/>
  <c r="K11" i="21"/>
  <c r="E11" i="17"/>
  <c r="E11" i="21"/>
  <c r="I11" i="19"/>
  <c r="I11" i="21"/>
  <c r="I11" i="17"/>
  <c r="L11" i="21"/>
  <c r="L11" i="19"/>
  <c r="L11" i="17"/>
  <c r="M11" i="17"/>
  <c r="M11" i="21"/>
  <c r="F11" i="21"/>
  <c r="F11" i="19"/>
  <c r="F11" i="17"/>
  <c r="D11" i="17"/>
  <c r="D11" i="19"/>
  <c r="J11" i="19"/>
  <c r="J11" i="21"/>
  <c r="D13" i="22"/>
  <c r="K13" i="19"/>
  <c r="D15" i="23"/>
  <c r="K19" i="17"/>
  <c r="K19" i="21"/>
  <c r="K19" i="19"/>
  <c r="I19" i="21"/>
  <c r="I19" i="17"/>
  <c r="I19" i="19"/>
  <c r="G19" i="19"/>
  <c r="G19" i="21"/>
  <c r="H19" i="21"/>
  <c r="H19" i="19"/>
  <c r="H19" i="17"/>
  <c r="M19" i="19"/>
  <c r="M19" i="21"/>
  <c r="M19" i="17"/>
  <c r="F19" i="21"/>
  <c r="F19" i="17"/>
  <c r="J19" i="17"/>
  <c r="J19" i="21"/>
  <c r="E19" i="19"/>
  <c r="E19" i="17"/>
  <c r="E19" i="21"/>
  <c r="D19" i="17"/>
  <c r="D19" i="19"/>
  <c r="L19" i="19"/>
  <c r="L19" i="21"/>
  <c r="L19" i="17"/>
  <c r="D21" i="22"/>
  <c r="D23" i="23"/>
  <c r="E27" i="21"/>
  <c r="E27" i="17"/>
  <c r="F27" i="17"/>
  <c r="F27" i="21"/>
  <c r="F27" i="19"/>
  <c r="K27" i="17"/>
  <c r="K27" i="19"/>
  <c r="K27" i="21"/>
  <c r="J27" i="17"/>
  <c r="J27" i="19"/>
  <c r="J27" i="21"/>
  <c r="D27" i="21"/>
  <c r="D27" i="19"/>
  <c r="D27" i="17"/>
  <c r="M27" i="17"/>
  <c r="M27" i="21"/>
  <c r="L27" i="21"/>
  <c r="L27" i="17"/>
  <c r="L27" i="19"/>
  <c r="I27" i="21"/>
  <c r="I27" i="17"/>
  <c r="I27" i="19"/>
  <c r="G27" i="17"/>
  <c r="G27" i="21"/>
  <c r="G27" i="19"/>
  <c r="H27" i="21"/>
  <c r="H27" i="19"/>
  <c r="H27" i="17"/>
  <c r="D40" i="23"/>
  <c r="M47" i="21"/>
  <c r="M47" i="17"/>
  <c r="M47" i="19"/>
  <c r="E47" i="17"/>
  <c r="E47" i="19"/>
  <c r="E47" i="21"/>
  <c r="G47" i="21"/>
  <c r="G47" i="17"/>
  <c r="G47" i="19"/>
  <c r="F47" i="17"/>
  <c r="F47" i="19"/>
  <c r="F47" i="21"/>
  <c r="H47" i="21"/>
  <c r="H47" i="17"/>
  <c r="D47" i="21"/>
  <c r="D47" i="19"/>
  <c r="D47" i="17"/>
  <c r="J47" i="19"/>
  <c r="J47" i="17"/>
  <c r="J47" i="21"/>
  <c r="L47" i="21"/>
  <c r="L47" i="19"/>
  <c r="L47" i="17"/>
  <c r="K47" i="17"/>
  <c r="K47" i="21"/>
  <c r="K47" i="19"/>
  <c r="I47" i="17"/>
  <c r="I47" i="21"/>
  <c r="I47" i="19"/>
  <c r="L33" i="19"/>
  <c r="L33" i="21"/>
  <c r="L33" i="17"/>
  <c r="K33" i="17"/>
  <c r="K33" i="21"/>
  <c r="D33" i="21"/>
  <c r="D33" i="17"/>
  <c r="D33" i="19"/>
  <c r="G33" i="17"/>
  <c r="G33" i="21"/>
  <c r="G33" i="19"/>
  <c r="E33" i="17"/>
  <c r="E33" i="21"/>
  <c r="E33" i="19"/>
  <c r="I33" i="17"/>
  <c r="I33" i="21"/>
  <c r="M33" i="19"/>
  <c r="M33" i="17"/>
  <c r="M33" i="21"/>
  <c r="J33" i="19"/>
  <c r="J33" i="21"/>
  <c r="J33" i="17"/>
  <c r="H33" i="21"/>
  <c r="H33" i="19"/>
  <c r="H33" i="17"/>
  <c r="F33" i="21"/>
  <c r="F33" i="17"/>
  <c r="F33" i="19"/>
  <c r="D39" i="22"/>
  <c r="D37" i="22"/>
  <c r="D43" i="23"/>
  <c r="D49" i="23"/>
  <c r="L10" i="21"/>
  <c r="L10" i="19"/>
  <c r="L10" i="17"/>
  <c r="G10" i="17"/>
  <c r="G10" i="19"/>
  <c r="G10" i="21"/>
  <c r="I10" i="21"/>
  <c r="I10" i="17"/>
  <c r="I10" i="19"/>
  <c r="M10" i="21"/>
  <c r="M10" i="19"/>
  <c r="M10" i="17"/>
  <c r="F10" i="17"/>
  <c r="F10" i="19"/>
  <c r="F10" i="21"/>
  <c r="E10" i="17"/>
  <c r="E10" i="19"/>
  <c r="E10" i="21"/>
  <c r="J10" i="21"/>
  <c r="J10" i="17"/>
  <c r="D10" i="21"/>
  <c r="D10" i="19"/>
  <c r="D10" i="17"/>
  <c r="H10" i="17"/>
  <c r="H10" i="21"/>
  <c r="H10" i="19"/>
  <c r="K10" i="17"/>
  <c r="K10" i="21"/>
  <c r="K10" i="19"/>
  <c r="D12" i="22"/>
  <c r="L12" i="19"/>
  <c r="L12" i="22"/>
  <c r="G12" i="19"/>
  <c r="D14" i="23"/>
  <c r="M18" i="17"/>
  <c r="M18" i="21"/>
  <c r="I18" i="21"/>
  <c r="I18" i="19"/>
  <c r="I18" i="17"/>
  <c r="D18" i="17"/>
  <c r="D18" i="21"/>
  <c r="D18" i="19"/>
  <c r="L18" i="17"/>
  <c r="L18" i="21"/>
  <c r="H18" i="21"/>
  <c r="H18" i="19"/>
  <c r="H18" i="17"/>
  <c r="G18" i="17"/>
  <c r="G18" i="21"/>
  <c r="G18" i="19"/>
  <c r="E18" i="17"/>
  <c r="E18" i="21"/>
  <c r="E18" i="19"/>
  <c r="F18" i="21"/>
  <c r="F18" i="17"/>
  <c r="F18" i="19"/>
  <c r="K18" i="19"/>
  <c r="K18" i="17"/>
  <c r="K18" i="21"/>
  <c r="J18" i="19"/>
  <c r="J18" i="21"/>
  <c r="D20" i="22"/>
  <c r="D22" i="23"/>
  <c r="J26" i="21"/>
  <c r="J26" i="17"/>
  <c r="J26" i="19"/>
  <c r="K26" i="21"/>
  <c r="K26" i="17"/>
  <c r="K26" i="19"/>
  <c r="F26" i="17"/>
  <c r="F26" i="21"/>
  <c r="F26" i="19"/>
  <c r="G26" i="17"/>
  <c r="G26" i="19"/>
  <c r="G26" i="21"/>
  <c r="D26" i="21"/>
  <c r="D26" i="17"/>
  <c r="D26" i="19"/>
  <c r="I26" i="19"/>
  <c r="I26" i="17"/>
  <c r="I26" i="21"/>
  <c r="H26" i="21"/>
  <c r="H26" i="17"/>
  <c r="H26" i="19"/>
  <c r="L26" i="21"/>
  <c r="L26" i="17"/>
  <c r="L26" i="19"/>
  <c r="M26" i="21"/>
  <c r="M26" i="17"/>
  <c r="M26" i="19"/>
  <c r="E26" i="19"/>
  <c r="E26" i="17"/>
  <c r="E26" i="21"/>
  <c r="J32" i="22"/>
  <c r="E32" i="22"/>
  <c r="D32" i="22"/>
  <c r="F32" i="22"/>
  <c r="I32" i="22"/>
  <c r="M32" i="22"/>
  <c r="F35" i="19"/>
  <c r="F35" i="17"/>
  <c r="F35" i="21"/>
  <c r="J35" i="17"/>
  <c r="J35" i="21"/>
  <c r="J35" i="19"/>
  <c r="G35" i="21"/>
  <c r="G35" i="17"/>
  <c r="M35" i="21"/>
  <c r="M35" i="17"/>
  <c r="L35" i="17"/>
  <c r="L35" i="21"/>
  <c r="L35" i="19"/>
  <c r="I35" i="17"/>
  <c r="I35" i="19"/>
  <c r="I35" i="21"/>
  <c r="E35" i="17"/>
  <c r="E35" i="19"/>
  <c r="E35" i="21"/>
  <c r="D35" i="21"/>
  <c r="D35" i="19"/>
  <c r="D35" i="17"/>
  <c r="H35" i="21"/>
  <c r="H35" i="19"/>
  <c r="H35" i="17"/>
  <c r="K35" i="17"/>
  <c r="K35" i="19"/>
  <c r="K35" i="21"/>
  <c r="D39" i="21"/>
  <c r="D39" i="17"/>
  <c r="D39" i="19"/>
  <c r="M39" i="21"/>
  <c r="M39" i="17"/>
  <c r="M39" i="19"/>
  <c r="I39" i="17"/>
  <c r="I39" i="19"/>
  <c r="I39" i="21"/>
  <c r="F39" i="19"/>
  <c r="F39" i="21"/>
  <c r="J39" i="21"/>
  <c r="J39" i="17"/>
  <c r="J39" i="19"/>
  <c r="G39" i="21"/>
  <c r="G39" i="17"/>
  <c r="G39" i="19"/>
  <c r="K39" i="17"/>
  <c r="K39" i="21"/>
  <c r="K39" i="19"/>
  <c r="L39" i="17"/>
  <c r="L39" i="21"/>
  <c r="H39" i="21"/>
  <c r="H39" i="17"/>
  <c r="H39" i="19"/>
  <c r="E39" i="17"/>
  <c r="E39" i="21"/>
  <c r="D44" i="22"/>
  <c r="D44" i="23"/>
  <c r="D8" i="23"/>
  <c r="E8" i="19"/>
  <c r="D34" i="23"/>
  <c r="J38" i="19"/>
  <c r="J38" i="23"/>
  <c r="D41" i="22"/>
  <c r="D46" i="23"/>
  <c r="H46" i="19"/>
  <c r="K36" i="21"/>
  <c r="K36" i="17"/>
  <c r="K36" i="19"/>
  <c r="L36" i="17"/>
  <c r="L36" i="21"/>
  <c r="E36" i="21"/>
  <c r="E36" i="17"/>
  <c r="E36" i="19"/>
  <c r="F36" i="17"/>
  <c r="F36" i="19"/>
  <c r="F36" i="21"/>
  <c r="H36" i="21"/>
  <c r="H36" i="17"/>
  <c r="D36" i="17"/>
  <c r="D36" i="21"/>
  <c r="J36" i="21"/>
  <c r="J36" i="17"/>
  <c r="J36" i="19"/>
  <c r="G36" i="21"/>
  <c r="G36" i="17"/>
  <c r="G36" i="19"/>
  <c r="M36" i="21"/>
  <c r="M36" i="19"/>
  <c r="I36" i="21"/>
  <c r="I36" i="17"/>
  <c r="I36" i="19"/>
  <c r="I17" i="17"/>
  <c r="I17" i="21"/>
  <c r="E17" i="21"/>
  <c r="E17" i="17"/>
  <c r="E17" i="19"/>
  <c r="G17" i="21"/>
  <c r="G17" i="19"/>
  <c r="G17" i="17"/>
  <c r="K17" i="21"/>
  <c r="K17" i="17"/>
  <c r="M17" i="21"/>
  <c r="M17" i="17"/>
  <c r="M17" i="19"/>
  <c r="L17" i="17"/>
  <c r="L17" i="19"/>
  <c r="F17" i="21"/>
  <c r="F17" i="17"/>
  <c r="F17" i="19"/>
  <c r="D17" i="21"/>
  <c r="D17" i="17"/>
  <c r="D17" i="19"/>
  <c r="H17" i="17"/>
  <c r="H17" i="21"/>
  <c r="H17" i="19"/>
  <c r="J17" i="19"/>
  <c r="J17" i="17"/>
  <c r="J17" i="21"/>
  <c r="D19" i="22"/>
  <c r="D21" i="23"/>
  <c r="L25" i="17"/>
  <c r="L25" i="21"/>
  <c r="I25" i="17"/>
  <c r="I25" i="21"/>
  <c r="I25" i="19"/>
  <c r="E25" i="21"/>
  <c r="E25" i="19"/>
  <c r="E25" i="17"/>
  <c r="K25" i="19"/>
  <c r="K25" i="17"/>
  <c r="K25" i="21"/>
  <c r="H25" i="17"/>
  <c r="H25" i="19"/>
  <c r="H25" i="21"/>
  <c r="D25" i="19"/>
  <c r="D25" i="21"/>
  <c r="D25" i="17"/>
  <c r="M25" i="17"/>
  <c r="M25" i="21"/>
  <c r="M25" i="19"/>
  <c r="F25" i="19"/>
  <c r="F25" i="17"/>
  <c r="F25" i="21"/>
  <c r="G25" i="21"/>
  <c r="G25" i="17"/>
  <c r="J25" i="17"/>
  <c r="J25" i="21"/>
  <c r="M27" i="19"/>
  <c r="J42" i="17"/>
  <c r="J42" i="21"/>
  <c r="I42" i="21"/>
  <c r="I42" i="17"/>
  <c r="I42" i="19"/>
  <c r="L42" i="19"/>
  <c r="L42" i="21"/>
  <c r="L42" i="17"/>
  <c r="E42" i="19"/>
  <c r="E42" i="17"/>
  <c r="E42" i="21"/>
  <c r="K42" i="21"/>
  <c r="K42" i="19"/>
  <c r="K42" i="17"/>
  <c r="G42" i="19"/>
  <c r="G42" i="17"/>
  <c r="G42" i="21"/>
  <c r="D42" i="21"/>
  <c r="D42" i="17"/>
  <c r="F42" i="19"/>
  <c r="F42" i="17"/>
  <c r="F42" i="21"/>
  <c r="M42" i="21"/>
  <c r="M42" i="19"/>
  <c r="H42" i="17"/>
  <c r="H42" i="21"/>
  <c r="H42" i="19"/>
  <c r="D47" i="22"/>
  <c r="F8" i="17"/>
  <c r="F8" i="19"/>
  <c r="F8" i="21"/>
  <c r="I8" i="17"/>
  <c r="I8" i="21"/>
  <c r="E8" i="17"/>
  <c r="E8" i="21"/>
  <c r="J8" i="21"/>
  <c r="J8" i="19"/>
  <c r="J8" i="17"/>
  <c r="M8" i="21"/>
  <c r="M8" i="17"/>
  <c r="M8" i="19"/>
  <c r="H8" i="21"/>
  <c r="H8" i="19"/>
  <c r="H8" i="17"/>
  <c r="G8" i="21"/>
  <c r="G8" i="17"/>
  <c r="G8" i="19"/>
  <c r="L8" i="21"/>
  <c r="L8" i="19"/>
  <c r="L8" i="17"/>
  <c r="D8" i="17"/>
  <c r="D8" i="21"/>
  <c r="D8" i="19"/>
  <c r="K8" i="17"/>
  <c r="K8" i="21"/>
  <c r="K8" i="19"/>
  <c r="D26" i="22"/>
  <c r="M9" i="17"/>
  <c r="M9" i="21"/>
  <c r="M9" i="19"/>
  <c r="L9" i="17"/>
  <c r="L9" i="21"/>
  <c r="L9" i="19"/>
  <c r="J9" i="17"/>
  <c r="J9" i="19"/>
  <c r="J9" i="21"/>
  <c r="K9" i="21"/>
  <c r="K9" i="17"/>
  <c r="K9" i="19"/>
  <c r="E9" i="21"/>
  <c r="E9" i="17"/>
  <c r="E9" i="19"/>
  <c r="D9" i="21"/>
  <c r="D9" i="17"/>
  <c r="D9" i="19"/>
  <c r="I9" i="21"/>
  <c r="I9" i="19"/>
  <c r="F9" i="21"/>
  <c r="F9" i="17"/>
  <c r="G9" i="17"/>
  <c r="G9" i="21"/>
  <c r="H9" i="21"/>
  <c r="H9" i="17"/>
  <c r="H9" i="19"/>
  <c r="D13" i="23"/>
  <c r="N41" i="16"/>
  <c r="O41" i="16"/>
  <c r="I28" i="1"/>
  <c r="M28" i="1"/>
  <c r="N7" i="1"/>
  <c r="D28" i="1"/>
  <c r="O7" i="1"/>
  <c r="L28" i="1"/>
  <c r="K28" i="1"/>
  <c r="H28" i="1"/>
  <c r="E28" i="1"/>
  <c r="F28" i="1"/>
  <c r="G28" i="1"/>
  <c r="J28" i="1"/>
  <c r="O9" i="6"/>
  <c r="N9" i="6"/>
  <c r="N11" i="16"/>
  <c r="O11" i="16"/>
  <c r="N15" i="1"/>
  <c r="O15" i="1"/>
  <c r="N17" i="6"/>
  <c r="O17" i="6"/>
  <c r="O19" i="16"/>
  <c r="N19" i="16"/>
  <c r="N23" i="1"/>
  <c r="O23" i="1"/>
  <c r="N25" i="6"/>
  <c r="O25" i="6"/>
  <c r="N27" i="16"/>
  <c r="O27" i="16"/>
  <c r="N40" i="1"/>
  <c r="O40" i="1"/>
  <c r="O42" i="6"/>
  <c r="N42" i="6"/>
  <c r="O47" i="16"/>
  <c r="N47" i="16"/>
  <c r="O43" i="1"/>
  <c r="N43" i="1"/>
  <c r="N49" i="1"/>
  <c r="O49" i="1"/>
  <c r="N16" i="1"/>
  <c r="O16" i="1"/>
  <c r="N8" i="6"/>
  <c r="O8" i="6"/>
  <c r="N14" i="1"/>
  <c r="O14" i="1"/>
  <c r="O16" i="6"/>
  <c r="N16" i="6"/>
  <c r="N18" i="16"/>
  <c r="O18" i="16"/>
  <c r="O22" i="1"/>
  <c r="N22" i="1"/>
  <c r="O24" i="6"/>
  <c r="N24" i="6"/>
  <c r="N26" i="16"/>
  <c r="O26" i="16"/>
  <c r="O33" i="6"/>
  <c r="N33" i="6"/>
  <c r="O35" i="16"/>
  <c r="N35" i="16"/>
  <c r="O39" i="16"/>
  <c r="N39" i="16"/>
  <c r="N45" i="6"/>
  <c r="O45" i="6"/>
  <c r="N48" i="6"/>
  <c r="O48" i="6"/>
  <c r="O10" i="6"/>
  <c r="N10" i="6"/>
  <c r="O35" i="6"/>
  <c r="N35" i="6"/>
  <c r="O10" i="16"/>
  <c r="N10" i="16"/>
  <c r="O34" i="1"/>
  <c r="N34" i="1"/>
  <c r="N36" i="6"/>
  <c r="O36" i="6"/>
  <c r="O38" i="1"/>
  <c r="N38" i="1"/>
  <c r="N46" i="1"/>
  <c r="O46" i="1"/>
  <c r="O20" i="16"/>
  <c r="N20" i="16"/>
  <c r="O48" i="1"/>
  <c r="N48" i="1"/>
  <c r="L28" i="12"/>
  <c r="I28" i="6"/>
  <c r="F28" i="6"/>
  <c r="E28" i="6"/>
  <c r="J28" i="12"/>
  <c r="M28" i="12"/>
  <c r="G28" i="12"/>
  <c r="F28" i="12"/>
  <c r="L28" i="6"/>
  <c r="G28" i="6"/>
  <c r="H28" i="12"/>
  <c r="H28" i="6"/>
  <c r="K28" i="12"/>
  <c r="N7" i="6"/>
  <c r="O7" i="6"/>
  <c r="D28" i="6"/>
  <c r="E28" i="12"/>
  <c r="I28" i="12"/>
  <c r="J28" i="6"/>
  <c r="M28" i="6"/>
  <c r="K28" i="6"/>
  <c r="N9" i="16"/>
  <c r="O9" i="16"/>
  <c r="N13" i="1"/>
  <c r="O13" i="1"/>
  <c r="O15" i="6"/>
  <c r="N15" i="6"/>
  <c r="O17" i="16"/>
  <c r="N17" i="16"/>
  <c r="N21" i="1"/>
  <c r="O21" i="1"/>
  <c r="N23" i="6"/>
  <c r="O23" i="6"/>
  <c r="N25" i="16"/>
  <c r="O25" i="16"/>
  <c r="O40" i="6"/>
  <c r="N40" i="6"/>
  <c r="O42" i="16"/>
  <c r="N42" i="16"/>
  <c r="N37" i="1"/>
  <c r="O37" i="1"/>
  <c r="O43" i="6"/>
  <c r="N43" i="6"/>
  <c r="N49" i="6"/>
  <c r="O49" i="6"/>
  <c r="O12" i="16"/>
  <c r="N12" i="16"/>
  <c r="J50" i="16"/>
  <c r="I50" i="16"/>
  <c r="M50" i="16"/>
  <c r="E50" i="16"/>
  <c r="O32" i="16"/>
  <c r="D50" i="16"/>
  <c r="N32" i="16"/>
  <c r="G50" i="16"/>
  <c r="K50" i="16"/>
  <c r="L50" i="16"/>
  <c r="F50" i="16"/>
  <c r="H50" i="16"/>
  <c r="O14" i="6"/>
  <c r="N14" i="6"/>
  <c r="O16" i="16"/>
  <c r="N16" i="16"/>
  <c r="N20" i="1"/>
  <c r="O20" i="1"/>
  <c r="N22" i="6"/>
  <c r="O22" i="6"/>
  <c r="O24" i="16"/>
  <c r="N24" i="16"/>
  <c r="I50" i="1"/>
  <c r="F50" i="1"/>
  <c r="M50" i="1"/>
  <c r="D50" i="1"/>
  <c r="O32" i="1"/>
  <c r="N32" i="1"/>
  <c r="H50" i="1"/>
  <c r="E50" i="1"/>
  <c r="K50" i="1"/>
  <c r="G50" i="1"/>
  <c r="J50" i="1"/>
  <c r="L50" i="1"/>
  <c r="N33" i="16"/>
  <c r="O33" i="16"/>
  <c r="O44" i="1"/>
  <c r="N44" i="1"/>
  <c r="O45" i="16"/>
  <c r="N45" i="16"/>
  <c r="N48" i="16"/>
  <c r="O48" i="16"/>
  <c r="N18" i="6"/>
  <c r="O18" i="6"/>
  <c r="N34" i="6"/>
  <c r="O34" i="6"/>
  <c r="O36" i="16"/>
  <c r="N36" i="16"/>
  <c r="O38" i="6"/>
  <c r="N38" i="6"/>
  <c r="N41" i="1"/>
  <c r="O41" i="1"/>
  <c r="N46" i="6"/>
  <c r="O46" i="6"/>
  <c r="N24" i="1"/>
  <c r="O24" i="1"/>
  <c r="N45" i="1"/>
  <c r="O45" i="1"/>
  <c r="O12" i="1"/>
  <c r="N12" i="1"/>
  <c r="K28" i="16"/>
  <c r="L28" i="16"/>
  <c r="F28" i="16"/>
  <c r="J28" i="16"/>
  <c r="I28" i="16"/>
  <c r="H28" i="16"/>
  <c r="E28" i="16"/>
  <c r="G28" i="16"/>
  <c r="M28" i="16"/>
  <c r="N7" i="16"/>
  <c r="D28" i="16"/>
  <c r="O7" i="16"/>
  <c r="O11" i="1"/>
  <c r="N11" i="1"/>
  <c r="N13" i="6"/>
  <c r="O13" i="6"/>
  <c r="O15" i="16"/>
  <c r="N15" i="16"/>
  <c r="N19" i="1"/>
  <c r="O19" i="1"/>
  <c r="O21" i="6"/>
  <c r="N21" i="6"/>
  <c r="O23" i="16"/>
  <c r="N23" i="16"/>
  <c r="N27" i="1"/>
  <c r="O27" i="1"/>
  <c r="N40" i="16"/>
  <c r="O40" i="16"/>
  <c r="O47" i="1"/>
  <c r="N47" i="1"/>
  <c r="N33" i="1"/>
  <c r="O33" i="1"/>
  <c r="N39" i="6"/>
  <c r="O39" i="6"/>
  <c r="N37" i="6"/>
  <c r="O37" i="6"/>
  <c r="N43" i="16"/>
  <c r="O43" i="16"/>
  <c r="N49" i="16"/>
  <c r="O49" i="16"/>
  <c r="N10" i="1"/>
  <c r="O10" i="1"/>
  <c r="O12" i="6"/>
  <c r="N12" i="6"/>
  <c r="O14" i="16"/>
  <c r="N14" i="16"/>
  <c r="N18" i="1"/>
  <c r="O18" i="1"/>
  <c r="N20" i="6"/>
  <c r="O20" i="6"/>
  <c r="O22" i="16"/>
  <c r="N22" i="16"/>
  <c r="N26" i="1"/>
  <c r="O26" i="1"/>
  <c r="K48" i="12"/>
  <c r="F48" i="12"/>
  <c r="H50" i="6"/>
  <c r="J50" i="6"/>
  <c r="G48" i="12"/>
  <c r="E50" i="6"/>
  <c r="O32" i="6"/>
  <c r="N32" i="6"/>
  <c r="D50" i="6"/>
  <c r="F50" i="6"/>
  <c r="M48" i="12"/>
  <c r="J48" i="12"/>
  <c r="I50" i="6"/>
  <c r="K50" i="6"/>
  <c r="I48" i="12"/>
  <c r="L48" i="12"/>
  <c r="O32" i="12"/>
  <c r="N32" i="12"/>
  <c r="D48" i="12"/>
  <c r="M50" i="6"/>
  <c r="H48" i="12"/>
  <c r="G50" i="6"/>
  <c r="L50" i="6"/>
  <c r="E48" i="12"/>
  <c r="O35" i="1"/>
  <c r="N35" i="1"/>
  <c r="N39" i="1"/>
  <c r="O39" i="1"/>
  <c r="O44" i="6"/>
  <c r="N44" i="6"/>
  <c r="O44" i="16"/>
  <c r="N44" i="16"/>
  <c r="N8" i="16"/>
  <c r="O8" i="16"/>
  <c r="N34" i="16"/>
  <c r="O34" i="16"/>
  <c r="N38" i="16"/>
  <c r="O38" i="16"/>
  <c r="O41" i="6"/>
  <c r="N41" i="6"/>
  <c r="O46" i="16"/>
  <c r="N46" i="16"/>
  <c r="O36" i="1"/>
  <c r="N36" i="1"/>
  <c r="N17" i="1"/>
  <c r="O17" i="1"/>
  <c r="O19" i="6"/>
  <c r="N19" i="6"/>
  <c r="O21" i="16"/>
  <c r="N21" i="16"/>
  <c r="O25" i="1"/>
  <c r="N25" i="1"/>
  <c r="N27" i="6"/>
  <c r="O27" i="6"/>
  <c r="N42" i="1"/>
  <c r="O42" i="1"/>
  <c r="O47" i="6"/>
  <c r="N47" i="6"/>
  <c r="O8" i="1"/>
  <c r="N8" i="1"/>
  <c r="O26" i="6"/>
  <c r="N26" i="6"/>
  <c r="O9" i="1"/>
  <c r="N9" i="1"/>
  <c r="O11" i="6"/>
  <c r="N11" i="6"/>
  <c r="O13" i="16"/>
  <c r="N13" i="16"/>
  <c r="O37" i="16"/>
  <c r="N37" i="16"/>
  <c r="E39" i="19" a="1"/>
  <c r="K15" i="19" a="1"/>
  <c r="D19" i="21" a="1"/>
  <c r="K12" i="19" a="1"/>
  <c r="K20" i="17" a="1"/>
  <c r="L37" i="17" a="1"/>
  <c r="D35" i="22" a="1"/>
  <c r="G7" i="22" a="1"/>
  <c r="J14" i="22" a="1"/>
  <c r="I40" i="22" a="1"/>
  <c r="H20" i="23" a="1"/>
  <c r="H27" i="22" a="1"/>
  <c r="G17" i="22" a="1"/>
  <c r="M11" i="23" a="1"/>
  <c r="K19" i="23" a="1"/>
  <c r="I24" i="22" a="1"/>
  <c r="L46" i="22" a="1"/>
  <c r="L23" i="23" a="1"/>
  <c r="E23" i="23" a="1"/>
  <c r="H16" i="22" a="1"/>
  <c r="M39" i="23" a="1"/>
  <c r="G41" i="22" a="1"/>
  <c r="I38" i="22" a="1"/>
  <c r="K49" i="23" a="1"/>
  <c r="M16" i="23" a="1"/>
  <c r="G14" i="23" a="1"/>
  <c r="I27" i="22" a="1"/>
  <c r="M20" i="23" a="1"/>
  <c r="G23" i="22" a="1"/>
  <c r="H12" i="23" a="1"/>
  <c r="J45" i="23" a="1"/>
  <c r="K11" i="23" a="1"/>
  <c r="J34" i="22" a="1"/>
  <c r="G23" i="23" a="1"/>
  <c r="E43" i="23" a="1"/>
  <c r="L41" i="23" a="1"/>
  <c r="G19" i="23" a="1"/>
  <c r="K42" i="22" a="1"/>
  <c r="G44" i="22" a="1"/>
  <c r="E41" i="23" a="1"/>
  <c r="L11" i="23" a="1"/>
  <c r="H43" i="23" a="1"/>
  <c r="G48" i="22" a="1"/>
  <c r="K25" i="23" a="1"/>
  <c r="L20" i="23" a="1"/>
  <c r="J48" i="22" a="1"/>
  <c r="I41" i="22" a="1"/>
  <c r="K38" i="23" a="1"/>
  <c r="K22" i="23" a="1"/>
  <c r="K16" i="22" a="1"/>
  <c r="I25" i="23" a="1"/>
  <c r="I24" i="23" a="1"/>
  <c r="H17" i="22" a="1"/>
  <c r="H41" i="23" a="1"/>
  <c r="I36" i="23" a="1"/>
  <c r="M15" i="22" a="1"/>
  <c r="H24" i="22" a="1"/>
  <c r="J42" i="22" a="1"/>
  <c r="K8" i="22" a="1"/>
  <c r="K26" i="23" a="1"/>
  <c r="I37" i="22" a="1"/>
  <c r="I20" i="22" a="1"/>
  <c r="M10" i="22" a="1"/>
  <c r="E12" i="23" a="1"/>
  <c r="K13" i="23" a="1"/>
  <c r="F11" i="23" a="1"/>
  <c r="I19" i="23" a="1"/>
  <c r="H23" i="22" a="1"/>
  <c r="I43" i="22" a="1"/>
  <c r="L22" i="22" a="1"/>
  <c r="G40" i="22" a="1"/>
  <c r="M16" i="22" a="1"/>
  <c r="I40" i="23" a="1"/>
  <c r="M34" i="23" a="1"/>
  <c r="H12" i="22" a="1"/>
  <c r="J15" i="23" a="1"/>
  <c r="I11" i="22" a="1"/>
  <c r="F39" i="23" a="1"/>
  <c r="F47" i="23" a="1"/>
  <c r="L39" i="22" a="1"/>
  <c r="D37" i="23" a="1"/>
  <c r="H43" i="17" a="1"/>
  <c r="F38" i="17" a="1"/>
  <c r="F39" i="17" a="1"/>
  <c r="G34" i="17" a="1"/>
  <c r="E27" i="19" a="1"/>
  <c r="L41" i="19" a="1"/>
  <c r="M42" i="17" a="1"/>
  <c r="F26" i="22" a="1"/>
  <c r="E39" i="22" a="1"/>
  <c r="K42" i="23" a="1"/>
  <c r="H45" i="23" a="1"/>
  <c r="M19" i="23" a="1"/>
  <c r="K36" i="23" a="1"/>
  <c r="L35" i="22" a="1"/>
  <c r="J49" i="23" a="1"/>
  <c r="J17" i="23" a="1"/>
  <c r="K17" i="23" a="1"/>
  <c r="F39" i="22" a="1"/>
  <c r="D22" i="21" a="1"/>
  <c r="I49" i="21" a="1"/>
  <c r="F7" i="21" a="1"/>
  <c r="D38" i="23" a="1"/>
  <c r="H38" i="21" a="1"/>
  <c r="F44" i="21" a="1"/>
  <c r="J32" i="23" a="1"/>
  <c r="L45" i="17" a="1"/>
  <c r="I13" i="23" a="1"/>
  <c r="I47" i="23" a="1"/>
  <c r="J40" i="22" a="1"/>
  <c r="H36" i="23" a="1"/>
  <c r="I44" i="23" a="1"/>
  <c r="E44" i="22" a="1"/>
  <c r="J41" i="22" a="1"/>
  <c r="I47" i="22" a="1"/>
  <c r="J18" i="22" a="1"/>
  <c r="K22" i="22" a="1"/>
  <c r="H25" i="23" a="1"/>
  <c r="I16" i="22" a="1"/>
  <c r="K47" i="22" a="1"/>
  <c r="F25" i="22" a="1"/>
  <c r="E45" i="22" a="1"/>
  <c r="L24" i="23" a="1"/>
  <c r="I22" i="22" a="1"/>
  <c r="F36" i="23" a="1"/>
  <c r="F13" i="22" a="1"/>
  <c r="G33" i="22" a="1"/>
  <c r="F18" i="23" a="1"/>
  <c r="M42" i="22" a="1"/>
  <c r="I23" i="23" a="1"/>
  <c r="L20" i="22" a="1"/>
  <c r="F17" i="23" a="1"/>
  <c r="L42" i="23" a="1"/>
  <c r="E16" i="23" a="1"/>
  <c r="J22" i="23" a="1"/>
  <c r="I8" i="23" a="1"/>
  <c r="I44" i="22" a="1"/>
  <c r="M22" i="23" a="1"/>
  <c r="K20" i="22" a="1"/>
  <c r="J40" i="23" a="1"/>
  <c r="E22" i="23" a="1"/>
  <c r="L17" i="22" a="1"/>
  <c r="H34" i="23" a="1"/>
  <c r="H25" i="22" a="1"/>
  <c r="I42" i="23" a="1"/>
  <c r="F42" i="23" a="1"/>
  <c r="M36" i="23" a="1"/>
  <c r="K9" i="23" a="1"/>
  <c r="H44" i="23" a="1"/>
  <c r="H48" i="22" a="1"/>
  <c r="G21" i="22" a="1"/>
  <c r="G21" i="23" a="1"/>
  <c r="H49" i="22" a="1"/>
  <c r="G12" i="23" a="1"/>
  <c r="E41" i="22" a="1"/>
  <c r="H24" i="23" a="1"/>
  <c r="M44" i="22" a="1"/>
  <c r="F35" i="23" a="1"/>
  <c r="L21" i="22" a="1"/>
  <c r="K48" i="23" a="1"/>
  <c r="E33" i="22" a="1"/>
  <c r="E21" i="23" a="1"/>
  <c r="G40" i="23" a="1"/>
  <c r="F34" i="23" a="1"/>
  <c r="E37" i="22" a="1"/>
  <c r="M22" i="22" a="1"/>
  <c r="L7" i="23" a="1"/>
  <c r="F9" i="23" a="1"/>
  <c r="I8" i="19" a="1"/>
  <c r="M41" i="17" a="1"/>
  <c r="L16" i="19" a="1"/>
  <c r="D10" i="22" a="1"/>
  <c r="D17" i="22" a="1"/>
  <c r="E8" i="23" a="1"/>
  <c r="F49" i="22" a="1"/>
  <c r="M24" i="23" a="1"/>
  <c r="M9" i="22" a="1"/>
  <c r="L9" i="22" a="1"/>
  <c r="M18" i="23" a="1"/>
  <c r="L33" i="22" a="1"/>
  <c r="L48" i="22" a="1"/>
  <c r="K35" i="22" a="1"/>
  <c r="I17" i="22" a="1"/>
  <c r="F38" i="23" a="1"/>
  <c r="F44" i="23" a="1"/>
  <c r="M24" i="22" a="1"/>
  <c r="I20" i="23" a="1"/>
  <c r="J27" i="23" a="1"/>
  <c r="M49" i="23" a="1"/>
  <c r="F19" i="22" a="1"/>
  <c r="E46" i="23" a="1"/>
  <c r="E11" i="22" a="1"/>
  <c r="F9" i="22" a="1"/>
  <c r="K40" i="23" a="1"/>
  <c r="H46" i="22" a="1"/>
  <c r="H22" i="22" a="1"/>
  <c r="J24" i="22" a="1"/>
  <c r="J12" i="22" a="1"/>
  <c r="G20" i="22" a="1"/>
  <c r="J9" i="23" a="1"/>
  <c r="E24" i="22" a="1"/>
  <c r="G47" i="23" a="1"/>
  <c r="K26" i="22" a="1"/>
  <c r="J25" i="23" a="1"/>
  <c r="J24" i="23" a="1"/>
  <c r="L13" i="23" a="1"/>
  <c r="K40" i="22" a="1"/>
  <c r="E39" i="23" a="1"/>
  <c r="K15" i="23" a="1"/>
  <c r="F25" i="23" a="1"/>
  <c r="J44" i="22" a="1"/>
  <c r="F45" i="23" a="1"/>
  <c r="G17" i="23" a="1"/>
  <c r="G41" i="17" a="1"/>
  <c r="G36" i="22" a="1"/>
  <c r="H33" i="22" a="1"/>
  <c r="H44" i="22" a="1"/>
  <c r="K32" i="22" a="1"/>
  <c r="L32" i="22" a="1"/>
  <c r="D32" i="23" a="1"/>
  <c r="F19" i="23" a="1"/>
  <c r="E24" i="17" a="1"/>
  <c r="K33" i="23" a="1"/>
  <c r="E12" i="21" a="1"/>
  <c r="G38" i="21" a="1"/>
  <c r="L21" i="23" a="1"/>
  <c r="F46" i="23" a="1"/>
  <c r="L25" i="23" a="1"/>
  <c r="F16" i="23" a="1"/>
  <c r="J33" i="23" a="1"/>
  <c r="M38" i="22" a="1"/>
  <c r="M15" i="23" a="1"/>
  <c r="H21" i="22" a="1"/>
  <c r="H47" i="23" a="1"/>
  <c r="H35" i="23" a="1"/>
  <c r="H42" i="23" a="1"/>
  <c r="J36" i="23" a="1"/>
  <c r="J43" i="23" a="1"/>
  <c r="F42" i="22" a="1"/>
  <c r="G16" i="22" a="1"/>
  <c r="L39" i="23" a="1"/>
  <c r="E36" i="22" a="1"/>
  <c r="G15" i="22" a="1"/>
  <c r="E49" i="22" a="1"/>
  <c r="G42" i="23" a="1"/>
  <c r="K27" i="22" a="1"/>
  <c r="E19" i="22" a="1"/>
  <c r="H15" i="22" a="1"/>
  <c r="F34" i="22" a="1"/>
  <c r="L45" i="22" a="1"/>
  <c r="I39" i="23" a="1"/>
  <c r="G18" i="23" a="1"/>
  <c r="L22" i="23" a="1"/>
  <c r="M39" i="22" a="1"/>
  <c r="G34" i="22" a="1"/>
  <c r="J15" i="22" a="1"/>
  <c r="F22" i="22" a="1"/>
  <c r="I49" i="23" a="1"/>
  <c r="G43" i="22" a="1"/>
  <c r="K45" i="23" a="1"/>
  <c r="F8" i="23" a="1"/>
  <c r="K44" i="23" a="1"/>
  <c r="I16" i="23" a="1"/>
  <c r="I27" i="23" a="1"/>
  <c r="F36" i="22" a="1"/>
  <c r="H35" i="22" a="1"/>
  <c r="K39" i="22" a="1"/>
  <c r="E21" i="19" a="1"/>
  <c r="G44" i="23" a="1"/>
  <c r="L26" i="23" a="1"/>
  <c r="M25" i="23" a="1"/>
  <c r="E25" i="23" a="1"/>
  <c r="E49" i="23" a="1"/>
  <c r="J45" i="22" a="1"/>
  <c r="K37" i="23" a="1"/>
  <c r="K24" i="23" a="1"/>
  <c r="H13" i="23" a="1"/>
  <c r="I45" i="22" a="1"/>
  <c r="G27" i="22" a="1"/>
  <c r="J38" i="22" a="1"/>
  <c r="F43" i="19" a="1"/>
  <c r="D20" i="21" a="1"/>
  <c r="F15" i="19" a="1"/>
  <c r="D36" i="22" a="1"/>
  <c r="G24" i="19" a="1"/>
  <c r="G35" i="23" a="1"/>
  <c r="D7" i="22" a="1"/>
  <c r="L32" i="19" a="1"/>
  <c r="J9" i="22" a="1"/>
  <c r="E48" i="22" a="1"/>
  <c r="M20" i="22" a="1"/>
  <c r="G8" i="23" a="1"/>
  <c r="K19" i="22" a="1"/>
  <c r="E9" i="22" a="1"/>
  <c r="I11" i="23" a="1"/>
  <c r="H37" i="23" a="1"/>
  <c r="L45" i="23" a="1"/>
  <c r="H34" i="22" a="1"/>
  <c r="L33" i="23" a="1"/>
  <c r="J37" i="23" a="1"/>
  <c r="F27" i="23" a="1"/>
  <c r="G14" i="22" a="1"/>
  <c r="G18" i="22" a="1"/>
  <c r="G38" i="22" a="1"/>
  <c r="L40" i="23" a="1"/>
  <c r="L49" i="23" a="1"/>
  <c r="G43" i="23" a="1"/>
  <c r="H45" i="22" a="1"/>
  <c r="L10" i="23" a="1"/>
  <c r="I38" i="23" a="1"/>
  <c r="H8" i="23" a="1"/>
  <c r="F13" i="23" a="1"/>
  <c r="K43" i="23" a="1"/>
  <c r="H40" i="23" a="1"/>
  <c r="H18" i="22" a="1"/>
  <c r="F37" i="22" a="1"/>
  <c r="M37" i="23" a="1"/>
  <c r="G13" i="23" a="1"/>
  <c r="I14" i="23" a="1"/>
  <c r="I46" i="23" a="1"/>
  <c r="K12" i="22" a="1"/>
  <c r="E26" i="22" a="1"/>
  <c r="M13" i="22" a="1"/>
  <c r="F14" i="23" a="1"/>
  <c r="E18" i="23" a="1"/>
  <c r="I34" i="22" a="1"/>
  <c r="M48" i="23" a="1"/>
  <c r="F22" i="23" a="1"/>
  <c r="I26" i="23" a="1"/>
  <c r="I9" i="17" a="1"/>
  <c r="G33" i="23" a="1"/>
  <c r="E40" i="23" a="1"/>
  <c r="M37" i="22" a="1"/>
  <c r="F12" i="23" a="1"/>
  <c r="F23" i="22" a="1"/>
  <c r="K10" i="22" a="1"/>
  <c r="J10" i="22" a="1"/>
  <c r="M15" i="21" a="1"/>
  <c r="M21" i="22" a="1"/>
  <c r="H33" i="23" a="1"/>
  <c r="G20" i="23" a="1"/>
  <c r="I19" i="22" a="1"/>
  <c r="I33" i="19" a="1"/>
  <c r="K17" i="22" a="1"/>
  <c r="D47" i="23" a="1"/>
  <c r="D19" i="23" a="1"/>
  <c r="M7" i="23" a="1"/>
  <c r="K49" i="17" a="1"/>
  <c r="L49" i="21" a="1"/>
  <c r="D27" i="22" a="1"/>
  <c r="F43" i="22" a="1"/>
  <c r="I15" i="23" a="1"/>
  <c r="G24" i="22" a="1"/>
  <c r="H39" i="23" a="1"/>
  <c r="M48" i="22" a="1"/>
  <c r="I45" i="23" a="1"/>
  <c r="J16" i="23" a="1"/>
  <c r="H17" i="23" a="1"/>
  <c r="H9" i="22" a="1"/>
  <c r="L27" i="22" a="1"/>
  <c r="M10" i="23" a="1"/>
  <c r="J39" i="23" a="1"/>
  <c r="L16" i="23" a="1"/>
  <c r="H41" i="22" a="1"/>
  <c r="J27" i="22" a="1"/>
  <c r="F41" i="23" a="1"/>
  <c r="K24" i="22" a="1"/>
  <c r="M47" i="23" a="1"/>
  <c r="L25" i="22" a="1"/>
  <c r="K21" i="22" a="1"/>
  <c r="F40" i="23" a="1"/>
  <c r="J18" i="23" a="1"/>
  <c r="G45" i="22" a="1"/>
  <c r="J36" i="22" a="1"/>
  <c r="I18" i="22" a="1"/>
  <c r="M11" i="22" a="1"/>
  <c r="I26" i="22" a="1"/>
  <c r="K15" i="22" a="1"/>
  <c r="E23" i="22" a="1"/>
  <c r="K43" i="22" a="1"/>
  <c r="M46" i="22" a="1"/>
  <c r="G39" i="23" a="1"/>
  <c r="I48" i="22" a="1"/>
  <c r="E15" i="22" a="1"/>
  <c r="J34" i="23" a="1"/>
  <c r="J23" i="22" a="1"/>
  <c r="E33" i="23" a="1"/>
  <c r="J47" i="22" a="1"/>
  <c r="M35" i="23" a="1"/>
  <c r="J39" i="22" a="1"/>
  <c r="E27" i="22" a="1"/>
  <c r="D8" i="22" a="1"/>
  <c r="M14" i="22" a="1"/>
  <c r="H13" i="22" a="1"/>
  <c r="K18" i="23" a="1"/>
  <c r="K49" i="22" a="1"/>
  <c r="M32" i="23" a="1"/>
  <c r="L11" i="22" a="1"/>
  <c r="I15" i="22" a="1"/>
  <c r="L24" i="22" a="1"/>
  <c r="G46" i="23" a="1"/>
  <c r="H34" i="17" a="1"/>
  <c r="G16" i="21" a="1"/>
  <c r="G12" i="22" a="1"/>
  <c r="L7" i="21" a="1"/>
  <c r="E32" i="23" a="1"/>
  <c r="K24" i="17" a="1"/>
  <c r="M27" i="22" a="1"/>
  <c r="F46" i="17" a="1"/>
  <c r="H21" i="23" a="1"/>
  <c r="L37" i="23" a="1"/>
  <c r="F18" i="22" a="1"/>
  <c r="E46" i="22" a="1"/>
  <c r="E15" i="23" a="1"/>
  <c r="M13" i="23" a="1"/>
  <c r="M8" i="23" a="1"/>
  <c r="F20" i="22" a="1"/>
  <c r="E16" i="22" a="1"/>
  <c r="I36" i="22" a="1"/>
  <c r="J35" i="23" a="1"/>
  <c r="H37" i="22" a="1"/>
  <c r="L46" i="23" a="1"/>
  <c r="F35" i="22" a="1"/>
  <c r="I9" i="23" a="1"/>
  <c r="G25" i="23" a="1"/>
  <c r="I21" i="22" a="1"/>
  <c r="E36" i="23" a="1"/>
  <c r="I12" i="23" a="1"/>
  <c r="E43" i="22" a="1"/>
  <c r="M41" i="23" a="1"/>
  <c r="E18" i="22" a="1"/>
  <c r="G15" i="23" a="1"/>
  <c r="M40" i="23" a="1"/>
  <c r="I35" i="22" a="1"/>
  <c r="L15" i="22" a="1"/>
  <c r="G22" i="23" a="1"/>
  <c r="E14" i="23" a="1"/>
  <c r="H14" i="23" a="1"/>
  <c r="L38" i="23" a="1"/>
  <c r="M42" i="23" a="1"/>
  <c r="F23" i="23" a="1"/>
  <c r="F15" i="23" a="1"/>
  <c r="G49" i="23" a="1"/>
  <c r="G37" i="23" a="1"/>
  <c r="K44" i="22" a="1"/>
  <c r="F27" i="22" a="1"/>
  <c r="F20" i="23" a="1"/>
  <c r="J43" i="22" a="1"/>
  <c r="G16" i="23" a="1"/>
  <c r="G32" i="22" a="1"/>
  <c r="M23" i="23" a="1"/>
  <c r="L36" i="22" a="1"/>
  <c r="E26" i="23" a="1"/>
  <c r="J14" i="23" a="1"/>
  <c r="K46" i="22" a="1"/>
  <c r="I17" i="23" a="1"/>
  <c r="M35" i="19" a="1"/>
  <c r="L43" i="22" a="1"/>
  <c r="D11" i="22" a="1"/>
  <c r="D22" i="19" a="1"/>
  <c r="D36" i="19" a="1"/>
  <c r="M11" i="19" a="1"/>
  <c r="M16" i="17" a="1"/>
  <c r="D7" i="23" a="1"/>
  <c r="K14" i="19" a="1"/>
  <c r="G21" i="21" a="1"/>
  <c r="L47" i="23" a="1"/>
  <c r="E20" i="23" a="1"/>
  <c r="J41" i="23" a="1"/>
  <c r="E37" i="23" a="1"/>
  <c r="E13" i="23" a="1"/>
  <c r="H27" i="23" a="1"/>
  <c r="G26" i="23" a="1"/>
  <c r="K14" i="22" a="1"/>
  <c r="L48" i="23" a="1"/>
  <c r="G39" i="22" a="1"/>
  <c r="E25" i="22" a="1"/>
  <c r="K47" i="23" a="1"/>
  <c r="L35" i="23" a="1"/>
  <c r="F21" i="22" a="1"/>
  <c r="L37" i="22" a="1"/>
  <c r="H39" i="22" a="1"/>
  <c r="F15" i="22" a="1"/>
  <c r="I21" i="23" a="1"/>
  <c r="K46" i="23" a="1"/>
  <c r="M45" i="22" a="1"/>
  <c r="H40" i="22" a="1"/>
  <c r="H26" i="22" a="1"/>
  <c r="I49" i="22" a="1"/>
  <c r="J17" i="22" a="1"/>
  <c r="I43" i="23" a="1"/>
  <c r="M12" i="22" a="1"/>
  <c r="H20" i="22" a="1"/>
  <c r="G13" i="22" a="1"/>
  <c r="H42" i="22" a="1"/>
  <c r="I22" i="23" a="1"/>
  <c r="M21" i="23" a="1"/>
  <c r="H11" i="23" a="1"/>
  <c r="E17" i="22" a="1"/>
  <c r="I42" i="22" a="1"/>
  <c r="K8" i="23" a="1"/>
  <c r="I9" i="22" a="1"/>
  <c r="E8" i="22" a="1"/>
  <c r="M14" i="19" a="1"/>
  <c r="L43" i="23" a="1"/>
  <c r="F17" i="22" a="1"/>
  <c r="K33" i="22" a="1"/>
  <c r="F47" i="22" a="1"/>
  <c r="E21" i="22" a="1"/>
  <c r="M49" i="22" a="1"/>
  <c r="E10" i="22" a="1"/>
  <c r="H26" i="23" a="1"/>
  <c r="E15" i="19" a="1"/>
  <c r="I46" i="22" a="1"/>
  <c r="L10" i="22" a="1"/>
  <c r="L44" i="22" a="1"/>
  <c r="H32" i="22" a="1"/>
  <c r="J45" i="21" a="1"/>
  <c r="M12" i="21" a="1"/>
  <c r="J40" i="17" a="1"/>
  <c r="J37" i="19" a="1"/>
  <c r="G20" i="19" a="1"/>
  <c r="M34" i="17" a="1"/>
  <c r="J42" i="19" a="1"/>
  <c r="K18" i="22" a="1"/>
  <c r="M14" i="23" a="1"/>
  <c r="G22" i="22" a="1"/>
  <c r="K12" i="23" a="1"/>
  <c r="M9" i="23" a="1"/>
  <c r="F24" i="23" a="1"/>
  <c r="H48" i="23" a="1"/>
  <c r="M27" i="23" a="1"/>
  <c r="J11" i="22" a="1"/>
  <c r="I25" i="22" a="1"/>
  <c r="L12" i="23" a="1"/>
  <c r="E48" i="23" a="1"/>
  <c r="E34" i="22" a="1"/>
  <c r="F16" i="22" a="1"/>
  <c r="E42" i="22" a="1"/>
  <c r="M17" i="22" a="1"/>
  <c r="K39" i="23" a="1"/>
  <c r="I10" i="22" a="1"/>
  <c r="G42" i="22" a="1"/>
  <c r="J13" i="22" a="1"/>
  <c r="K14" i="23" a="1"/>
  <c r="H9" i="23" a="1"/>
  <c r="E40" i="22" a="1"/>
  <c r="L14" i="22" a="1"/>
  <c r="L38" i="22" a="1"/>
  <c r="M25" i="22" a="1"/>
  <c r="K45" i="22" a="1"/>
  <c r="E9" i="23" a="1"/>
  <c r="K16" i="23" a="1"/>
  <c r="E35" i="23" a="1"/>
  <c r="L9" i="23" a="1"/>
  <c r="L40" i="22" a="1"/>
  <c r="E42" i="23" a="1"/>
  <c r="H16" i="23" a="1"/>
  <c r="J26" i="23" a="1"/>
  <c r="I39" i="22" a="1"/>
  <c r="F40" i="22" a="1"/>
  <c r="J23" i="23" a="1"/>
  <c r="I23" i="22" a="1"/>
  <c r="H46" i="23" a="1"/>
  <c r="F49" i="23" a="1"/>
  <c r="K7" i="23" a="1"/>
  <c r="D24" i="22" a="1"/>
  <c r="H49" i="17" a="1"/>
  <c r="I17" i="19" a="1"/>
  <c r="M36" i="17" a="1"/>
  <c r="E16" i="19" a="1"/>
  <c r="E48" i="19" a="1"/>
  <c r="K41" i="23" a="1"/>
  <c r="L23" i="22" a="1"/>
  <c r="H8" i="22" a="1"/>
  <c r="H11" i="22" a="1"/>
  <c r="M44" i="23" a="1"/>
  <c r="M43" i="23" a="1"/>
  <c r="J13" i="23" a="1"/>
  <c r="F21" i="23" a="1"/>
  <c r="E34" i="23" a="1"/>
  <c r="I33" i="22" a="1"/>
  <c r="I14" i="22" a="1"/>
  <c r="L34" i="23" a="1"/>
  <c r="K21" i="23" a="1"/>
  <c r="F37" i="23" a="1"/>
  <c r="E13" i="22" a="1"/>
  <c r="M34" i="22" a="1"/>
  <c r="L49" i="22" a="1"/>
  <c r="G46" i="22" a="1"/>
  <c r="H23" i="23" a="1"/>
  <c r="L14" i="23" a="1"/>
  <c r="K36" i="22" a="1"/>
  <c r="L18" i="23" a="1"/>
  <c r="F43" i="23" a="1"/>
  <c r="H22" i="23" a="1"/>
  <c r="F12" i="22" a="1"/>
  <c r="E35" i="22" a="1"/>
  <c r="F14" i="22" a="1"/>
  <c r="M47" i="22" a="1"/>
  <c r="H49" i="23" a="1"/>
  <c r="I34" i="23" a="1"/>
  <c r="I13" i="22" a="1"/>
  <c r="K37" i="22" a="1"/>
  <c r="E12" i="22" a="1"/>
  <c r="K34" i="23" a="1"/>
  <c r="M41" i="22" a="1"/>
  <c r="M38" i="23" a="1"/>
  <c r="F11" i="22" a="1"/>
  <c r="H19" i="23" a="1"/>
  <c r="J22" i="22" a="1"/>
  <c r="F48" i="23" a="1"/>
  <c r="K10" i="23" a="1"/>
  <c r="K23" i="22" a="1"/>
  <c r="G11" i="22" a="1"/>
  <c r="J18" i="17" a="1"/>
  <c r="M46" i="23" a="1"/>
  <c r="L27" i="23" a="1"/>
  <c r="L41" i="22" a="1"/>
  <c r="G45" i="23" a="1"/>
  <c r="J8" i="23" a="1"/>
  <c r="K11" i="22" a="1"/>
  <c r="H38" i="23" a="1"/>
  <c r="I48" i="23" a="1"/>
  <c r="M26" i="22" a="1"/>
  <c r="G10" i="22" a="1"/>
  <c r="E47" i="22" a="1"/>
  <c r="J37" i="22" a="1"/>
  <c r="D11" i="21" a="1"/>
  <c r="L17" i="21" a="1"/>
  <c r="D42" i="19" a="1"/>
  <c r="D46" i="22" a="1"/>
  <c r="H13" i="17" a="1"/>
  <c r="J23" i="19" a="1"/>
  <c r="L18" i="22" a="1"/>
  <c r="E17" i="23" a="1"/>
  <c r="M12" i="23" a="1"/>
  <c r="E22" i="22" a="1"/>
  <c r="G9" i="22" a="1"/>
  <c r="H18" i="23" a="1"/>
  <c r="M36" i="22" a="1"/>
  <c r="J47" i="23" a="1"/>
  <c r="F10" i="23" a="1"/>
  <c r="H38" i="22" a="1"/>
  <c r="K23" i="23" a="1"/>
  <c r="E38" i="23" a="1"/>
  <c r="K48" i="22" a="1"/>
  <c r="E10" i="23" a="1"/>
  <c r="K20" i="23" a="1"/>
  <c r="J35" i="22" a="1"/>
  <c r="G19" i="22" a="1"/>
  <c r="K41" i="22" a="1"/>
  <c r="M17" i="23" a="1"/>
  <c r="I37" i="23" a="1"/>
  <c r="H14" i="22" a="1"/>
  <c r="H10" i="23" a="1"/>
  <c r="M45" i="23" a="1"/>
  <c r="I35" i="23" a="1"/>
  <c r="F26" i="23" a="1"/>
  <c r="L8" i="22" a="1"/>
  <c r="G37" i="22" a="1"/>
  <c r="J44" i="23" a="1"/>
  <c r="E19" i="23" a="1"/>
  <c r="E24" i="23" a="1"/>
  <c r="K35" i="23" a="1"/>
  <c r="K9" i="22" a="1"/>
  <c r="G27" i="23" a="1"/>
  <c r="J8" i="22" a="1"/>
  <c r="M23" i="22" a="1"/>
  <c r="G35" i="22" a="1"/>
  <c r="J12" i="23" a="1"/>
  <c r="G19" i="17" a="1"/>
  <c r="F48" i="22" a="1"/>
  <c r="M33" i="23" a="1"/>
  <c r="J20" i="23" a="1"/>
  <c r="G24" i="23" a="1"/>
  <c r="L39" i="19" a="1"/>
  <c r="F38" i="22" a="1"/>
  <c r="L25" i="19" a="1"/>
  <c r="F23" i="21" a="1"/>
  <c r="G41" i="23" a="1"/>
  <c r="J11" i="17" a="1"/>
  <c r="E43" i="19" a="1"/>
  <c r="D48" i="17" a="1"/>
  <c r="F41" i="21" a="1"/>
  <c r="L16" i="22" a="1"/>
  <c r="M33" i="22" a="1"/>
  <c r="F45" i="22" a="1"/>
  <c r="J26" i="22" a="1"/>
  <c r="J19" i="22" a="1"/>
  <c r="G47" i="22" a="1"/>
  <c r="G26" i="22" a="1"/>
  <c r="L19" i="23" a="1"/>
  <c r="G49" i="22" a="1"/>
  <c r="F33" i="23" a="1"/>
  <c r="J48" i="23" a="1"/>
  <c r="G8" i="22" a="1"/>
  <c r="E27" i="23" a="1"/>
  <c r="J11" i="23" a="1"/>
  <c r="E38" i="22" a="1"/>
  <c r="L15" i="23" a="1"/>
  <c r="J20" i="22" a="1"/>
  <c r="J46" i="22" a="1"/>
  <c r="I12" i="22" a="1"/>
  <c r="J16" i="22" a="1"/>
  <c r="F33" i="22" a="1"/>
  <c r="I10" i="23" a="1"/>
  <c r="E14" i="22" a="1"/>
  <c r="L47" i="22" a="1"/>
  <c r="H47" i="22" a="1"/>
  <c r="L17" i="23" a="1"/>
  <c r="H15" i="23" a="1"/>
  <c r="M35" i="22" a="1"/>
  <c r="F41" i="22" a="1"/>
  <c r="I41" i="23" a="1"/>
  <c r="F44" i="22" a="1"/>
  <c r="G38" i="23" a="1"/>
  <c r="L44" i="23" a="1"/>
  <c r="L8" i="23" a="1"/>
  <c r="F8" i="22" a="1"/>
  <c r="K25" i="22" a="1"/>
  <c r="E47" i="23" a="1"/>
  <c r="I18" i="23" a="1"/>
  <c r="J21" i="23" a="1"/>
  <c r="E20" i="22" a="1"/>
  <c r="G37" i="17" a="1"/>
  <c r="E45" i="23" a="1"/>
  <c r="L13" i="22" a="1"/>
  <c r="F10" i="22" a="1"/>
  <c r="M26" i="23" a="1"/>
  <c r="E44" i="23" a="1"/>
  <c r="L26" i="22" a="1"/>
  <c r="I33" i="23" a="1"/>
  <c r="M8" i="22" a="1"/>
  <c r="G10" i="23" a="1"/>
  <c r="L42" i="22" a="1"/>
  <c r="G34" i="23" a="1"/>
  <c r="J46" i="23" a="1"/>
  <c r="G11" i="23" a="1"/>
  <c r="M19" i="22" a="1"/>
  <c r="M37" i="17" a="1"/>
  <c r="F32" i="19" a="1"/>
  <c r="K13" i="22" a="1"/>
  <c r="G32" i="23" a="1"/>
  <c r="D34" i="22" a="1"/>
  <c r="H47" i="19" a="1"/>
  <c r="G36" i="23" a="1"/>
  <c r="K27" i="23" a="1"/>
  <c r="J21" i="22" a="1"/>
  <c r="M40" i="22" a="1"/>
  <c r="L19" i="22" a="1"/>
  <c r="K38" i="22" a="1"/>
  <c r="J42" i="23" a="1"/>
  <c r="J49" i="22" a="1"/>
  <c r="J33" i="22" a="1"/>
  <c r="H10" i="22" a="1"/>
  <c r="H19" i="22" a="1"/>
  <c r="H47" i="19" l="1"/>
  <c r="D34" i="22"/>
  <c r="G32" i="23"/>
  <c r="K13" i="22"/>
  <c r="F32" i="19"/>
  <c r="M37" i="17"/>
  <c r="G37" i="17"/>
  <c r="F41" i="21"/>
  <c r="D48" i="17"/>
  <c r="O48" i="17" s="1"/>
  <c r="F57" i="17" s="1"/>
  <c r="E43" i="19"/>
  <c r="J11" i="17"/>
  <c r="N11" i="17" s="1"/>
  <c r="G41" i="23"/>
  <c r="F23" i="21"/>
  <c r="O23" i="21" s="1"/>
  <c r="L25" i="19"/>
  <c r="O25" i="19" s="1"/>
  <c r="L39" i="19"/>
  <c r="G19" i="17"/>
  <c r="G28" i="17" s="1"/>
  <c r="L18" i="22"/>
  <c r="J23" i="19"/>
  <c r="H13" i="17"/>
  <c r="D46" i="22"/>
  <c r="D42" i="19"/>
  <c r="L17" i="21"/>
  <c r="D11" i="21"/>
  <c r="J18" i="17"/>
  <c r="E48" i="19"/>
  <c r="E16" i="19"/>
  <c r="M36" i="17"/>
  <c r="N36" i="17" s="1"/>
  <c r="I17" i="19"/>
  <c r="H49" i="17"/>
  <c r="N49" i="17" s="1"/>
  <c r="D24" i="22"/>
  <c r="K7" i="23"/>
  <c r="H46" i="23"/>
  <c r="J42" i="19"/>
  <c r="M34" i="17"/>
  <c r="G20" i="19"/>
  <c r="J37" i="19"/>
  <c r="J40" i="17"/>
  <c r="M12" i="21"/>
  <c r="J45" i="21"/>
  <c r="H32" i="22"/>
  <c r="E15" i="19"/>
  <c r="M14" i="19"/>
  <c r="G21" i="21"/>
  <c r="O21" i="21" s="1"/>
  <c r="K14" i="19"/>
  <c r="D7" i="23"/>
  <c r="D28" i="23" s="1"/>
  <c r="M16" i="17"/>
  <c r="M28" i="17" s="1"/>
  <c r="M11" i="19"/>
  <c r="D36" i="19"/>
  <c r="N36" i="19" s="1"/>
  <c r="D22" i="19"/>
  <c r="D11" i="22"/>
  <c r="M35" i="19"/>
  <c r="G32" i="22"/>
  <c r="F46" i="17"/>
  <c r="M27" i="22"/>
  <c r="K24" i="17"/>
  <c r="E32" i="23"/>
  <c r="L7" i="21"/>
  <c r="L28" i="21" s="1"/>
  <c r="G12" i="22"/>
  <c r="G16" i="21"/>
  <c r="O16" i="21" s="1"/>
  <c r="H34" i="17"/>
  <c r="M32" i="23"/>
  <c r="D8" i="22"/>
  <c r="D27" i="22"/>
  <c r="L49" i="21"/>
  <c r="L50" i="21" s="1"/>
  <c r="K49" i="17"/>
  <c r="M7" i="23"/>
  <c r="D19" i="23"/>
  <c r="D47" i="23"/>
  <c r="K17" i="22"/>
  <c r="I33" i="19"/>
  <c r="M15" i="21"/>
  <c r="I9" i="17"/>
  <c r="L32" i="19"/>
  <c r="O32" i="19" s="1"/>
  <c r="D7" i="22"/>
  <c r="N7" i="22" s="1"/>
  <c r="G35" i="23"/>
  <c r="G24" i="19"/>
  <c r="O24" i="19" s="1"/>
  <c r="D36" i="22"/>
  <c r="F15" i="19"/>
  <c r="F28" i="19" s="1"/>
  <c r="D20" i="21"/>
  <c r="O20" i="21" s="1"/>
  <c r="F43" i="19"/>
  <c r="F50" i="19" s="1"/>
  <c r="E21" i="19"/>
  <c r="G38" i="21"/>
  <c r="E12" i="21"/>
  <c r="K33" i="23"/>
  <c r="E24" i="17"/>
  <c r="F19" i="23"/>
  <c r="D32" i="23"/>
  <c r="L32" i="22"/>
  <c r="K32" i="22"/>
  <c r="G41" i="17"/>
  <c r="E8" i="23"/>
  <c r="D17" i="22"/>
  <c r="D10" i="22"/>
  <c r="O10" i="22" s="1"/>
  <c r="L16" i="19"/>
  <c r="L28" i="19" s="1"/>
  <c r="M41" i="17"/>
  <c r="I8" i="19"/>
  <c r="N8" i="19" s="1"/>
  <c r="F9" i="23"/>
  <c r="L7" i="23"/>
  <c r="L45" i="17"/>
  <c r="J32" i="23"/>
  <c r="F44" i="21"/>
  <c r="H38" i="21"/>
  <c r="D38" i="23"/>
  <c r="F7" i="21"/>
  <c r="I49" i="21"/>
  <c r="D22" i="21"/>
  <c r="N22" i="21" s="1"/>
  <c r="M42" i="17"/>
  <c r="N42" i="17" s="1"/>
  <c r="L41" i="19"/>
  <c r="E27" i="19"/>
  <c r="N27" i="19" s="1"/>
  <c r="G34" i="17"/>
  <c r="N34" i="17" s="1"/>
  <c r="F39" i="17"/>
  <c r="N39" i="17" s="1"/>
  <c r="F38" i="17"/>
  <c r="N38" i="17" s="1"/>
  <c r="H43" i="17"/>
  <c r="D37" i="23"/>
  <c r="G7" i="22"/>
  <c r="D35" i="22"/>
  <c r="L37" i="17"/>
  <c r="K20" i="17"/>
  <c r="K12" i="19"/>
  <c r="D19" i="21"/>
  <c r="O19" i="21" s="1"/>
  <c r="K15" i="19"/>
  <c r="E39" i="19"/>
  <c r="O15" i="21"/>
  <c r="F36" i="22"/>
  <c r="L13" i="23"/>
  <c r="M36" i="23"/>
  <c r="F39" i="23"/>
  <c r="K38" i="23"/>
  <c r="M22" i="22"/>
  <c r="L42" i="22"/>
  <c r="E20" i="22"/>
  <c r="F23" i="22"/>
  <c r="E27" i="22"/>
  <c r="F48" i="23"/>
  <c r="I26" i="23"/>
  <c r="F22" i="23"/>
  <c r="J43" i="22"/>
  <c r="M35" i="23"/>
  <c r="M48" i="23"/>
  <c r="I27" i="23"/>
  <c r="E41" i="22"/>
  <c r="F42" i="23"/>
  <c r="I11" i="22"/>
  <c r="I41" i="22"/>
  <c r="L43" i="22"/>
  <c r="E21" i="23"/>
  <c r="J21" i="23"/>
  <c r="M49" i="22"/>
  <c r="G11" i="22"/>
  <c r="J22" i="22"/>
  <c r="E8" i="22"/>
  <c r="J39" i="22"/>
  <c r="F20" i="23"/>
  <c r="J47" i="22"/>
  <c r="I34" i="22"/>
  <c r="I16" i="23"/>
  <c r="J24" i="23"/>
  <c r="I42" i="23"/>
  <c r="J15" i="23"/>
  <c r="J48" i="22"/>
  <c r="I19" i="22"/>
  <c r="I48" i="23"/>
  <c r="I18" i="23"/>
  <c r="J44" i="22"/>
  <c r="J12" i="23"/>
  <c r="H19" i="23"/>
  <c r="K39" i="22"/>
  <c r="H35" i="22"/>
  <c r="F27" i="22"/>
  <c r="E33" i="23"/>
  <c r="E18" i="23"/>
  <c r="K44" i="23"/>
  <c r="G12" i="23"/>
  <c r="H25" i="22"/>
  <c r="H12" i="22"/>
  <c r="L20" i="23"/>
  <c r="H19" i="22"/>
  <c r="K24" i="23"/>
  <c r="E47" i="23"/>
  <c r="J14" i="23"/>
  <c r="K23" i="22"/>
  <c r="F11" i="22"/>
  <c r="G16" i="23"/>
  <c r="I9" i="22"/>
  <c r="K44" i="22"/>
  <c r="J23" i="22"/>
  <c r="F14" i="23"/>
  <c r="F8" i="23"/>
  <c r="J25" i="23"/>
  <c r="H34" i="23"/>
  <c r="M34" i="23"/>
  <c r="K25" i="23"/>
  <c r="G46" i="23"/>
  <c r="K49" i="22"/>
  <c r="K25" i="22"/>
  <c r="L21" i="22"/>
  <c r="G35" i="22"/>
  <c r="M38" i="23"/>
  <c r="J26" i="23"/>
  <c r="K8" i="23"/>
  <c r="G37" i="23"/>
  <c r="J34" i="23"/>
  <c r="M13" i="22"/>
  <c r="K45" i="23"/>
  <c r="H49" i="22"/>
  <c r="L17" i="22"/>
  <c r="I40" i="23"/>
  <c r="G48" i="22"/>
  <c r="M19" i="22"/>
  <c r="G24" i="23"/>
  <c r="F8" i="22"/>
  <c r="E49" i="23"/>
  <c r="K10" i="23"/>
  <c r="M41" i="22"/>
  <c r="H16" i="23"/>
  <c r="I42" i="22"/>
  <c r="G49" i="23"/>
  <c r="N49" i="23" s="1"/>
  <c r="E15" i="22"/>
  <c r="E26" i="22"/>
  <c r="G43" i="22"/>
  <c r="K26" i="22"/>
  <c r="E22" i="23"/>
  <c r="K17" i="23"/>
  <c r="H43" i="23"/>
  <c r="H44" i="22"/>
  <c r="I23" i="22"/>
  <c r="L8" i="23"/>
  <c r="J8" i="23"/>
  <c r="M23" i="22"/>
  <c r="K34" i="23"/>
  <c r="E42" i="23"/>
  <c r="E17" i="22"/>
  <c r="F15" i="23"/>
  <c r="I48" i="22"/>
  <c r="K12" i="22"/>
  <c r="I49" i="23"/>
  <c r="G21" i="23"/>
  <c r="J40" i="23"/>
  <c r="M16" i="22"/>
  <c r="L11" i="23"/>
  <c r="F38" i="22"/>
  <c r="H26" i="23"/>
  <c r="L44" i="23"/>
  <c r="M33" i="23"/>
  <c r="J8" i="22"/>
  <c r="E12" i="22"/>
  <c r="L40" i="22"/>
  <c r="H11" i="23"/>
  <c r="F23" i="23"/>
  <c r="G39" i="23"/>
  <c r="I46" i="23"/>
  <c r="F22" i="22"/>
  <c r="G47" i="23"/>
  <c r="K20" i="22"/>
  <c r="G40" i="22"/>
  <c r="E41" i="23"/>
  <c r="J37" i="22"/>
  <c r="J10" i="22"/>
  <c r="G38" i="23"/>
  <c r="F12" i="23"/>
  <c r="G27" i="23"/>
  <c r="K37" i="22"/>
  <c r="L9" i="23"/>
  <c r="M21" i="23"/>
  <c r="M42" i="23"/>
  <c r="M46" i="22"/>
  <c r="I14" i="23"/>
  <c r="J15" i="22"/>
  <c r="G21" i="22"/>
  <c r="M22" i="23"/>
  <c r="J17" i="23"/>
  <c r="G44" i="22"/>
  <c r="L44" i="22"/>
  <c r="I17" i="23"/>
  <c r="F44" i="22"/>
  <c r="F25" i="23"/>
  <c r="K9" i="22"/>
  <c r="I13" i="22"/>
  <c r="E35" i="23"/>
  <c r="I22" i="23"/>
  <c r="L38" i="23"/>
  <c r="K43" i="22"/>
  <c r="G13" i="23"/>
  <c r="G34" i="22"/>
  <c r="E24" i="22"/>
  <c r="I44" i="22"/>
  <c r="L22" i="22"/>
  <c r="K42" i="22"/>
  <c r="F49" i="23"/>
  <c r="G17" i="23"/>
  <c r="I41" i="23"/>
  <c r="E21" i="22"/>
  <c r="K35" i="23"/>
  <c r="I34" i="23"/>
  <c r="K16" i="23"/>
  <c r="H42" i="22"/>
  <c r="H14" i="23"/>
  <c r="E23" i="22"/>
  <c r="M37" i="23"/>
  <c r="M39" i="22"/>
  <c r="H48" i="22"/>
  <c r="I8" i="23"/>
  <c r="I43" i="22"/>
  <c r="G19" i="23"/>
  <c r="L39" i="22"/>
  <c r="G10" i="23"/>
  <c r="F41" i="22"/>
  <c r="F40" i="22"/>
  <c r="E24" i="23"/>
  <c r="H49" i="23"/>
  <c r="E9" i="23"/>
  <c r="G13" i="22"/>
  <c r="E14" i="23"/>
  <c r="K15" i="22"/>
  <c r="F37" i="22"/>
  <c r="L22" i="23"/>
  <c r="J9" i="23"/>
  <c r="J22" i="23"/>
  <c r="H23" i="22"/>
  <c r="L41" i="23"/>
  <c r="J38" i="22"/>
  <c r="E33" i="22"/>
  <c r="M35" i="22"/>
  <c r="F35" i="23"/>
  <c r="E19" i="23"/>
  <c r="M47" i="22"/>
  <c r="K45" i="22"/>
  <c r="H20" i="22"/>
  <c r="G22" i="23"/>
  <c r="I26" i="22"/>
  <c r="H18" i="22"/>
  <c r="G18" i="23"/>
  <c r="G20" i="22"/>
  <c r="E16" i="23"/>
  <c r="I19" i="23"/>
  <c r="E43" i="23"/>
  <c r="G20" i="23"/>
  <c r="K37" i="23"/>
  <c r="H15" i="23"/>
  <c r="E26" i="23"/>
  <c r="J44" i="23"/>
  <c r="F14" i="22"/>
  <c r="M25" i="22"/>
  <c r="M12" i="22"/>
  <c r="L15" i="22"/>
  <c r="M11" i="22"/>
  <c r="H40" i="23"/>
  <c r="I39" i="23"/>
  <c r="H44" i="23"/>
  <c r="L42" i="23"/>
  <c r="F11" i="23"/>
  <c r="G23" i="23"/>
  <c r="H10" i="22"/>
  <c r="H38" i="23"/>
  <c r="L17" i="23"/>
  <c r="E25" i="23"/>
  <c r="G37" i="22"/>
  <c r="E35" i="22"/>
  <c r="L38" i="22"/>
  <c r="I43" i="23"/>
  <c r="I35" i="22"/>
  <c r="I18" i="22"/>
  <c r="K43" i="23"/>
  <c r="L45" i="22"/>
  <c r="J12" i="22"/>
  <c r="F17" i="23"/>
  <c r="K13" i="23"/>
  <c r="J34" i="22"/>
  <c r="L24" i="22"/>
  <c r="K18" i="23"/>
  <c r="H47" i="22"/>
  <c r="G45" i="23"/>
  <c r="L8" i="22"/>
  <c r="F12" i="22"/>
  <c r="L14" i="22"/>
  <c r="J17" i="22"/>
  <c r="M40" i="23"/>
  <c r="J36" i="22"/>
  <c r="F13" i="23"/>
  <c r="F34" i="22"/>
  <c r="J24" i="22"/>
  <c r="L20" i="22"/>
  <c r="E12" i="23"/>
  <c r="K11" i="23"/>
  <c r="F39" i="22"/>
  <c r="J20" i="23"/>
  <c r="L47" i="22"/>
  <c r="K15" i="23"/>
  <c r="F26" i="23"/>
  <c r="H22" i="23"/>
  <c r="E40" i="22"/>
  <c r="I49" i="22"/>
  <c r="G15" i="23"/>
  <c r="G45" i="22"/>
  <c r="H8" i="23"/>
  <c r="H15" i="22"/>
  <c r="K9" i="23"/>
  <c r="I23" i="23"/>
  <c r="M10" i="22"/>
  <c r="J45" i="23"/>
  <c r="E37" i="22"/>
  <c r="K10" i="22"/>
  <c r="E14" i="22"/>
  <c r="M37" i="22"/>
  <c r="I35" i="23"/>
  <c r="F43" i="23"/>
  <c r="H9" i="23"/>
  <c r="H26" i="22"/>
  <c r="E18" i="22"/>
  <c r="J18" i="23"/>
  <c r="I38" i="23"/>
  <c r="E19" i="22"/>
  <c r="H22" i="22"/>
  <c r="M42" i="22"/>
  <c r="J49" i="23"/>
  <c r="H12" i="23"/>
  <c r="G11" i="23"/>
  <c r="J23" i="23"/>
  <c r="I10" i="23"/>
  <c r="F47" i="22"/>
  <c r="M45" i="23"/>
  <c r="L18" i="23"/>
  <c r="K14" i="23"/>
  <c r="H40" i="22"/>
  <c r="M41" i="23"/>
  <c r="F40" i="23"/>
  <c r="L10" i="23"/>
  <c r="N10" i="23" s="1"/>
  <c r="K27" i="22"/>
  <c r="H46" i="22"/>
  <c r="F18" i="23"/>
  <c r="I20" i="22"/>
  <c r="G23" i="22"/>
  <c r="H33" i="22"/>
  <c r="K46" i="22"/>
  <c r="F33" i="22"/>
  <c r="M44" i="22"/>
  <c r="H10" i="23"/>
  <c r="K36" i="22"/>
  <c r="J13" i="22"/>
  <c r="M45" i="22"/>
  <c r="E43" i="22"/>
  <c r="K21" i="22"/>
  <c r="H45" i="22"/>
  <c r="G42" i="23"/>
  <c r="K40" i="23"/>
  <c r="G33" i="22"/>
  <c r="I37" i="22"/>
  <c r="N37" i="22" s="1"/>
  <c r="M20" i="23"/>
  <c r="E47" i="22"/>
  <c r="F45" i="23"/>
  <c r="J16" i="22"/>
  <c r="L36" i="22"/>
  <c r="H14" i="22"/>
  <c r="L14" i="23"/>
  <c r="G42" i="22"/>
  <c r="K46" i="23"/>
  <c r="I12" i="23"/>
  <c r="L25" i="22"/>
  <c r="G43" i="23"/>
  <c r="E49" i="22"/>
  <c r="F9" i="22"/>
  <c r="F13" i="22"/>
  <c r="L35" i="22"/>
  <c r="I27" i="22"/>
  <c r="H33" i="23"/>
  <c r="M8" i="22"/>
  <c r="I12" i="22"/>
  <c r="M25" i="23"/>
  <c r="I37" i="23"/>
  <c r="H23" i="23"/>
  <c r="I10" i="22"/>
  <c r="I21" i="23"/>
  <c r="E36" i="23"/>
  <c r="M47" i="23"/>
  <c r="L49" i="23"/>
  <c r="G15" i="22"/>
  <c r="E11" i="22"/>
  <c r="F36" i="23"/>
  <c r="K26" i="23"/>
  <c r="N26" i="23" s="1"/>
  <c r="G14" i="23"/>
  <c r="L10" i="22"/>
  <c r="E10" i="22"/>
  <c r="J46" i="22"/>
  <c r="E39" i="23"/>
  <c r="M17" i="23"/>
  <c r="G46" i="22"/>
  <c r="K39" i="23"/>
  <c r="F15" i="22"/>
  <c r="I21" i="22"/>
  <c r="K24" i="22"/>
  <c r="L40" i="23"/>
  <c r="E36" i="22"/>
  <c r="E46" i="23"/>
  <c r="I22" i="22"/>
  <c r="K8" i="22"/>
  <c r="M16" i="23"/>
  <c r="G27" i="22"/>
  <c r="K48" i="23"/>
  <c r="J20" i="22"/>
  <c r="L41" i="22"/>
  <c r="K41" i="22"/>
  <c r="L49" i="22"/>
  <c r="M17" i="22"/>
  <c r="H39" i="22"/>
  <c r="G25" i="23"/>
  <c r="F41" i="23"/>
  <c r="G38" i="22"/>
  <c r="L39" i="23"/>
  <c r="F19" i="22"/>
  <c r="L24" i="23"/>
  <c r="J42" i="22"/>
  <c r="K49" i="23"/>
  <c r="I15" i="22"/>
  <c r="K11" i="22"/>
  <c r="L15" i="23"/>
  <c r="F48" i="22"/>
  <c r="G19" i="22"/>
  <c r="M34" i="22"/>
  <c r="E42" i="22"/>
  <c r="L37" i="22"/>
  <c r="I9" i="23"/>
  <c r="J27" i="22"/>
  <c r="G18" i="22"/>
  <c r="G16" i="22"/>
  <c r="M49" i="23"/>
  <c r="E45" i="22"/>
  <c r="H24" i="22"/>
  <c r="I38" i="22"/>
  <c r="J33" i="22"/>
  <c r="J45" i="22"/>
  <c r="E38" i="22"/>
  <c r="K33" i="22"/>
  <c r="J35" i="22"/>
  <c r="E13" i="22"/>
  <c r="F16" i="22"/>
  <c r="F21" i="22"/>
  <c r="F35" i="22"/>
  <c r="H41" i="22"/>
  <c r="G14" i="22"/>
  <c r="F42" i="22"/>
  <c r="J27" i="23"/>
  <c r="F25" i="22"/>
  <c r="M15" i="22"/>
  <c r="G41" i="22"/>
  <c r="F34" i="23"/>
  <c r="J42" i="23"/>
  <c r="J11" i="23"/>
  <c r="E40" i="23"/>
  <c r="K20" i="23"/>
  <c r="F37" i="23"/>
  <c r="E34" i="22"/>
  <c r="L35" i="23"/>
  <c r="L46" i="23"/>
  <c r="L16" i="23"/>
  <c r="F27" i="23"/>
  <c r="J43" i="23"/>
  <c r="I20" i="23"/>
  <c r="K47" i="22"/>
  <c r="I36" i="23"/>
  <c r="M39" i="23"/>
  <c r="J46" i="23"/>
  <c r="I33" i="23"/>
  <c r="E27" i="23"/>
  <c r="I39" i="22"/>
  <c r="E10" i="23"/>
  <c r="K21" i="23"/>
  <c r="E48" i="23"/>
  <c r="K47" i="23"/>
  <c r="H37" i="22"/>
  <c r="J39" i="23"/>
  <c r="J37" i="23"/>
  <c r="J36" i="23"/>
  <c r="M24" i="22"/>
  <c r="I16" i="22"/>
  <c r="K36" i="23"/>
  <c r="H16" i="22"/>
  <c r="F47" i="23"/>
  <c r="K38" i="22"/>
  <c r="G8" i="22"/>
  <c r="H13" i="22"/>
  <c r="K48" i="22"/>
  <c r="L34" i="23"/>
  <c r="L12" i="23"/>
  <c r="E25" i="22"/>
  <c r="J35" i="23"/>
  <c r="O35" i="23" s="1"/>
  <c r="M10" i="23"/>
  <c r="L33" i="23"/>
  <c r="H42" i="23"/>
  <c r="F44" i="23"/>
  <c r="H25" i="23"/>
  <c r="H41" i="23"/>
  <c r="E23" i="23"/>
  <c r="G36" i="22"/>
  <c r="L26" i="22"/>
  <c r="J48" i="23"/>
  <c r="L26" i="23"/>
  <c r="E38" i="23"/>
  <c r="I14" i="22"/>
  <c r="I25" i="22"/>
  <c r="G39" i="22"/>
  <c r="I36" i="22"/>
  <c r="L27" i="22"/>
  <c r="H34" i="22"/>
  <c r="H35" i="23"/>
  <c r="F38" i="23"/>
  <c r="K22" i="22"/>
  <c r="M19" i="23"/>
  <c r="L23" i="23"/>
  <c r="G10" i="22"/>
  <c r="L19" i="22"/>
  <c r="F33" i="23"/>
  <c r="L27" i="23"/>
  <c r="K23" i="23"/>
  <c r="I33" i="22"/>
  <c r="J11" i="22"/>
  <c r="L48" i="23"/>
  <c r="O48" i="23" s="1"/>
  <c r="E16" i="22"/>
  <c r="H9" i="22"/>
  <c r="L45" i="23"/>
  <c r="H47" i="23"/>
  <c r="I17" i="22"/>
  <c r="J18" i="22"/>
  <c r="H17" i="22"/>
  <c r="L46" i="22"/>
  <c r="I45" i="22"/>
  <c r="E44" i="23"/>
  <c r="G49" i="22"/>
  <c r="F17" i="22"/>
  <c r="H38" i="22"/>
  <c r="E34" i="23"/>
  <c r="M27" i="23"/>
  <c r="K14" i="22"/>
  <c r="F20" i="22"/>
  <c r="H17" i="23"/>
  <c r="H37" i="23"/>
  <c r="H21" i="22"/>
  <c r="K35" i="22"/>
  <c r="I47" i="22"/>
  <c r="H45" i="23"/>
  <c r="I24" i="22"/>
  <c r="G34" i="23"/>
  <c r="M40" i="22"/>
  <c r="L19" i="23"/>
  <c r="M23" i="23"/>
  <c r="F10" i="23"/>
  <c r="F21" i="23"/>
  <c r="H48" i="23"/>
  <c r="G26" i="23"/>
  <c r="M8" i="23"/>
  <c r="J16" i="23"/>
  <c r="I11" i="23"/>
  <c r="M15" i="23"/>
  <c r="L48" i="22"/>
  <c r="J41" i="22"/>
  <c r="I24" i="23"/>
  <c r="O24" i="23" s="1"/>
  <c r="K19" i="23"/>
  <c r="I46" i="22"/>
  <c r="M26" i="23"/>
  <c r="G26" i="22"/>
  <c r="H24" i="23"/>
  <c r="J47" i="23"/>
  <c r="J13" i="23"/>
  <c r="F24" i="23"/>
  <c r="H27" i="23"/>
  <c r="M13" i="23"/>
  <c r="I45" i="23"/>
  <c r="E9" i="22"/>
  <c r="M38" i="22"/>
  <c r="L33" i="22"/>
  <c r="E44" i="22"/>
  <c r="O44" i="22" s="1"/>
  <c r="K42" i="23"/>
  <c r="M11" i="23"/>
  <c r="G40" i="23"/>
  <c r="J21" i="22"/>
  <c r="G47" i="22"/>
  <c r="K40" i="22"/>
  <c r="M36" i="22"/>
  <c r="M43" i="23"/>
  <c r="M9" i="23"/>
  <c r="E13" i="23"/>
  <c r="E15" i="23"/>
  <c r="M48" i="22"/>
  <c r="K19" i="22"/>
  <c r="J33" i="23"/>
  <c r="M18" i="23"/>
  <c r="I44" i="23"/>
  <c r="I25" i="23"/>
  <c r="G17" i="22"/>
  <c r="M21" i="22"/>
  <c r="F10" i="22"/>
  <c r="J19" i="22"/>
  <c r="G33" i="23"/>
  <c r="H18" i="23"/>
  <c r="M44" i="23"/>
  <c r="K12" i="23"/>
  <c r="E37" i="23"/>
  <c r="E46" i="22"/>
  <c r="H39" i="23"/>
  <c r="G8" i="23"/>
  <c r="F16" i="23"/>
  <c r="L9" i="22"/>
  <c r="H36" i="23"/>
  <c r="K16" i="22"/>
  <c r="H27" i="22"/>
  <c r="J49" i="22"/>
  <c r="K27" i="23"/>
  <c r="J26" i="22"/>
  <c r="M14" i="22"/>
  <c r="G9" i="22"/>
  <c r="H11" i="22"/>
  <c r="G22" i="22"/>
  <c r="J41" i="23"/>
  <c r="F18" i="22"/>
  <c r="G24" i="22"/>
  <c r="M20" i="22"/>
  <c r="L25" i="23"/>
  <c r="M9" i="22"/>
  <c r="J40" i="22"/>
  <c r="E39" i="22"/>
  <c r="N39" i="22" s="1"/>
  <c r="H20" i="23"/>
  <c r="O20" i="23" s="1"/>
  <c r="M26" i="22"/>
  <c r="L13" i="22"/>
  <c r="F45" i="22"/>
  <c r="M46" i="23"/>
  <c r="E22" i="22"/>
  <c r="H8" i="22"/>
  <c r="M14" i="23"/>
  <c r="E20" i="23"/>
  <c r="L37" i="23"/>
  <c r="I15" i="23"/>
  <c r="E48" i="22"/>
  <c r="F46" i="23"/>
  <c r="M24" i="23"/>
  <c r="I47" i="23"/>
  <c r="K22" i="23"/>
  <c r="I40" i="22"/>
  <c r="L11" i="22"/>
  <c r="G36" i="23"/>
  <c r="M33" i="22"/>
  <c r="G44" i="23"/>
  <c r="M12" i="23"/>
  <c r="L23" i="22"/>
  <c r="K18" i="22"/>
  <c r="L47" i="23"/>
  <c r="H21" i="23"/>
  <c r="F43" i="22"/>
  <c r="J9" i="22"/>
  <c r="L21" i="23"/>
  <c r="F49" i="22"/>
  <c r="N49" i="22" s="1"/>
  <c r="I13" i="23"/>
  <c r="F26" i="22"/>
  <c r="J14" i="22"/>
  <c r="H13" i="23"/>
  <c r="E45" i="23"/>
  <c r="L16" i="22"/>
  <c r="L43" i="23"/>
  <c r="E17" i="23"/>
  <c r="K41" i="23"/>
  <c r="O14" i="17"/>
  <c r="E123" i="17" s="1"/>
  <c r="O10" i="19"/>
  <c r="O34" i="21"/>
  <c r="F28" i="17"/>
  <c r="L28" i="17"/>
  <c r="O42" i="21"/>
  <c r="L50" i="17"/>
  <c r="N42" i="21"/>
  <c r="O45" i="21"/>
  <c r="N48" i="21"/>
  <c r="N15" i="21"/>
  <c r="E28" i="17"/>
  <c r="I28" i="17"/>
  <c r="N17" i="21"/>
  <c r="O18" i="21"/>
  <c r="N41" i="21"/>
  <c r="I50" i="21"/>
  <c r="M28" i="21"/>
  <c r="N9" i="19"/>
  <c r="N18" i="19"/>
  <c r="N24" i="21"/>
  <c r="G50" i="21"/>
  <c r="E28" i="21"/>
  <c r="I28" i="21"/>
  <c r="O17" i="17"/>
  <c r="E134" i="17" s="1"/>
  <c r="F50" i="21"/>
  <c r="O48" i="21"/>
  <c r="O40" i="17"/>
  <c r="E60" i="17" s="1"/>
  <c r="O28" i="12"/>
  <c r="N28" i="12"/>
  <c r="N9" i="21"/>
  <c r="K50" i="17"/>
  <c r="H28" i="21"/>
  <c r="N48" i="12"/>
  <c r="H28" i="17"/>
  <c r="K50" i="21"/>
  <c r="J50" i="21"/>
  <c r="K28" i="17"/>
  <c r="H50" i="21"/>
  <c r="O24" i="21"/>
  <c r="E50" i="17"/>
  <c r="I50" i="17"/>
  <c r="K28" i="21"/>
  <c r="O17" i="21"/>
  <c r="E50" i="21"/>
  <c r="J28" i="21"/>
  <c r="O48" i="12"/>
  <c r="N17" i="17"/>
  <c r="D50" i="22"/>
  <c r="N32" i="22"/>
  <c r="O32" i="22"/>
  <c r="N47" i="17"/>
  <c r="O47" i="17"/>
  <c r="F68" i="17" s="1"/>
  <c r="O38" i="21"/>
  <c r="N38" i="21"/>
  <c r="N34" i="19"/>
  <c r="O34" i="19"/>
  <c r="O14" i="21"/>
  <c r="N14" i="21"/>
  <c r="N43" i="21"/>
  <c r="O43" i="21"/>
  <c r="N8" i="21"/>
  <c r="O8" i="21"/>
  <c r="N47" i="19"/>
  <c r="O47" i="19"/>
  <c r="D28" i="17"/>
  <c r="O27" i="17"/>
  <c r="F114" i="17" s="1"/>
  <c r="N27" i="17"/>
  <c r="O44" i="21"/>
  <c r="N44" i="21"/>
  <c r="O34" i="17"/>
  <c r="F66" i="17" s="1"/>
  <c r="N23" i="17"/>
  <c r="N50" i="16"/>
  <c r="N8" i="17"/>
  <c r="O8" i="17"/>
  <c r="F119" i="17" s="1"/>
  <c r="N47" i="21"/>
  <c r="O47" i="21"/>
  <c r="N44" i="19"/>
  <c r="O44" i="19"/>
  <c r="H50" i="19"/>
  <c r="N42" i="19"/>
  <c r="O42" i="19"/>
  <c r="O36" i="21"/>
  <c r="N36" i="21"/>
  <c r="O35" i="17"/>
  <c r="F65" i="17" s="1"/>
  <c r="N26" i="19"/>
  <c r="O26" i="19"/>
  <c r="N18" i="17"/>
  <c r="N27" i="21"/>
  <c r="O27" i="21"/>
  <c r="N44" i="17"/>
  <c r="O44" i="17"/>
  <c r="F58" i="17" s="1"/>
  <c r="N34" i="21"/>
  <c r="O40" i="19"/>
  <c r="N40" i="19"/>
  <c r="O42" i="17"/>
  <c r="F63" i="17" s="1"/>
  <c r="O36" i="17"/>
  <c r="F61" i="17" s="1"/>
  <c r="O35" i="19"/>
  <c r="N35" i="19"/>
  <c r="O26" i="17"/>
  <c r="F118" i="17" s="1"/>
  <c r="N26" i="17"/>
  <c r="O45" i="17"/>
  <c r="F59" i="17" s="1"/>
  <c r="O16" i="17"/>
  <c r="F131" i="17" s="1"/>
  <c r="O40" i="21"/>
  <c r="N40" i="21"/>
  <c r="O7" i="19"/>
  <c r="N7" i="19"/>
  <c r="O25" i="17"/>
  <c r="F132" i="17" s="1"/>
  <c r="N25" i="17"/>
  <c r="N35" i="21"/>
  <c r="O35" i="21"/>
  <c r="N26" i="21"/>
  <c r="O26" i="21"/>
  <c r="O19" i="19"/>
  <c r="N19" i="19"/>
  <c r="O11" i="19"/>
  <c r="N45" i="19"/>
  <c r="O45" i="19"/>
  <c r="O41" i="19"/>
  <c r="D50" i="17"/>
  <c r="O32" i="17"/>
  <c r="D70" i="17" s="1"/>
  <c r="N32" i="17"/>
  <c r="O20" i="19"/>
  <c r="N20" i="19"/>
  <c r="N40" i="17"/>
  <c r="N15" i="17"/>
  <c r="O15" i="17"/>
  <c r="F128" i="17" s="1"/>
  <c r="O7" i="17"/>
  <c r="F120" i="17" s="1"/>
  <c r="N7" i="17"/>
  <c r="O50" i="16"/>
  <c r="O25" i="21"/>
  <c r="N25" i="21"/>
  <c r="N18" i="21"/>
  <c r="N19" i="17"/>
  <c r="J50" i="17"/>
  <c r="O20" i="17"/>
  <c r="F122" i="17" s="1"/>
  <c r="N46" i="19"/>
  <c r="O23" i="17"/>
  <c r="F124" i="17" s="1"/>
  <c r="N7" i="21"/>
  <c r="O7" i="21"/>
  <c r="N19" i="21"/>
  <c r="O11" i="21"/>
  <c r="N11" i="21"/>
  <c r="N45" i="17"/>
  <c r="J50" i="19"/>
  <c r="O32" i="21"/>
  <c r="D50" i="21"/>
  <c r="N32" i="21"/>
  <c r="O49" i="19"/>
  <c r="N49" i="19"/>
  <c r="O50" i="6"/>
  <c r="N50" i="6"/>
  <c r="N28" i="16"/>
  <c r="O9" i="21"/>
  <c r="O18" i="19"/>
  <c r="N41" i="19"/>
  <c r="M50" i="19"/>
  <c r="N32" i="23"/>
  <c r="D50" i="23"/>
  <c r="O32" i="23"/>
  <c r="G50" i="19"/>
  <c r="O46" i="19"/>
  <c r="N50" i="1"/>
  <c r="O50" i="1"/>
  <c r="O18" i="17"/>
  <c r="O41" i="17"/>
  <c r="E64" i="17" s="1"/>
  <c r="O37" i="19"/>
  <c r="N37" i="19"/>
  <c r="N46" i="21"/>
  <c r="O46" i="21"/>
  <c r="O10" i="23"/>
  <c r="O9" i="17"/>
  <c r="F115" i="17" s="1"/>
  <c r="N9" i="17"/>
  <c r="O12" i="19"/>
  <c r="N12" i="19"/>
  <c r="N37" i="17"/>
  <c r="O37" i="17"/>
  <c r="F72" i="17" s="1"/>
  <c r="O7" i="22"/>
  <c r="O46" i="17"/>
  <c r="F56" i="17" s="1"/>
  <c r="N46" i="17"/>
  <c r="O22" i="21"/>
  <c r="N16" i="17"/>
  <c r="H28" i="19"/>
  <c r="N39" i="21"/>
  <c r="O39" i="21"/>
  <c r="N10" i="17"/>
  <c r="N33" i="19"/>
  <c r="O33" i="19"/>
  <c r="O12" i="17"/>
  <c r="F121" i="17" s="1"/>
  <c r="N12" i="17"/>
  <c r="N37" i="21"/>
  <c r="O37" i="21"/>
  <c r="O21" i="19"/>
  <c r="N21" i="19"/>
  <c r="N22" i="17"/>
  <c r="O22" i="17"/>
  <c r="F125" i="17" s="1"/>
  <c r="O28" i="16"/>
  <c r="N28" i="6"/>
  <c r="O28" i="6"/>
  <c r="O9" i="19"/>
  <c r="N10" i="19"/>
  <c r="N33" i="17"/>
  <c r="O33" i="17"/>
  <c r="F62" i="17" s="1"/>
  <c r="O12" i="21"/>
  <c r="N12" i="21"/>
  <c r="K50" i="19"/>
  <c r="O21" i="17"/>
  <c r="E133" i="17" s="1"/>
  <c r="N21" i="17"/>
  <c r="N13" i="19"/>
  <c r="N22" i="19"/>
  <c r="O22" i="19"/>
  <c r="N10" i="21"/>
  <c r="O10" i="21"/>
  <c r="N33" i="21"/>
  <c r="O33" i="21"/>
  <c r="O24" i="17"/>
  <c r="E117" i="17" s="1"/>
  <c r="N24" i="17"/>
  <c r="O41" i="21"/>
  <c r="M50" i="21"/>
  <c r="I50" i="19"/>
  <c r="N20" i="17"/>
  <c r="O13" i="19"/>
  <c r="N13" i="21"/>
  <c r="O13" i="21"/>
  <c r="N38" i="19"/>
  <c r="O38" i="19"/>
  <c r="D28" i="19"/>
  <c r="O14" i="19"/>
  <c r="K28" i="19"/>
  <c r="N28" i="1"/>
  <c r="O28" i="1"/>
  <c r="N17" i="19"/>
  <c r="O17" i="19"/>
  <c r="N35" i="17"/>
  <c r="O10" i="17"/>
  <c r="F127" i="17" s="1"/>
  <c r="N45" i="21"/>
  <c r="N24" i="19"/>
  <c r="N13" i="17"/>
  <c r="O13" i="17"/>
  <c r="F116" i="17" s="1"/>
  <c r="N14" i="17"/>
  <c r="N43" i="17"/>
  <c r="O43" i="17"/>
  <c r="F71" i="17" s="1"/>
  <c r="N23" i="19"/>
  <c r="O23" i="19"/>
  <c r="J28" i="19"/>
  <c r="J6" i="25" a="1"/>
  <c r="L6" i="25" a="1"/>
  <c r="J5" i="26" a="1"/>
  <c r="L5" i="26" a="1"/>
  <c r="I5" i="26" a="1"/>
  <c r="E5" i="26" a="1"/>
  <c r="H5" i="26" a="1"/>
  <c r="D6" i="25" a="1"/>
  <c r="H6" i="25" a="1"/>
  <c r="K6" i="25" a="1"/>
  <c r="F6" i="25" a="1"/>
  <c r="D7" i="26" a="1"/>
  <c r="M5" i="26" a="1"/>
  <c r="K5" i="26" a="1"/>
  <c r="N35" i="22" l="1"/>
  <c r="O44" i="23"/>
  <c r="O12" i="23"/>
  <c r="N49" i="21"/>
  <c r="O22" i="22"/>
  <c r="O49" i="21"/>
  <c r="N27" i="23"/>
  <c r="N14" i="22"/>
  <c r="O13" i="23"/>
  <c r="N14" i="19"/>
  <c r="O8" i="19"/>
  <c r="N44" i="23"/>
  <c r="O25" i="23"/>
  <c r="O11" i="23"/>
  <c r="O49" i="23"/>
  <c r="N44" i="22"/>
  <c r="I28" i="19"/>
  <c r="N45" i="23"/>
  <c r="O19" i="17"/>
  <c r="F130" i="17" s="1"/>
  <c r="O39" i="22"/>
  <c r="O17" i="22"/>
  <c r="N23" i="23"/>
  <c r="O38" i="22"/>
  <c r="N14" i="23"/>
  <c r="N43" i="23"/>
  <c r="N19" i="23"/>
  <c r="F50" i="17"/>
  <c r="N16" i="21"/>
  <c r="N25" i="23"/>
  <c r="N36" i="23"/>
  <c r="N13" i="22"/>
  <c r="O33" i="22"/>
  <c r="O8" i="23"/>
  <c r="O22" i="23"/>
  <c r="D28" i="21"/>
  <c r="M28" i="23"/>
  <c r="O38" i="23"/>
  <c r="N46" i="23"/>
  <c r="O11" i="22"/>
  <c r="N22" i="22"/>
  <c r="O20" i="22"/>
  <c r="O9" i="23"/>
  <c r="G28" i="23"/>
  <c r="N42" i="22"/>
  <c r="L50" i="23"/>
  <c r="E50" i="22"/>
  <c r="O19" i="22"/>
  <c r="F28" i="23"/>
  <c r="H50" i="17"/>
  <c r="M50" i="17"/>
  <c r="N33" i="23"/>
  <c r="N41" i="17"/>
  <c r="N12" i="22"/>
  <c r="N43" i="19"/>
  <c r="N37" i="23"/>
  <c r="J28" i="17"/>
  <c r="N21" i="21"/>
  <c r="O14" i="22"/>
  <c r="G28" i="21"/>
  <c r="N13" i="23"/>
  <c r="O37" i="22"/>
  <c r="O11" i="17"/>
  <c r="O46" i="23"/>
  <c r="N23" i="21"/>
  <c r="M28" i="19"/>
  <c r="N39" i="19"/>
  <c r="N9" i="23"/>
  <c r="N18" i="22"/>
  <c r="O8" i="22"/>
  <c r="N20" i="22"/>
  <c r="O49" i="22"/>
  <c r="N11" i="23"/>
  <c r="N38" i="23"/>
  <c r="O38" i="17"/>
  <c r="F69" i="17" s="1"/>
  <c r="N19" i="22"/>
  <c r="E50" i="19"/>
  <c r="O49" i="17"/>
  <c r="F73" i="17" s="1"/>
  <c r="O43" i="19"/>
  <c r="G50" i="17"/>
  <c r="N50" i="17" s="1"/>
  <c r="O12" i="22"/>
  <c r="N33" i="22"/>
  <c r="N20" i="23"/>
  <c r="F28" i="21"/>
  <c r="N17" i="22"/>
  <c r="N8" i="23"/>
  <c r="O43" i="23"/>
  <c r="O34" i="22"/>
  <c r="N16" i="22"/>
  <c r="O42" i="22"/>
  <c r="O14" i="23"/>
  <c r="N40" i="22"/>
  <c r="N22" i="23"/>
  <c r="H28" i="22"/>
  <c r="N21" i="23"/>
  <c r="O46" i="22"/>
  <c r="O35" i="22"/>
  <c r="K50" i="23"/>
  <c r="N12" i="23"/>
  <c r="O39" i="17"/>
  <c r="F67" i="17" s="1"/>
  <c r="N38" i="22"/>
  <c r="N24" i="23"/>
  <c r="D50" i="19"/>
  <c r="O26" i="23"/>
  <c r="D131" i="17"/>
  <c r="O36" i="23"/>
  <c r="O23" i="23"/>
  <c r="O19" i="23"/>
  <c r="G28" i="19"/>
  <c r="O13" i="22"/>
  <c r="O27" i="23"/>
  <c r="E28" i="22"/>
  <c r="O21" i="23"/>
  <c r="D28" i="22"/>
  <c r="O47" i="23"/>
  <c r="N32" i="19"/>
  <c r="O48" i="19"/>
  <c r="N48" i="19"/>
  <c r="N8" i="22"/>
  <c r="N15" i="19"/>
  <c r="O27" i="19"/>
  <c r="L50" i="19"/>
  <c r="N25" i="19"/>
  <c r="O39" i="19"/>
  <c r="O7" i="23"/>
  <c r="N16" i="19"/>
  <c r="O16" i="19"/>
  <c r="O15" i="19"/>
  <c r="N11" i="19"/>
  <c r="E28" i="19"/>
  <c r="L50" i="22"/>
  <c r="O36" i="19"/>
  <c r="F129" i="17"/>
  <c r="N7" i="23"/>
  <c r="N10" i="22"/>
  <c r="N48" i="17"/>
  <c r="K28" i="23"/>
  <c r="N20" i="21"/>
  <c r="F123" i="17"/>
  <c r="F126" i="17"/>
  <c r="E70" i="17"/>
  <c r="D60" i="17"/>
  <c r="E68" i="17"/>
  <c r="E124" i="17"/>
  <c r="O37" i="23"/>
  <c r="N34" i="22"/>
  <c r="O16" i="22"/>
  <c r="O40" i="22"/>
  <c r="F50" i="22"/>
  <c r="N15" i="23"/>
  <c r="G28" i="22"/>
  <c r="O45" i="23"/>
  <c r="N16" i="23"/>
  <c r="H28" i="23"/>
  <c r="O9" i="22"/>
  <c r="N41" i="22"/>
  <c r="O27" i="22"/>
  <c r="N41" i="23"/>
  <c r="N47" i="23"/>
  <c r="L28" i="22"/>
  <c r="O21" i="22"/>
  <c r="O40" i="23"/>
  <c r="N18" i="23"/>
  <c r="O45" i="22"/>
  <c r="N36" i="22"/>
  <c r="O18" i="22"/>
  <c r="N11" i="22"/>
  <c r="O26" i="22"/>
  <c r="O23" i="22"/>
  <c r="K50" i="22"/>
  <c r="M50" i="22"/>
  <c r="O39" i="23"/>
  <c r="O48" i="22"/>
  <c r="O15" i="22"/>
  <c r="J50" i="23"/>
  <c r="J28" i="22"/>
  <c r="E50" i="23"/>
  <c r="N47" i="22"/>
  <c r="M50" i="23"/>
  <c r="N48" i="23"/>
  <c r="E28" i="23"/>
  <c r="O28" i="23" s="1"/>
  <c r="L28" i="23"/>
  <c r="O42" i="23"/>
  <c r="F60" i="17"/>
  <c r="N42" i="23"/>
  <c r="K28" i="22"/>
  <c r="G50" i="22"/>
  <c r="I28" i="23"/>
  <c r="H50" i="23"/>
  <c r="F28" i="22"/>
  <c r="J28" i="23"/>
  <c r="E126" i="17"/>
  <c r="O33" i="23"/>
  <c r="N43" i="22"/>
  <c r="F50" i="23"/>
  <c r="O41" i="23"/>
  <c r="O43" i="22"/>
  <c r="N21" i="22"/>
  <c r="N35" i="23"/>
  <c r="N26" i="22"/>
  <c r="N24" i="22"/>
  <c r="N46" i="22"/>
  <c r="I50" i="23"/>
  <c r="O34" i="23"/>
  <c r="O24" i="22"/>
  <c r="M28" i="22"/>
  <c r="G50" i="23"/>
  <c r="N34" i="23"/>
  <c r="N15" i="22"/>
  <c r="N40" i="23"/>
  <c r="N48" i="22"/>
  <c r="O47" i="22"/>
  <c r="I50" i="22"/>
  <c r="N45" i="22"/>
  <c r="N23" i="22"/>
  <c r="N17" i="23"/>
  <c r="O15" i="23"/>
  <c r="O17" i="23"/>
  <c r="O16" i="23"/>
  <c r="O25" i="22"/>
  <c r="N27" i="22"/>
  <c r="N25" i="22"/>
  <c r="J50" i="22"/>
  <c r="O18" i="23"/>
  <c r="H50" i="22"/>
  <c r="I28" i="22"/>
  <c r="O41" i="22"/>
  <c r="N9" i="22"/>
  <c r="N39" i="23"/>
  <c r="O36" i="22"/>
  <c r="D71" i="17"/>
  <c r="D65" i="17"/>
  <c r="D124" i="17"/>
  <c r="D133" i="17"/>
  <c r="E62" i="17"/>
  <c r="F70" i="17"/>
  <c r="E57" i="17"/>
  <c r="F133" i="17"/>
  <c r="E116" i="17"/>
  <c r="D68" i="17"/>
  <c r="D134" i="17"/>
  <c r="D123" i="17"/>
  <c r="E130" i="17"/>
  <c r="E69" i="17"/>
  <c r="F64" i="17"/>
  <c r="D121" i="17"/>
  <c r="E58" i="17"/>
  <c r="D69" i="17"/>
  <c r="D61" i="17"/>
  <c r="M5" i="26"/>
  <c r="J5" i="26"/>
  <c r="H5" i="26"/>
  <c r="I5" i="26"/>
  <c r="E5" i="26"/>
  <c r="K5" i="26"/>
  <c r="L5" i="26"/>
  <c r="D63" i="17"/>
  <c r="D129" i="17"/>
  <c r="D127" i="17"/>
  <c r="D117" i="17"/>
  <c r="E128" i="17"/>
  <c r="D56" i="17"/>
  <c r="F134" i="17"/>
  <c r="E63" i="17"/>
  <c r="D118" i="17"/>
  <c r="E129" i="17"/>
  <c r="D114" i="17"/>
  <c r="E119" i="17"/>
  <c r="D126" i="17"/>
  <c r="D66" i="17"/>
  <c r="E121" i="17"/>
  <c r="E65" i="17"/>
  <c r="E131" i="17"/>
  <c r="E56" i="17"/>
  <c r="K6" i="25"/>
  <c r="K8" i="25" s="1"/>
  <c r="D6" i="25"/>
  <c r="D8" i="25" s="1"/>
  <c r="L6" i="25"/>
  <c r="L8" i="25" s="1"/>
  <c r="J6" i="25"/>
  <c r="J8" i="25" s="1"/>
  <c r="F6" i="25"/>
  <c r="F8" i="25" s="1"/>
  <c r="H6" i="25"/>
  <c r="H8" i="25" s="1"/>
  <c r="D7" i="26"/>
  <c r="E72" i="17"/>
  <c r="E127" i="17"/>
  <c r="D62" i="17"/>
  <c r="D64" i="17"/>
  <c r="O50" i="21"/>
  <c r="N50" i="21"/>
  <c r="F117" i="17"/>
  <c r="E122" i="17"/>
  <c r="D58" i="17"/>
  <c r="D119" i="17"/>
  <c r="D125" i="17"/>
  <c r="D132" i="17"/>
  <c r="D59" i="17"/>
  <c r="E115" i="17"/>
  <c r="E71" i="17"/>
  <c r="E120" i="17"/>
  <c r="E59" i="17"/>
  <c r="N28" i="21"/>
  <c r="D116" i="17"/>
  <c r="E61" i="17"/>
  <c r="E66" i="17"/>
  <c r="E114" i="17"/>
  <c r="E132" i="17"/>
  <c r="D115" i="17"/>
  <c r="E118" i="17"/>
  <c r="D122" i="17"/>
  <c r="D72" i="17"/>
  <c r="D57" i="17"/>
  <c r="D120" i="17"/>
  <c r="E125" i="17"/>
  <c r="D73" i="17"/>
  <c r="D128" i="17"/>
  <c r="N28" i="17"/>
  <c r="O28" i="17"/>
  <c r="I6" i="25" a="1"/>
  <c r="M7" i="26" a="1"/>
  <c r="G7" i="26" a="1"/>
  <c r="G5" i="26" a="1"/>
  <c r="F7" i="26" a="1"/>
  <c r="D5" i="26" a="1"/>
  <c r="E6" i="26" a="1"/>
  <c r="D6" i="26" a="1"/>
  <c r="G6" i="25" a="1"/>
  <c r="M6" i="25" a="1"/>
  <c r="F5" i="26" a="1"/>
  <c r="H6" i="26" a="1"/>
  <c r="E6" i="25" a="1"/>
  <c r="M6" i="26" a="1"/>
  <c r="J6" i="26" a="1"/>
  <c r="K6" i="26" a="1"/>
  <c r="N5" i="26" a="1"/>
  <c r="E7" i="26" a="1"/>
  <c r="L6" i="26" a="1"/>
  <c r="O7" i="26" a="1"/>
  <c r="L7" i="26" a="1"/>
  <c r="G6" i="26" a="1"/>
  <c r="H7" i="26" a="1"/>
  <c r="K7" i="26" a="1"/>
  <c r="I7" i="26" a="1"/>
  <c r="I6" i="26" a="1"/>
  <c r="F6" i="26" a="1"/>
  <c r="J7" i="26" a="1"/>
  <c r="I6" i="25" l="1"/>
  <c r="I8" i="25" s="1"/>
  <c r="N50" i="19"/>
  <c r="D130" i="17"/>
  <c r="D135" i="17" s="1"/>
  <c r="D5" i="26"/>
  <c r="D8" i="26" s="1"/>
  <c r="F7" i="26"/>
  <c r="G5" i="26"/>
  <c r="G7" i="26"/>
  <c r="M7" i="26"/>
  <c r="O28" i="22"/>
  <c r="N28" i="23"/>
  <c r="O50" i="23"/>
  <c r="E67" i="17"/>
  <c r="D67" i="17"/>
  <c r="O50" i="17"/>
  <c r="O28" i="21"/>
  <c r="H6" i="26"/>
  <c r="F5" i="26"/>
  <c r="M6" i="25"/>
  <c r="M8" i="25" s="1"/>
  <c r="G6" i="25"/>
  <c r="G8" i="25" s="1"/>
  <c r="D6" i="26"/>
  <c r="E6" i="26"/>
  <c r="O50" i="19"/>
  <c r="N28" i="22"/>
  <c r="N50" i="22"/>
  <c r="N50" i="23"/>
  <c r="E73" i="17"/>
  <c r="E6" i="25"/>
  <c r="E8" i="25" s="1"/>
  <c r="N28" i="19"/>
  <c r="O28" i="19"/>
  <c r="K7" i="26"/>
  <c r="L7" i="26"/>
  <c r="J7" i="26"/>
  <c r="F6" i="26"/>
  <c r="F8" i="26" s="1"/>
  <c r="I7" i="26"/>
  <c r="K6" i="26"/>
  <c r="H7" i="26"/>
  <c r="G6" i="26"/>
  <c r="E7" i="26"/>
  <c r="E8" i="26" s="1"/>
  <c r="J6" i="26"/>
  <c r="L6" i="26"/>
  <c r="F135" i="17"/>
  <c r="O50" i="22"/>
  <c r="M6" i="26"/>
  <c r="M8" i="26" s="1"/>
  <c r="I6" i="26"/>
  <c r="F74" i="17"/>
  <c r="E74" i="17"/>
  <c r="D74" i="17"/>
  <c r="E135" i="17"/>
  <c r="G8" i="26"/>
  <c r="N5" i="26"/>
  <c r="O7" i="26"/>
  <c r="O6" i="26" a="1"/>
  <c r="N7" i="26" a="1"/>
  <c r="O5" i="26" a="1"/>
  <c r="N6" i="26" a="1"/>
  <c r="N6" i="25" a="1"/>
  <c r="O6" i="25" a="1"/>
  <c r="N8" i="25" l="1"/>
  <c r="O5" i="26"/>
  <c r="N7" i="26"/>
  <c r="O6" i="26"/>
  <c r="I8" i="26"/>
  <c r="O8" i="26" s="1"/>
  <c r="O8" i="25"/>
  <c r="J8" i="26"/>
  <c r="H8" i="26"/>
  <c r="N6" i="26"/>
  <c r="L8" i="26"/>
  <c r="K8" i="26"/>
  <c r="O6" i="25"/>
  <c r="N6" i="25"/>
  <c r="N8"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<sst xmlns="http://schemas.openxmlformats.org/spreadsheetml/2006/main" count="2444" uniqueCount="289">
  <si>
    <t>Base Code:</t>
  </si>
  <si>
    <t>High Correct:</t>
  </si>
  <si>
    <t>Medium Correct:</t>
  </si>
  <si>
    <t>Low Correct:</t>
  </si>
  <si>
    <t>High Maybe:</t>
  </si>
  <si>
    <t>Medium Maybe:</t>
  </si>
  <si>
    <t>Low Maybe:</t>
  </si>
  <si>
    <t>Low Incorrect:</t>
  </si>
  <si>
    <t>Medium Incorrect:</t>
  </si>
  <si>
    <t>High Incorrect:</t>
  </si>
  <si>
    <t>N/A:</t>
  </si>
  <si>
    <t>Total Number:</t>
  </si>
  <si>
    <t>Excluding N/A:</t>
  </si>
  <si>
    <t>B1</t>
  </si>
  <si>
    <t>B2</t>
  </si>
  <si>
    <t>B3</t>
  </si>
  <si>
    <t>B4</t>
  </si>
  <si>
    <t>B5</t>
  </si>
  <si>
    <t>B6</t>
  </si>
  <si>
    <t>B7</t>
  </si>
  <si>
    <t>B8</t>
  </si>
  <si>
    <t>B9</t>
  </si>
  <si>
    <t>B10</t>
  </si>
  <si>
    <t>B45</t>
  </si>
  <si>
    <t>B46</t>
  </si>
  <si>
    <t>B47</t>
  </si>
  <si>
    <t>B48</t>
  </si>
  <si>
    <t>B49</t>
  </si>
  <si>
    <t>B50</t>
  </si>
  <si>
    <t>B51</t>
  </si>
  <si>
    <t>B52</t>
  </si>
  <si>
    <t>B53</t>
  </si>
  <si>
    <t>B54</t>
  </si>
  <si>
    <t>B55</t>
  </si>
  <si>
    <t>Total C/I/M:</t>
  </si>
  <si>
    <t>Obfuscation:</t>
  </si>
  <si>
    <t>Total:</t>
  </si>
  <si>
    <t>O1</t>
  </si>
  <si>
    <t>O2</t>
  </si>
  <si>
    <t>O3</t>
  </si>
  <si>
    <t>O4</t>
  </si>
  <si>
    <t>O5</t>
  </si>
  <si>
    <t>O6</t>
  </si>
  <si>
    <t>O7</t>
  </si>
  <si>
    <t>O8</t>
  </si>
  <si>
    <t>O9</t>
  </si>
  <si>
    <t>O10</t>
  </si>
  <si>
    <t>O11</t>
  </si>
  <si>
    <t>O12</t>
  </si>
  <si>
    <t>O13</t>
  </si>
  <si>
    <t>O14</t>
  </si>
  <si>
    <t>O15</t>
  </si>
  <si>
    <t>O16</t>
  </si>
  <si>
    <t>O17</t>
  </si>
  <si>
    <t>O18</t>
  </si>
  <si>
    <t>Jurassic Appears to be good at using variable names</t>
  </si>
  <si>
    <t>Jurassic seems to be able to understand something even if it is not able to output the correct thing, see O9_B7_Q3</t>
  </si>
  <si>
    <t>O9_B8_Q3, able to ignore the complex math because of the variable names.</t>
  </si>
  <si>
    <t>C1</t>
  </si>
  <si>
    <t>C2</t>
  </si>
  <si>
    <t>C3</t>
  </si>
  <si>
    <t>C4</t>
  </si>
  <si>
    <t>C5</t>
  </si>
  <si>
    <t>C6</t>
  </si>
  <si>
    <t>C7</t>
  </si>
  <si>
    <t>C8</t>
  </si>
  <si>
    <t>C9</t>
  </si>
  <si>
    <t>C10</t>
  </si>
  <si>
    <t>C11</t>
  </si>
  <si>
    <t>C12</t>
  </si>
  <si>
    <t>C13</t>
  </si>
  <si>
    <t>C14</t>
  </si>
  <si>
    <t>C15</t>
  </si>
  <si>
    <t>C16</t>
  </si>
  <si>
    <t>PaLM return an error on these:</t>
  </si>
  <si>
    <t>O10B53</t>
  </si>
  <si>
    <t>O13B53</t>
  </si>
  <si>
    <t>O15B47</t>
  </si>
  <si>
    <t>O15B51</t>
  </si>
  <si>
    <t>O16B1</t>
  </si>
  <si>
    <t>O16B53</t>
  </si>
  <si>
    <t>O16B7</t>
  </si>
  <si>
    <t>O2B5</t>
  </si>
  <si>
    <t>O4B53</t>
  </si>
  <si>
    <t>O6B5</t>
  </si>
  <si>
    <t>O6B53</t>
  </si>
  <si>
    <t>O6B6</t>
  </si>
  <si>
    <t>O9B53</t>
  </si>
  <si>
    <t>O18B53</t>
  </si>
  <si>
    <t>PaLM Struggled with B3</t>
  </si>
  <si>
    <t>O18B6</t>
  </si>
  <si>
    <t>O18B3</t>
  </si>
  <si>
    <t>'NoneType' object is not subscriptable</t>
  </si>
  <si>
    <t>O18B52</t>
  </si>
  <si>
    <t>O18B54</t>
  </si>
  <si>
    <t>O1B53</t>
  </si>
  <si>
    <t>O6B9</t>
  </si>
  <si>
    <t xml:space="preserve">B3 seems to cause lots of confusion, the variable names seem to override the actual math symbol. </t>
  </si>
  <si>
    <t>There seems to be an issue where when PaLM tries to show what the output is, it can be wrong. Even if its description of the code is correct.</t>
  </si>
  <si>
    <t>Funny thing, if PaLM does not know the cast to char results are, it will default to Hello World.</t>
  </si>
  <si>
    <t>PaLM seems to at times ignore the numbers and focus on the variables, so it will ignore the confusing math and focus elsewhere, that is why at times they might get the explination correct, but the final result incorrect</t>
  </si>
  <si>
    <t>C1B45</t>
  </si>
  <si>
    <t>C1B47</t>
  </si>
  <si>
    <t>C1B49</t>
  </si>
  <si>
    <t>C1B5</t>
  </si>
  <si>
    <t>C1B53</t>
  </si>
  <si>
    <t>C1B6</t>
  </si>
  <si>
    <t>C1B7</t>
  </si>
  <si>
    <t>C8B45</t>
  </si>
  <si>
    <t>C8B47</t>
  </si>
  <si>
    <t>C8B49</t>
  </si>
  <si>
    <t>C8B5</t>
  </si>
  <si>
    <t>400 Request payload size exceeds the limit: 20000 bytes.</t>
  </si>
  <si>
    <t>C10B1</t>
  </si>
  <si>
    <t>C8B53</t>
  </si>
  <si>
    <t>C10B45</t>
  </si>
  <si>
    <t>Folder name:  C9</t>
  </si>
  <si>
    <t>C10B47</t>
  </si>
  <si>
    <t>C9B45</t>
  </si>
  <si>
    <t>C10B49</t>
  </si>
  <si>
    <t>C9B47</t>
  </si>
  <si>
    <t>C10B5</t>
  </si>
  <si>
    <t>C9B49</t>
  </si>
  <si>
    <t>C10B51</t>
  </si>
  <si>
    <t>C9B53</t>
  </si>
  <si>
    <t>C10B53</t>
  </si>
  <si>
    <t>C9B6</t>
  </si>
  <si>
    <t>C10B6</t>
  </si>
  <si>
    <t>C9B7</t>
  </si>
  <si>
    <t>C10B9</t>
  </si>
  <si>
    <t>C9B9</t>
  </si>
  <si>
    <t>C11B45</t>
  </si>
  <si>
    <t>C11B47</t>
  </si>
  <si>
    <t>C11B49</t>
  </si>
  <si>
    <t>C11B5</t>
  </si>
  <si>
    <t>C11B51</t>
  </si>
  <si>
    <t>C11B53</t>
  </si>
  <si>
    <t>C11B6</t>
  </si>
  <si>
    <t>C11B7</t>
  </si>
  <si>
    <t>C11B9</t>
  </si>
  <si>
    <t>C12B45</t>
  </si>
  <si>
    <t>C12B47</t>
  </si>
  <si>
    <t>C12B49</t>
  </si>
  <si>
    <t>C12B5</t>
  </si>
  <si>
    <t>C12B51</t>
  </si>
  <si>
    <t>C12B53</t>
  </si>
  <si>
    <t>C12B6</t>
  </si>
  <si>
    <t>C12B7</t>
  </si>
  <si>
    <t>C12B9</t>
  </si>
  <si>
    <t>C13B1</t>
  </si>
  <si>
    <t>C13B3</t>
  </si>
  <si>
    <t>C13B45</t>
  </si>
  <si>
    <t>C13B47</t>
  </si>
  <si>
    <t>C13B49</t>
  </si>
  <si>
    <t>C13B5</t>
  </si>
  <si>
    <t>C13B51</t>
  </si>
  <si>
    <t>C13B53</t>
  </si>
  <si>
    <t>Folder name:  C14</t>
  </si>
  <si>
    <t>C14B1</t>
  </si>
  <si>
    <t>C14B45</t>
  </si>
  <si>
    <t>C14B47</t>
  </si>
  <si>
    <t>C14B49</t>
  </si>
  <si>
    <t>C14B5</t>
  </si>
  <si>
    <t>C14B51</t>
  </si>
  <si>
    <t>C14B53</t>
  </si>
  <si>
    <t>C14B6</t>
  </si>
  <si>
    <t>C14B7</t>
  </si>
  <si>
    <t>C14B9</t>
  </si>
  <si>
    <t>Folder name:  C15</t>
  </si>
  <si>
    <t>C15B1</t>
  </si>
  <si>
    <t>C15B3</t>
  </si>
  <si>
    <t>C15B45</t>
  </si>
  <si>
    <t>C15B47</t>
  </si>
  <si>
    <t>C15B5</t>
  </si>
  <si>
    <t>C15B51</t>
  </si>
  <si>
    <t>C15B53</t>
  </si>
  <si>
    <t>C15B9</t>
  </si>
  <si>
    <t>Folder name:  C16</t>
  </si>
  <si>
    <t>C16B1</t>
  </si>
  <si>
    <t>C16B3</t>
  </si>
  <si>
    <t>C16B45</t>
  </si>
  <si>
    <t>C16B47</t>
  </si>
  <si>
    <t>C16B49</t>
  </si>
  <si>
    <t>C16B51</t>
  </si>
  <si>
    <t>C16B53</t>
  </si>
  <si>
    <t>C16B7</t>
  </si>
  <si>
    <t>C16B9</t>
  </si>
  <si>
    <t>Folder name:  C2</t>
  </si>
  <si>
    <t>C2B45</t>
  </si>
  <si>
    <t>C2B47</t>
  </si>
  <si>
    <t>C2B49</t>
  </si>
  <si>
    <t>C2B5</t>
  </si>
  <si>
    <t>C2B51</t>
  </si>
  <si>
    <t>C2B53</t>
  </si>
  <si>
    <t>C2B6</t>
  </si>
  <si>
    <t>C2B7</t>
  </si>
  <si>
    <t>C2B9</t>
  </si>
  <si>
    <t>Folder name:  C3</t>
  </si>
  <si>
    <t>C3B45</t>
  </si>
  <si>
    <t>C3B47</t>
  </si>
  <si>
    <t>C3B49</t>
  </si>
  <si>
    <t>C3B5</t>
  </si>
  <si>
    <t>C3B53</t>
  </si>
  <si>
    <t>C3B6</t>
  </si>
  <si>
    <t>C3B7</t>
  </si>
  <si>
    <t>C3B9</t>
  </si>
  <si>
    <t>Folder name:  C4</t>
  </si>
  <si>
    <t>C4B45</t>
  </si>
  <si>
    <t>C4B47</t>
  </si>
  <si>
    <t>C4B49</t>
  </si>
  <si>
    <t>C4B5</t>
  </si>
  <si>
    <t>C4B51</t>
  </si>
  <si>
    <t>C4B52</t>
  </si>
  <si>
    <t>C4B53</t>
  </si>
  <si>
    <t>C4B55</t>
  </si>
  <si>
    <t>Folder name:  C5</t>
  </si>
  <si>
    <t>C5B1</t>
  </si>
  <si>
    <t>C5B3</t>
  </si>
  <si>
    <t>C5B45</t>
  </si>
  <si>
    <t>C5B47</t>
  </si>
  <si>
    <t>C5B49</t>
  </si>
  <si>
    <t>C5B5</t>
  </si>
  <si>
    <t>C5B51</t>
  </si>
  <si>
    <t>C5B53</t>
  </si>
  <si>
    <t>C5B6</t>
  </si>
  <si>
    <t>C5B7</t>
  </si>
  <si>
    <t>C5B9</t>
  </si>
  <si>
    <t>Folder name:  C6</t>
  </si>
  <si>
    <t>C6B5</t>
  </si>
  <si>
    <t>C6B9</t>
  </si>
  <si>
    <t>Folder name:  C7</t>
  </si>
  <si>
    <t>C7B45</t>
  </si>
  <si>
    <t>C7B47</t>
  </si>
  <si>
    <t>C7B49</t>
  </si>
  <si>
    <t>C7B5</t>
  </si>
  <si>
    <t>C7B53</t>
  </si>
  <si>
    <t>C7B6</t>
  </si>
  <si>
    <t>C7B7</t>
  </si>
  <si>
    <t>C7B9</t>
  </si>
  <si>
    <t>skipped</t>
  </si>
  <si>
    <t>Folder name:  C8</t>
  </si>
  <si>
    <t>C1B9</t>
  </si>
  <si>
    <t>Folder name:  C10</t>
  </si>
  <si>
    <t>Folder name:  C11</t>
  </si>
  <si>
    <t>Folder name:  C12</t>
  </si>
  <si>
    <t>Folder name:  C13</t>
  </si>
  <si>
    <t>C13B2</t>
  </si>
  <si>
    <t>C15B2</t>
  </si>
  <si>
    <t>C16B2</t>
  </si>
  <si>
    <t>C4B2</t>
  </si>
  <si>
    <t>C5B2</t>
  </si>
  <si>
    <t>Obfuscated Code:</t>
  </si>
  <si>
    <t>Language Model:</t>
  </si>
  <si>
    <t>Compiled Code:</t>
  </si>
  <si>
    <t>Sheets:</t>
  </si>
  <si>
    <t>Q1:</t>
  </si>
  <si>
    <t>LM Totals:</t>
  </si>
  <si>
    <t>Q Totals:</t>
  </si>
  <si>
    <t>Jurassic_2.xlsx</t>
  </si>
  <si>
    <t>ChatGPT_Q1</t>
  </si>
  <si>
    <t>ChatGPT_Total</t>
  </si>
  <si>
    <t>Q1_Total</t>
  </si>
  <si>
    <t>ChatGPT.xlsx</t>
  </si>
  <si>
    <t>ChatGPT_Q2</t>
  </si>
  <si>
    <t>Jurassic_2_Q1</t>
  </si>
  <si>
    <t>Jurassic_2_Total</t>
  </si>
  <si>
    <t>Q2_Total</t>
  </si>
  <si>
    <t>PaLM.xlsx</t>
  </si>
  <si>
    <t>ChatGPT_Q3</t>
  </si>
  <si>
    <t>PaLM_Q1</t>
  </si>
  <si>
    <t>PaLM_Total</t>
  </si>
  <si>
    <t>Q3_Total</t>
  </si>
  <si>
    <t>Jurassic_2_Compiled.xlsx</t>
  </si>
  <si>
    <t>ChatGPT_Compiled.xlsx</t>
  </si>
  <si>
    <t>Jurassic_2_Q2</t>
  </si>
  <si>
    <t>PaLM_Compiled.xlsx</t>
  </si>
  <si>
    <t>Jurassic_2_Q3</t>
  </si>
  <si>
    <t>PaLM_Q2</t>
  </si>
  <si>
    <t>PaLM_Q3</t>
  </si>
  <si>
    <t>C17</t>
  </si>
  <si>
    <t>Correct:</t>
  </si>
  <si>
    <t>Maybe:</t>
  </si>
  <si>
    <t>Incorrect:</t>
  </si>
  <si>
    <t>ChatGPT</t>
  </si>
  <si>
    <t>Jurassic</t>
  </si>
  <si>
    <t>PaLM</t>
  </si>
  <si>
    <t>Q1</t>
  </si>
  <si>
    <t>Q2</t>
  </si>
  <si>
    <t>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</si>
</sst>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Calibri"/>
      <family val="2"/>
      <scheme val="minor"/>
    </font>
    <font>
      <b/>
      <sz val="15"/>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sz val="9"/>
      <color rgb="FF000000"/>
      <name val="&quot;Google Sans Mono&quot;"/>
    </font>
    <font>
      <sz val="10"/>
      <color theme="1"/>
      <name val="Arial"/>
      <family val="2"/>
    </font>
    <font>
      <sz val="9"/>
      <color rgb="FFF7981D"/>
      <name val="&quot;Google Sans Mono&quot;"/>
    </font>
  </fonts>
  <fills count="19">
    <fill>
      <patternFill patternType="none"/>
    </fill>
    <fill>
      <patternFill patternType="gray125"/>
    </fill>
    <fill>
      <patternFill patternType="solid">
        <fgColor rgb="FFC9DAF8"/>
        <bgColor rgb="FFC9DAF8"/>
      </patternFill>
    </fill>
    <fill>
      <patternFill patternType="solid">
        <fgColor rgb="FFA4C2F4"/>
        <bgColor rgb="FFA4C2F4"/>
      </patternFill>
    </fill>
    <fill>
      <patternFill patternType="solid">
        <fgColor rgb="FFFFE599"/>
        <bgColor rgb="FFFFE599"/>
      </patternFill>
    </fill>
    <fill>
      <patternFill patternType="solid">
        <fgColor rgb="FF6AA84F"/>
        <bgColor rgb="FF6AA84F"/>
      </patternFill>
    </fill>
    <fill>
      <patternFill patternType="solid">
        <fgColor rgb="FF93C47D"/>
        <bgColor rgb="FF93C47D"/>
      </patternFill>
    </fill>
    <fill>
      <patternFill patternType="solid">
        <fgColor rgb="FFB6D7A8"/>
        <bgColor rgb="FFB6D7A8"/>
      </patternFill>
    </fill>
    <fill>
      <patternFill patternType="solid">
        <fgColor rgb="FFE69138"/>
        <bgColor rgb="FFE69138"/>
      </patternFill>
    </fill>
    <fill>
      <patternFill patternType="solid">
        <fgColor rgb="FFF6B26B"/>
        <bgColor rgb="FFF6B26B"/>
      </patternFill>
    </fill>
    <fill>
      <patternFill patternType="solid">
        <fgColor rgb="FFF9CB9C"/>
        <bgColor rgb="FFF9CB9C"/>
      </patternFill>
    </fill>
    <fill>
      <patternFill patternType="solid">
        <fgColor rgb="FFEA9999"/>
        <bgColor rgb="FFEA9999"/>
      </patternFill>
    </fill>
    <fill>
      <patternFill patternType="solid">
        <fgColor rgb="FFE06666"/>
        <bgColor rgb="FFE06666"/>
      </patternFill>
    </fill>
    <fill>
      <patternFill patternType="solid">
        <fgColor rgb="FFCC0000"/>
        <bgColor rgb="FFCC0000"/>
      </patternFill>
    </fill>
    <fill>
      <patternFill patternType="solid">
        <fgColor rgb="FFCCCCCC"/>
        <bgColor rgb="FFCCCCCC"/>
      </patternFill>
    </fill>
    <fill>
      <patternFill patternType="solid">
        <fgColor rgb="FFA2C4C9"/>
        <bgColor rgb="FFA2C4C9"/>
      </patternFill>
    </fill>
    <fill>
      <patternFill patternType="solid">
        <fgColor rgb="FFB4A7D6"/>
        <bgColor rgb="FFB4A7D6"/>
      </patternFill>
    </fill>
    <fill>
      <patternFill patternType="solid">
        <fgColor rgb="FF9FC5E8"/>
        <bgColor rgb="FF9FC5E8"/>
      </patternFill>
    </fill>
    <fill>
      <patternFill patternType="solid">
        <fgColor rgb="FF999999"/>
        <bgColor rgb="FF999999"/>
      </patternFill>
    </fill>
  </fills>
  <borders count="9">
    <border>
      <left/>
      <right/>
      <top/>
      <bottom/>
      <diagonal/>
    </border>
    <border>
      <left/>
      <right/>
      <top/>
      <bottom style="thick">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3">
    <xf numFmtId="0" fontId="0" fillId="0" borderId="0" xfId="0"/>
    <xf numFmtId="0" fontId="2" fillId="2" borderId="1" xfId="1" applyFont="1" applyFill="1" applyBorder="1" applyAlignment="1">
      <alignment vertical="top" wrapText="1"/>
    </xf>
    <xf numFmtId="0" fontId="1" fillId="0" borderId="0" xfId="1"/>
    <xf numFmtId="0" fontId="3" fillId="0" borderId="0" xfId="1" applyFont="1" applyAlignment="1">
      <alignment vertical="top" wrapText="1"/>
    </xf>
    <xf numFmtId="0" fontId="1" fillId="0" borderId="0" xfId="1" quotePrefix="1"/>
    <xf numFmtId="0" fontId="3" fillId="3" borderId="2" xfId="0" applyFont="1" applyFill="1" applyBorder="1"/>
    <xf numFmtId="0" fontId="5" fillId="4" borderId="0" xfId="0" applyFont="1" applyFill="1"/>
    <xf numFmtId="0" fontId="3" fillId="5" borderId="0" xfId="0" applyFont="1" applyFill="1"/>
    <xf numFmtId="0" fontId="3" fillId="5" borderId="2" xfId="0" applyFont="1" applyFill="1" applyBorder="1"/>
    <xf numFmtId="0" fontId="3" fillId="4" borderId="0" xfId="0" applyFont="1" applyFill="1"/>
    <xf numFmtId="0" fontId="3" fillId="6" borderId="0" xfId="0" applyFont="1" applyFill="1"/>
    <xf numFmtId="0" fontId="3" fillId="6" borderId="2" xfId="0" applyFont="1" applyFill="1" applyBorder="1"/>
    <xf numFmtId="0" fontId="3" fillId="7" borderId="0" xfId="0" applyFont="1" applyFill="1"/>
    <xf numFmtId="0" fontId="3" fillId="7" borderId="2" xfId="0" applyFont="1" applyFill="1" applyBorder="1"/>
    <xf numFmtId="0" fontId="3" fillId="8" borderId="0" xfId="0" applyFont="1" applyFill="1"/>
    <xf numFmtId="0" fontId="3" fillId="8" borderId="2" xfId="0" applyFont="1" applyFill="1" applyBorder="1"/>
    <xf numFmtId="0" fontId="3" fillId="9" borderId="0" xfId="0" applyFont="1" applyFill="1"/>
    <xf numFmtId="0" fontId="3" fillId="9" borderId="2" xfId="0" applyFont="1" applyFill="1" applyBorder="1"/>
    <xf numFmtId="0" fontId="3" fillId="10" borderId="0" xfId="0" applyFont="1" applyFill="1"/>
    <xf numFmtId="0" fontId="3" fillId="10" borderId="2" xfId="0" applyFont="1" applyFill="1" applyBorder="1"/>
    <xf numFmtId="0" fontId="3" fillId="11" borderId="0" xfId="0" applyFont="1" applyFill="1"/>
    <xf numFmtId="0" fontId="3" fillId="11" borderId="2" xfId="0" applyFont="1" applyFill="1" applyBorder="1"/>
    <xf numFmtId="0" fontId="3" fillId="12" borderId="0" xfId="0" applyFont="1" applyFill="1"/>
    <xf numFmtId="0" fontId="3" fillId="12" borderId="2" xfId="0" applyFont="1" applyFill="1" applyBorder="1"/>
    <xf numFmtId="0" fontId="3" fillId="13" borderId="0" xfId="0" applyFont="1" applyFill="1"/>
    <xf numFmtId="0" fontId="3" fillId="13" borderId="2" xfId="0" applyFont="1" applyFill="1" applyBorder="1"/>
    <xf numFmtId="0" fontId="3" fillId="14" borderId="0" xfId="0" applyFont="1" applyFill="1"/>
    <xf numFmtId="0" fontId="3" fillId="14" borderId="2" xfId="0" applyFont="1" applyFill="1" applyBorder="1"/>
    <xf numFmtId="0" fontId="5" fillId="15" borderId="0" xfId="0" applyFont="1" applyFill="1"/>
    <xf numFmtId="0" fontId="3" fillId="15" borderId="2" xfId="0" applyFont="1" applyFill="1" applyBorder="1"/>
    <xf numFmtId="0" fontId="3" fillId="16" borderId="0" xfId="0" applyFont="1" applyFill="1"/>
    <xf numFmtId="0" fontId="7" fillId="5" borderId="3" xfId="0" applyFont="1" applyFill="1" applyBorder="1"/>
    <xf numFmtId="0" fontId="7" fillId="6" borderId="3" xfId="0" applyFont="1" applyFill="1" applyBorder="1"/>
    <xf numFmtId="0" fontId="7" fillId="7" borderId="3" xfId="0" applyFont="1" applyFill="1" applyBorder="1"/>
    <xf numFmtId="0" fontId="7" fillId="8" borderId="3" xfId="0" applyFont="1" applyFill="1" applyBorder="1"/>
    <xf numFmtId="0" fontId="7" fillId="9" borderId="3" xfId="0" applyFont="1" applyFill="1" applyBorder="1"/>
    <xf numFmtId="0" fontId="7" fillId="10" borderId="3" xfId="0" applyFont="1" applyFill="1" applyBorder="1"/>
    <xf numFmtId="0" fontId="7" fillId="11" borderId="3" xfId="0" applyFont="1" applyFill="1" applyBorder="1"/>
    <xf numFmtId="0" fontId="7" fillId="12" borderId="3" xfId="0" applyFont="1" applyFill="1" applyBorder="1"/>
    <xf numFmtId="0" fontId="7" fillId="13" borderId="3" xfId="0" applyFont="1" applyFill="1" applyBorder="1"/>
    <xf numFmtId="0" fontId="7" fillId="14" borderId="3" xfId="0" applyFont="1" applyFill="1" applyBorder="1"/>
    <xf numFmtId="0" fontId="5" fillId="17" borderId="0" xfId="0" applyFont="1" applyFill="1"/>
    <xf numFmtId="0" fontId="3" fillId="16" borderId="3" xfId="0" applyFont="1" applyFill="1" applyBorder="1"/>
    <xf numFmtId="0" fontId="3" fillId="17" borderId="3" xfId="0" applyFont="1" applyFill="1" applyBorder="1"/>
    <xf numFmtId="0" fontId="3" fillId="16" borderId="2" xfId="0" applyFont="1" applyFill="1" applyBorder="1"/>
    <xf numFmtId="0" fontId="3" fillId="16" borderId="4" xfId="0" applyFont="1" applyFill="1" applyBorder="1"/>
    <xf numFmtId="0" fontId="3" fillId="4" borderId="5" xfId="0" applyFont="1" applyFill="1" applyBorder="1"/>
    <xf numFmtId="0" fontId="6" fillId="4" borderId="6" xfId="0" applyFont="1" applyFill="1" applyBorder="1"/>
    <xf numFmtId="0" fontId="3" fillId="3" borderId="0" xfId="0" applyFont="1" applyFill="1"/>
    <xf numFmtId="0" fontId="3" fillId="2" borderId="0" xfId="0" applyFont="1" applyFill="1"/>
    <xf numFmtId="0" fontId="3" fillId="18" borderId="0" xfId="0" applyFont="1" applyFill="1"/>
    <xf numFmtId="0" fontId="3" fillId="0" borderId="7" xfId="0" applyFont="1" applyBorder="1"/>
    <xf numFmtId="0" fontId="5" fillId="16" borderId="0" xfId="0" applyFont="1" applyFill="1"/>
    <xf numFmtId="0" fontId="8" fillId="18" borderId="0" xfId="0" applyFont="1" applyFill="1"/>
    <xf numFmtId="0" fontId="3" fillId="6" borderId="8" xfId="0" applyFont="1" applyFill="1" applyBorder="1"/>
    <xf numFmtId="0" fontId="3" fillId="7" borderId="8" xfId="0" applyFont="1" applyFill="1" applyBorder="1"/>
    <xf numFmtId="0" fontId="3" fillId="8" borderId="8" xfId="0" applyFont="1" applyFill="1" applyBorder="1"/>
    <xf numFmtId="0" fontId="3" fillId="9" borderId="8" xfId="0" applyFont="1" applyFill="1" applyBorder="1"/>
    <xf numFmtId="0" fontId="3" fillId="10" borderId="8" xfId="0" applyFont="1" applyFill="1" applyBorder="1"/>
    <xf numFmtId="0" fontId="3" fillId="11" borderId="8" xfId="0" applyFont="1" applyFill="1" applyBorder="1"/>
    <xf numFmtId="0" fontId="3" fillId="12" borderId="8" xfId="0" applyFont="1" applyFill="1" applyBorder="1"/>
    <xf numFmtId="0" fontId="3" fillId="13" borderId="8" xfId="0" applyFont="1" applyFill="1" applyBorder="1"/>
    <xf numFmtId="0" fontId="3" fillId="14" borderId="8" xfId="0" applyFont="1" applyFill="1" applyBorder="1"/>
  </cellXfs>
  <cellStyles count="2">
    <cellStyle name="Normal" xfId="0" builtinId="0"/>
    <cellStyle name="Normal 2" xfId="1" xr:uid="{521994F3-342B-4AEF-AB92-3955D8D43A64}"/>
  </cellStyles>
  <dxfs count="120">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
      <fill>
        <patternFill patternType="solid">
          <fgColor rgb="FFE69138"/>
          <bgColor rgb="FFE69138"/>
        </patternFill>
      </fill>
    </dxf>
    <dxf>
      <fill>
        <patternFill patternType="solid">
          <fgColor rgb="FFCC0000"/>
          <bgColor rgb="FFCC0000"/>
        </patternFill>
      </fill>
    </dxf>
    <dxf>
      <fill>
        <patternFill patternType="solid">
          <fgColor rgb="FF6AA84F"/>
          <bgColor rgb="FF6AA84F"/>
        </patternFill>
      </fill>
    </dxf>
    <dxf>
      <fill>
        <patternFill patternType="solid">
          <fgColor rgb="FFCCCCCC"/>
          <bgColor rgb="FFCCCCCC"/>
        </patternFill>
      </fill>
    </dxf>
    <dxf>
      <fill>
        <patternFill patternType="solid">
          <fgColor rgb="FFEA9999"/>
          <bgColor rgb="FFEA9999"/>
        </patternFill>
      </fill>
    </dxf>
    <dxf>
      <fill>
        <patternFill patternType="solid">
          <fgColor rgb="FFE06666"/>
          <bgColor rgb="FFE06666"/>
        </patternFill>
      </fill>
    </dxf>
    <dxf>
      <fill>
        <patternFill patternType="solid">
          <fgColor rgb="FFF9CB9C"/>
          <bgColor rgb="FFF9CB9C"/>
        </patternFill>
      </fill>
    </dxf>
    <dxf>
      <fill>
        <patternFill patternType="solid">
          <fgColor rgb="FFF6B26B"/>
          <bgColor rgb="FFF6B26B"/>
        </patternFill>
      </fill>
    </dxf>
    <dxf>
      <fill>
        <patternFill patternType="solid">
          <fgColor rgb="FFB6D7A8"/>
          <bgColor rgb="FFB6D7A8"/>
        </patternFill>
      </fill>
    </dxf>
    <dxf>
      <fill>
        <patternFill patternType="solid">
          <fgColor rgb="FF93C47D"/>
          <bgColor rgb="FF93C47D"/>
        </patternFill>
      </fill>
    </dxf>
  </dxfs>
  <tableStyles count="0" defaultTableStyle="TableStyleMedium2" defaultPivotStyle="PivotStyleLight16"/>
  <colors>
    <mruColors>
      <color rgb="FFEC2828"/>
      <color rgb="FFF468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ChatGPT_Q1!$D$6</c:f>
              <c:strCache>
                <c:ptCount val="1"/>
                <c:pt idx="0">
                  <c:v>High Correct:</c:v>
                </c:pt>
              </c:strCache>
            </c:strRef>
          </c:tx>
          <c:spPr>
            <a:solidFill>
              <a:schemeClr val="accent6">
                <a:lumMod val="75000"/>
              </a:schemeClr>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ChatGPT_Q1!$D$7:$D$27</c:f>
              <c:numCache>
                <c:formatCode>General</c:formatCode>
                <c:ptCount val="21"/>
                <c:pt idx="0">
                  <c:v>6</c:v>
                </c:pt>
                <c:pt idx="1">
                  <c:v>9</c:v>
                </c:pt>
                <c:pt idx="2">
                  <c:v>6</c:v>
                </c:pt>
                <c:pt idx="3">
                  <c:v>7</c:v>
                </c:pt>
                <c:pt idx="4">
                  <c:v>5</c:v>
                </c:pt>
                <c:pt idx="5">
                  <c:v>9</c:v>
                </c:pt>
                <c:pt idx="6">
                  <c:v>7</c:v>
                </c:pt>
                <c:pt idx="7">
                  <c:v>4</c:v>
                </c:pt>
                <c:pt idx="8">
                  <c:v>4</c:v>
                </c:pt>
                <c:pt idx="9">
                  <c:v>4</c:v>
                </c:pt>
                <c:pt idx="10">
                  <c:v>4</c:v>
                </c:pt>
                <c:pt idx="11">
                  <c:v>6</c:v>
                </c:pt>
                <c:pt idx="12">
                  <c:v>6</c:v>
                </c:pt>
                <c:pt idx="13">
                  <c:v>5</c:v>
                </c:pt>
                <c:pt idx="14">
                  <c:v>7</c:v>
                </c:pt>
                <c:pt idx="15">
                  <c:v>8</c:v>
                </c:pt>
                <c:pt idx="16">
                  <c:v>5</c:v>
                </c:pt>
                <c:pt idx="17">
                  <c:v>8</c:v>
                </c:pt>
                <c:pt idx="18">
                  <c:v>13</c:v>
                </c:pt>
                <c:pt idx="19">
                  <c:v>2</c:v>
                </c:pt>
                <c:pt idx="20">
                  <c:v>4</c:v>
                </c:pt>
              </c:numCache>
            </c:numRef>
          </c:val>
          <c:extLst>
            <c:ext xmlns:c16="http://schemas.microsoft.com/office/drawing/2014/chart" uri="{C3380CC4-5D6E-409C-BE32-E72D297353CC}">
              <c16:uniqueId val="{00000000-FCAE-4D20-9C02-4FC19E183CFD}"/>
            </c:ext>
          </c:extLst>
        </c:ser>
        <c:ser>
          <c:idx val="1"/>
          <c:order val="1"/>
          <c:tx>
            <c:strRef>
              <c:f>ChatGPT_Q1!$E$6</c:f>
              <c:strCache>
                <c:ptCount val="1"/>
                <c:pt idx="0">
                  <c:v>Medium Correct:</c:v>
                </c:pt>
              </c:strCache>
            </c:strRef>
          </c:tx>
          <c:spPr>
            <a:solidFill>
              <a:schemeClr val="accent6"/>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ChatGPT_Q1!$E$7:$E$27</c:f>
              <c:numCache>
                <c:formatCode>General</c:formatCode>
                <c:ptCount val="21"/>
                <c:pt idx="0">
                  <c:v>0</c:v>
                </c:pt>
                <c:pt idx="1">
                  <c:v>0</c:v>
                </c:pt>
                <c:pt idx="2">
                  <c:v>0</c:v>
                </c:pt>
                <c:pt idx="3">
                  <c:v>0</c:v>
                </c:pt>
                <c:pt idx="4">
                  <c:v>2</c:v>
                </c:pt>
                <c:pt idx="5">
                  <c:v>1</c:v>
                </c:pt>
                <c:pt idx="6">
                  <c:v>0</c:v>
                </c:pt>
                <c:pt idx="7">
                  <c:v>4</c:v>
                </c:pt>
                <c:pt idx="8">
                  <c:v>3</c:v>
                </c:pt>
                <c:pt idx="9">
                  <c:v>3</c:v>
                </c:pt>
                <c:pt idx="10">
                  <c:v>3</c:v>
                </c:pt>
                <c:pt idx="11">
                  <c:v>1</c:v>
                </c:pt>
                <c:pt idx="12">
                  <c:v>0</c:v>
                </c:pt>
                <c:pt idx="13">
                  <c:v>0</c:v>
                </c:pt>
                <c:pt idx="14">
                  <c:v>0</c:v>
                </c:pt>
                <c:pt idx="15">
                  <c:v>0</c:v>
                </c:pt>
                <c:pt idx="16">
                  <c:v>0</c:v>
                </c:pt>
                <c:pt idx="17">
                  <c:v>1</c:v>
                </c:pt>
                <c:pt idx="18">
                  <c:v>0</c:v>
                </c:pt>
                <c:pt idx="19">
                  <c:v>0</c:v>
                </c:pt>
                <c:pt idx="20">
                  <c:v>1</c:v>
                </c:pt>
              </c:numCache>
            </c:numRef>
          </c:val>
          <c:extLst>
            <c:ext xmlns:c16="http://schemas.microsoft.com/office/drawing/2014/chart" uri="{C3380CC4-5D6E-409C-BE32-E72D297353CC}">
              <c16:uniqueId val="{00000001-FCAE-4D20-9C02-4FC19E183CFD}"/>
            </c:ext>
          </c:extLst>
        </c:ser>
        <c:ser>
          <c:idx val="2"/>
          <c:order val="2"/>
          <c:tx>
            <c:strRef>
              <c:f>ChatGPT_Q1!$F$6</c:f>
              <c:strCache>
                <c:ptCount val="1"/>
                <c:pt idx="0">
                  <c:v>Low Correct:</c:v>
                </c:pt>
              </c:strCache>
            </c:strRef>
          </c:tx>
          <c:spPr>
            <a:solidFill>
              <a:schemeClr val="accent6">
                <a:lumMod val="40000"/>
                <a:lumOff val="60000"/>
              </a:schemeClr>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ChatGPT_Q1!$F$7:$F$27</c:f>
              <c:numCache>
                <c:formatCode>General</c:formatCode>
                <c:ptCount val="21"/>
                <c:pt idx="0">
                  <c:v>1</c:v>
                </c:pt>
                <c:pt idx="1">
                  <c:v>0</c:v>
                </c:pt>
                <c:pt idx="2">
                  <c:v>0</c:v>
                </c:pt>
                <c:pt idx="3">
                  <c:v>0</c:v>
                </c:pt>
                <c:pt idx="4">
                  <c:v>2</c:v>
                </c:pt>
                <c:pt idx="5">
                  <c:v>1</c:v>
                </c:pt>
                <c:pt idx="6">
                  <c:v>1</c:v>
                </c:pt>
                <c:pt idx="7">
                  <c:v>1</c:v>
                </c:pt>
                <c:pt idx="8">
                  <c:v>1</c:v>
                </c:pt>
                <c:pt idx="9">
                  <c:v>1</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2-FCAE-4D20-9C02-4FC19E183CFD}"/>
            </c:ext>
          </c:extLst>
        </c:ser>
        <c:ser>
          <c:idx val="3"/>
          <c:order val="3"/>
          <c:tx>
            <c:strRef>
              <c:f>ChatGPT_Q1!$G$6</c:f>
              <c:strCache>
                <c:ptCount val="1"/>
                <c:pt idx="0">
                  <c:v>High Maybe:</c:v>
                </c:pt>
              </c:strCache>
            </c:strRef>
          </c:tx>
          <c:spPr>
            <a:solidFill>
              <a:schemeClr val="accent2">
                <a:lumMod val="75000"/>
              </a:schemeClr>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ChatGPT_Q1!$G$7:$G$27</c:f>
              <c:numCache>
                <c:formatCode>General</c:formatCode>
                <c:ptCount val="21"/>
                <c:pt idx="0">
                  <c:v>1</c:v>
                </c:pt>
                <c:pt idx="1">
                  <c:v>3</c:v>
                </c:pt>
                <c:pt idx="2">
                  <c:v>5</c:v>
                </c:pt>
                <c:pt idx="3">
                  <c:v>5</c:v>
                </c:pt>
                <c:pt idx="4">
                  <c:v>3</c:v>
                </c:pt>
                <c:pt idx="5">
                  <c:v>0</c:v>
                </c:pt>
                <c:pt idx="6">
                  <c:v>0</c:v>
                </c:pt>
                <c:pt idx="7">
                  <c:v>0</c:v>
                </c:pt>
                <c:pt idx="8">
                  <c:v>0</c:v>
                </c:pt>
                <c:pt idx="9">
                  <c:v>1</c:v>
                </c:pt>
                <c:pt idx="10">
                  <c:v>2</c:v>
                </c:pt>
                <c:pt idx="11">
                  <c:v>1</c:v>
                </c:pt>
                <c:pt idx="12">
                  <c:v>0</c:v>
                </c:pt>
                <c:pt idx="13">
                  <c:v>0</c:v>
                </c:pt>
                <c:pt idx="14">
                  <c:v>1</c:v>
                </c:pt>
                <c:pt idx="15">
                  <c:v>0</c:v>
                </c:pt>
                <c:pt idx="16">
                  <c:v>0</c:v>
                </c:pt>
                <c:pt idx="17">
                  <c:v>1</c:v>
                </c:pt>
                <c:pt idx="18">
                  <c:v>0</c:v>
                </c:pt>
                <c:pt idx="19">
                  <c:v>0</c:v>
                </c:pt>
                <c:pt idx="20">
                  <c:v>0</c:v>
                </c:pt>
              </c:numCache>
            </c:numRef>
          </c:val>
          <c:extLst>
            <c:ext xmlns:c16="http://schemas.microsoft.com/office/drawing/2014/chart" uri="{C3380CC4-5D6E-409C-BE32-E72D297353CC}">
              <c16:uniqueId val="{00000003-FCAE-4D20-9C02-4FC19E183CFD}"/>
            </c:ext>
          </c:extLst>
        </c:ser>
        <c:ser>
          <c:idx val="4"/>
          <c:order val="4"/>
          <c:tx>
            <c:strRef>
              <c:f>ChatGPT_Q1!$H$6</c:f>
              <c:strCache>
                <c:ptCount val="1"/>
                <c:pt idx="0">
                  <c:v>Medium Maybe:</c:v>
                </c:pt>
              </c:strCache>
            </c:strRef>
          </c:tx>
          <c:spPr>
            <a:solidFill>
              <a:schemeClr val="accent2"/>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ChatGPT_Q1!$H$7:$H$27</c:f>
              <c:numCache>
                <c:formatCode>General</c:formatCode>
                <c:ptCount val="21"/>
                <c:pt idx="0">
                  <c:v>1</c:v>
                </c:pt>
                <c:pt idx="1">
                  <c:v>0</c:v>
                </c:pt>
                <c:pt idx="2">
                  <c:v>1</c:v>
                </c:pt>
                <c:pt idx="3">
                  <c:v>3</c:v>
                </c:pt>
                <c:pt idx="4">
                  <c:v>2</c:v>
                </c:pt>
                <c:pt idx="5">
                  <c:v>0</c:v>
                </c:pt>
                <c:pt idx="6">
                  <c:v>0</c:v>
                </c:pt>
                <c:pt idx="7">
                  <c:v>0</c:v>
                </c:pt>
                <c:pt idx="8">
                  <c:v>0</c:v>
                </c:pt>
                <c:pt idx="9">
                  <c:v>0</c:v>
                </c:pt>
                <c:pt idx="10">
                  <c:v>1</c:v>
                </c:pt>
                <c:pt idx="11">
                  <c:v>0</c:v>
                </c:pt>
                <c:pt idx="12">
                  <c:v>0</c:v>
                </c:pt>
                <c:pt idx="13">
                  <c:v>0</c:v>
                </c:pt>
                <c:pt idx="14">
                  <c:v>1</c:v>
                </c:pt>
                <c:pt idx="15">
                  <c:v>0</c:v>
                </c:pt>
                <c:pt idx="16">
                  <c:v>0</c:v>
                </c:pt>
                <c:pt idx="17">
                  <c:v>1</c:v>
                </c:pt>
                <c:pt idx="18">
                  <c:v>0</c:v>
                </c:pt>
                <c:pt idx="19">
                  <c:v>1</c:v>
                </c:pt>
                <c:pt idx="20">
                  <c:v>0</c:v>
                </c:pt>
              </c:numCache>
            </c:numRef>
          </c:val>
          <c:extLst>
            <c:ext xmlns:c16="http://schemas.microsoft.com/office/drawing/2014/chart" uri="{C3380CC4-5D6E-409C-BE32-E72D297353CC}">
              <c16:uniqueId val="{00000004-FCAE-4D20-9C02-4FC19E183CFD}"/>
            </c:ext>
          </c:extLst>
        </c:ser>
        <c:ser>
          <c:idx val="5"/>
          <c:order val="5"/>
          <c:tx>
            <c:strRef>
              <c:f>ChatGPT_Q1!$I$6</c:f>
              <c:strCache>
                <c:ptCount val="1"/>
                <c:pt idx="0">
                  <c:v>Low Maybe:</c:v>
                </c:pt>
              </c:strCache>
            </c:strRef>
          </c:tx>
          <c:spPr>
            <a:solidFill>
              <a:schemeClr val="accent2">
                <a:lumMod val="60000"/>
                <a:lumOff val="40000"/>
              </a:schemeClr>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ChatGPT_Q1!$I$7:$I$27</c:f>
              <c:numCache>
                <c:formatCode>General</c:formatCode>
                <c:ptCount val="21"/>
                <c:pt idx="0">
                  <c:v>0</c:v>
                </c:pt>
                <c:pt idx="1">
                  <c:v>0</c:v>
                </c:pt>
                <c:pt idx="2">
                  <c:v>1</c:v>
                </c:pt>
                <c:pt idx="3">
                  <c:v>0</c:v>
                </c:pt>
                <c:pt idx="4">
                  <c:v>2</c:v>
                </c:pt>
                <c:pt idx="5">
                  <c:v>0</c:v>
                </c:pt>
                <c:pt idx="6">
                  <c:v>2</c:v>
                </c:pt>
                <c:pt idx="7">
                  <c:v>0</c:v>
                </c:pt>
                <c:pt idx="8">
                  <c:v>1</c:v>
                </c:pt>
                <c:pt idx="9">
                  <c:v>1</c:v>
                </c:pt>
                <c:pt idx="10">
                  <c:v>1</c:v>
                </c:pt>
                <c:pt idx="11">
                  <c:v>2</c:v>
                </c:pt>
                <c:pt idx="12">
                  <c:v>3</c:v>
                </c:pt>
                <c:pt idx="13">
                  <c:v>3</c:v>
                </c:pt>
                <c:pt idx="14">
                  <c:v>1</c:v>
                </c:pt>
                <c:pt idx="15">
                  <c:v>1</c:v>
                </c:pt>
                <c:pt idx="16">
                  <c:v>0</c:v>
                </c:pt>
                <c:pt idx="17">
                  <c:v>1</c:v>
                </c:pt>
                <c:pt idx="18">
                  <c:v>1</c:v>
                </c:pt>
                <c:pt idx="19">
                  <c:v>3</c:v>
                </c:pt>
                <c:pt idx="20">
                  <c:v>0</c:v>
                </c:pt>
              </c:numCache>
            </c:numRef>
          </c:val>
          <c:extLst>
            <c:ext xmlns:c16="http://schemas.microsoft.com/office/drawing/2014/chart" uri="{C3380CC4-5D6E-409C-BE32-E72D297353CC}">
              <c16:uniqueId val="{00000005-FCAE-4D20-9C02-4FC19E183CFD}"/>
            </c:ext>
          </c:extLst>
        </c:ser>
        <c:ser>
          <c:idx val="6"/>
          <c:order val="6"/>
          <c:tx>
            <c:strRef>
              <c:f>ChatGPT_Q1!$J$6</c:f>
              <c:strCache>
                <c:ptCount val="1"/>
                <c:pt idx="0">
                  <c:v>Low Incorrect:</c:v>
                </c:pt>
              </c:strCache>
            </c:strRef>
          </c:tx>
          <c:spPr>
            <a:solidFill>
              <a:srgbClr val="F46868"/>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ChatGPT_Q1!$J$7:$J$27</c:f>
              <c:numCache>
                <c:formatCode>General</c:formatCode>
                <c:ptCount val="21"/>
                <c:pt idx="0">
                  <c:v>2</c:v>
                </c:pt>
                <c:pt idx="1">
                  <c:v>3</c:v>
                </c:pt>
                <c:pt idx="2">
                  <c:v>0</c:v>
                </c:pt>
                <c:pt idx="3">
                  <c:v>0</c:v>
                </c:pt>
                <c:pt idx="4">
                  <c:v>0</c:v>
                </c:pt>
                <c:pt idx="5">
                  <c:v>1</c:v>
                </c:pt>
                <c:pt idx="6">
                  <c:v>2</c:v>
                </c:pt>
                <c:pt idx="7">
                  <c:v>1</c:v>
                </c:pt>
                <c:pt idx="8">
                  <c:v>3</c:v>
                </c:pt>
                <c:pt idx="9">
                  <c:v>1</c:v>
                </c:pt>
                <c:pt idx="10">
                  <c:v>2</c:v>
                </c:pt>
                <c:pt idx="11">
                  <c:v>4</c:v>
                </c:pt>
                <c:pt idx="12">
                  <c:v>5</c:v>
                </c:pt>
                <c:pt idx="13">
                  <c:v>4</c:v>
                </c:pt>
                <c:pt idx="14">
                  <c:v>1</c:v>
                </c:pt>
                <c:pt idx="15">
                  <c:v>2</c:v>
                </c:pt>
                <c:pt idx="16">
                  <c:v>1</c:v>
                </c:pt>
                <c:pt idx="17">
                  <c:v>1</c:v>
                </c:pt>
                <c:pt idx="18">
                  <c:v>1</c:v>
                </c:pt>
                <c:pt idx="19">
                  <c:v>4</c:v>
                </c:pt>
                <c:pt idx="20">
                  <c:v>1</c:v>
                </c:pt>
              </c:numCache>
            </c:numRef>
          </c:val>
          <c:extLst>
            <c:ext xmlns:c16="http://schemas.microsoft.com/office/drawing/2014/chart" uri="{C3380CC4-5D6E-409C-BE32-E72D297353CC}">
              <c16:uniqueId val="{00000006-FCAE-4D20-9C02-4FC19E183CFD}"/>
            </c:ext>
          </c:extLst>
        </c:ser>
        <c:ser>
          <c:idx val="7"/>
          <c:order val="7"/>
          <c:tx>
            <c:strRef>
              <c:f>ChatGPT_Q1!$K$6</c:f>
              <c:strCache>
                <c:ptCount val="1"/>
                <c:pt idx="0">
                  <c:v>Medium Incorrect:</c:v>
                </c:pt>
              </c:strCache>
            </c:strRef>
          </c:tx>
          <c:spPr>
            <a:solidFill>
              <a:srgbClr val="EC2828"/>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ChatGPT_Q1!$K$7:$K$27</c:f>
              <c:numCache>
                <c:formatCode>General</c:formatCode>
                <c:ptCount val="21"/>
                <c:pt idx="0">
                  <c:v>3</c:v>
                </c:pt>
                <c:pt idx="1">
                  <c:v>1</c:v>
                </c:pt>
                <c:pt idx="2">
                  <c:v>2</c:v>
                </c:pt>
                <c:pt idx="3">
                  <c:v>0</c:v>
                </c:pt>
                <c:pt idx="4">
                  <c:v>0</c:v>
                </c:pt>
                <c:pt idx="5">
                  <c:v>3</c:v>
                </c:pt>
                <c:pt idx="6">
                  <c:v>6</c:v>
                </c:pt>
                <c:pt idx="7">
                  <c:v>5</c:v>
                </c:pt>
                <c:pt idx="8">
                  <c:v>5</c:v>
                </c:pt>
                <c:pt idx="9">
                  <c:v>4</c:v>
                </c:pt>
                <c:pt idx="10">
                  <c:v>4</c:v>
                </c:pt>
                <c:pt idx="11">
                  <c:v>1</c:v>
                </c:pt>
                <c:pt idx="12">
                  <c:v>3</c:v>
                </c:pt>
                <c:pt idx="13">
                  <c:v>3</c:v>
                </c:pt>
                <c:pt idx="14">
                  <c:v>3</c:v>
                </c:pt>
                <c:pt idx="15">
                  <c:v>3</c:v>
                </c:pt>
                <c:pt idx="16">
                  <c:v>3</c:v>
                </c:pt>
                <c:pt idx="17">
                  <c:v>4</c:v>
                </c:pt>
                <c:pt idx="18">
                  <c:v>2</c:v>
                </c:pt>
                <c:pt idx="19">
                  <c:v>3</c:v>
                </c:pt>
                <c:pt idx="20">
                  <c:v>2</c:v>
                </c:pt>
              </c:numCache>
            </c:numRef>
          </c:val>
          <c:extLst>
            <c:ext xmlns:c16="http://schemas.microsoft.com/office/drawing/2014/chart" uri="{C3380CC4-5D6E-409C-BE32-E72D297353CC}">
              <c16:uniqueId val="{00000007-FCAE-4D20-9C02-4FC19E183CFD}"/>
            </c:ext>
          </c:extLst>
        </c:ser>
        <c:ser>
          <c:idx val="8"/>
          <c:order val="8"/>
          <c:tx>
            <c:strRef>
              <c:f>ChatGPT_Q1!$L$6</c:f>
              <c:strCache>
                <c:ptCount val="1"/>
                <c:pt idx="0">
                  <c:v>High Incorrect:</c:v>
                </c:pt>
              </c:strCache>
            </c:strRef>
          </c:tx>
          <c:spPr>
            <a:solidFill>
              <a:srgbClr val="C00000"/>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ChatGPT_Q1!$L$7:$L$27</c:f>
              <c:numCache>
                <c:formatCode>General</c:formatCode>
                <c:ptCount val="21"/>
                <c:pt idx="0">
                  <c:v>3</c:v>
                </c:pt>
                <c:pt idx="1">
                  <c:v>2</c:v>
                </c:pt>
                <c:pt idx="2">
                  <c:v>3</c:v>
                </c:pt>
                <c:pt idx="3">
                  <c:v>3</c:v>
                </c:pt>
                <c:pt idx="4">
                  <c:v>2</c:v>
                </c:pt>
                <c:pt idx="5">
                  <c:v>3</c:v>
                </c:pt>
                <c:pt idx="6">
                  <c:v>0</c:v>
                </c:pt>
                <c:pt idx="7">
                  <c:v>2</c:v>
                </c:pt>
                <c:pt idx="8">
                  <c:v>1</c:v>
                </c:pt>
                <c:pt idx="9">
                  <c:v>3</c:v>
                </c:pt>
                <c:pt idx="10">
                  <c:v>0</c:v>
                </c:pt>
                <c:pt idx="11">
                  <c:v>1</c:v>
                </c:pt>
                <c:pt idx="12">
                  <c:v>0</c:v>
                </c:pt>
                <c:pt idx="13">
                  <c:v>2</c:v>
                </c:pt>
                <c:pt idx="14">
                  <c:v>3</c:v>
                </c:pt>
                <c:pt idx="15">
                  <c:v>3</c:v>
                </c:pt>
                <c:pt idx="16">
                  <c:v>3</c:v>
                </c:pt>
                <c:pt idx="17">
                  <c:v>1</c:v>
                </c:pt>
                <c:pt idx="18">
                  <c:v>1</c:v>
                </c:pt>
                <c:pt idx="19">
                  <c:v>4</c:v>
                </c:pt>
                <c:pt idx="20">
                  <c:v>2</c:v>
                </c:pt>
              </c:numCache>
            </c:numRef>
          </c:val>
          <c:extLst>
            <c:ext xmlns:c16="http://schemas.microsoft.com/office/drawing/2014/chart" uri="{C3380CC4-5D6E-409C-BE32-E72D297353CC}">
              <c16:uniqueId val="{00000008-FCAE-4D20-9C02-4FC19E183CFD}"/>
            </c:ext>
          </c:extLst>
        </c:ser>
        <c:ser>
          <c:idx val="9"/>
          <c:order val="9"/>
          <c:tx>
            <c:strRef>
              <c:f>ChatGPT_Q1!$M$6</c:f>
              <c:strCache>
                <c:ptCount val="1"/>
                <c:pt idx="0">
                  <c:v>N/A:</c:v>
                </c:pt>
              </c:strCache>
            </c:strRef>
          </c:tx>
          <c:spPr>
            <a:solidFill>
              <a:schemeClr val="bg2">
                <a:lumMod val="75000"/>
              </a:schemeClr>
            </a:solidFill>
            <a:ln>
              <a:noFill/>
            </a:ln>
            <a:effectLst/>
          </c:spPr>
          <c:invertIfNegative val="0"/>
          <c:cat>
            <c:strRef>
              <c:f>ChatGPT_Q1!$C$7:$C$27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ChatGPT_Q1!$M$7:$M$27</c:f>
              <c:numCache>
                <c:formatCode>General</c:formatCode>
                <c:ptCount val="21"/>
                <c:pt idx="0">
                  <c:v>1</c:v>
                </c:pt>
                <c:pt idx="1">
                  <c:v>0</c:v>
                </c:pt>
                <c:pt idx="2">
                  <c:v>0</c:v>
                </c:pt>
                <c:pt idx="3">
                  <c:v>0</c:v>
                </c:pt>
                <c:pt idx="4">
                  <c:v>0</c:v>
                </c:pt>
                <c:pt idx="5">
                  <c:v>0</c:v>
                </c:pt>
                <c:pt idx="6">
                  <c:v>0</c:v>
                </c:pt>
                <c:pt idx="7">
                  <c:v>1</c:v>
                </c:pt>
                <c:pt idx="8">
                  <c:v>0</c:v>
                </c:pt>
                <c:pt idx="9">
                  <c:v>0</c:v>
                </c:pt>
                <c:pt idx="10">
                  <c:v>1</c:v>
                </c:pt>
                <c:pt idx="11">
                  <c:v>2</c:v>
                </c:pt>
                <c:pt idx="12">
                  <c:v>1</c:v>
                </c:pt>
                <c:pt idx="13">
                  <c:v>1</c:v>
                </c:pt>
                <c:pt idx="14">
                  <c:v>1</c:v>
                </c:pt>
                <c:pt idx="15">
                  <c:v>1</c:v>
                </c:pt>
                <c:pt idx="16">
                  <c:v>6</c:v>
                </c:pt>
                <c:pt idx="17">
                  <c:v>0</c:v>
                </c:pt>
                <c:pt idx="18">
                  <c:v>0</c:v>
                </c:pt>
                <c:pt idx="19">
                  <c:v>1</c:v>
                </c:pt>
                <c:pt idx="20">
                  <c:v>8</c:v>
                </c:pt>
              </c:numCache>
            </c:numRef>
          </c:val>
          <c:extLst>
            <c:ext xmlns:c16="http://schemas.microsoft.com/office/drawing/2014/chart" uri="{C3380CC4-5D6E-409C-BE32-E72D297353CC}">
              <c16:uniqueId val="{00000009-FCAE-4D20-9C02-4FC19E183CFD}"/>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ChatGPT</a:t>
            </a:r>
            <a:r>
              <a:rPr lang="en-US" baseline="0"/>
              <a:t> Q1 Obfuscation Correctness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ChatGPT_Q1!$D$31</c:f>
              <c:strCache>
                <c:ptCount val="1"/>
                <c:pt idx="0">
                  <c:v>High Correct:</c:v>
                </c:pt>
              </c:strCache>
            </c:strRef>
          </c:tx>
          <c:spPr>
            <a:solidFill>
              <a:schemeClr val="accent6">
                <a:lumMod val="75000"/>
              </a:schemeClr>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ChatGPT_Q1!$D$32:$D$49</c:f>
              <c:numCache>
                <c:formatCode>General</c:formatCode>
                <c:ptCount val="18"/>
                <c:pt idx="0">
                  <c:v>9</c:v>
                </c:pt>
                <c:pt idx="1">
                  <c:v>9</c:v>
                </c:pt>
                <c:pt idx="2">
                  <c:v>14</c:v>
                </c:pt>
                <c:pt idx="3">
                  <c:v>6</c:v>
                </c:pt>
                <c:pt idx="4">
                  <c:v>2</c:v>
                </c:pt>
                <c:pt idx="5">
                  <c:v>9</c:v>
                </c:pt>
                <c:pt idx="6">
                  <c:v>11</c:v>
                </c:pt>
                <c:pt idx="7">
                  <c:v>15</c:v>
                </c:pt>
                <c:pt idx="8">
                  <c:v>3</c:v>
                </c:pt>
                <c:pt idx="9">
                  <c:v>5</c:v>
                </c:pt>
                <c:pt idx="10">
                  <c:v>4</c:v>
                </c:pt>
                <c:pt idx="11">
                  <c:v>17</c:v>
                </c:pt>
                <c:pt idx="12">
                  <c:v>0</c:v>
                </c:pt>
                <c:pt idx="13">
                  <c:v>6</c:v>
                </c:pt>
                <c:pt idx="14">
                  <c:v>0</c:v>
                </c:pt>
                <c:pt idx="15">
                  <c:v>7</c:v>
                </c:pt>
                <c:pt idx="16">
                  <c:v>1</c:v>
                </c:pt>
                <c:pt idx="17">
                  <c:v>11</c:v>
                </c:pt>
              </c:numCache>
            </c:numRef>
          </c:val>
          <c:extLst>
            <c:ext xmlns:c16="http://schemas.microsoft.com/office/drawing/2014/chart" uri="{C3380CC4-5D6E-409C-BE32-E72D297353CC}">
              <c16:uniqueId val="{00000000-E8F1-445D-B23B-2DB69F86F09F}"/>
            </c:ext>
          </c:extLst>
        </c:ser>
        <c:ser>
          <c:idx val="1"/>
          <c:order val="1"/>
          <c:tx>
            <c:strRef>
              <c:f>ChatGPT_Q1!$E$31</c:f>
              <c:strCache>
                <c:ptCount val="1"/>
                <c:pt idx="0">
                  <c:v>Medium Correct:</c:v>
                </c:pt>
              </c:strCache>
            </c:strRef>
          </c:tx>
          <c:spPr>
            <a:solidFill>
              <a:schemeClr val="accent6"/>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ChatGPT_Q1!$E$32:$E$49</c:f>
              <c:numCache>
                <c:formatCode>General</c:formatCode>
                <c:ptCount val="18"/>
                <c:pt idx="0">
                  <c:v>1</c:v>
                </c:pt>
                <c:pt idx="1">
                  <c:v>4</c:v>
                </c:pt>
                <c:pt idx="2">
                  <c:v>1</c:v>
                </c:pt>
                <c:pt idx="3">
                  <c:v>1</c:v>
                </c:pt>
                <c:pt idx="4">
                  <c:v>0</c:v>
                </c:pt>
                <c:pt idx="5">
                  <c:v>2</c:v>
                </c:pt>
                <c:pt idx="6">
                  <c:v>1</c:v>
                </c:pt>
                <c:pt idx="7">
                  <c:v>2</c:v>
                </c:pt>
                <c:pt idx="8">
                  <c:v>1</c:v>
                </c:pt>
                <c:pt idx="9">
                  <c:v>0</c:v>
                </c:pt>
                <c:pt idx="10">
                  <c:v>0</c:v>
                </c:pt>
                <c:pt idx="11">
                  <c:v>2</c:v>
                </c:pt>
                <c:pt idx="12">
                  <c:v>0</c:v>
                </c:pt>
                <c:pt idx="13">
                  <c:v>1</c:v>
                </c:pt>
                <c:pt idx="14">
                  <c:v>0</c:v>
                </c:pt>
                <c:pt idx="15">
                  <c:v>1</c:v>
                </c:pt>
                <c:pt idx="16">
                  <c:v>0</c:v>
                </c:pt>
                <c:pt idx="17">
                  <c:v>2</c:v>
                </c:pt>
              </c:numCache>
            </c:numRef>
          </c:val>
          <c:extLst>
            <c:ext xmlns:c16="http://schemas.microsoft.com/office/drawing/2014/chart" uri="{C3380CC4-5D6E-409C-BE32-E72D297353CC}">
              <c16:uniqueId val="{00000001-E8F1-445D-B23B-2DB69F86F09F}"/>
            </c:ext>
          </c:extLst>
        </c:ser>
        <c:ser>
          <c:idx val="2"/>
          <c:order val="2"/>
          <c:tx>
            <c:strRef>
              <c:f>ChatGPT_Q1!$F$31</c:f>
              <c:strCache>
                <c:ptCount val="1"/>
                <c:pt idx="0">
                  <c:v>Low Correct:</c:v>
                </c:pt>
              </c:strCache>
            </c:strRef>
          </c:tx>
          <c:spPr>
            <a:solidFill>
              <a:schemeClr val="accent6">
                <a:lumMod val="60000"/>
                <a:lumOff val="40000"/>
              </a:schemeClr>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ChatGPT_Q1!$F$32:$F$49</c:f>
              <c:numCache>
                <c:formatCode>General</c:formatCode>
                <c:ptCount val="18"/>
                <c:pt idx="0">
                  <c:v>0</c:v>
                </c:pt>
                <c:pt idx="1">
                  <c:v>1</c:v>
                </c:pt>
                <c:pt idx="2">
                  <c:v>0</c:v>
                </c:pt>
                <c:pt idx="3">
                  <c:v>0</c:v>
                </c:pt>
                <c:pt idx="4">
                  <c:v>0</c:v>
                </c:pt>
                <c:pt idx="5">
                  <c:v>0</c:v>
                </c:pt>
                <c:pt idx="6">
                  <c:v>0</c:v>
                </c:pt>
                <c:pt idx="7">
                  <c:v>0</c:v>
                </c:pt>
                <c:pt idx="8">
                  <c:v>0</c:v>
                </c:pt>
                <c:pt idx="9">
                  <c:v>1</c:v>
                </c:pt>
                <c:pt idx="10">
                  <c:v>0</c:v>
                </c:pt>
                <c:pt idx="11">
                  <c:v>1</c:v>
                </c:pt>
                <c:pt idx="12">
                  <c:v>0</c:v>
                </c:pt>
                <c:pt idx="13">
                  <c:v>1</c:v>
                </c:pt>
                <c:pt idx="14">
                  <c:v>1</c:v>
                </c:pt>
                <c:pt idx="15">
                  <c:v>0</c:v>
                </c:pt>
                <c:pt idx="16">
                  <c:v>0</c:v>
                </c:pt>
                <c:pt idx="17">
                  <c:v>3</c:v>
                </c:pt>
              </c:numCache>
            </c:numRef>
          </c:val>
          <c:extLst>
            <c:ext xmlns:c16="http://schemas.microsoft.com/office/drawing/2014/chart" uri="{C3380CC4-5D6E-409C-BE32-E72D297353CC}">
              <c16:uniqueId val="{00000002-E8F1-445D-B23B-2DB69F86F09F}"/>
            </c:ext>
          </c:extLst>
        </c:ser>
        <c:ser>
          <c:idx val="3"/>
          <c:order val="3"/>
          <c:tx>
            <c:strRef>
              <c:f>ChatGPT_Q1!$G$31</c:f>
              <c:strCache>
                <c:ptCount val="1"/>
                <c:pt idx="0">
                  <c:v>High Maybe:</c:v>
                </c:pt>
              </c:strCache>
            </c:strRef>
          </c:tx>
          <c:spPr>
            <a:solidFill>
              <a:schemeClr val="accent2">
                <a:lumMod val="75000"/>
              </a:schemeClr>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ChatGPT_Q1!$G$32:$G$49</c:f>
              <c:numCache>
                <c:formatCode>General</c:formatCode>
                <c:ptCount val="18"/>
                <c:pt idx="0">
                  <c:v>1</c:v>
                </c:pt>
                <c:pt idx="1">
                  <c:v>1</c:v>
                </c:pt>
                <c:pt idx="2">
                  <c:v>0</c:v>
                </c:pt>
                <c:pt idx="3">
                  <c:v>3</c:v>
                </c:pt>
                <c:pt idx="4">
                  <c:v>3</c:v>
                </c:pt>
                <c:pt idx="5">
                  <c:v>0</c:v>
                </c:pt>
                <c:pt idx="6">
                  <c:v>1</c:v>
                </c:pt>
                <c:pt idx="7">
                  <c:v>3</c:v>
                </c:pt>
                <c:pt idx="8">
                  <c:v>0</c:v>
                </c:pt>
                <c:pt idx="9">
                  <c:v>1</c:v>
                </c:pt>
                <c:pt idx="10">
                  <c:v>1</c:v>
                </c:pt>
                <c:pt idx="11">
                  <c:v>0</c:v>
                </c:pt>
                <c:pt idx="12">
                  <c:v>0</c:v>
                </c:pt>
                <c:pt idx="13">
                  <c:v>1</c:v>
                </c:pt>
                <c:pt idx="14">
                  <c:v>2</c:v>
                </c:pt>
                <c:pt idx="15">
                  <c:v>3</c:v>
                </c:pt>
                <c:pt idx="16">
                  <c:v>1</c:v>
                </c:pt>
                <c:pt idx="17">
                  <c:v>2</c:v>
                </c:pt>
              </c:numCache>
            </c:numRef>
          </c:val>
          <c:extLst>
            <c:ext xmlns:c16="http://schemas.microsoft.com/office/drawing/2014/chart" uri="{C3380CC4-5D6E-409C-BE32-E72D297353CC}">
              <c16:uniqueId val="{00000003-E8F1-445D-B23B-2DB69F86F09F}"/>
            </c:ext>
          </c:extLst>
        </c:ser>
        <c:ser>
          <c:idx val="4"/>
          <c:order val="4"/>
          <c:tx>
            <c:strRef>
              <c:f>ChatGPT_Q1!$H$31</c:f>
              <c:strCache>
                <c:ptCount val="1"/>
                <c:pt idx="0">
                  <c:v>Medium Maybe:</c:v>
                </c:pt>
              </c:strCache>
            </c:strRef>
          </c:tx>
          <c:spPr>
            <a:solidFill>
              <a:schemeClr val="accent2"/>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ChatGPT_Q1!$H$32:$H$49</c:f>
              <c:numCache>
                <c:formatCode>General</c:formatCode>
                <c:ptCount val="18"/>
                <c:pt idx="0">
                  <c:v>1</c:v>
                </c:pt>
                <c:pt idx="1">
                  <c:v>0</c:v>
                </c:pt>
                <c:pt idx="2">
                  <c:v>0</c:v>
                </c:pt>
                <c:pt idx="3">
                  <c:v>1</c:v>
                </c:pt>
                <c:pt idx="4">
                  <c:v>1</c:v>
                </c:pt>
                <c:pt idx="5">
                  <c:v>0</c:v>
                </c:pt>
                <c:pt idx="6">
                  <c:v>0</c:v>
                </c:pt>
                <c:pt idx="7">
                  <c:v>0</c:v>
                </c:pt>
                <c:pt idx="8">
                  <c:v>0</c:v>
                </c:pt>
                <c:pt idx="9">
                  <c:v>1</c:v>
                </c:pt>
                <c:pt idx="10">
                  <c:v>1</c:v>
                </c:pt>
                <c:pt idx="11">
                  <c:v>0</c:v>
                </c:pt>
                <c:pt idx="12">
                  <c:v>2</c:v>
                </c:pt>
                <c:pt idx="13">
                  <c:v>1</c:v>
                </c:pt>
                <c:pt idx="14">
                  <c:v>0</c:v>
                </c:pt>
                <c:pt idx="15">
                  <c:v>2</c:v>
                </c:pt>
                <c:pt idx="16">
                  <c:v>0</c:v>
                </c:pt>
                <c:pt idx="17">
                  <c:v>1</c:v>
                </c:pt>
              </c:numCache>
            </c:numRef>
          </c:val>
          <c:extLst>
            <c:ext xmlns:c16="http://schemas.microsoft.com/office/drawing/2014/chart" uri="{C3380CC4-5D6E-409C-BE32-E72D297353CC}">
              <c16:uniqueId val="{00000004-E8F1-445D-B23B-2DB69F86F09F}"/>
            </c:ext>
          </c:extLst>
        </c:ser>
        <c:ser>
          <c:idx val="5"/>
          <c:order val="5"/>
          <c:tx>
            <c:strRef>
              <c:f>ChatGPT_Q1!$I$31</c:f>
              <c:strCache>
                <c:ptCount val="1"/>
                <c:pt idx="0">
                  <c:v>Low Maybe:</c:v>
                </c:pt>
              </c:strCache>
            </c:strRef>
          </c:tx>
          <c:spPr>
            <a:solidFill>
              <a:schemeClr val="accent2">
                <a:lumMod val="60000"/>
                <a:lumOff val="40000"/>
              </a:schemeClr>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ChatGPT_Q1!$I$32:$I$49</c:f>
              <c:numCache>
                <c:formatCode>General</c:formatCode>
                <c:ptCount val="18"/>
                <c:pt idx="0">
                  <c:v>2</c:v>
                </c:pt>
                <c:pt idx="1">
                  <c:v>1</c:v>
                </c:pt>
                <c:pt idx="2">
                  <c:v>1</c:v>
                </c:pt>
                <c:pt idx="3">
                  <c:v>0</c:v>
                </c:pt>
                <c:pt idx="4">
                  <c:v>2</c:v>
                </c:pt>
                <c:pt idx="5">
                  <c:v>1</c:v>
                </c:pt>
                <c:pt idx="6">
                  <c:v>0</c:v>
                </c:pt>
                <c:pt idx="7">
                  <c:v>0</c:v>
                </c:pt>
                <c:pt idx="8">
                  <c:v>4</c:v>
                </c:pt>
                <c:pt idx="9">
                  <c:v>2</c:v>
                </c:pt>
                <c:pt idx="10">
                  <c:v>0</c:v>
                </c:pt>
                <c:pt idx="11">
                  <c:v>0</c:v>
                </c:pt>
                <c:pt idx="12">
                  <c:v>3</c:v>
                </c:pt>
                <c:pt idx="13">
                  <c:v>1</c:v>
                </c:pt>
                <c:pt idx="14">
                  <c:v>2</c:v>
                </c:pt>
                <c:pt idx="15">
                  <c:v>2</c:v>
                </c:pt>
                <c:pt idx="16">
                  <c:v>2</c:v>
                </c:pt>
                <c:pt idx="17">
                  <c:v>0</c:v>
                </c:pt>
              </c:numCache>
            </c:numRef>
          </c:val>
          <c:extLst>
            <c:ext xmlns:c16="http://schemas.microsoft.com/office/drawing/2014/chart" uri="{C3380CC4-5D6E-409C-BE32-E72D297353CC}">
              <c16:uniqueId val="{00000005-E8F1-445D-B23B-2DB69F86F09F}"/>
            </c:ext>
          </c:extLst>
        </c:ser>
        <c:ser>
          <c:idx val="6"/>
          <c:order val="6"/>
          <c:tx>
            <c:strRef>
              <c:f>ChatGPT_Q1!$J$31</c:f>
              <c:strCache>
                <c:ptCount val="1"/>
                <c:pt idx="0">
                  <c:v>Low Incorrect:</c:v>
                </c:pt>
              </c:strCache>
            </c:strRef>
          </c:tx>
          <c:spPr>
            <a:solidFill>
              <a:srgbClr val="F46868"/>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ChatGPT_Q1!$J$32:$J$49</c:f>
              <c:numCache>
                <c:formatCode>General</c:formatCode>
                <c:ptCount val="18"/>
                <c:pt idx="0">
                  <c:v>2</c:v>
                </c:pt>
                <c:pt idx="1">
                  <c:v>1</c:v>
                </c:pt>
                <c:pt idx="2">
                  <c:v>1</c:v>
                </c:pt>
                <c:pt idx="3">
                  <c:v>4</c:v>
                </c:pt>
                <c:pt idx="4">
                  <c:v>3</c:v>
                </c:pt>
                <c:pt idx="5">
                  <c:v>0</c:v>
                </c:pt>
                <c:pt idx="6">
                  <c:v>1</c:v>
                </c:pt>
                <c:pt idx="7">
                  <c:v>0</c:v>
                </c:pt>
                <c:pt idx="8">
                  <c:v>3</c:v>
                </c:pt>
                <c:pt idx="9">
                  <c:v>3</c:v>
                </c:pt>
                <c:pt idx="10">
                  <c:v>3</c:v>
                </c:pt>
                <c:pt idx="11">
                  <c:v>0</c:v>
                </c:pt>
                <c:pt idx="12">
                  <c:v>6</c:v>
                </c:pt>
                <c:pt idx="13">
                  <c:v>3</c:v>
                </c:pt>
                <c:pt idx="14">
                  <c:v>2</c:v>
                </c:pt>
                <c:pt idx="15">
                  <c:v>2</c:v>
                </c:pt>
                <c:pt idx="16">
                  <c:v>5</c:v>
                </c:pt>
                <c:pt idx="17">
                  <c:v>0</c:v>
                </c:pt>
              </c:numCache>
            </c:numRef>
          </c:val>
          <c:extLst>
            <c:ext xmlns:c16="http://schemas.microsoft.com/office/drawing/2014/chart" uri="{C3380CC4-5D6E-409C-BE32-E72D297353CC}">
              <c16:uniqueId val="{00000006-E8F1-445D-B23B-2DB69F86F09F}"/>
            </c:ext>
          </c:extLst>
        </c:ser>
        <c:ser>
          <c:idx val="7"/>
          <c:order val="7"/>
          <c:tx>
            <c:strRef>
              <c:f>ChatGPT_Q1!$K$31</c:f>
              <c:strCache>
                <c:ptCount val="1"/>
                <c:pt idx="0">
                  <c:v>Medium Incorrect:</c:v>
                </c:pt>
              </c:strCache>
            </c:strRef>
          </c:tx>
          <c:spPr>
            <a:solidFill>
              <a:srgbClr val="EC2828"/>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ChatGPT_Q1!$K$32:$K$49</c:f>
              <c:numCache>
                <c:formatCode>General</c:formatCode>
                <c:ptCount val="18"/>
                <c:pt idx="0">
                  <c:v>2</c:v>
                </c:pt>
                <c:pt idx="1">
                  <c:v>4</c:v>
                </c:pt>
                <c:pt idx="2">
                  <c:v>1</c:v>
                </c:pt>
                <c:pt idx="3">
                  <c:v>6</c:v>
                </c:pt>
                <c:pt idx="4">
                  <c:v>5</c:v>
                </c:pt>
                <c:pt idx="5">
                  <c:v>0</c:v>
                </c:pt>
                <c:pt idx="6">
                  <c:v>3</c:v>
                </c:pt>
                <c:pt idx="7">
                  <c:v>0</c:v>
                </c:pt>
                <c:pt idx="8">
                  <c:v>7</c:v>
                </c:pt>
                <c:pt idx="9">
                  <c:v>7</c:v>
                </c:pt>
                <c:pt idx="10">
                  <c:v>9</c:v>
                </c:pt>
                <c:pt idx="11">
                  <c:v>0</c:v>
                </c:pt>
                <c:pt idx="12">
                  <c:v>5</c:v>
                </c:pt>
                <c:pt idx="13">
                  <c:v>5</c:v>
                </c:pt>
                <c:pt idx="14">
                  <c:v>3</c:v>
                </c:pt>
                <c:pt idx="15">
                  <c:v>2</c:v>
                </c:pt>
                <c:pt idx="16">
                  <c:v>1</c:v>
                </c:pt>
                <c:pt idx="17">
                  <c:v>0</c:v>
                </c:pt>
              </c:numCache>
            </c:numRef>
          </c:val>
          <c:extLst>
            <c:ext xmlns:c16="http://schemas.microsoft.com/office/drawing/2014/chart" uri="{C3380CC4-5D6E-409C-BE32-E72D297353CC}">
              <c16:uniqueId val="{00000007-E8F1-445D-B23B-2DB69F86F09F}"/>
            </c:ext>
          </c:extLst>
        </c:ser>
        <c:ser>
          <c:idx val="8"/>
          <c:order val="8"/>
          <c:tx>
            <c:strRef>
              <c:f>ChatGPT_Q1!$L$31</c:f>
              <c:strCache>
                <c:ptCount val="1"/>
                <c:pt idx="0">
                  <c:v>High Incorrect:</c:v>
                </c:pt>
              </c:strCache>
            </c:strRef>
          </c:tx>
          <c:spPr>
            <a:solidFill>
              <a:srgbClr val="C00000"/>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ChatGPT_Q1!$L$32:$L$49</c:f>
              <c:numCache>
                <c:formatCode>General</c:formatCode>
                <c:ptCount val="18"/>
                <c:pt idx="0">
                  <c:v>0</c:v>
                </c:pt>
                <c:pt idx="1">
                  <c:v>0</c:v>
                </c:pt>
                <c:pt idx="2">
                  <c:v>1</c:v>
                </c:pt>
                <c:pt idx="3">
                  <c:v>0</c:v>
                </c:pt>
                <c:pt idx="4">
                  <c:v>4</c:v>
                </c:pt>
                <c:pt idx="5">
                  <c:v>0</c:v>
                </c:pt>
                <c:pt idx="6">
                  <c:v>2</c:v>
                </c:pt>
                <c:pt idx="7">
                  <c:v>0</c:v>
                </c:pt>
                <c:pt idx="8">
                  <c:v>1</c:v>
                </c:pt>
                <c:pt idx="9">
                  <c:v>1</c:v>
                </c:pt>
                <c:pt idx="10">
                  <c:v>3</c:v>
                </c:pt>
                <c:pt idx="11">
                  <c:v>1</c:v>
                </c:pt>
                <c:pt idx="12">
                  <c:v>3</c:v>
                </c:pt>
                <c:pt idx="13">
                  <c:v>2</c:v>
                </c:pt>
                <c:pt idx="14">
                  <c:v>11</c:v>
                </c:pt>
                <c:pt idx="15">
                  <c:v>2</c:v>
                </c:pt>
                <c:pt idx="16">
                  <c:v>9</c:v>
                </c:pt>
                <c:pt idx="17">
                  <c:v>2</c:v>
                </c:pt>
              </c:numCache>
            </c:numRef>
          </c:val>
          <c:extLst>
            <c:ext xmlns:c16="http://schemas.microsoft.com/office/drawing/2014/chart" uri="{C3380CC4-5D6E-409C-BE32-E72D297353CC}">
              <c16:uniqueId val="{00000008-E8F1-445D-B23B-2DB69F86F09F}"/>
            </c:ext>
          </c:extLst>
        </c:ser>
        <c:ser>
          <c:idx val="9"/>
          <c:order val="9"/>
          <c:tx>
            <c:strRef>
              <c:f>ChatGPT_Q1!$M$31</c:f>
              <c:strCache>
                <c:ptCount val="1"/>
                <c:pt idx="0">
                  <c:v>N/A:</c:v>
                </c:pt>
              </c:strCache>
            </c:strRef>
          </c:tx>
          <c:spPr>
            <a:solidFill>
              <a:schemeClr val="bg2">
                <a:lumMod val="75000"/>
              </a:schemeClr>
            </a:solidFill>
            <a:ln>
              <a:noFill/>
            </a:ln>
            <a:effectLst/>
          </c:spPr>
          <c:invertIfNegative val="0"/>
          <c:cat>
            <c:strRef>
              <c:f>ChatGPT_Q1!$C$32:$C$49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ChatGPT_Q1!$M$32:$M$49</c:f>
              <c:numCache>
                <c:formatCode>General</c:formatCode>
                <c:ptCount val="18"/>
                <c:pt idx="0">
                  <c:v>3</c:v>
                </c:pt>
                <c:pt idx="1">
                  <c:v>0</c:v>
                </c:pt>
                <c:pt idx="2">
                  <c:v>2</c:v>
                </c:pt>
                <c:pt idx="3">
                  <c:v>0</c:v>
                </c:pt>
                <c:pt idx="4">
                  <c:v>1</c:v>
                </c:pt>
                <c:pt idx="5">
                  <c:v>9</c:v>
                </c:pt>
                <c:pt idx="6">
                  <c:v>2</c:v>
                </c:pt>
                <c:pt idx="7">
                  <c:v>1</c:v>
                </c:pt>
                <c:pt idx="8">
                  <c:v>2</c:v>
                </c:pt>
                <c:pt idx="9">
                  <c:v>0</c:v>
                </c:pt>
                <c:pt idx="10">
                  <c:v>0</c:v>
                </c:pt>
                <c:pt idx="11">
                  <c:v>0</c:v>
                </c:pt>
                <c:pt idx="12">
                  <c:v>2</c:v>
                </c:pt>
                <c:pt idx="13">
                  <c:v>0</c:v>
                </c:pt>
                <c:pt idx="14">
                  <c:v>0</c:v>
                </c:pt>
                <c:pt idx="15">
                  <c:v>0</c:v>
                </c:pt>
                <c:pt idx="16">
                  <c:v>2</c:v>
                </c:pt>
                <c:pt idx="17">
                  <c:v>0</c:v>
                </c:pt>
              </c:numCache>
            </c:numRef>
          </c:val>
          <c:extLst>
            <c:ext xmlns:c16="http://schemas.microsoft.com/office/drawing/2014/chart" uri="{C3380CC4-5D6E-409C-BE32-E72D297353CC}">
              <c16:uniqueId val="{00000009-E8F1-445D-B23B-2DB69F86F09F}"/>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ChatGPT_Q2!$D$6</c:f>
              <c:strCache>
                <c:ptCount val="1"/>
                <c:pt idx="0">
                  <c:v>High Correct:</c:v>
                </c:pt>
              </c:strCache>
            </c:strRef>
          </c:tx>
          <c:spPr>
            <a:solidFill>
              <a:schemeClr val="accent6">
                <a:lumMod val="75000"/>
              </a:schemeClr>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ChatGPT_Q2!$D$7:$D$27</c:f>
              <c:numCache>
                <c:formatCode>General</c:formatCode>
                <c:ptCount val="21"/>
                <c:pt idx="0">
                  <c:v>4</c:v>
                </c:pt>
                <c:pt idx="1">
                  <c:v>6</c:v>
                </c:pt>
                <c:pt idx="2">
                  <c:v>7</c:v>
                </c:pt>
                <c:pt idx="3">
                  <c:v>7</c:v>
                </c:pt>
                <c:pt idx="4">
                  <c:v>5</c:v>
                </c:pt>
                <c:pt idx="5">
                  <c:v>8</c:v>
                </c:pt>
                <c:pt idx="6">
                  <c:v>8</c:v>
                </c:pt>
                <c:pt idx="7">
                  <c:v>6</c:v>
                </c:pt>
                <c:pt idx="8">
                  <c:v>5</c:v>
                </c:pt>
                <c:pt idx="9">
                  <c:v>4</c:v>
                </c:pt>
                <c:pt idx="10">
                  <c:v>6</c:v>
                </c:pt>
                <c:pt idx="11">
                  <c:v>7</c:v>
                </c:pt>
                <c:pt idx="12">
                  <c:v>5</c:v>
                </c:pt>
                <c:pt idx="13">
                  <c:v>5</c:v>
                </c:pt>
                <c:pt idx="14">
                  <c:v>6</c:v>
                </c:pt>
                <c:pt idx="15">
                  <c:v>8</c:v>
                </c:pt>
                <c:pt idx="16">
                  <c:v>4</c:v>
                </c:pt>
                <c:pt idx="17">
                  <c:v>8</c:v>
                </c:pt>
                <c:pt idx="18">
                  <c:v>6</c:v>
                </c:pt>
                <c:pt idx="19">
                  <c:v>1</c:v>
                </c:pt>
                <c:pt idx="20">
                  <c:v>4</c:v>
                </c:pt>
              </c:numCache>
            </c:numRef>
          </c:val>
          <c:extLst>
            <c:ext xmlns:c16="http://schemas.microsoft.com/office/drawing/2014/chart" uri="{C3380CC4-5D6E-409C-BE32-E72D297353CC}">
              <c16:uniqueId val="{00000000-1406-4AD1-BEE2-582F5B925E20}"/>
            </c:ext>
          </c:extLst>
        </c:ser>
        <c:ser>
          <c:idx val="1"/>
          <c:order val="1"/>
          <c:tx>
            <c:strRef>
              <c:f>ChatGPT_Q2!$E$6</c:f>
              <c:strCache>
                <c:ptCount val="1"/>
                <c:pt idx="0">
                  <c:v>Medium Correct:</c:v>
                </c:pt>
              </c:strCache>
            </c:strRef>
          </c:tx>
          <c:spPr>
            <a:solidFill>
              <a:schemeClr val="accent6"/>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ChatGPT_Q2!$E$7:$E$27</c:f>
              <c:numCache>
                <c:formatCode>General</c:formatCode>
                <c:ptCount val="21"/>
                <c:pt idx="0">
                  <c:v>1</c:v>
                </c:pt>
                <c:pt idx="1">
                  <c:v>2</c:v>
                </c:pt>
                <c:pt idx="2">
                  <c:v>0</c:v>
                </c:pt>
                <c:pt idx="3">
                  <c:v>1</c:v>
                </c:pt>
                <c:pt idx="4">
                  <c:v>0</c:v>
                </c:pt>
                <c:pt idx="5">
                  <c:v>1</c:v>
                </c:pt>
                <c:pt idx="6">
                  <c:v>1</c:v>
                </c:pt>
                <c:pt idx="7">
                  <c:v>1</c:v>
                </c:pt>
                <c:pt idx="8">
                  <c:v>3</c:v>
                </c:pt>
                <c:pt idx="9">
                  <c:v>3</c:v>
                </c:pt>
                <c:pt idx="10">
                  <c:v>0</c:v>
                </c:pt>
                <c:pt idx="11">
                  <c:v>0</c:v>
                </c:pt>
                <c:pt idx="12">
                  <c:v>0</c:v>
                </c:pt>
                <c:pt idx="13">
                  <c:v>1</c:v>
                </c:pt>
                <c:pt idx="14">
                  <c:v>0</c:v>
                </c:pt>
                <c:pt idx="15">
                  <c:v>1</c:v>
                </c:pt>
                <c:pt idx="16">
                  <c:v>1</c:v>
                </c:pt>
                <c:pt idx="17">
                  <c:v>1</c:v>
                </c:pt>
                <c:pt idx="18">
                  <c:v>0</c:v>
                </c:pt>
                <c:pt idx="19">
                  <c:v>0</c:v>
                </c:pt>
                <c:pt idx="20">
                  <c:v>1</c:v>
                </c:pt>
              </c:numCache>
            </c:numRef>
          </c:val>
          <c:extLst>
            <c:ext xmlns:c16="http://schemas.microsoft.com/office/drawing/2014/chart" uri="{C3380CC4-5D6E-409C-BE32-E72D297353CC}">
              <c16:uniqueId val="{00000001-1406-4AD1-BEE2-582F5B925E20}"/>
            </c:ext>
          </c:extLst>
        </c:ser>
        <c:ser>
          <c:idx val="2"/>
          <c:order val="2"/>
          <c:tx>
            <c:strRef>
              <c:f>ChatGPT_Q2!$F$6</c:f>
              <c:strCache>
                <c:ptCount val="1"/>
                <c:pt idx="0">
                  <c:v>Low Correct:</c:v>
                </c:pt>
              </c:strCache>
            </c:strRef>
          </c:tx>
          <c:spPr>
            <a:solidFill>
              <a:schemeClr val="accent6">
                <a:lumMod val="40000"/>
                <a:lumOff val="60000"/>
              </a:schemeClr>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ChatGPT_Q2!$F$7:$F$27</c:f>
              <c:numCache>
                <c:formatCode>General</c:formatCode>
                <c:ptCount val="21"/>
                <c:pt idx="0">
                  <c:v>0</c:v>
                </c:pt>
                <c:pt idx="1">
                  <c:v>0</c:v>
                </c:pt>
                <c:pt idx="2">
                  <c:v>0</c:v>
                </c:pt>
                <c:pt idx="3">
                  <c:v>0</c:v>
                </c:pt>
                <c:pt idx="4">
                  <c:v>0</c:v>
                </c:pt>
                <c:pt idx="5">
                  <c:v>1</c:v>
                </c:pt>
                <c:pt idx="6">
                  <c:v>0</c:v>
                </c:pt>
                <c:pt idx="7">
                  <c:v>1</c:v>
                </c:pt>
                <c:pt idx="8">
                  <c:v>0</c:v>
                </c:pt>
                <c:pt idx="9">
                  <c:v>1</c:v>
                </c:pt>
                <c:pt idx="10">
                  <c:v>1</c:v>
                </c:pt>
                <c:pt idx="11">
                  <c:v>0</c:v>
                </c:pt>
                <c:pt idx="12">
                  <c:v>0</c:v>
                </c:pt>
                <c:pt idx="13">
                  <c:v>0</c:v>
                </c:pt>
                <c:pt idx="14">
                  <c:v>0</c:v>
                </c:pt>
                <c:pt idx="15">
                  <c:v>0</c:v>
                </c:pt>
                <c:pt idx="16">
                  <c:v>0</c:v>
                </c:pt>
                <c:pt idx="17">
                  <c:v>1</c:v>
                </c:pt>
                <c:pt idx="18">
                  <c:v>0</c:v>
                </c:pt>
                <c:pt idx="19">
                  <c:v>0</c:v>
                </c:pt>
                <c:pt idx="20">
                  <c:v>0</c:v>
                </c:pt>
              </c:numCache>
            </c:numRef>
          </c:val>
          <c:extLst>
            <c:ext xmlns:c16="http://schemas.microsoft.com/office/drawing/2014/chart" uri="{C3380CC4-5D6E-409C-BE32-E72D297353CC}">
              <c16:uniqueId val="{00000002-1406-4AD1-BEE2-582F5B925E20}"/>
            </c:ext>
          </c:extLst>
        </c:ser>
        <c:ser>
          <c:idx val="3"/>
          <c:order val="3"/>
          <c:tx>
            <c:strRef>
              <c:f>ChatGPT_Q2!$G$6</c:f>
              <c:strCache>
                <c:ptCount val="1"/>
                <c:pt idx="0">
                  <c:v>High Maybe:</c:v>
                </c:pt>
              </c:strCache>
            </c:strRef>
          </c:tx>
          <c:spPr>
            <a:solidFill>
              <a:schemeClr val="accent2">
                <a:lumMod val="75000"/>
              </a:schemeClr>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ChatGPT_Q2!$G$7:$G$27</c:f>
              <c:numCache>
                <c:formatCode>General</c:formatCode>
                <c:ptCount val="21"/>
                <c:pt idx="0">
                  <c:v>0</c:v>
                </c:pt>
                <c:pt idx="1">
                  <c:v>0</c:v>
                </c:pt>
                <c:pt idx="2">
                  <c:v>0</c:v>
                </c:pt>
                <c:pt idx="3">
                  <c:v>1</c:v>
                </c:pt>
                <c:pt idx="4">
                  <c:v>0</c:v>
                </c:pt>
                <c:pt idx="5">
                  <c:v>0</c:v>
                </c:pt>
                <c:pt idx="6">
                  <c:v>1</c:v>
                </c:pt>
                <c:pt idx="7">
                  <c:v>0</c:v>
                </c:pt>
                <c:pt idx="8">
                  <c:v>0</c:v>
                </c:pt>
                <c:pt idx="9">
                  <c:v>1</c:v>
                </c:pt>
                <c:pt idx="10">
                  <c:v>1</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3-1406-4AD1-BEE2-582F5B925E20}"/>
            </c:ext>
          </c:extLst>
        </c:ser>
        <c:ser>
          <c:idx val="4"/>
          <c:order val="4"/>
          <c:tx>
            <c:strRef>
              <c:f>ChatGPT_Q2!$H$6</c:f>
              <c:strCache>
                <c:ptCount val="1"/>
                <c:pt idx="0">
                  <c:v>Medium Maybe:</c:v>
                </c:pt>
              </c:strCache>
            </c:strRef>
          </c:tx>
          <c:spPr>
            <a:solidFill>
              <a:schemeClr val="accent2"/>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ChatGPT_Q2!$H$7:$H$27</c:f>
              <c:numCache>
                <c:formatCode>General</c:formatCode>
                <c:ptCount val="21"/>
                <c:pt idx="0">
                  <c:v>0</c:v>
                </c:pt>
                <c:pt idx="1">
                  <c:v>0</c:v>
                </c:pt>
                <c:pt idx="2">
                  <c:v>0</c:v>
                </c:pt>
                <c:pt idx="3">
                  <c:v>0</c:v>
                </c:pt>
                <c:pt idx="4">
                  <c:v>0</c:v>
                </c:pt>
                <c:pt idx="5">
                  <c:v>1</c:v>
                </c:pt>
                <c:pt idx="6">
                  <c:v>1</c:v>
                </c:pt>
                <c:pt idx="7">
                  <c:v>0</c:v>
                </c:pt>
                <c:pt idx="8">
                  <c:v>0</c:v>
                </c:pt>
                <c:pt idx="9">
                  <c:v>0</c:v>
                </c:pt>
                <c:pt idx="10">
                  <c:v>0</c:v>
                </c:pt>
                <c:pt idx="11">
                  <c:v>0</c:v>
                </c:pt>
                <c:pt idx="12">
                  <c:v>0</c:v>
                </c:pt>
                <c:pt idx="13">
                  <c:v>0</c:v>
                </c:pt>
                <c:pt idx="14">
                  <c:v>0</c:v>
                </c:pt>
                <c:pt idx="15">
                  <c:v>0</c:v>
                </c:pt>
                <c:pt idx="16">
                  <c:v>1</c:v>
                </c:pt>
                <c:pt idx="17">
                  <c:v>0</c:v>
                </c:pt>
                <c:pt idx="18">
                  <c:v>1</c:v>
                </c:pt>
                <c:pt idx="19">
                  <c:v>0</c:v>
                </c:pt>
                <c:pt idx="20">
                  <c:v>0</c:v>
                </c:pt>
              </c:numCache>
            </c:numRef>
          </c:val>
          <c:extLst>
            <c:ext xmlns:c16="http://schemas.microsoft.com/office/drawing/2014/chart" uri="{C3380CC4-5D6E-409C-BE32-E72D297353CC}">
              <c16:uniqueId val="{00000004-1406-4AD1-BEE2-582F5B925E20}"/>
            </c:ext>
          </c:extLst>
        </c:ser>
        <c:ser>
          <c:idx val="5"/>
          <c:order val="5"/>
          <c:tx>
            <c:strRef>
              <c:f>ChatGPT_Q2!$I$6</c:f>
              <c:strCache>
                <c:ptCount val="1"/>
                <c:pt idx="0">
                  <c:v>Low Maybe:</c:v>
                </c:pt>
              </c:strCache>
            </c:strRef>
          </c:tx>
          <c:spPr>
            <a:solidFill>
              <a:schemeClr val="accent2">
                <a:lumMod val="60000"/>
                <a:lumOff val="40000"/>
              </a:schemeClr>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ChatGPT_Q2!$I$7:$I$27</c:f>
              <c:numCache>
                <c:formatCode>General</c:formatCode>
                <c:ptCount val="21"/>
                <c:pt idx="0">
                  <c:v>2</c:v>
                </c:pt>
                <c:pt idx="1">
                  <c:v>2</c:v>
                </c:pt>
                <c:pt idx="2">
                  <c:v>1</c:v>
                </c:pt>
                <c:pt idx="3">
                  <c:v>0</c:v>
                </c:pt>
                <c:pt idx="4">
                  <c:v>2</c:v>
                </c:pt>
                <c:pt idx="5">
                  <c:v>1</c:v>
                </c:pt>
                <c:pt idx="6">
                  <c:v>1</c:v>
                </c:pt>
                <c:pt idx="7">
                  <c:v>0</c:v>
                </c:pt>
                <c:pt idx="8">
                  <c:v>0</c:v>
                </c:pt>
                <c:pt idx="9">
                  <c:v>0</c:v>
                </c:pt>
                <c:pt idx="10">
                  <c:v>0</c:v>
                </c:pt>
                <c:pt idx="11">
                  <c:v>0</c:v>
                </c:pt>
                <c:pt idx="12">
                  <c:v>1</c:v>
                </c:pt>
                <c:pt idx="13">
                  <c:v>1</c:v>
                </c:pt>
                <c:pt idx="14">
                  <c:v>2</c:v>
                </c:pt>
                <c:pt idx="15">
                  <c:v>0</c:v>
                </c:pt>
                <c:pt idx="16">
                  <c:v>1</c:v>
                </c:pt>
                <c:pt idx="17">
                  <c:v>1</c:v>
                </c:pt>
                <c:pt idx="18">
                  <c:v>2</c:v>
                </c:pt>
                <c:pt idx="19">
                  <c:v>3</c:v>
                </c:pt>
                <c:pt idx="20">
                  <c:v>0</c:v>
                </c:pt>
              </c:numCache>
            </c:numRef>
          </c:val>
          <c:extLst>
            <c:ext xmlns:c16="http://schemas.microsoft.com/office/drawing/2014/chart" uri="{C3380CC4-5D6E-409C-BE32-E72D297353CC}">
              <c16:uniqueId val="{00000005-1406-4AD1-BEE2-582F5B925E20}"/>
            </c:ext>
          </c:extLst>
        </c:ser>
        <c:ser>
          <c:idx val="6"/>
          <c:order val="6"/>
          <c:tx>
            <c:strRef>
              <c:f>ChatGPT_Q2!$J$6</c:f>
              <c:strCache>
                <c:ptCount val="1"/>
                <c:pt idx="0">
                  <c:v>Low Incorrect:</c:v>
                </c:pt>
              </c:strCache>
            </c:strRef>
          </c:tx>
          <c:spPr>
            <a:solidFill>
              <a:srgbClr val="F46868"/>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ChatGPT_Q2!$J$7:$J$27</c:f>
              <c:numCache>
                <c:formatCode>General</c:formatCode>
                <c:ptCount val="21"/>
                <c:pt idx="0">
                  <c:v>3</c:v>
                </c:pt>
                <c:pt idx="1">
                  <c:v>5</c:v>
                </c:pt>
                <c:pt idx="2">
                  <c:v>7</c:v>
                </c:pt>
                <c:pt idx="3">
                  <c:v>3</c:v>
                </c:pt>
                <c:pt idx="4">
                  <c:v>5</c:v>
                </c:pt>
                <c:pt idx="5">
                  <c:v>4</c:v>
                </c:pt>
                <c:pt idx="6">
                  <c:v>2</c:v>
                </c:pt>
                <c:pt idx="7">
                  <c:v>3</c:v>
                </c:pt>
                <c:pt idx="8">
                  <c:v>2</c:v>
                </c:pt>
                <c:pt idx="9">
                  <c:v>3</c:v>
                </c:pt>
                <c:pt idx="10">
                  <c:v>2</c:v>
                </c:pt>
                <c:pt idx="11">
                  <c:v>4</c:v>
                </c:pt>
                <c:pt idx="12">
                  <c:v>6</c:v>
                </c:pt>
                <c:pt idx="13">
                  <c:v>6</c:v>
                </c:pt>
                <c:pt idx="14">
                  <c:v>5</c:v>
                </c:pt>
                <c:pt idx="15">
                  <c:v>6</c:v>
                </c:pt>
                <c:pt idx="16">
                  <c:v>3</c:v>
                </c:pt>
                <c:pt idx="17">
                  <c:v>5</c:v>
                </c:pt>
                <c:pt idx="18">
                  <c:v>7</c:v>
                </c:pt>
                <c:pt idx="19">
                  <c:v>8</c:v>
                </c:pt>
                <c:pt idx="20">
                  <c:v>3</c:v>
                </c:pt>
              </c:numCache>
            </c:numRef>
          </c:val>
          <c:extLst>
            <c:ext xmlns:c16="http://schemas.microsoft.com/office/drawing/2014/chart" uri="{C3380CC4-5D6E-409C-BE32-E72D297353CC}">
              <c16:uniqueId val="{00000006-1406-4AD1-BEE2-582F5B925E20}"/>
            </c:ext>
          </c:extLst>
        </c:ser>
        <c:ser>
          <c:idx val="7"/>
          <c:order val="7"/>
          <c:tx>
            <c:strRef>
              <c:f>ChatGPT_Q2!$K$6</c:f>
              <c:strCache>
                <c:ptCount val="1"/>
                <c:pt idx="0">
                  <c:v>Medium Incorrect:</c:v>
                </c:pt>
              </c:strCache>
            </c:strRef>
          </c:tx>
          <c:spPr>
            <a:solidFill>
              <a:srgbClr val="EC2828"/>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ChatGPT_Q2!$K$7:$K$27</c:f>
              <c:numCache>
                <c:formatCode>General</c:formatCode>
                <c:ptCount val="21"/>
                <c:pt idx="0">
                  <c:v>6</c:v>
                </c:pt>
                <c:pt idx="1">
                  <c:v>3</c:v>
                </c:pt>
                <c:pt idx="2">
                  <c:v>1</c:v>
                </c:pt>
                <c:pt idx="3">
                  <c:v>4</c:v>
                </c:pt>
                <c:pt idx="4">
                  <c:v>1</c:v>
                </c:pt>
                <c:pt idx="5">
                  <c:v>1</c:v>
                </c:pt>
                <c:pt idx="6">
                  <c:v>1</c:v>
                </c:pt>
                <c:pt idx="7">
                  <c:v>5</c:v>
                </c:pt>
                <c:pt idx="8">
                  <c:v>5</c:v>
                </c:pt>
                <c:pt idx="9">
                  <c:v>5</c:v>
                </c:pt>
                <c:pt idx="10">
                  <c:v>6</c:v>
                </c:pt>
                <c:pt idx="11">
                  <c:v>4</c:v>
                </c:pt>
                <c:pt idx="12">
                  <c:v>2</c:v>
                </c:pt>
                <c:pt idx="13">
                  <c:v>2</c:v>
                </c:pt>
                <c:pt idx="14">
                  <c:v>1</c:v>
                </c:pt>
                <c:pt idx="15">
                  <c:v>0</c:v>
                </c:pt>
                <c:pt idx="16">
                  <c:v>1</c:v>
                </c:pt>
                <c:pt idx="17">
                  <c:v>1</c:v>
                </c:pt>
                <c:pt idx="18">
                  <c:v>2</c:v>
                </c:pt>
                <c:pt idx="19">
                  <c:v>2</c:v>
                </c:pt>
                <c:pt idx="20">
                  <c:v>1</c:v>
                </c:pt>
              </c:numCache>
            </c:numRef>
          </c:val>
          <c:extLst>
            <c:ext xmlns:c16="http://schemas.microsoft.com/office/drawing/2014/chart" uri="{C3380CC4-5D6E-409C-BE32-E72D297353CC}">
              <c16:uniqueId val="{00000007-1406-4AD1-BEE2-582F5B925E20}"/>
            </c:ext>
          </c:extLst>
        </c:ser>
        <c:ser>
          <c:idx val="8"/>
          <c:order val="8"/>
          <c:tx>
            <c:strRef>
              <c:f>ChatGPT_Q2!$L$6</c:f>
              <c:strCache>
                <c:ptCount val="1"/>
                <c:pt idx="0">
                  <c:v>High Incorrect:</c:v>
                </c:pt>
              </c:strCache>
            </c:strRef>
          </c:tx>
          <c:spPr>
            <a:solidFill>
              <a:srgbClr val="C00000"/>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ChatGPT_Q2!$L$7:$L$27</c:f>
              <c:numCache>
                <c:formatCode>General</c:formatCode>
                <c:ptCount val="21"/>
                <c:pt idx="0">
                  <c:v>1</c:v>
                </c:pt>
                <c:pt idx="1">
                  <c:v>0</c:v>
                </c:pt>
                <c:pt idx="2">
                  <c:v>2</c:v>
                </c:pt>
                <c:pt idx="3">
                  <c:v>2</c:v>
                </c:pt>
                <c:pt idx="4">
                  <c:v>5</c:v>
                </c:pt>
                <c:pt idx="5">
                  <c:v>1</c:v>
                </c:pt>
                <c:pt idx="6">
                  <c:v>3</c:v>
                </c:pt>
                <c:pt idx="7">
                  <c:v>1</c:v>
                </c:pt>
                <c:pt idx="8">
                  <c:v>2</c:v>
                </c:pt>
                <c:pt idx="9">
                  <c:v>1</c:v>
                </c:pt>
                <c:pt idx="10">
                  <c:v>1</c:v>
                </c:pt>
                <c:pt idx="11">
                  <c:v>1</c:v>
                </c:pt>
                <c:pt idx="12">
                  <c:v>3</c:v>
                </c:pt>
                <c:pt idx="13">
                  <c:v>2</c:v>
                </c:pt>
                <c:pt idx="14">
                  <c:v>3</c:v>
                </c:pt>
                <c:pt idx="15">
                  <c:v>2</c:v>
                </c:pt>
                <c:pt idx="16">
                  <c:v>1</c:v>
                </c:pt>
                <c:pt idx="17">
                  <c:v>1</c:v>
                </c:pt>
                <c:pt idx="18">
                  <c:v>0</c:v>
                </c:pt>
                <c:pt idx="19">
                  <c:v>3</c:v>
                </c:pt>
                <c:pt idx="20">
                  <c:v>0</c:v>
                </c:pt>
              </c:numCache>
            </c:numRef>
          </c:val>
          <c:extLst>
            <c:ext xmlns:c16="http://schemas.microsoft.com/office/drawing/2014/chart" uri="{C3380CC4-5D6E-409C-BE32-E72D297353CC}">
              <c16:uniqueId val="{00000008-1406-4AD1-BEE2-582F5B925E20}"/>
            </c:ext>
          </c:extLst>
        </c:ser>
        <c:ser>
          <c:idx val="9"/>
          <c:order val="9"/>
          <c:tx>
            <c:strRef>
              <c:f>ChatGPT_Q2!$M$6</c:f>
              <c:strCache>
                <c:ptCount val="1"/>
                <c:pt idx="0">
                  <c:v>N/A:</c:v>
                </c:pt>
              </c:strCache>
            </c:strRef>
          </c:tx>
          <c:spPr>
            <a:solidFill>
              <a:schemeClr val="bg2">
                <a:lumMod val="75000"/>
              </a:schemeClr>
            </a:solidFill>
            <a:ln>
              <a:noFill/>
            </a:ln>
            <a:effectLst/>
          </c:spPr>
          <c:invertIfNegative val="0"/>
          <c:cat>
            <c:strRef>
              <c:f>ChatGPT_Q2!$C$7:$C$27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ChatGPT_Q2!$M$7:$M$27</c:f>
              <c:numCache>
                <c:formatCode>General</c:formatCode>
                <c:ptCount val="21"/>
                <c:pt idx="0">
                  <c:v>1</c:v>
                </c:pt>
                <c:pt idx="1">
                  <c:v>0</c:v>
                </c:pt>
                <c:pt idx="2">
                  <c:v>0</c:v>
                </c:pt>
                <c:pt idx="3">
                  <c:v>0</c:v>
                </c:pt>
                <c:pt idx="4">
                  <c:v>0</c:v>
                </c:pt>
                <c:pt idx="5">
                  <c:v>0</c:v>
                </c:pt>
                <c:pt idx="6">
                  <c:v>0</c:v>
                </c:pt>
                <c:pt idx="7">
                  <c:v>1</c:v>
                </c:pt>
                <c:pt idx="8">
                  <c:v>1</c:v>
                </c:pt>
                <c:pt idx="9">
                  <c:v>0</c:v>
                </c:pt>
                <c:pt idx="10">
                  <c:v>1</c:v>
                </c:pt>
                <c:pt idx="11">
                  <c:v>2</c:v>
                </c:pt>
                <c:pt idx="12">
                  <c:v>1</c:v>
                </c:pt>
                <c:pt idx="13">
                  <c:v>1</c:v>
                </c:pt>
                <c:pt idx="14">
                  <c:v>1</c:v>
                </c:pt>
                <c:pt idx="15">
                  <c:v>1</c:v>
                </c:pt>
                <c:pt idx="16">
                  <c:v>6</c:v>
                </c:pt>
                <c:pt idx="17">
                  <c:v>0</c:v>
                </c:pt>
                <c:pt idx="18">
                  <c:v>0</c:v>
                </c:pt>
                <c:pt idx="19">
                  <c:v>1</c:v>
                </c:pt>
                <c:pt idx="20">
                  <c:v>9</c:v>
                </c:pt>
              </c:numCache>
            </c:numRef>
          </c:val>
          <c:extLst>
            <c:ext xmlns:c16="http://schemas.microsoft.com/office/drawing/2014/chart" uri="{C3380CC4-5D6E-409C-BE32-E72D297353CC}">
              <c16:uniqueId val="{00000009-1406-4AD1-BEE2-582F5B925E20}"/>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dLbls>
          <c:showLegendKey val="0"/>
          <c:showVal val="0"/>
          <c:showCatName val="0"/>
          <c:showSerName val="0"/>
          <c:showPercent val="0"/>
          <c:showBubbleSize val="0"/>
        </c:dLbls>
        <c:gapWidth val="150"/>
        <c:overlap val="100"/>
        <c:axId val="1483674479"/>
        <c:axId val="1483673999"/>
      </c:barChart>
      <c:catAx>
        <c:axId val="1483674479"/>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673999"/>
        <c:crosses val="autoZero"/>
        <c:auto val="1"/>
        <c:lblAlgn val="ctr"/>
        <c:lblOffset val="100"/>
        <c:noMultiLvlLbl val="0"/>
      </c:catAx>
      <c:valAx>
        <c:axId val="148367399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67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ChatGPT_Q3!$D$6</c:f>
              <c:strCache>
                <c:ptCount val="1"/>
                <c:pt idx="0">
                  <c:v>High Correct:</c:v>
                </c:pt>
              </c:strCache>
            </c:strRef>
          </c:tx>
          <c:spPr>
            <a:solidFill>
              <a:schemeClr val="accent6">
                <a:lumMod val="75000"/>
              </a:schemeClr>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ChatGPT_Q3!$D$7:$D$27</c:f>
              <c:numCache>
                <c:formatCode>General</c:formatCode>
                <c:ptCount val="21"/>
                <c:pt idx="0">
                  <c:v>7</c:v>
                </c:pt>
                <c:pt idx="1">
                  <c:v>4</c:v>
                </c:pt>
                <c:pt idx="2">
                  <c:v>12</c:v>
                </c:pt>
                <c:pt idx="3">
                  <c:v>8</c:v>
                </c:pt>
                <c:pt idx="4">
                  <c:v>3</c:v>
                </c:pt>
                <c:pt idx="5">
                  <c:v>6</c:v>
                </c:pt>
                <c:pt idx="6">
                  <c:v>3</c:v>
                </c:pt>
                <c:pt idx="7">
                  <c:v>7</c:v>
                </c:pt>
                <c:pt idx="8">
                  <c:v>5</c:v>
                </c:pt>
                <c:pt idx="9">
                  <c:v>7</c:v>
                </c:pt>
                <c:pt idx="10">
                  <c:v>5</c:v>
                </c:pt>
                <c:pt idx="11">
                  <c:v>5</c:v>
                </c:pt>
                <c:pt idx="12">
                  <c:v>3</c:v>
                </c:pt>
                <c:pt idx="13">
                  <c:v>8</c:v>
                </c:pt>
                <c:pt idx="14">
                  <c:v>7</c:v>
                </c:pt>
                <c:pt idx="15">
                  <c:v>7</c:v>
                </c:pt>
                <c:pt idx="16">
                  <c:v>1</c:v>
                </c:pt>
                <c:pt idx="17">
                  <c:v>2</c:v>
                </c:pt>
                <c:pt idx="18">
                  <c:v>2</c:v>
                </c:pt>
                <c:pt idx="19">
                  <c:v>2</c:v>
                </c:pt>
                <c:pt idx="20">
                  <c:v>0</c:v>
                </c:pt>
              </c:numCache>
            </c:numRef>
          </c:val>
          <c:extLst>
            <c:ext xmlns:c16="http://schemas.microsoft.com/office/drawing/2014/chart" uri="{C3380CC4-5D6E-409C-BE32-E72D297353CC}">
              <c16:uniqueId val="{00000000-4174-4ECD-A847-EDBAFC1ED842}"/>
            </c:ext>
          </c:extLst>
        </c:ser>
        <c:ser>
          <c:idx val="1"/>
          <c:order val="1"/>
          <c:tx>
            <c:strRef>
              <c:f>ChatGPT_Q3!$E$6</c:f>
              <c:strCache>
                <c:ptCount val="1"/>
                <c:pt idx="0">
                  <c:v>Medium Correct:</c:v>
                </c:pt>
              </c:strCache>
            </c:strRef>
          </c:tx>
          <c:spPr>
            <a:solidFill>
              <a:schemeClr val="accent6"/>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ChatGPT_Q3!$E$7:$E$27</c:f>
              <c:numCache>
                <c:formatCode>General</c:formatCode>
                <c:ptCount val="21"/>
                <c:pt idx="0">
                  <c:v>6</c:v>
                </c:pt>
                <c:pt idx="1">
                  <c:v>5</c:v>
                </c:pt>
                <c:pt idx="2">
                  <c:v>0</c:v>
                </c:pt>
                <c:pt idx="3">
                  <c:v>1</c:v>
                </c:pt>
                <c:pt idx="4">
                  <c:v>1</c:v>
                </c:pt>
                <c:pt idx="5">
                  <c:v>2</c:v>
                </c:pt>
                <c:pt idx="6">
                  <c:v>4</c:v>
                </c:pt>
                <c:pt idx="7">
                  <c:v>3</c:v>
                </c:pt>
                <c:pt idx="8">
                  <c:v>0</c:v>
                </c:pt>
                <c:pt idx="9">
                  <c:v>2</c:v>
                </c:pt>
                <c:pt idx="10">
                  <c:v>3</c:v>
                </c:pt>
                <c:pt idx="11">
                  <c:v>2</c:v>
                </c:pt>
                <c:pt idx="12">
                  <c:v>2</c:v>
                </c:pt>
                <c:pt idx="13">
                  <c:v>1</c:v>
                </c:pt>
                <c:pt idx="14">
                  <c:v>3</c:v>
                </c:pt>
                <c:pt idx="15">
                  <c:v>3</c:v>
                </c:pt>
                <c:pt idx="16">
                  <c:v>0</c:v>
                </c:pt>
                <c:pt idx="17">
                  <c:v>0</c:v>
                </c:pt>
                <c:pt idx="18">
                  <c:v>4</c:v>
                </c:pt>
                <c:pt idx="19">
                  <c:v>3</c:v>
                </c:pt>
                <c:pt idx="20">
                  <c:v>1</c:v>
                </c:pt>
              </c:numCache>
            </c:numRef>
          </c:val>
          <c:extLst>
            <c:ext xmlns:c16="http://schemas.microsoft.com/office/drawing/2014/chart" uri="{C3380CC4-5D6E-409C-BE32-E72D297353CC}">
              <c16:uniqueId val="{00000001-4174-4ECD-A847-EDBAFC1ED842}"/>
            </c:ext>
          </c:extLst>
        </c:ser>
        <c:ser>
          <c:idx val="2"/>
          <c:order val="2"/>
          <c:tx>
            <c:strRef>
              <c:f>ChatGPT_Q3!$F$6</c:f>
              <c:strCache>
                <c:ptCount val="1"/>
                <c:pt idx="0">
                  <c:v>Low Correct:</c:v>
                </c:pt>
              </c:strCache>
            </c:strRef>
          </c:tx>
          <c:spPr>
            <a:solidFill>
              <a:schemeClr val="accent6">
                <a:lumMod val="40000"/>
                <a:lumOff val="60000"/>
              </a:schemeClr>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ChatGPT_Q3!$F$7:$F$27</c:f>
              <c:numCache>
                <c:formatCode>General</c:formatCode>
                <c:ptCount val="21"/>
                <c:pt idx="0">
                  <c:v>2</c:v>
                </c:pt>
                <c:pt idx="1">
                  <c:v>1</c:v>
                </c:pt>
                <c:pt idx="2">
                  <c:v>3</c:v>
                </c:pt>
                <c:pt idx="3">
                  <c:v>3</c:v>
                </c:pt>
                <c:pt idx="4">
                  <c:v>5</c:v>
                </c:pt>
                <c:pt idx="5">
                  <c:v>2</c:v>
                </c:pt>
                <c:pt idx="6">
                  <c:v>4</c:v>
                </c:pt>
                <c:pt idx="7">
                  <c:v>2</c:v>
                </c:pt>
                <c:pt idx="8">
                  <c:v>4</c:v>
                </c:pt>
                <c:pt idx="9">
                  <c:v>6</c:v>
                </c:pt>
                <c:pt idx="10">
                  <c:v>5</c:v>
                </c:pt>
                <c:pt idx="11">
                  <c:v>7</c:v>
                </c:pt>
                <c:pt idx="12">
                  <c:v>5</c:v>
                </c:pt>
                <c:pt idx="13">
                  <c:v>3</c:v>
                </c:pt>
                <c:pt idx="14">
                  <c:v>6</c:v>
                </c:pt>
                <c:pt idx="15">
                  <c:v>4</c:v>
                </c:pt>
                <c:pt idx="16">
                  <c:v>4</c:v>
                </c:pt>
                <c:pt idx="17">
                  <c:v>8</c:v>
                </c:pt>
                <c:pt idx="18">
                  <c:v>7</c:v>
                </c:pt>
                <c:pt idx="19">
                  <c:v>5</c:v>
                </c:pt>
                <c:pt idx="20">
                  <c:v>3</c:v>
                </c:pt>
              </c:numCache>
            </c:numRef>
          </c:val>
          <c:extLst>
            <c:ext xmlns:c16="http://schemas.microsoft.com/office/drawing/2014/chart" uri="{C3380CC4-5D6E-409C-BE32-E72D297353CC}">
              <c16:uniqueId val="{00000002-4174-4ECD-A847-EDBAFC1ED842}"/>
            </c:ext>
          </c:extLst>
        </c:ser>
        <c:ser>
          <c:idx val="3"/>
          <c:order val="3"/>
          <c:tx>
            <c:strRef>
              <c:f>ChatGPT_Q3!$G$6</c:f>
              <c:strCache>
                <c:ptCount val="1"/>
                <c:pt idx="0">
                  <c:v>High Maybe:</c:v>
                </c:pt>
              </c:strCache>
            </c:strRef>
          </c:tx>
          <c:spPr>
            <a:solidFill>
              <a:schemeClr val="accent2">
                <a:lumMod val="75000"/>
              </a:schemeClr>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ChatGPT_Q3!$G$7:$G$27</c:f>
              <c:numCache>
                <c:formatCode>General</c:formatCode>
                <c:ptCount val="21"/>
                <c:pt idx="0">
                  <c:v>1</c:v>
                </c:pt>
                <c:pt idx="1">
                  <c:v>5</c:v>
                </c:pt>
                <c:pt idx="2">
                  <c:v>1</c:v>
                </c:pt>
                <c:pt idx="3">
                  <c:v>3</c:v>
                </c:pt>
                <c:pt idx="4">
                  <c:v>0</c:v>
                </c:pt>
                <c:pt idx="5">
                  <c:v>1</c:v>
                </c:pt>
                <c:pt idx="6">
                  <c:v>2</c:v>
                </c:pt>
                <c:pt idx="7">
                  <c:v>2</c:v>
                </c:pt>
                <c:pt idx="8">
                  <c:v>0</c:v>
                </c:pt>
                <c:pt idx="9">
                  <c:v>1</c:v>
                </c:pt>
                <c:pt idx="10">
                  <c:v>1</c:v>
                </c:pt>
                <c:pt idx="11">
                  <c:v>0</c:v>
                </c:pt>
                <c:pt idx="12">
                  <c:v>1</c:v>
                </c:pt>
                <c:pt idx="13">
                  <c:v>1</c:v>
                </c:pt>
                <c:pt idx="14">
                  <c:v>0</c:v>
                </c:pt>
                <c:pt idx="15">
                  <c:v>2</c:v>
                </c:pt>
                <c:pt idx="16">
                  <c:v>1</c:v>
                </c:pt>
                <c:pt idx="17">
                  <c:v>3</c:v>
                </c:pt>
                <c:pt idx="18">
                  <c:v>1</c:v>
                </c:pt>
                <c:pt idx="19">
                  <c:v>1</c:v>
                </c:pt>
                <c:pt idx="20">
                  <c:v>0</c:v>
                </c:pt>
              </c:numCache>
            </c:numRef>
          </c:val>
          <c:extLst>
            <c:ext xmlns:c16="http://schemas.microsoft.com/office/drawing/2014/chart" uri="{C3380CC4-5D6E-409C-BE32-E72D297353CC}">
              <c16:uniqueId val="{00000003-4174-4ECD-A847-EDBAFC1ED842}"/>
            </c:ext>
          </c:extLst>
        </c:ser>
        <c:ser>
          <c:idx val="4"/>
          <c:order val="4"/>
          <c:tx>
            <c:strRef>
              <c:f>ChatGPT_Q3!$H$6</c:f>
              <c:strCache>
                <c:ptCount val="1"/>
                <c:pt idx="0">
                  <c:v>Medium Maybe:</c:v>
                </c:pt>
              </c:strCache>
            </c:strRef>
          </c:tx>
          <c:spPr>
            <a:solidFill>
              <a:schemeClr val="accent2"/>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ChatGPT_Q3!$H$7:$H$27</c:f>
              <c:numCache>
                <c:formatCode>General</c:formatCode>
                <c:ptCount val="21"/>
                <c:pt idx="0">
                  <c:v>0</c:v>
                </c:pt>
                <c:pt idx="1">
                  <c:v>1</c:v>
                </c:pt>
                <c:pt idx="2">
                  <c:v>0</c:v>
                </c:pt>
                <c:pt idx="3">
                  <c:v>1</c:v>
                </c:pt>
                <c:pt idx="4">
                  <c:v>4</c:v>
                </c:pt>
                <c:pt idx="5">
                  <c:v>1</c:v>
                </c:pt>
                <c:pt idx="6">
                  <c:v>1</c:v>
                </c:pt>
                <c:pt idx="7">
                  <c:v>0</c:v>
                </c:pt>
                <c:pt idx="8">
                  <c:v>1</c:v>
                </c:pt>
                <c:pt idx="9">
                  <c:v>1</c:v>
                </c:pt>
                <c:pt idx="10">
                  <c:v>2</c:v>
                </c:pt>
                <c:pt idx="11">
                  <c:v>0</c:v>
                </c:pt>
                <c:pt idx="12">
                  <c:v>0</c:v>
                </c:pt>
                <c:pt idx="13">
                  <c:v>0</c:v>
                </c:pt>
                <c:pt idx="14">
                  <c:v>0</c:v>
                </c:pt>
                <c:pt idx="15">
                  <c:v>0</c:v>
                </c:pt>
                <c:pt idx="16">
                  <c:v>0</c:v>
                </c:pt>
                <c:pt idx="17">
                  <c:v>1</c:v>
                </c:pt>
                <c:pt idx="18">
                  <c:v>0</c:v>
                </c:pt>
                <c:pt idx="19">
                  <c:v>1</c:v>
                </c:pt>
                <c:pt idx="20">
                  <c:v>1</c:v>
                </c:pt>
              </c:numCache>
            </c:numRef>
          </c:val>
          <c:extLst>
            <c:ext xmlns:c16="http://schemas.microsoft.com/office/drawing/2014/chart" uri="{C3380CC4-5D6E-409C-BE32-E72D297353CC}">
              <c16:uniqueId val="{00000004-4174-4ECD-A847-EDBAFC1ED842}"/>
            </c:ext>
          </c:extLst>
        </c:ser>
        <c:ser>
          <c:idx val="5"/>
          <c:order val="5"/>
          <c:tx>
            <c:strRef>
              <c:f>ChatGPT_Q3!$I$6</c:f>
              <c:strCache>
                <c:ptCount val="1"/>
                <c:pt idx="0">
                  <c:v>Low Maybe:</c:v>
                </c:pt>
              </c:strCache>
            </c:strRef>
          </c:tx>
          <c:spPr>
            <a:solidFill>
              <a:schemeClr val="accent2">
                <a:lumMod val="60000"/>
                <a:lumOff val="40000"/>
              </a:schemeClr>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ChatGPT_Q3!$I$7:$I$27</c:f>
              <c:numCache>
                <c:formatCode>General</c:formatCode>
                <c:ptCount val="21"/>
                <c:pt idx="0">
                  <c:v>0</c:v>
                </c:pt>
                <c:pt idx="1">
                  <c:v>0</c:v>
                </c:pt>
                <c:pt idx="2">
                  <c:v>0</c:v>
                </c:pt>
                <c:pt idx="3">
                  <c:v>0</c:v>
                </c:pt>
                <c:pt idx="4">
                  <c:v>0</c:v>
                </c:pt>
                <c:pt idx="5">
                  <c:v>1</c:v>
                </c:pt>
                <c:pt idx="6">
                  <c:v>1</c:v>
                </c:pt>
                <c:pt idx="7">
                  <c:v>1</c:v>
                </c:pt>
                <c:pt idx="8">
                  <c:v>2</c:v>
                </c:pt>
                <c:pt idx="9">
                  <c:v>0</c:v>
                </c:pt>
                <c:pt idx="10">
                  <c:v>0</c:v>
                </c:pt>
                <c:pt idx="11">
                  <c:v>0</c:v>
                </c:pt>
                <c:pt idx="12">
                  <c:v>2</c:v>
                </c:pt>
                <c:pt idx="13">
                  <c:v>1</c:v>
                </c:pt>
                <c:pt idx="14">
                  <c:v>1</c:v>
                </c:pt>
                <c:pt idx="15">
                  <c:v>0</c:v>
                </c:pt>
                <c:pt idx="16">
                  <c:v>5</c:v>
                </c:pt>
                <c:pt idx="17">
                  <c:v>1</c:v>
                </c:pt>
                <c:pt idx="18">
                  <c:v>3</c:v>
                </c:pt>
                <c:pt idx="19">
                  <c:v>1</c:v>
                </c:pt>
                <c:pt idx="20">
                  <c:v>1</c:v>
                </c:pt>
              </c:numCache>
            </c:numRef>
          </c:val>
          <c:extLst>
            <c:ext xmlns:c16="http://schemas.microsoft.com/office/drawing/2014/chart" uri="{C3380CC4-5D6E-409C-BE32-E72D297353CC}">
              <c16:uniqueId val="{00000005-4174-4ECD-A847-EDBAFC1ED842}"/>
            </c:ext>
          </c:extLst>
        </c:ser>
        <c:ser>
          <c:idx val="6"/>
          <c:order val="6"/>
          <c:tx>
            <c:strRef>
              <c:f>ChatGPT_Q3!$J$6</c:f>
              <c:strCache>
                <c:ptCount val="1"/>
                <c:pt idx="0">
                  <c:v>Low Incorrect:</c:v>
                </c:pt>
              </c:strCache>
            </c:strRef>
          </c:tx>
          <c:spPr>
            <a:solidFill>
              <a:srgbClr val="F46868"/>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ChatGPT_Q3!$J$7:$J$27</c:f>
              <c:numCache>
                <c:formatCode>General</c:formatCode>
                <c:ptCount val="21"/>
                <c:pt idx="0">
                  <c:v>0</c:v>
                </c:pt>
                <c:pt idx="1">
                  <c:v>1</c:v>
                </c:pt>
                <c:pt idx="2">
                  <c:v>0</c:v>
                </c:pt>
                <c:pt idx="3">
                  <c:v>0</c:v>
                </c:pt>
                <c:pt idx="4">
                  <c:v>2</c:v>
                </c:pt>
                <c:pt idx="5">
                  <c:v>3</c:v>
                </c:pt>
                <c:pt idx="6">
                  <c:v>3</c:v>
                </c:pt>
                <c:pt idx="7">
                  <c:v>1</c:v>
                </c:pt>
                <c:pt idx="8">
                  <c:v>2</c:v>
                </c:pt>
                <c:pt idx="9">
                  <c:v>0</c:v>
                </c:pt>
                <c:pt idx="10">
                  <c:v>1</c:v>
                </c:pt>
                <c:pt idx="11">
                  <c:v>0</c:v>
                </c:pt>
                <c:pt idx="12">
                  <c:v>1</c:v>
                </c:pt>
                <c:pt idx="13">
                  <c:v>1</c:v>
                </c:pt>
                <c:pt idx="14">
                  <c:v>0</c:v>
                </c:pt>
                <c:pt idx="15">
                  <c:v>0</c:v>
                </c:pt>
                <c:pt idx="16">
                  <c:v>0</c:v>
                </c:pt>
                <c:pt idx="17">
                  <c:v>2</c:v>
                </c:pt>
                <c:pt idx="18">
                  <c:v>0</c:v>
                </c:pt>
                <c:pt idx="19">
                  <c:v>3</c:v>
                </c:pt>
                <c:pt idx="20">
                  <c:v>0</c:v>
                </c:pt>
              </c:numCache>
            </c:numRef>
          </c:val>
          <c:extLst>
            <c:ext xmlns:c16="http://schemas.microsoft.com/office/drawing/2014/chart" uri="{C3380CC4-5D6E-409C-BE32-E72D297353CC}">
              <c16:uniqueId val="{00000006-4174-4ECD-A847-EDBAFC1ED842}"/>
            </c:ext>
          </c:extLst>
        </c:ser>
        <c:ser>
          <c:idx val="7"/>
          <c:order val="7"/>
          <c:tx>
            <c:strRef>
              <c:f>ChatGPT_Q3!$K$6</c:f>
              <c:strCache>
                <c:ptCount val="1"/>
                <c:pt idx="0">
                  <c:v>Medium Incorrect:</c:v>
                </c:pt>
              </c:strCache>
            </c:strRef>
          </c:tx>
          <c:spPr>
            <a:solidFill>
              <a:srgbClr val="EC2828"/>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ChatGPT_Q3!$K$7:$K$27</c:f>
              <c:numCache>
                <c:formatCode>General</c:formatCode>
                <c:ptCount val="21"/>
                <c:pt idx="0">
                  <c:v>0</c:v>
                </c:pt>
                <c:pt idx="1">
                  <c:v>0</c:v>
                </c:pt>
                <c:pt idx="2">
                  <c:v>0</c:v>
                </c:pt>
                <c:pt idx="3">
                  <c:v>0</c:v>
                </c:pt>
                <c:pt idx="4">
                  <c:v>0</c:v>
                </c:pt>
                <c:pt idx="5">
                  <c:v>1</c:v>
                </c:pt>
                <c:pt idx="6">
                  <c:v>0</c:v>
                </c:pt>
                <c:pt idx="7">
                  <c:v>0</c:v>
                </c:pt>
                <c:pt idx="8">
                  <c:v>2</c:v>
                </c:pt>
                <c:pt idx="9">
                  <c:v>1</c:v>
                </c:pt>
                <c:pt idx="10">
                  <c:v>0</c:v>
                </c:pt>
                <c:pt idx="11">
                  <c:v>0</c:v>
                </c:pt>
                <c:pt idx="12">
                  <c:v>1</c:v>
                </c:pt>
                <c:pt idx="13">
                  <c:v>1</c:v>
                </c:pt>
                <c:pt idx="14">
                  <c:v>0</c:v>
                </c:pt>
                <c:pt idx="15">
                  <c:v>0</c:v>
                </c:pt>
                <c:pt idx="16">
                  <c:v>0</c:v>
                </c:pt>
                <c:pt idx="17">
                  <c:v>0</c:v>
                </c:pt>
                <c:pt idx="18">
                  <c:v>0</c:v>
                </c:pt>
                <c:pt idx="19">
                  <c:v>0</c:v>
                </c:pt>
                <c:pt idx="20">
                  <c:v>1</c:v>
                </c:pt>
              </c:numCache>
            </c:numRef>
          </c:val>
          <c:extLst>
            <c:ext xmlns:c16="http://schemas.microsoft.com/office/drawing/2014/chart" uri="{C3380CC4-5D6E-409C-BE32-E72D297353CC}">
              <c16:uniqueId val="{00000007-4174-4ECD-A847-EDBAFC1ED842}"/>
            </c:ext>
          </c:extLst>
        </c:ser>
        <c:ser>
          <c:idx val="8"/>
          <c:order val="8"/>
          <c:tx>
            <c:strRef>
              <c:f>ChatGPT_Q3!$L$6</c:f>
              <c:strCache>
                <c:ptCount val="1"/>
                <c:pt idx="0">
                  <c:v>High Incorrect:</c:v>
                </c:pt>
              </c:strCache>
            </c:strRef>
          </c:tx>
          <c:spPr>
            <a:solidFill>
              <a:srgbClr val="C00000"/>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ChatGPT_Q3!$L$7:$L$27</c:f>
              <c:numCache>
                <c:formatCode>General</c:formatCode>
                <c:ptCount val="21"/>
                <c:pt idx="0">
                  <c:v>1</c:v>
                </c:pt>
                <c:pt idx="1">
                  <c:v>1</c:v>
                </c:pt>
                <c:pt idx="2">
                  <c:v>2</c:v>
                </c:pt>
                <c:pt idx="3">
                  <c:v>2</c:v>
                </c:pt>
                <c:pt idx="4">
                  <c:v>2</c:v>
                </c:pt>
                <c:pt idx="5">
                  <c:v>1</c:v>
                </c:pt>
                <c:pt idx="6">
                  <c:v>0</c:v>
                </c:pt>
                <c:pt idx="7">
                  <c:v>1</c:v>
                </c:pt>
                <c:pt idx="8">
                  <c:v>1</c:v>
                </c:pt>
                <c:pt idx="9">
                  <c:v>0</c:v>
                </c:pt>
                <c:pt idx="10">
                  <c:v>0</c:v>
                </c:pt>
                <c:pt idx="11">
                  <c:v>2</c:v>
                </c:pt>
                <c:pt idx="12">
                  <c:v>2</c:v>
                </c:pt>
                <c:pt idx="13">
                  <c:v>1</c:v>
                </c:pt>
                <c:pt idx="14">
                  <c:v>0</c:v>
                </c:pt>
                <c:pt idx="15">
                  <c:v>1</c:v>
                </c:pt>
                <c:pt idx="16">
                  <c:v>1</c:v>
                </c:pt>
                <c:pt idx="17">
                  <c:v>1</c:v>
                </c:pt>
                <c:pt idx="18">
                  <c:v>1</c:v>
                </c:pt>
                <c:pt idx="19">
                  <c:v>1</c:v>
                </c:pt>
                <c:pt idx="20">
                  <c:v>2</c:v>
                </c:pt>
              </c:numCache>
            </c:numRef>
          </c:val>
          <c:extLst>
            <c:ext xmlns:c16="http://schemas.microsoft.com/office/drawing/2014/chart" uri="{C3380CC4-5D6E-409C-BE32-E72D297353CC}">
              <c16:uniqueId val="{00000008-4174-4ECD-A847-EDBAFC1ED842}"/>
            </c:ext>
          </c:extLst>
        </c:ser>
        <c:ser>
          <c:idx val="9"/>
          <c:order val="9"/>
          <c:tx>
            <c:strRef>
              <c:f>ChatGPT_Q3!$M$6</c:f>
              <c:strCache>
                <c:ptCount val="1"/>
                <c:pt idx="0">
                  <c:v>N/A:</c:v>
                </c:pt>
              </c:strCache>
            </c:strRef>
          </c:tx>
          <c:spPr>
            <a:solidFill>
              <a:schemeClr val="bg2">
                <a:lumMod val="75000"/>
              </a:schemeClr>
            </a:solidFill>
            <a:ln>
              <a:noFill/>
            </a:ln>
            <a:effectLst/>
          </c:spPr>
          <c:invertIfNegative val="0"/>
          <c:cat>
            <c:strRef>
              <c:f>ChatGPT_Q3!$C$7:$C$27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ChatGPT_Q3!$M$7:$M$27</c:f>
              <c:numCache>
                <c:formatCode>General</c:formatCode>
                <c:ptCount val="21"/>
                <c:pt idx="0">
                  <c:v>1</c:v>
                </c:pt>
                <c:pt idx="1">
                  <c:v>0</c:v>
                </c:pt>
                <c:pt idx="2">
                  <c:v>0</c:v>
                </c:pt>
                <c:pt idx="3">
                  <c:v>0</c:v>
                </c:pt>
                <c:pt idx="4">
                  <c:v>1</c:v>
                </c:pt>
                <c:pt idx="5">
                  <c:v>0</c:v>
                </c:pt>
                <c:pt idx="6">
                  <c:v>0</c:v>
                </c:pt>
                <c:pt idx="7">
                  <c:v>1</c:v>
                </c:pt>
                <c:pt idx="8">
                  <c:v>1</c:v>
                </c:pt>
                <c:pt idx="9">
                  <c:v>0</c:v>
                </c:pt>
                <c:pt idx="10">
                  <c:v>1</c:v>
                </c:pt>
                <c:pt idx="11">
                  <c:v>2</c:v>
                </c:pt>
                <c:pt idx="12">
                  <c:v>1</c:v>
                </c:pt>
                <c:pt idx="13">
                  <c:v>1</c:v>
                </c:pt>
                <c:pt idx="14">
                  <c:v>1</c:v>
                </c:pt>
                <c:pt idx="15">
                  <c:v>1</c:v>
                </c:pt>
                <c:pt idx="16">
                  <c:v>6</c:v>
                </c:pt>
                <c:pt idx="17">
                  <c:v>0</c:v>
                </c:pt>
                <c:pt idx="18">
                  <c:v>0</c:v>
                </c:pt>
                <c:pt idx="19">
                  <c:v>1</c:v>
                </c:pt>
                <c:pt idx="20">
                  <c:v>9</c:v>
                </c:pt>
              </c:numCache>
            </c:numRef>
          </c:val>
          <c:extLst>
            <c:ext xmlns:c16="http://schemas.microsoft.com/office/drawing/2014/chart" uri="{C3380CC4-5D6E-409C-BE32-E72D297353CC}">
              <c16:uniqueId val="{00000009-4174-4ECD-A847-EDBAFC1ED842}"/>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ChatGPT_Q3!$D$31</c:f>
              <c:strCache>
                <c:ptCount val="1"/>
                <c:pt idx="0">
                  <c:v>High Correct:</c:v>
                </c:pt>
              </c:strCache>
            </c:strRef>
          </c:tx>
          <c:spPr>
            <a:solidFill>
              <a:schemeClr val="accent6">
                <a:lumMod val="75000"/>
              </a:schemeClr>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ChatGPT_Q3!$D$32:$D$47</c:f>
              <c:numCache>
                <c:formatCode>General</c:formatCode>
                <c:ptCount val="16"/>
                <c:pt idx="0">
                  <c:v>14</c:v>
                </c:pt>
                <c:pt idx="1">
                  <c:v>4</c:v>
                </c:pt>
                <c:pt idx="2">
                  <c:v>9</c:v>
                </c:pt>
                <c:pt idx="3">
                  <c:v>5</c:v>
                </c:pt>
                <c:pt idx="4">
                  <c:v>4</c:v>
                </c:pt>
                <c:pt idx="5">
                  <c:v>1</c:v>
                </c:pt>
                <c:pt idx="6">
                  <c:v>6</c:v>
                </c:pt>
                <c:pt idx="7">
                  <c:v>7</c:v>
                </c:pt>
                <c:pt idx="8">
                  <c:v>10</c:v>
                </c:pt>
                <c:pt idx="9">
                  <c:v>5</c:v>
                </c:pt>
                <c:pt idx="10">
                  <c:v>2</c:v>
                </c:pt>
                <c:pt idx="11">
                  <c:v>12</c:v>
                </c:pt>
                <c:pt idx="12">
                  <c:v>2</c:v>
                </c:pt>
                <c:pt idx="13">
                  <c:v>8</c:v>
                </c:pt>
                <c:pt idx="14">
                  <c:v>0</c:v>
                </c:pt>
                <c:pt idx="15">
                  <c:v>6</c:v>
                </c:pt>
              </c:numCache>
            </c:numRef>
          </c:val>
          <c:extLst>
            <c:ext xmlns:c16="http://schemas.microsoft.com/office/drawing/2014/chart" uri="{C3380CC4-5D6E-409C-BE32-E72D297353CC}">
              <c16:uniqueId val="{00000000-5879-4A80-A596-2C9359048429}"/>
            </c:ext>
          </c:extLst>
        </c:ser>
        <c:ser>
          <c:idx val="1"/>
          <c:order val="1"/>
          <c:tx>
            <c:strRef>
              <c:f>ChatGPT_Q3!$E$31</c:f>
              <c:strCache>
                <c:ptCount val="1"/>
                <c:pt idx="0">
                  <c:v>Medium Correct:</c:v>
                </c:pt>
              </c:strCache>
            </c:strRef>
          </c:tx>
          <c:spPr>
            <a:solidFill>
              <a:schemeClr val="accent6"/>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ChatGPT_Q3!$E$32:$E$47</c:f>
              <c:numCache>
                <c:formatCode>General</c:formatCode>
                <c:ptCount val="16"/>
                <c:pt idx="0">
                  <c:v>0</c:v>
                </c:pt>
                <c:pt idx="1">
                  <c:v>4</c:v>
                </c:pt>
                <c:pt idx="2">
                  <c:v>3</c:v>
                </c:pt>
                <c:pt idx="3">
                  <c:v>4</c:v>
                </c:pt>
                <c:pt idx="4">
                  <c:v>3</c:v>
                </c:pt>
                <c:pt idx="5">
                  <c:v>1</c:v>
                </c:pt>
                <c:pt idx="6">
                  <c:v>3</c:v>
                </c:pt>
                <c:pt idx="7">
                  <c:v>3</c:v>
                </c:pt>
                <c:pt idx="8">
                  <c:v>0</c:v>
                </c:pt>
                <c:pt idx="9">
                  <c:v>5</c:v>
                </c:pt>
                <c:pt idx="10">
                  <c:v>4</c:v>
                </c:pt>
                <c:pt idx="11">
                  <c:v>1</c:v>
                </c:pt>
                <c:pt idx="12">
                  <c:v>3</c:v>
                </c:pt>
                <c:pt idx="13">
                  <c:v>3</c:v>
                </c:pt>
                <c:pt idx="14">
                  <c:v>1</c:v>
                </c:pt>
                <c:pt idx="15">
                  <c:v>4</c:v>
                </c:pt>
              </c:numCache>
            </c:numRef>
          </c:val>
          <c:extLst>
            <c:ext xmlns:c16="http://schemas.microsoft.com/office/drawing/2014/chart" uri="{C3380CC4-5D6E-409C-BE32-E72D297353CC}">
              <c16:uniqueId val="{00000001-5879-4A80-A596-2C9359048429}"/>
            </c:ext>
          </c:extLst>
        </c:ser>
        <c:ser>
          <c:idx val="2"/>
          <c:order val="2"/>
          <c:tx>
            <c:strRef>
              <c:f>ChatGPT_Q3!$F$31</c:f>
              <c:strCache>
                <c:ptCount val="1"/>
                <c:pt idx="0">
                  <c:v>Low Correct:</c:v>
                </c:pt>
              </c:strCache>
            </c:strRef>
          </c:tx>
          <c:spPr>
            <a:solidFill>
              <a:schemeClr val="accent6">
                <a:lumMod val="60000"/>
                <a:lumOff val="40000"/>
              </a:schemeClr>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ChatGPT_Q3!$F$32:$F$47</c:f>
              <c:numCache>
                <c:formatCode>General</c:formatCode>
                <c:ptCount val="16"/>
                <c:pt idx="0">
                  <c:v>3</c:v>
                </c:pt>
                <c:pt idx="1">
                  <c:v>7</c:v>
                </c:pt>
                <c:pt idx="2">
                  <c:v>3</c:v>
                </c:pt>
                <c:pt idx="3">
                  <c:v>7</c:v>
                </c:pt>
                <c:pt idx="4">
                  <c:v>6</c:v>
                </c:pt>
                <c:pt idx="5">
                  <c:v>5</c:v>
                </c:pt>
                <c:pt idx="6">
                  <c:v>1</c:v>
                </c:pt>
                <c:pt idx="7">
                  <c:v>9</c:v>
                </c:pt>
                <c:pt idx="8">
                  <c:v>3</c:v>
                </c:pt>
                <c:pt idx="9">
                  <c:v>7</c:v>
                </c:pt>
                <c:pt idx="10">
                  <c:v>5</c:v>
                </c:pt>
                <c:pt idx="11">
                  <c:v>5</c:v>
                </c:pt>
                <c:pt idx="12">
                  <c:v>6</c:v>
                </c:pt>
                <c:pt idx="13">
                  <c:v>5</c:v>
                </c:pt>
                <c:pt idx="14">
                  <c:v>1</c:v>
                </c:pt>
                <c:pt idx="15">
                  <c:v>7</c:v>
                </c:pt>
              </c:numCache>
            </c:numRef>
          </c:val>
          <c:extLst>
            <c:ext xmlns:c16="http://schemas.microsoft.com/office/drawing/2014/chart" uri="{C3380CC4-5D6E-409C-BE32-E72D297353CC}">
              <c16:uniqueId val="{00000002-5879-4A80-A596-2C9359048429}"/>
            </c:ext>
          </c:extLst>
        </c:ser>
        <c:ser>
          <c:idx val="3"/>
          <c:order val="3"/>
          <c:tx>
            <c:strRef>
              <c:f>ChatGPT_Q3!$G$31</c:f>
              <c:strCache>
                <c:ptCount val="1"/>
                <c:pt idx="0">
                  <c:v>High Maybe:</c:v>
                </c:pt>
              </c:strCache>
            </c:strRef>
          </c:tx>
          <c:spPr>
            <a:solidFill>
              <a:schemeClr val="accent2">
                <a:lumMod val="75000"/>
              </a:schemeClr>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ChatGPT_Q3!$G$32:$G$47</c:f>
              <c:numCache>
                <c:formatCode>General</c:formatCode>
                <c:ptCount val="16"/>
                <c:pt idx="0">
                  <c:v>1</c:v>
                </c:pt>
                <c:pt idx="1">
                  <c:v>1</c:v>
                </c:pt>
                <c:pt idx="2">
                  <c:v>2</c:v>
                </c:pt>
                <c:pt idx="3">
                  <c:v>2</c:v>
                </c:pt>
                <c:pt idx="4">
                  <c:v>2</c:v>
                </c:pt>
                <c:pt idx="5">
                  <c:v>4</c:v>
                </c:pt>
                <c:pt idx="6">
                  <c:v>1</c:v>
                </c:pt>
                <c:pt idx="7">
                  <c:v>1</c:v>
                </c:pt>
                <c:pt idx="8">
                  <c:v>1</c:v>
                </c:pt>
                <c:pt idx="9">
                  <c:v>4</c:v>
                </c:pt>
                <c:pt idx="10">
                  <c:v>4</c:v>
                </c:pt>
                <c:pt idx="11">
                  <c:v>0</c:v>
                </c:pt>
                <c:pt idx="12">
                  <c:v>2</c:v>
                </c:pt>
                <c:pt idx="13">
                  <c:v>0</c:v>
                </c:pt>
                <c:pt idx="14">
                  <c:v>0</c:v>
                </c:pt>
                <c:pt idx="15">
                  <c:v>0</c:v>
                </c:pt>
              </c:numCache>
            </c:numRef>
          </c:val>
          <c:extLst>
            <c:ext xmlns:c16="http://schemas.microsoft.com/office/drawing/2014/chart" uri="{C3380CC4-5D6E-409C-BE32-E72D297353CC}">
              <c16:uniqueId val="{00000003-5879-4A80-A596-2C9359048429}"/>
            </c:ext>
          </c:extLst>
        </c:ser>
        <c:ser>
          <c:idx val="4"/>
          <c:order val="4"/>
          <c:tx>
            <c:strRef>
              <c:f>ChatGPT_Q3!$H$31</c:f>
              <c:strCache>
                <c:ptCount val="1"/>
                <c:pt idx="0">
                  <c:v>Medium Maybe:</c:v>
                </c:pt>
              </c:strCache>
            </c:strRef>
          </c:tx>
          <c:spPr>
            <a:solidFill>
              <a:schemeClr val="accent2"/>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ChatGPT_Q3!$H$32:$H$47</c:f>
              <c:numCache>
                <c:formatCode>General</c:formatCode>
                <c:ptCount val="16"/>
                <c:pt idx="0">
                  <c:v>0</c:v>
                </c:pt>
                <c:pt idx="1">
                  <c:v>0</c:v>
                </c:pt>
                <c:pt idx="2">
                  <c:v>0</c:v>
                </c:pt>
                <c:pt idx="3">
                  <c:v>2</c:v>
                </c:pt>
                <c:pt idx="4">
                  <c:v>1</c:v>
                </c:pt>
                <c:pt idx="5">
                  <c:v>0</c:v>
                </c:pt>
                <c:pt idx="6">
                  <c:v>1</c:v>
                </c:pt>
                <c:pt idx="7">
                  <c:v>0</c:v>
                </c:pt>
                <c:pt idx="8">
                  <c:v>3</c:v>
                </c:pt>
                <c:pt idx="9">
                  <c:v>0</c:v>
                </c:pt>
                <c:pt idx="10">
                  <c:v>2</c:v>
                </c:pt>
                <c:pt idx="11">
                  <c:v>0</c:v>
                </c:pt>
                <c:pt idx="12">
                  <c:v>2</c:v>
                </c:pt>
                <c:pt idx="13">
                  <c:v>1</c:v>
                </c:pt>
                <c:pt idx="14">
                  <c:v>0</c:v>
                </c:pt>
                <c:pt idx="15">
                  <c:v>1</c:v>
                </c:pt>
              </c:numCache>
            </c:numRef>
          </c:val>
          <c:extLst>
            <c:ext xmlns:c16="http://schemas.microsoft.com/office/drawing/2014/chart" uri="{C3380CC4-5D6E-409C-BE32-E72D297353CC}">
              <c16:uniqueId val="{00000004-5879-4A80-A596-2C9359048429}"/>
            </c:ext>
          </c:extLst>
        </c:ser>
        <c:ser>
          <c:idx val="5"/>
          <c:order val="5"/>
          <c:tx>
            <c:strRef>
              <c:f>ChatGPT_Q3!$I$31</c:f>
              <c:strCache>
                <c:ptCount val="1"/>
                <c:pt idx="0">
                  <c:v>Low Maybe:</c:v>
                </c:pt>
              </c:strCache>
            </c:strRef>
          </c:tx>
          <c:spPr>
            <a:solidFill>
              <a:schemeClr val="accent2">
                <a:lumMod val="60000"/>
                <a:lumOff val="40000"/>
              </a:schemeClr>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ChatGPT_Q3!$I$32:$I$47</c:f>
              <c:numCache>
                <c:formatCode>General</c:formatCode>
                <c:ptCount val="16"/>
                <c:pt idx="0">
                  <c:v>0</c:v>
                </c:pt>
                <c:pt idx="1">
                  <c:v>2</c:v>
                </c:pt>
                <c:pt idx="2">
                  <c:v>0</c:v>
                </c:pt>
                <c:pt idx="3">
                  <c:v>1</c:v>
                </c:pt>
                <c:pt idx="4">
                  <c:v>2</c:v>
                </c:pt>
                <c:pt idx="5">
                  <c:v>1</c:v>
                </c:pt>
                <c:pt idx="6">
                  <c:v>4</c:v>
                </c:pt>
                <c:pt idx="7">
                  <c:v>0</c:v>
                </c:pt>
                <c:pt idx="8">
                  <c:v>1</c:v>
                </c:pt>
                <c:pt idx="9">
                  <c:v>0</c:v>
                </c:pt>
                <c:pt idx="10">
                  <c:v>2</c:v>
                </c:pt>
                <c:pt idx="11">
                  <c:v>3</c:v>
                </c:pt>
                <c:pt idx="12">
                  <c:v>1</c:v>
                </c:pt>
                <c:pt idx="13">
                  <c:v>0</c:v>
                </c:pt>
                <c:pt idx="14">
                  <c:v>0</c:v>
                </c:pt>
                <c:pt idx="15">
                  <c:v>0</c:v>
                </c:pt>
              </c:numCache>
            </c:numRef>
          </c:val>
          <c:extLst>
            <c:ext xmlns:c16="http://schemas.microsoft.com/office/drawing/2014/chart" uri="{C3380CC4-5D6E-409C-BE32-E72D297353CC}">
              <c16:uniqueId val="{00000005-5879-4A80-A596-2C9359048429}"/>
            </c:ext>
          </c:extLst>
        </c:ser>
        <c:ser>
          <c:idx val="6"/>
          <c:order val="6"/>
          <c:tx>
            <c:strRef>
              <c:f>ChatGPT_Q3!$J$31</c:f>
              <c:strCache>
                <c:ptCount val="1"/>
                <c:pt idx="0">
                  <c:v>Low Incorrect:</c:v>
                </c:pt>
              </c:strCache>
            </c:strRef>
          </c:tx>
          <c:spPr>
            <a:solidFill>
              <a:srgbClr val="F46868"/>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ChatGPT_Q3!$J$32:$J$47</c:f>
              <c:numCache>
                <c:formatCode>General</c:formatCode>
                <c:ptCount val="16"/>
                <c:pt idx="0">
                  <c:v>0</c:v>
                </c:pt>
                <c:pt idx="1">
                  <c:v>2</c:v>
                </c:pt>
                <c:pt idx="2">
                  <c:v>2</c:v>
                </c:pt>
                <c:pt idx="3">
                  <c:v>0</c:v>
                </c:pt>
                <c:pt idx="4">
                  <c:v>1</c:v>
                </c:pt>
                <c:pt idx="5">
                  <c:v>0</c:v>
                </c:pt>
                <c:pt idx="6">
                  <c:v>2</c:v>
                </c:pt>
                <c:pt idx="7">
                  <c:v>0</c:v>
                </c:pt>
                <c:pt idx="8">
                  <c:v>0</c:v>
                </c:pt>
                <c:pt idx="9">
                  <c:v>0</c:v>
                </c:pt>
                <c:pt idx="10">
                  <c:v>2</c:v>
                </c:pt>
                <c:pt idx="11">
                  <c:v>0</c:v>
                </c:pt>
                <c:pt idx="12">
                  <c:v>2</c:v>
                </c:pt>
                <c:pt idx="13">
                  <c:v>1</c:v>
                </c:pt>
                <c:pt idx="14">
                  <c:v>2</c:v>
                </c:pt>
                <c:pt idx="15">
                  <c:v>2</c:v>
                </c:pt>
              </c:numCache>
            </c:numRef>
          </c:val>
          <c:extLst>
            <c:ext xmlns:c16="http://schemas.microsoft.com/office/drawing/2014/chart" uri="{C3380CC4-5D6E-409C-BE32-E72D297353CC}">
              <c16:uniqueId val="{00000006-5879-4A80-A596-2C9359048429}"/>
            </c:ext>
          </c:extLst>
        </c:ser>
        <c:ser>
          <c:idx val="7"/>
          <c:order val="7"/>
          <c:tx>
            <c:strRef>
              <c:f>ChatGPT_Q3!$K$31</c:f>
              <c:strCache>
                <c:ptCount val="1"/>
                <c:pt idx="0">
                  <c:v>Medium Incorrect:</c:v>
                </c:pt>
              </c:strCache>
            </c:strRef>
          </c:tx>
          <c:spPr>
            <a:solidFill>
              <a:srgbClr val="EC2828"/>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ChatGPT_Q3!$K$32:$K$47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3</c:v>
                </c:pt>
                <c:pt idx="14">
                  <c:v>3</c:v>
                </c:pt>
                <c:pt idx="15">
                  <c:v>0</c:v>
                </c:pt>
              </c:numCache>
            </c:numRef>
          </c:val>
          <c:extLst>
            <c:ext xmlns:c16="http://schemas.microsoft.com/office/drawing/2014/chart" uri="{C3380CC4-5D6E-409C-BE32-E72D297353CC}">
              <c16:uniqueId val="{00000007-5879-4A80-A596-2C9359048429}"/>
            </c:ext>
          </c:extLst>
        </c:ser>
        <c:ser>
          <c:idx val="8"/>
          <c:order val="8"/>
          <c:tx>
            <c:strRef>
              <c:f>ChatGPT_Q3!$L$31</c:f>
              <c:strCache>
                <c:ptCount val="1"/>
                <c:pt idx="0">
                  <c:v>High Incorrect:</c:v>
                </c:pt>
              </c:strCache>
            </c:strRef>
          </c:tx>
          <c:spPr>
            <a:solidFill>
              <a:srgbClr val="C00000"/>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ChatGPT_Q3!$L$32:$L$47</c:f>
              <c:numCache>
                <c:formatCode>General</c:formatCode>
                <c:ptCount val="16"/>
                <c:pt idx="0">
                  <c:v>0</c:v>
                </c:pt>
                <c:pt idx="1">
                  <c:v>1</c:v>
                </c:pt>
                <c:pt idx="2">
                  <c:v>0</c:v>
                </c:pt>
                <c:pt idx="3">
                  <c:v>0</c:v>
                </c:pt>
                <c:pt idx="4">
                  <c:v>1</c:v>
                </c:pt>
                <c:pt idx="5">
                  <c:v>0</c:v>
                </c:pt>
                <c:pt idx="6">
                  <c:v>1</c:v>
                </c:pt>
                <c:pt idx="7">
                  <c:v>0</c:v>
                </c:pt>
                <c:pt idx="8">
                  <c:v>0</c:v>
                </c:pt>
                <c:pt idx="9">
                  <c:v>0</c:v>
                </c:pt>
                <c:pt idx="10">
                  <c:v>0</c:v>
                </c:pt>
                <c:pt idx="11">
                  <c:v>0</c:v>
                </c:pt>
                <c:pt idx="12">
                  <c:v>0</c:v>
                </c:pt>
                <c:pt idx="13">
                  <c:v>0</c:v>
                </c:pt>
                <c:pt idx="14">
                  <c:v>14</c:v>
                </c:pt>
                <c:pt idx="15">
                  <c:v>0</c:v>
                </c:pt>
              </c:numCache>
            </c:numRef>
          </c:val>
          <c:extLst>
            <c:ext xmlns:c16="http://schemas.microsoft.com/office/drawing/2014/chart" uri="{C3380CC4-5D6E-409C-BE32-E72D297353CC}">
              <c16:uniqueId val="{00000008-5879-4A80-A596-2C9359048429}"/>
            </c:ext>
          </c:extLst>
        </c:ser>
        <c:ser>
          <c:idx val="9"/>
          <c:order val="9"/>
          <c:tx>
            <c:strRef>
              <c:f>ChatGPT_Q3!$M$31</c:f>
              <c:strCache>
                <c:ptCount val="1"/>
                <c:pt idx="0">
                  <c:v>N/A:</c:v>
                </c:pt>
              </c:strCache>
            </c:strRef>
          </c:tx>
          <c:spPr>
            <a:solidFill>
              <a:schemeClr val="bg2">
                <a:lumMod val="75000"/>
              </a:schemeClr>
            </a:solidFill>
            <a:ln>
              <a:noFill/>
            </a:ln>
            <a:effectLst/>
          </c:spPr>
          <c:invertIfNegative val="0"/>
          <c:cat>
            <c:strRef>
              <c:f>ChatGPT_Q3!$C$32:$C$47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ChatGPT_Q3!$M$32:$M$47</c:f>
              <c:numCache>
                <c:formatCode>General</c:formatCode>
                <c:ptCount val="16"/>
                <c:pt idx="0">
                  <c:v>3</c:v>
                </c:pt>
                <c:pt idx="1">
                  <c:v>0</c:v>
                </c:pt>
                <c:pt idx="2">
                  <c:v>2</c:v>
                </c:pt>
                <c:pt idx="3">
                  <c:v>0</c:v>
                </c:pt>
                <c:pt idx="4">
                  <c:v>1</c:v>
                </c:pt>
                <c:pt idx="5">
                  <c:v>9</c:v>
                </c:pt>
                <c:pt idx="6">
                  <c:v>2</c:v>
                </c:pt>
                <c:pt idx="7">
                  <c:v>1</c:v>
                </c:pt>
                <c:pt idx="8">
                  <c:v>3</c:v>
                </c:pt>
                <c:pt idx="9">
                  <c:v>0</c:v>
                </c:pt>
                <c:pt idx="10">
                  <c:v>0</c:v>
                </c:pt>
                <c:pt idx="11">
                  <c:v>0</c:v>
                </c:pt>
                <c:pt idx="12">
                  <c:v>3</c:v>
                </c:pt>
                <c:pt idx="13">
                  <c:v>0</c:v>
                </c:pt>
                <c:pt idx="14">
                  <c:v>0</c:v>
                </c:pt>
                <c:pt idx="15">
                  <c:v>1</c:v>
                </c:pt>
              </c:numCache>
            </c:numRef>
          </c:val>
          <c:extLst>
            <c:ext xmlns:c16="http://schemas.microsoft.com/office/drawing/2014/chart" uri="{C3380CC4-5D6E-409C-BE32-E72D297353CC}">
              <c16:uniqueId val="{00000009-5879-4A80-A596-2C9359048429}"/>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ChatGPT_Total!$D$6</c:f>
              <c:strCache>
                <c:ptCount val="1"/>
                <c:pt idx="0">
                  <c:v>High Correct:</c:v>
                </c:pt>
              </c:strCache>
            </c:strRef>
          </c:tx>
          <c:spPr>
            <a:solidFill>
              <a:schemeClr val="accent6">
                <a:lumMod val="75000"/>
              </a:schemeClr>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ChatGPT_Total!$D$7:$D$27</c:f>
              <c:numCache>
                <c:formatCode>General</c:formatCode>
                <c:ptCount val="21"/>
                <c:pt idx="0">
                  <c:v>17</c:v>
                </c:pt>
                <c:pt idx="1">
                  <c:v>19</c:v>
                </c:pt>
                <c:pt idx="2">
                  <c:v>25</c:v>
                </c:pt>
                <c:pt idx="3">
                  <c:v>22</c:v>
                </c:pt>
                <c:pt idx="4">
                  <c:v>13</c:v>
                </c:pt>
                <c:pt idx="5">
                  <c:v>23</c:v>
                </c:pt>
                <c:pt idx="6">
                  <c:v>18</c:v>
                </c:pt>
                <c:pt idx="7">
                  <c:v>17</c:v>
                </c:pt>
                <c:pt idx="8">
                  <c:v>14</c:v>
                </c:pt>
                <c:pt idx="9">
                  <c:v>15</c:v>
                </c:pt>
                <c:pt idx="10">
                  <c:v>15</c:v>
                </c:pt>
                <c:pt idx="11">
                  <c:v>18</c:v>
                </c:pt>
                <c:pt idx="12">
                  <c:v>14</c:v>
                </c:pt>
                <c:pt idx="13">
                  <c:v>18</c:v>
                </c:pt>
                <c:pt idx="14">
                  <c:v>20</c:v>
                </c:pt>
                <c:pt idx="15">
                  <c:v>23</c:v>
                </c:pt>
                <c:pt idx="16">
                  <c:v>10</c:v>
                </c:pt>
                <c:pt idx="17">
                  <c:v>18</c:v>
                </c:pt>
                <c:pt idx="18">
                  <c:v>21</c:v>
                </c:pt>
                <c:pt idx="19">
                  <c:v>5</c:v>
                </c:pt>
                <c:pt idx="20">
                  <c:v>8</c:v>
                </c:pt>
              </c:numCache>
            </c:numRef>
          </c:val>
          <c:extLst>
            <c:ext xmlns:c16="http://schemas.microsoft.com/office/drawing/2014/chart" uri="{C3380CC4-5D6E-409C-BE32-E72D297353CC}">
              <c16:uniqueId val="{00000000-761F-46E8-9A94-4C55D6A05483}"/>
            </c:ext>
          </c:extLst>
        </c:ser>
        <c:ser>
          <c:idx val="1"/>
          <c:order val="1"/>
          <c:tx>
            <c:strRef>
              <c:f>ChatGPT_Total!$E$6</c:f>
              <c:strCache>
                <c:ptCount val="1"/>
                <c:pt idx="0">
                  <c:v>Medium Correct:</c:v>
                </c:pt>
              </c:strCache>
            </c:strRef>
          </c:tx>
          <c:spPr>
            <a:solidFill>
              <a:schemeClr val="accent6"/>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ChatGPT_Total!$E$7:$E$27</c:f>
              <c:numCache>
                <c:formatCode>General</c:formatCode>
                <c:ptCount val="21"/>
                <c:pt idx="0">
                  <c:v>7</c:v>
                </c:pt>
                <c:pt idx="1">
                  <c:v>7</c:v>
                </c:pt>
                <c:pt idx="2">
                  <c:v>0</c:v>
                </c:pt>
                <c:pt idx="3">
                  <c:v>2</c:v>
                </c:pt>
                <c:pt idx="4">
                  <c:v>3</c:v>
                </c:pt>
                <c:pt idx="5">
                  <c:v>4</c:v>
                </c:pt>
                <c:pt idx="6">
                  <c:v>5</c:v>
                </c:pt>
                <c:pt idx="7">
                  <c:v>8</c:v>
                </c:pt>
                <c:pt idx="8">
                  <c:v>6</c:v>
                </c:pt>
                <c:pt idx="9">
                  <c:v>8</c:v>
                </c:pt>
                <c:pt idx="10">
                  <c:v>6</c:v>
                </c:pt>
                <c:pt idx="11">
                  <c:v>3</c:v>
                </c:pt>
                <c:pt idx="12">
                  <c:v>2</c:v>
                </c:pt>
                <c:pt idx="13">
                  <c:v>2</c:v>
                </c:pt>
                <c:pt idx="14">
                  <c:v>3</c:v>
                </c:pt>
                <c:pt idx="15">
                  <c:v>4</c:v>
                </c:pt>
                <c:pt idx="16">
                  <c:v>1</c:v>
                </c:pt>
                <c:pt idx="17">
                  <c:v>2</c:v>
                </c:pt>
                <c:pt idx="18">
                  <c:v>4</c:v>
                </c:pt>
                <c:pt idx="19">
                  <c:v>3</c:v>
                </c:pt>
                <c:pt idx="20">
                  <c:v>3</c:v>
                </c:pt>
              </c:numCache>
            </c:numRef>
          </c:val>
          <c:extLst>
            <c:ext xmlns:c16="http://schemas.microsoft.com/office/drawing/2014/chart" uri="{C3380CC4-5D6E-409C-BE32-E72D297353CC}">
              <c16:uniqueId val="{00000001-761F-46E8-9A94-4C55D6A05483}"/>
            </c:ext>
          </c:extLst>
        </c:ser>
        <c:ser>
          <c:idx val="2"/>
          <c:order val="2"/>
          <c:tx>
            <c:strRef>
              <c:f>ChatGPT_Total!$F$6</c:f>
              <c:strCache>
                <c:ptCount val="1"/>
                <c:pt idx="0">
                  <c:v>Low Correct:</c:v>
                </c:pt>
              </c:strCache>
            </c:strRef>
          </c:tx>
          <c:spPr>
            <a:solidFill>
              <a:schemeClr val="accent6">
                <a:lumMod val="60000"/>
                <a:lumOff val="40000"/>
              </a:schemeClr>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ChatGPT_Total!$F$7:$F$27</c:f>
              <c:numCache>
                <c:formatCode>General</c:formatCode>
                <c:ptCount val="21"/>
                <c:pt idx="0">
                  <c:v>3</c:v>
                </c:pt>
                <c:pt idx="1">
                  <c:v>1</c:v>
                </c:pt>
                <c:pt idx="2">
                  <c:v>3</c:v>
                </c:pt>
                <c:pt idx="3">
                  <c:v>3</c:v>
                </c:pt>
                <c:pt idx="4">
                  <c:v>7</c:v>
                </c:pt>
                <c:pt idx="5">
                  <c:v>4</c:v>
                </c:pt>
                <c:pt idx="6">
                  <c:v>5</c:v>
                </c:pt>
                <c:pt idx="7">
                  <c:v>4</c:v>
                </c:pt>
                <c:pt idx="8">
                  <c:v>5</c:v>
                </c:pt>
                <c:pt idx="9">
                  <c:v>8</c:v>
                </c:pt>
                <c:pt idx="10">
                  <c:v>6</c:v>
                </c:pt>
                <c:pt idx="11">
                  <c:v>7</c:v>
                </c:pt>
                <c:pt idx="12">
                  <c:v>5</c:v>
                </c:pt>
                <c:pt idx="13">
                  <c:v>3</c:v>
                </c:pt>
                <c:pt idx="14">
                  <c:v>6</c:v>
                </c:pt>
                <c:pt idx="15">
                  <c:v>4</c:v>
                </c:pt>
                <c:pt idx="16">
                  <c:v>4</c:v>
                </c:pt>
                <c:pt idx="17">
                  <c:v>9</c:v>
                </c:pt>
                <c:pt idx="18">
                  <c:v>7</c:v>
                </c:pt>
                <c:pt idx="19">
                  <c:v>5</c:v>
                </c:pt>
                <c:pt idx="20">
                  <c:v>3</c:v>
                </c:pt>
              </c:numCache>
            </c:numRef>
          </c:val>
          <c:extLst>
            <c:ext xmlns:c16="http://schemas.microsoft.com/office/drawing/2014/chart" uri="{C3380CC4-5D6E-409C-BE32-E72D297353CC}">
              <c16:uniqueId val="{00000002-761F-46E8-9A94-4C55D6A05483}"/>
            </c:ext>
          </c:extLst>
        </c:ser>
        <c:ser>
          <c:idx val="3"/>
          <c:order val="3"/>
          <c:tx>
            <c:strRef>
              <c:f>ChatGPT_Total!$G$6</c:f>
              <c:strCache>
                <c:ptCount val="1"/>
                <c:pt idx="0">
                  <c:v>High Maybe:</c:v>
                </c:pt>
              </c:strCache>
            </c:strRef>
          </c:tx>
          <c:spPr>
            <a:solidFill>
              <a:schemeClr val="accent2">
                <a:lumMod val="75000"/>
              </a:schemeClr>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ChatGPT_Total!$G$7:$G$27</c:f>
              <c:numCache>
                <c:formatCode>General</c:formatCode>
                <c:ptCount val="21"/>
                <c:pt idx="0">
                  <c:v>2</c:v>
                </c:pt>
                <c:pt idx="1">
                  <c:v>8</c:v>
                </c:pt>
                <c:pt idx="2">
                  <c:v>6</c:v>
                </c:pt>
                <c:pt idx="3">
                  <c:v>9</c:v>
                </c:pt>
                <c:pt idx="4">
                  <c:v>3</c:v>
                </c:pt>
                <c:pt idx="5">
                  <c:v>1</c:v>
                </c:pt>
                <c:pt idx="6">
                  <c:v>3</c:v>
                </c:pt>
                <c:pt idx="7">
                  <c:v>2</c:v>
                </c:pt>
                <c:pt idx="8">
                  <c:v>0</c:v>
                </c:pt>
                <c:pt idx="9">
                  <c:v>3</c:v>
                </c:pt>
                <c:pt idx="10">
                  <c:v>4</c:v>
                </c:pt>
                <c:pt idx="11">
                  <c:v>1</c:v>
                </c:pt>
                <c:pt idx="12">
                  <c:v>1</c:v>
                </c:pt>
                <c:pt idx="13">
                  <c:v>1</c:v>
                </c:pt>
                <c:pt idx="14">
                  <c:v>1</c:v>
                </c:pt>
                <c:pt idx="15">
                  <c:v>2</c:v>
                </c:pt>
                <c:pt idx="16">
                  <c:v>1</c:v>
                </c:pt>
                <c:pt idx="17">
                  <c:v>4</c:v>
                </c:pt>
                <c:pt idx="18">
                  <c:v>1</c:v>
                </c:pt>
                <c:pt idx="19">
                  <c:v>1</c:v>
                </c:pt>
                <c:pt idx="20">
                  <c:v>0</c:v>
                </c:pt>
              </c:numCache>
            </c:numRef>
          </c:val>
          <c:extLst>
            <c:ext xmlns:c16="http://schemas.microsoft.com/office/drawing/2014/chart" uri="{C3380CC4-5D6E-409C-BE32-E72D297353CC}">
              <c16:uniqueId val="{00000003-761F-46E8-9A94-4C55D6A05483}"/>
            </c:ext>
          </c:extLst>
        </c:ser>
        <c:ser>
          <c:idx val="4"/>
          <c:order val="4"/>
          <c:tx>
            <c:strRef>
              <c:f>ChatGPT_Total!$H$6</c:f>
              <c:strCache>
                <c:ptCount val="1"/>
                <c:pt idx="0">
                  <c:v>Medium Maybe:</c:v>
                </c:pt>
              </c:strCache>
            </c:strRef>
          </c:tx>
          <c:spPr>
            <a:solidFill>
              <a:schemeClr val="accent2"/>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ChatGPT_Total!$H$7:$H$27</c:f>
              <c:numCache>
                <c:formatCode>General</c:formatCode>
                <c:ptCount val="21"/>
                <c:pt idx="0">
                  <c:v>1</c:v>
                </c:pt>
                <c:pt idx="1">
                  <c:v>1</c:v>
                </c:pt>
                <c:pt idx="2">
                  <c:v>1</c:v>
                </c:pt>
                <c:pt idx="3">
                  <c:v>4</c:v>
                </c:pt>
                <c:pt idx="4">
                  <c:v>6</c:v>
                </c:pt>
                <c:pt idx="5">
                  <c:v>2</c:v>
                </c:pt>
                <c:pt idx="6">
                  <c:v>2</c:v>
                </c:pt>
                <c:pt idx="7">
                  <c:v>0</c:v>
                </c:pt>
                <c:pt idx="8">
                  <c:v>1</c:v>
                </c:pt>
                <c:pt idx="9">
                  <c:v>1</c:v>
                </c:pt>
                <c:pt idx="10">
                  <c:v>3</c:v>
                </c:pt>
                <c:pt idx="11">
                  <c:v>0</c:v>
                </c:pt>
                <c:pt idx="12">
                  <c:v>0</c:v>
                </c:pt>
                <c:pt idx="13">
                  <c:v>0</c:v>
                </c:pt>
                <c:pt idx="14">
                  <c:v>1</c:v>
                </c:pt>
                <c:pt idx="15">
                  <c:v>0</c:v>
                </c:pt>
                <c:pt idx="16">
                  <c:v>1</c:v>
                </c:pt>
                <c:pt idx="17">
                  <c:v>2</c:v>
                </c:pt>
                <c:pt idx="18">
                  <c:v>1</c:v>
                </c:pt>
                <c:pt idx="19">
                  <c:v>2</c:v>
                </c:pt>
                <c:pt idx="20">
                  <c:v>1</c:v>
                </c:pt>
              </c:numCache>
            </c:numRef>
          </c:val>
          <c:extLst>
            <c:ext xmlns:c16="http://schemas.microsoft.com/office/drawing/2014/chart" uri="{C3380CC4-5D6E-409C-BE32-E72D297353CC}">
              <c16:uniqueId val="{00000004-761F-46E8-9A94-4C55D6A05483}"/>
            </c:ext>
          </c:extLst>
        </c:ser>
        <c:ser>
          <c:idx val="5"/>
          <c:order val="5"/>
          <c:tx>
            <c:strRef>
              <c:f>ChatGPT_Total!$I$6</c:f>
              <c:strCache>
                <c:ptCount val="1"/>
                <c:pt idx="0">
                  <c:v>Low Maybe:</c:v>
                </c:pt>
              </c:strCache>
            </c:strRef>
          </c:tx>
          <c:spPr>
            <a:solidFill>
              <a:schemeClr val="accent2">
                <a:lumMod val="60000"/>
                <a:lumOff val="40000"/>
              </a:schemeClr>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ChatGPT_Total!$I$7:$I$27</c:f>
              <c:numCache>
                <c:formatCode>General</c:formatCode>
                <c:ptCount val="21"/>
                <c:pt idx="0">
                  <c:v>2</c:v>
                </c:pt>
                <c:pt idx="1">
                  <c:v>2</c:v>
                </c:pt>
                <c:pt idx="2">
                  <c:v>2</c:v>
                </c:pt>
                <c:pt idx="3">
                  <c:v>0</c:v>
                </c:pt>
                <c:pt idx="4">
                  <c:v>4</c:v>
                </c:pt>
                <c:pt idx="5">
                  <c:v>2</c:v>
                </c:pt>
                <c:pt idx="6">
                  <c:v>4</c:v>
                </c:pt>
                <c:pt idx="7">
                  <c:v>1</c:v>
                </c:pt>
                <c:pt idx="8">
                  <c:v>3</c:v>
                </c:pt>
                <c:pt idx="9">
                  <c:v>1</c:v>
                </c:pt>
                <c:pt idx="10">
                  <c:v>1</c:v>
                </c:pt>
                <c:pt idx="11">
                  <c:v>2</c:v>
                </c:pt>
                <c:pt idx="12">
                  <c:v>6</c:v>
                </c:pt>
                <c:pt idx="13">
                  <c:v>5</c:v>
                </c:pt>
                <c:pt idx="14">
                  <c:v>4</c:v>
                </c:pt>
                <c:pt idx="15">
                  <c:v>1</c:v>
                </c:pt>
                <c:pt idx="16">
                  <c:v>6</c:v>
                </c:pt>
                <c:pt idx="17">
                  <c:v>3</c:v>
                </c:pt>
                <c:pt idx="18">
                  <c:v>6</c:v>
                </c:pt>
                <c:pt idx="19">
                  <c:v>7</c:v>
                </c:pt>
                <c:pt idx="20">
                  <c:v>1</c:v>
                </c:pt>
              </c:numCache>
            </c:numRef>
          </c:val>
          <c:extLst>
            <c:ext xmlns:c16="http://schemas.microsoft.com/office/drawing/2014/chart" uri="{C3380CC4-5D6E-409C-BE32-E72D297353CC}">
              <c16:uniqueId val="{00000005-761F-46E8-9A94-4C55D6A05483}"/>
            </c:ext>
          </c:extLst>
        </c:ser>
        <c:ser>
          <c:idx val="6"/>
          <c:order val="6"/>
          <c:tx>
            <c:strRef>
              <c:f>ChatGPT_Total!$J$6</c:f>
              <c:strCache>
                <c:ptCount val="1"/>
                <c:pt idx="0">
                  <c:v>Low Incorrect:</c:v>
                </c:pt>
              </c:strCache>
            </c:strRef>
          </c:tx>
          <c:spPr>
            <a:solidFill>
              <a:srgbClr val="F46868"/>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ChatGPT_Total!$J$7:$J$27</c:f>
              <c:numCache>
                <c:formatCode>General</c:formatCode>
                <c:ptCount val="21"/>
                <c:pt idx="0">
                  <c:v>5</c:v>
                </c:pt>
                <c:pt idx="1">
                  <c:v>9</c:v>
                </c:pt>
                <c:pt idx="2">
                  <c:v>7</c:v>
                </c:pt>
                <c:pt idx="3">
                  <c:v>3</c:v>
                </c:pt>
                <c:pt idx="4">
                  <c:v>7</c:v>
                </c:pt>
                <c:pt idx="5">
                  <c:v>8</c:v>
                </c:pt>
                <c:pt idx="6">
                  <c:v>7</c:v>
                </c:pt>
                <c:pt idx="7">
                  <c:v>5</c:v>
                </c:pt>
                <c:pt idx="8">
                  <c:v>7</c:v>
                </c:pt>
                <c:pt idx="9">
                  <c:v>4</c:v>
                </c:pt>
                <c:pt idx="10">
                  <c:v>5</c:v>
                </c:pt>
                <c:pt idx="11">
                  <c:v>8</c:v>
                </c:pt>
                <c:pt idx="12">
                  <c:v>12</c:v>
                </c:pt>
                <c:pt idx="13">
                  <c:v>11</c:v>
                </c:pt>
                <c:pt idx="14">
                  <c:v>6</c:v>
                </c:pt>
                <c:pt idx="15">
                  <c:v>8</c:v>
                </c:pt>
                <c:pt idx="16">
                  <c:v>4</c:v>
                </c:pt>
                <c:pt idx="17">
                  <c:v>8</c:v>
                </c:pt>
                <c:pt idx="18">
                  <c:v>8</c:v>
                </c:pt>
                <c:pt idx="19">
                  <c:v>15</c:v>
                </c:pt>
                <c:pt idx="20">
                  <c:v>4</c:v>
                </c:pt>
              </c:numCache>
            </c:numRef>
          </c:val>
          <c:extLst>
            <c:ext xmlns:c16="http://schemas.microsoft.com/office/drawing/2014/chart" uri="{C3380CC4-5D6E-409C-BE32-E72D297353CC}">
              <c16:uniqueId val="{00000006-761F-46E8-9A94-4C55D6A05483}"/>
            </c:ext>
          </c:extLst>
        </c:ser>
        <c:ser>
          <c:idx val="7"/>
          <c:order val="7"/>
          <c:tx>
            <c:strRef>
              <c:f>ChatGPT_Total!$K$6</c:f>
              <c:strCache>
                <c:ptCount val="1"/>
                <c:pt idx="0">
                  <c:v>Medium Incorrect:</c:v>
                </c:pt>
              </c:strCache>
            </c:strRef>
          </c:tx>
          <c:spPr>
            <a:solidFill>
              <a:srgbClr val="EC2828"/>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ChatGPT_Total!$K$7:$K$27</c:f>
              <c:numCache>
                <c:formatCode>General</c:formatCode>
                <c:ptCount val="21"/>
                <c:pt idx="0">
                  <c:v>9</c:v>
                </c:pt>
                <c:pt idx="1">
                  <c:v>4</c:v>
                </c:pt>
                <c:pt idx="2">
                  <c:v>3</c:v>
                </c:pt>
                <c:pt idx="3">
                  <c:v>4</c:v>
                </c:pt>
                <c:pt idx="4">
                  <c:v>1</c:v>
                </c:pt>
                <c:pt idx="5">
                  <c:v>5</c:v>
                </c:pt>
                <c:pt idx="6">
                  <c:v>7</c:v>
                </c:pt>
                <c:pt idx="7">
                  <c:v>10</c:v>
                </c:pt>
                <c:pt idx="8">
                  <c:v>12</c:v>
                </c:pt>
                <c:pt idx="9">
                  <c:v>10</c:v>
                </c:pt>
                <c:pt idx="10">
                  <c:v>10</c:v>
                </c:pt>
                <c:pt idx="11">
                  <c:v>5</c:v>
                </c:pt>
                <c:pt idx="12">
                  <c:v>6</c:v>
                </c:pt>
                <c:pt idx="13">
                  <c:v>6</c:v>
                </c:pt>
                <c:pt idx="14">
                  <c:v>4</c:v>
                </c:pt>
                <c:pt idx="15">
                  <c:v>3</c:v>
                </c:pt>
                <c:pt idx="16">
                  <c:v>4</c:v>
                </c:pt>
                <c:pt idx="17">
                  <c:v>5</c:v>
                </c:pt>
                <c:pt idx="18">
                  <c:v>4</c:v>
                </c:pt>
                <c:pt idx="19">
                  <c:v>5</c:v>
                </c:pt>
                <c:pt idx="20">
                  <c:v>4</c:v>
                </c:pt>
              </c:numCache>
            </c:numRef>
          </c:val>
          <c:extLst>
            <c:ext xmlns:c16="http://schemas.microsoft.com/office/drawing/2014/chart" uri="{C3380CC4-5D6E-409C-BE32-E72D297353CC}">
              <c16:uniqueId val="{00000007-761F-46E8-9A94-4C55D6A05483}"/>
            </c:ext>
          </c:extLst>
        </c:ser>
        <c:ser>
          <c:idx val="8"/>
          <c:order val="8"/>
          <c:tx>
            <c:strRef>
              <c:f>ChatGPT_Total!$L$6</c:f>
              <c:strCache>
                <c:ptCount val="1"/>
                <c:pt idx="0">
                  <c:v>High Incorrect:</c:v>
                </c:pt>
              </c:strCache>
            </c:strRef>
          </c:tx>
          <c:spPr>
            <a:solidFill>
              <a:srgbClr val="C00000"/>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ChatGPT_Total!$L$7:$L$27</c:f>
              <c:numCache>
                <c:formatCode>General</c:formatCode>
                <c:ptCount val="21"/>
                <c:pt idx="0">
                  <c:v>5</c:v>
                </c:pt>
                <c:pt idx="1">
                  <c:v>3</c:v>
                </c:pt>
                <c:pt idx="2">
                  <c:v>7</c:v>
                </c:pt>
                <c:pt idx="3">
                  <c:v>7</c:v>
                </c:pt>
                <c:pt idx="4">
                  <c:v>9</c:v>
                </c:pt>
                <c:pt idx="5">
                  <c:v>5</c:v>
                </c:pt>
                <c:pt idx="6">
                  <c:v>3</c:v>
                </c:pt>
                <c:pt idx="7">
                  <c:v>4</c:v>
                </c:pt>
                <c:pt idx="8">
                  <c:v>4</c:v>
                </c:pt>
                <c:pt idx="9">
                  <c:v>4</c:v>
                </c:pt>
                <c:pt idx="10">
                  <c:v>1</c:v>
                </c:pt>
                <c:pt idx="11">
                  <c:v>4</c:v>
                </c:pt>
                <c:pt idx="12">
                  <c:v>5</c:v>
                </c:pt>
                <c:pt idx="13">
                  <c:v>5</c:v>
                </c:pt>
                <c:pt idx="14">
                  <c:v>6</c:v>
                </c:pt>
                <c:pt idx="15">
                  <c:v>6</c:v>
                </c:pt>
                <c:pt idx="16">
                  <c:v>5</c:v>
                </c:pt>
                <c:pt idx="17">
                  <c:v>3</c:v>
                </c:pt>
                <c:pt idx="18">
                  <c:v>2</c:v>
                </c:pt>
                <c:pt idx="19">
                  <c:v>8</c:v>
                </c:pt>
                <c:pt idx="20">
                  <c:v>4</c:v>
                </c:pt>
              </c:numCache>
            </c:numRef>
          </c:val>
          <c:extLst>
            <c:ext xmlns:c16="http://schemas.microsoft.com/office/drawing/2014/chart" uri="{C3380CC4-5D6E-409C-BE32-E72D297353CC}">
              <c16:uniqueId val="{00000008-761F-46E8-9A94-4C55D6A05483}"/>
            </c:ext>
          </c:extLst>
        </c:ser>
        <c:ser>
          <c:idx val="9"/>
          <c:order val="9"/>
          <c:tx>
            <c:strRef>
              <c:f>ChatGPT_Total!$M$6</c:f>
              <c:strCache>
                <c:ptCount val="1"/>
                <c:pt idx="0">
                  <c:v>N/A:</c:v>
                </c:pt>
              </c:strCache>
            </c:strRef>
          </c:tx>
          <c:spPr>
            <a:solidFill>
              <a:schemeClr val="bg1">
                <a:lumMod val="65000"/>
              </a:schemeClr>
            </a:solidFill>
            <a:ln>
              <a:noFill/>
            </a:ln>
            <a:effectLst/>
          </c:spPr>
          <c:invertIfNegative val="0"/>
          <c:cat>
            <c:strRef>
              <c:f>ChatGPT_Total!$C$7:$C$27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ChatGPT_Total!$M$7:$M$27</c:f>
              <c:numCache>
                <c:formatCode>General</c:formatCode>
                <c:ptCount val="21"/>
                <c:pt idx="0">
                  <c:v>3</c:v>
                </c:pt>
                <c:pt idx="1">
                  <c:v>0</c:v>
                </c:pt>
                <c:pt idx="2">
                  <c:v>0</c:v>
                </c:pt>
                <c:pt idx="3">
                  <c:v>0</c:v>
                </c:pt>
                <c:pt idx="4">
                  <c:v>1</c:v>
                </c:pt>
                <c:pt idx="5">
                  <c:v>0</c:v>
                </c:pt>
                <c:pt idx="6">
                  <c:v>0</c:v>
                </c:pt>
                <c:pt idx="7">
                  <c:v>3</c:v>
                </c:pt>
                <c:pt idx="8">
                  <c:v>2</c:v>
                </c:pt>
                <c:pt idx="9">
                  <c:v>0</c:v>
                </c:pt>
                <c:pt idx="10">
                  <c:v>3</c:v>
                </c:pt>
                <c:pt idx="11">
                  <c:v>6</c:v>
                </c:pt>
                <c:pt idx="12">
                  <c:v>3</c:v>
                </c:pt>
                <c:pt idx="13">
                  <c:v>3</c:v>
                </c:pt>
                <c:pt idx="14">
                  <c:v>3</c:v>
                </c:pt>
                <c:pt idx="15">
                  <c:v>3</c:v>
                </c:pt>
                <c:pt idx="16">
                  <c:v>18</c:v>
                </c:pt>
                <c:pt idx="17">
                  <c:v>0</c:v>
                </c:pt>
                <c:pt idx="18">
                  <c:v>0</c:v>
                </c:pt>
                <c:pt idx="19">
                  <c:v>3</c:v>
                </c:pt>
                <c:pt idx="20">
                  <c:v>26</c:v>
                </c:pt>
              </c:numCache>
            </c:numRef>
          </c:val>
          <c:extLst>
            <c:ext xmlns:c16="http://schemas.microsoft.com/office/drawing/2014/chart" uri="{C3380CC4-5D6E-409C-BE32-E72D297353CC}">
              <c16:uniqueId val="{00000009-761F-46E8-9A94-4C55D6A05483}"/>
            </c:ext>
          </c:extLst>
        </c:ser>
        <c:dLbls>
          <c:showLegendKey val="0"/>
          <c:showVal val="0"/>
          <c:showCatName val="0"/>
          <c:showSerName val="0"/>
          <c:showPercent val="0"/>
          <c:showBubbleSize val="0"/>
        </c:dLbls>
        <c:gapWidth val="150"/>
        <c:overlap val="100"/>
        <c:axId val="1325857440"/>
        <c:axId val="1325856480"/>
      </c:barChart>
      <c:catAx>
        <c:axId val="1325857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25856480"/>
        <c:crosses val="autoZero"/>
        <c:auto val="1"/>
        <c:lblAlgn val="ctr"/>
        <c:lblOffset val="100"/>
        <c:noMultiLvlLbl val="0"/>
      </c:catAx>
      <c:valAx>
        <c:axId val="13258564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25857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ChatGPT_Total!$D$31</c:f>
              <c:strCache>
                <c:ptCount val="1"/>
                <c:pt idx="0">
                  <c:v>High Correct:</c:v>
                </c:pt>
              </c:strCache>
            </c:strRef>
          </c:tx>
          <c:spPr>
            <a:solidFill>
              <a:schemeClr val="accent6">
                <a:lumMod val="75000"/>
              </a:schemeClr>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ChatGPT_Total!$D$32:$D$49</c:f>
              <c:numCache>
                <c:formatCode>General</c:formatCode>
                <c:ptCount val="18"/>
                <c:pt idx="0">
                  <c:v>33</c:v>
                </c:pt>
                <c:pt idx="1">
                  <c:v>23</c:v>
                </c:pt>
                <c:pt idx="2">
                  <c:v>37</c:v>
                </c:pt>
                <c:pt idx="3">
                  <c:v>19</c:v>
                </c:pt>
                <c:pt idx="4">
                  <c:v>7</c:v>
                </c:pt>
                <c:pt idx="5">
                  <c:v>18</c:v>
                </c:pt>
                <c:pt idx="6">
                  <c:v>30</c:v>
                </c:pt>
                <c:pt idx="7">
                  <c:v>33</c:v>
                </c:pt>
                <c:pt idx="8">
                  <c:v>15</c:v>
                </c:pt>
                <c:pt idx="9">
                  <c:v>14</c:v>
                </c:pt>
                <c:pt idx="10">
                  <c:v>8</c:v>
                </c:pt>
                <c:pt idx="11">
                  <c:v>47</c:v>
                </c:pt>
                <c:pt idx="12">
                  <c:v>2</c:v>
                </c:pt>
                <c:pt idx="13">
                  <c:v>16</c:v>
                </c:pt>
                <c:pt idx="14">
                  <c:v>1</c:v>
                </c:pt>
                <c:pt idx="15">
                  <c:v>21</c:v>
                </c:pt>
                <c:pt idx="16">
                  <c:v>4</c:v>
                </c:pt>
                <c:pt idx="17">
                  <c:v>26</c:v>
                </c:pt>
              </c:numCache>
            </c:numRef>
          </c:val>
          <c:extLst>
            <c:ext xmlns:c16="http://schemas.microsoft.com/office/drawing/2014/chart" uri="{C3380CC4-5D6E-409C-BE32-E72D297353CC}">
              <c16:uniqueId val="{00000000-9B87-4D12-B0B4-21047E0D406D}"/>
            </c:ext>
          </c:extLst>
        </c:ser>
        <c:ser>
          <c:idx val="1"/>
          <c:order val="1"/>
          <c:tx>
            <c:strRef>
              <c:f>ChatGPT_Total!$E$31</c:f>
              <c:strCache>
                <c:ptCount val="1"/>
                <c:pt idx="0">
                  <c:v>Medium Correct:</c:v>
                </c:pt>
              </c:strCache>
            </c:strRef>
          </c:tx>
          <c:spPr>
            <a:solidFill>
              <a:schemeClr val="accent6"/>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ChatGPT_Total!$E$32:$E$49</c:f>
              <c:numCache>
                <c:formatCode>General</c:formatCode>
                <c:ptCount val="18"/>
                <c:pt idx="0">
                  <c:v>2</c:v>
                </c:pt>
                <c:pt idx="1">
                  <c:v>10</c:v>
                </c:pt>
                <c:pt idx="2">
                  <c:v>5</c:v>
                </c:pt>
                <c:pt idx="3">
                  <c:v>6</c:v>
                </c:pt>
                <c:pt idx="4">
                  <c:v>3</c:v>
                </c:pt>
                <c:pt idx="5">
                  <c:v>5</c:v>
                </c:pt>
                <c:pt idx="6">
                  <c:v>6</c:v>
                </c:pt>
                <c:pt idx="7">
                  <c:v>6</c:v>
                </c:pt>
                <c:pt idx="8">
                  <c:v>2</c:v>
                </c:pt>
                <c:pt idx="9">
                  <c:v>5</c:v>
                </c:pt>
                <c:pt idx="10">
                  <c:v>5</c:v>
                </c:pt>
                <c:pt idx="11">
                  <c:v>5</c:v>
                </c:pt>
                <c:pt idx="12">
                  <c:v>3</c:v>
                </c:pt>
                <c:pt idx="13">
                  <c:v>4</c:v>
                </c:pt>
                <c:pt idx="14">
                  <c:v>1</c:v>
                </c:pt>
                <c:pt idx="15">
                  <c:v>5</c:v>
                </c:pt>
                <c:pt idx="16">
                  <c:v>3</c:v>
                </c:pt>
                <c:pt idx="17">
                  <c:v>7</c:v>
                </c:pt>
              </c:numCache>
            </c:numRef>
          </c:val>
          <c:extLst>
            <c:ext xmlns:c16="http://schemas.microsoft.com/office/drawing/2014/chart" uri="{C3380CC4-5D6E-409C-BE32-E72D297353CC}">
              <c16:uniqueId val="{00000001-9B87-4D12-B0B4-21047E0D406D}"/>
            </c:ext>
          </c:extLst>
        </c:ser>
        <c:ser>
          <c:idx val="2"/>
          <c:order val="2"/>
          <c:tx>
            <c:strRef>
              <c:f>ChatGPT_Total!$F$31</c:f>
              <c:strCache>
                <c:ptCount val="1"/>
                <c:pt idx="0">
                  <c:v>Low Correct:</c:v>
                </c:pt>
              </c:strCache>
            </c:strRef>
          </c:tx>
          <c:spPr>
            <a:solidFill>
              <a:schemeClr val="accent6">
                <a:lumMod val="60000"/>
                <a:lumOff val="40000"/>
              </a:schemeClr>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ChatGPT_Total!$F$32:$F$49</c:f>
              <c:numCache>
                <c:formatCode>General</c:formatCode>
                <c:ptCount val="18"/>
                <c:pt idx="0">
                  <c:v>3</c:v>
                </c:pt>
                <c:pt idx="1">
                  <c:v>8</c:v>
                </c:pt>
                <c:pt idx="2">
                  <c:v>3</c:v>
                </c:pt>
                <c:pt idx="3">
                  <c:v>7</c:v>
                </c:pt>
                <c:pt idx="4">
                  <c:v>6</c:v>
                </c:pt>
                <c:pt idx="5">
                  <c:v>5</c:v>
                </c:pt>
                <c:pt idx="6">
                  <c:v>1</c:v>
                </c:pt>
                <c:pt idx="7">
                  <c:v>9</c:v>
                </c:pt>
                <c:pt idx="8">
                  <c:v>3</c:v>
                </c:pt>
                <c:pt idx="9">
                  <c:v>8</c:v>
                </c:pt>
                <c:pt idx="10">
                  <c:v>5</c:v>
                </c:pt>
                <c:pt idx="11">
                  <c:v>6</c:v>
                </c:pt>
                <c:pt idx="12">
                  <c:v>6</c:v>
                </c:pt>
                <c:pt idx="13">
                  <c:v>6</c:v>
                </c:pt>
                <c:pt idx="14">
                  <c:v>2</c:v>
                </c:pt>
                <c:pt idx="15">
                  <c:v>7</c:v>
                </c:pt>
                <c:pt idx="16">
                  <c:v>1</c:v>
                </c:pt>
                <c:pt idx="17">
                  <c:v>16</c:v>
                </c:pt>
              </c:numCache>
            </c:numRef>
          </c:val>
          <c:extLst>
            <c:ext xmlns:c16="http://schemas.microsoft.com/office/drawing/2014/chart" uri="{C3380CC4-5D6E-409C-BE32-E72D297353CC}">
              <c16:uniqueId val="{00000002-9B87-4D12-B0B4-21047E0D406D}"/>
            </c:ext>
          </c:extLst>
        </c:ser>
        <c:ser>
          <c:idx val="3"/>
          <c:order val="3"/>
          <c:tx>
            <c:strRef>
              <c:f>ChatGPT_Total!$G$31</c:f>
              <c:strCache>
                <c:ptCount val="1"/>
                <c:pt idx="0">
                  <c:v>High Maybe:</c:v>
                </c:pt>
              </c:strCache>
            </c:strRef>
          </c:tx>
          <c:spPr>
            <a:solidFill>
              <a:schemeClr val="accent2">
                <a:lumMod val="75000"/>
              </a:schemeClr>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ChatGPT_Total!$G$32:$G$49</c:f>
              <c:numCache>
                <c:formatCode>General</c:formatCode>
                <c:ptCount val="18"/>
                <c:pt idx="0">
                  <c:v>2</c:v>
                </c:pt>
                <c:pt idx="1">
                  <c:v>3</c:v>
                </c:pt>
                <c:pt idx="2">
                  <c:v>2</c:v>
                </c:pt>
                <c:pt idx="3">
                  <c:v>5</c:v>
                </c:pt>
                <c:pt idx="4">
                  <c:v>5</c:v>
                </c:pt>
                <c:pt idx="5">
                  <c:v>4</c:v>
                </c:pt>
                <c:pt idx="6">
                  <c:v>2</c:v>
                </c:pt>
                <c:pt idx="7">
                  <c:v>4</c:v>
                </c:pt>
                <c:pt idx="8">
                  <c:v>1</c:v>
                </c:pt>
                <c:pt idx="9">
                  <c:v>5</c:v>
                </c:pt>
                <c:pt idx="10">
                  <c:v>5</c:v>
                </c:pt>
                <c:pt idx="11">
                  <c:v>0</c:v>
                </c:pt>
                <c:pt idx="12">
                  <c:v>3</c:v>
                </c:pt>
                <c:pt idx="13">
                  <c:v>1</c:v>
                </c:pt>
                <c:pt idx="14">
                  <c:v>2</c:v>
                </c:pt>
                <c:pt idx="15">
                  <c:v>3</c:v>
                </c:pt>
                <c:pt idx="16">
                  <c:v>5</c:v>
                </c:pt>
                <c:pt idx="17">
                  <c:v>2</c:v>
                </c:pt>
              </c:numCache>
            </c:numRef>
          </c:val>
          <c:extLst>
            <c:ext xmlns:c16="http://schemas.microsoft.com/office/drawing/2014/chart" uri="{C3380CC4-5D6E-409C-BE32-E72D297353CC}">
              <c16:uniqueId val="{00000003-9B87-4D12-B0B4-21047E0D406D}"/>
            </c:ext>
          </c:extLst>
        </c:ser>
        <c:ser>
          <c:idx val="4"/>
          <c:order val="4"/>
          <c:tx>
            <c:strRef>
              <c:f>ChatGPT_Total!$H$31</c:f>
              <c:strCache>
                <c:ptCount val="1"/>
                <c:pt idx="0">
                  <c:v>Medium Maybe:</c:v>
                </c:pt>
              </c:strCache>
            </c:strRef>
          </c:tx>
          <c:spPr>
            <a:solidFill>
              <a:schemeClr val="accent2"/>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ChatGPT_Total!$H$32:$H$49</c:f>
              <c:numCache>
                <c:formatCode>General</c:formatCode>
                <c:ptCount val="18"/>
                <c:pt idx="0">
                  <c:v>1</c:v>
                </c:pt>
                <c:pt idx="1">
                  <c:v>0</c:v>
                </c:pt>
                <c:pt idx="2">
                  <c:v>0</c:v>
                </c:pt>
                <c:pt idx="3">
                  <c:v>4</c:v>
                </c:pt>
                <c:pt idx="4">
                  <c:v>2</c:v>
                </c:pt>
                <c:pt idx="5">
                  <c:v>0</c:v>
                </c:pt>
                <c:pt idx="6">
                  <c:v>1</c:v>
                </c:pt>
                <c:pt idx="7">
                  <c:v>1</c:v>
                </c:pt>
                <c:pt idx="8">
                  <c:v>3</c:v>
                </c:pt>
                <c:pt idx="9">
                  <c:v>1</c:v>
                </c:pt>
                <c:pt idx="10">
                  <c:v>3</c:v>
                </c:pt>
                <c:pt idx="11">
                  <c:v>0</c:v>
                </c:pt>
                <c:pt idx="12">
                  <c:v>5</c:v>
                </c:pt>
                <c:pt idx="13">
                  <c:v>2</c:v>
                </c:pt>
                <c:pt idx="14">
                  <c:v>0</c:v>
                </c:pt>
                <c:pt idx="15">
                  <c:v>3</c:v>
                </c:pt>
                <c:pt idx="16">
                  <c:v>3</c:v>
                </c:pt>
                <c:pt idx="17">
                  <c:v>1</c:v>
                </c:pt>
              </c:numCache>
            </c:numRef>
          </c:val>
          <c:extLst>
            <c:ext xmlns:c16="http://schemas.microsoft.com/office/drawing/2014/chart" uri="{C3380CC4-5D6E-409C-BE32-E72D297353CC}">
              <c16:uniqueId val="{00000004-9B87-4D12-B0B4-21047E0D406D}"/>
            </c:ext>
          </c:extLst>
        </c:ser>
        <c:ser>
          <c:idx val="5"/>
          <c:order val="5"/>
          <c:tx>
            <c:strRef>
              <c:f>ChatGPT_Total!$I$31</c:f>
              <c:strCache>
                <c:ptCount val="1"/>
                <c:pt idx="0">
                  <c:v>Low Maybe:</c:v>
                </c:pt>
              </c:strCache>
            </c:strRef>
          </c:tx>
          <c:spPr>
            <a:solidFill>
              <a:schemeClr val="accent2">
                <a:lumMod val="60000"/>
                <a:lumOff val="40000"/>
              </a:schemeClr>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ChatGPT_Total!$I$32:$I$49</c:f>
              <c:numCache>
                <c:formatCode>General</c:formatCode>
                <c:ptCount val="18"/>
                <c:pt idx="0">
                  <c:v>3</c:v>
                </c:pt>
                <c:pt idx="1">
                  <c:v>3</c:v>
                </c:pt>
                <c:pt idx="2">
                  <c:v>1</c:v>
                </c:pt>
                <c:pt idx="3">
                  <c:v>4</c:v>
                </c:pt>
                <c:pt idx="4">
                  <c:v>6</c:v>
                </c:pt>
                <c:pt idx="5">
                  <c:v>3</c:v>
                </c:pt>
                <c:pt idx="6">
                  <c:v>5</c:v>
                </c:pt>
                <c:pt idx="7">
                  <c:v>0</c:v>
                </c:pt>
                <c:pt idx="8">
                  <c:v>5</c:v>
                </c:pt>
                <c:pt idx="9">
                  <c:v>3</c:v>
                </c:pt>
                <c:pt idx="10">
                  <c:v>4</c:v>
                </c:pt>
                <c:pt idx="11">
                  <c:v>3</c:v>
                </c:pt>
                <c:pt idx="12">
                  <c:v>6</c:v>
                </c:pt>
                <c:pt idx="13">
                  <c:v>4</c:v>
                </c:pt>
                <c:pt idx="14">
                  <c:v>2</c:v>
                </c:pt>
                <c:pt idx="15">
                  <c:v>3</c:v>
                </c:pt>
                <c:pt idx="16">
                  <c:v>3</c:v>
                </c:pt>
                <c:pt idx="17">
                  <c:v>5</c:v>
                </c:pt>
              </c:numCache>
            </c:numRef>
          </c:val>
          <c:extLst>
            <c:ext xmlns:c16="http://schemas.microsoft.com/office/drawing/2014/chart" uri="{C3380CC4-5D6E-409C-BE32-E72D297353CC}">
              <c16:uniqueId val="{00000005-9B87-4D12-B0B4-21047E0D406D}"/>
            </c:ext>
          </c:extLst>
        </c:ser>
        <c:ser>
          <c:idx val="6"/>
          <c:order val="6"/>
          <c:tx>
            <c:strRef>
              <c:f>ChatGPT_Total!$J$31</c:f>
              <c:strCache>
                <c:ptCount val="1"/>
                <c:pt idx="0">
                  <c:v>Low Incorrect:</c:v>
                </c:pt>
              </c:strCache>
            </c:strRef>
          </c:tx>
          <c:spPr>
            <a:solidFill>
              <a:srgbClr val="F46868"/>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ChatGPT_Total!$J$32:$J$49</c:f>
              <c:numCache>
                <c:formatCode>General</c:formatCode>
                <c:ptCount val="18"/>
                <c:pt idx="0">
                  <c:v>7</c:v>
                </c:pt>
                <c:pt idx="1">
                  <c:v>7</c:v>
                </c:pt>
                <c:pt idx="2">
                  <c:v>5</c:v>
                </c:pt>
                <c:pt idx="3">
                  <c:v>8</c:v>
                </c:pt>
                <c:pt idx="4">
                  <c:v>12</c:v>
                </c:pt>
                <c:pt idx="5">
                  <c:v>0</c:v>
                </c:pt>
                <c:pt idx="6">
                  <c:v>5</c:v>
                </c:pt>
                <c:pt idx="7">
                  <c:v>3</c:v>
                </c:pt>
                <c:pt idx="8">
                  <c:v>12</c:v>
                </c:pt>
                <c:pt idx="9">
                  <c:v>9</c:v>
                </c:pt>
                <c:pt idx="10">
                  <c:v>15</c:v>
                </c:pt>
                <c:pt idx="11">
                  <c:v>1</c:v>
                </c:pt>
                <c:pt idx="12">
                  <c:v>19</c:v>
                </c:pt>
                <c:pt idx="13">
                  <c:v>8</c:v>
                </c:pt>
                <c:pt idx="14">
                  <c:v>15</c:v>
                </c:pt>
                <c:pt idx="15">
                  <c:v>10</c:v>
                </c:pt>
                <c:pt idx="16">
                  <c:v>12</c:v>
                </c:pt>
                <c:pt idx="17">
                  <c:v>2</c:v>
                </c:pt>
              </c:numCache>
            </c:numRef>
          </c:val>
          <c:extLst>
            <c:ext xmlns:c16="http://schemas.microsoft.com/office/drawing/2014/chart" uri="{C3380CC4-5D6E-409C-BE32-E72D297353CC}">
              <c16:uniqueId val="{00000006-9B87-4D12-B0B4-21047E0D406D}"/>
            </c:ext>
          </c:extLst>
        </c:ser>
        <c:ser>
          <c:idx val="7"/>
          <c:order val="7"/>
          <c:tx>
            <c:strRef>
              <c:f>ChatGPT_Total!$K$31</c:f>
              <c:strCache>
                <c:ptCount val="1"/>
                <c:pt idx="0">
                  <c:v>Medium Incorrect:</c:v>
                </c:pt>
              </c:strCache>
            </c:strRef>
          </c:tx>
          <c:spPr>
            <a:solidFill>
              <a:srgbClr val="EC2828"/>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ChatGPT_Total!$K$32:$K$49</c:f>
              <c:numCache>
                <c:formatCode>General</c:formatCode>
                <c:ptCount val="18"/>
                <c:pt idx="0">
                  <c:v>3</c:v>
                </c:pt>
                <c:pt idx="1">
                  <c:v>7</c:v>
                </c:pt>
                <c:pt idx="2">
                  <c:v>2</c:v>
                </c:pt>
                <c:pt idx="3">
                  <c:v>10</c:v>
                </c:pt>
                <c:pt idx="4">
                  <c:v>13</c:v>
                </c:pt>
                <c:pt idx="5">
                  <c:v>0</c:v>
                </c:pt>
                <c:pt idx="6">
                  <c:v>3</c:v>
                </c:pt>
                <c:pt idx="7">
                  <c:v>3</c:v>
                </c:pt>
                <c:pt idx="8">
                  <c:v>11</c:v>
                </c:pt>
                <c:pt idx="9">
                  <c:v>15</c:v>
                </c:pt>
                <c:pt idx="10">
                  <c:v>14</c:v>
                </c:pt>
                <c:pt idx="11">
                  <c:v>0</c:v>
                </c:pt>
                <c:pt idx="12">
                  <c:v>6</c:v>
                </c:pt>
                <c:pt idx="13">
                  <c:v>16</c:v>
                </c:pt>
                <c:pt idx="14">
                  <c:v>10</c:v>
                </c:pt>
                <c:pt idx="15">
                  <c:v>5</c:v>
                </c:pt>
                <c:pt idx="16">
                  <c:v>2</c:v>
                </c:pt>
                <c:pt idx="17">
                  <c:v>1</c:v>
                </c:pt>
              </c:numCache>
            </c:numRef>
          </c:val>
          <c:extLst>
            <c:ext xmlns:c16="http://schemas.microsoft.com/office/drawing/2014/chart" uri="{C3380CC4-5D6E-409C-BE32-E72D297353CC}">
              <c16:uniqueId val="{00000007-9B87-4D12-B0B4-21047E0D406D}"/>
            </c:ext>
          </c:extLst>
        </c:ser>
        <c:ser>
          <c:idx val="8"/>
          <c:order val="8"/>
          <c:tx>
            <c:strRef>
              <c:f>ChatGPT_Total!$L$31</c:f>
              <c:strCache>
                <c:ptCount val="1"/>
                <c:pt idx="0">
                  <c:v>High Incorrect:</c:v>
                </c:pt>
              </c:strCache>
            </c:strRef>
          </c:tx>
          <c:spPr>
            <a:solidFill>
              <a:srgbClr val="C00000"/>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ChatGPT_Total!$L$32:$L$49</c:f>
              <c:numCache>
                <c:formatCode>General</c:formatCode>
                <c:ptCount val="18"/>
                <c:pt idx="0">
                  <c:v>0</c:v>
                </c:pt>
                <c:pt idx="1">
                  <c:v>2</c:v>
                </c:pt>
                <c:pt idx="2">
                  <c:v>2</c:v>
                </c:pt>
                <c:pt idx="3">
                  <c:v>0</c:v>
                </c:pt>
                <c:pt idx="4">
                  <c:v>6</c:v>
                </c:pt>
                <c:pt idx="5">
                  <c:v>1</c:v>
                </c:pt>
                <c:pt idx="6">
                  <c:v>4</c:v>
                </c:pt>
                <c:pt idx="7">
                  <c:v>1</c:v>
                </c:pt>
                <c:pt idx="8">
                  <c:v>4</c:v>
                </c:pt>
                <c:pt idx="9">
                  <c:v>3</c:v>
                </c:pt>
                <c:pt idx="10">
                  <c:v>4</c:v>
                </c:pt>
                <c:pt idx="11">
                  <c:v>1</c:v>
                </c:pt>
                <c:pt idx="12">
                  <c:v>5</c:v>
                </c:pt>
                <c:pt idx="13">
                  <c:v>6</c:v>
                </c:pt>
                <c:pt idx="14">
                  <c:v>30</c:v>
                </c:pt>
                <c:pt idx="15">
                  <c:v>4</c:v>
                </c:pt>
                <c:pt idx="16">
                  <c:v>24</c:v>
                </c:pt>
                <c:pt idx="17">
                  <c:v>3</c:v>
                </c:pt>
              </c:numCache>
            </c:numRef>
          </c:val>
          <c:extLst>
            <c:ext xmlns:c16="http://schemas.microsoft.com/office/drawing/2014/chart" uri="{C3380CC4-5D6E-409C-BE32-E72D297353CC}">
              <c16:uniqueId val="{00000008-9B87-4D12-B0B4-21047E0D406D}"/>
            </c:ext>
          </c:extLst>
        </c:ser>
        <c:ser>
          <c:idx val="9"/>
          <c:order val="9"/>
          <c:tx>
            <c:strRef>
              <c:f>ChatGPT_Total!$M$31</c:f>
              <c:strCache>
                <c:ptCount val="1"/>
                <c:pt idx="0">
                  <c:v>N/A:</c:v>
                </c:pt>
              </c:strCache>
            </c:strRef>
          </c:tx>
          <c:spPr>
            <a:solidFill>
              <a:schemeClr val="bg1">
                <a:lumMod val="65000"/>
              </a:schemeClr>
            </a:solidFill>
            <a:ln>
              <a:noFill/>
            </a:ln>
            <a:effectLst/>
          </c:spPr>
          <c:invertIfNegative val="0"/>
          <c:cat>
            <c:strRef>
              <c:f>ChatGPT_Total!$C$32:$C$49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ChatGPT_Total!$M$32:$M$49</c:f>
              <c:numCache>
                <c:formatCode>General</c:formatCode>
                <c:ptCount val="18"/>
                <c:pt idx="0">
                  <c:v>9</c:v>
                </c:pt>
                <c:pt idx="1">
                  <c:v>0</c:v>
                </c:pt>
                <c:pt idx="2">
                  <c:v>6</c:v>
                </c:pt>
                <c:pt idx="3">
                  <c:v>0</c:v>
                </c:pt>
                <c:pt idx="4">
                  <c:v>3</c:v>
                </c:pt>
                <c:pt idx="5">
                  <c:v>27</c:v>
                </c:pt>
                <c:pt idx="6">
                  <c:v>6</c:v>
                </c:pt>
                <c:pt idx="7">
                  <c:v>3</c:v>
                </c:pt>
                <c:pt idx="8">
                  <c:v>7</c:v>
                </c:pt>
                <c:pt idx="9">
                  <c:v>0</c:v>
                </c:pt>
                <c:pt idx="10">
                  <c:v>0</c:v>
                </c:pt>
                <c:pt idx="11">
                  <c:v>0</c:v>
                </c:pt>
                <c:pt idx="12">
                  <c:v>8</c:v>
                </c:pt>
                <c:pt idx="13">
                  <c:v>0</c:v>
                </c:pt>
                <c:pt idx="14">
                  <c:v>0</c:v>
                </c:pt>
                <c:pt idx="15">
                  <c:v>2</c:v>
                </c:pt>
                <c:pt idx="16">
                  <c:v>6</c:v>
                </c:pt>
                <c:pt idx="17">
                  <c:v>0</c:v>
                </c:pt>
              </c:numCache>
            </c:numRef>
          </c:val>
          <c:extLst>
            <c:ext xmlns:c16="http://schemas.microsoft.com/office/drawing/2014/chart" uri="{C3380CC4-5D6E-409C-BE32-E72D297353CC}">
              <c16:uniqueId val="{00000009-9B87-4D12-B0B4-21047E0D406D}"/>
            </c:ext>
          </c:extLst>
        </c:ser>
        <c:dLbls>
          <c:showLegendKey val="0"/>
          <c:showVal val="0"/>
          <c:showCatName val="0"/>
          <c:showSerName val="0"/>
          <c:showPercent val="0"/>
          <c:showBubbleSize val="0"/>
        </c:dLbls>
        <c:gapWidth val="150"/>
        <c:overlap val="100"/>
        <c:axId val="1619004160"/>
        <c:axId val="1619004640"/>
      </c:barChart>
      <c:catAx>
        <c:axId val="1619004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619004640"/>
        <c:crosses val="autoZero"/>
        <c:auto val="1"/>
        <c:lblAlgn val="ctr"/>
        <c:lblOffset val="100"/>
        <c:noMultiLvlLbl val="0"/>
      </c:catAx>
      <c:valAx>
        <c:axId val="161900464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619004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Jurassic_2_Q1!$D$6</c:f>
              <c:strCache>
                <c:ptCount val="1"/>
                <c:pt idx="0">
                  <c:v>High Correct:</c:v>
                </c:pt>
              </c:strCache>
            </c:strRef>
          </c:tx>
          <c:spPr>
            <a:solidFill>
              <a:schemeClr val="accent6">
                <a:lumMod val="75000"/>
              </a:schemeClr>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Jurassic_2_Q1!$D$7:$D$27</c:f>
              <c:numCache>
                <c:formatCode>General</c:formatCode>
                <c:ptCount val="21"/>
                <c:pt idx="0">
                  <c:v>13</c:v>
                </c:pt>
                <c:pt idx="1">
                  <c:v>14</c:v>
                </c:pt>
                <c:pt idx="2">
                  <c:v>4</c:v>
                </c:pt>
                <c:pt idx="3">
                  <c:v>12</c:v>
                </c:pt>
                <c:pt idx="4">
                  <c:v>6</c:v>
                </c:pt>
                <c:pt idx="5">
                  <c:v>16</c:v>
                </c:pt>
                <c:pt idx="6">
                  <c:v>3</c:v>
                </c:pt>
                <c:pt idx="7">
                  <c:v>14</c:v>
                </c:pt>
                <c:pt idx="8">
                  <c:v>9</c:v>
                </c:pt>
                <c:pt idx="9">
                  <c:v>15</c:v>
                </c:pt>
                <c:pt idx="10">
                  <c:v>13</c:v>
                </c:pt>
                <c:pt idx="11">
                  <c:v>9</c:v>
                </c:pt>
                <c:pt idx="12">
                  <c:v>14</c:v>
                </c:pt>
                <c:pt idx="13">
                  <c:v>11</c:v>
                </c:pt>
                <c:pt idx="14">
                  <c:v>14</c:v>
                </c:pt>
                <c:pt idx="15">
                  <c:v>13</c:v>
                </c:pt>
                <c:pt idx="16">
                  <c:v>1</c:v>
                </c:pt>
                <c:pt idx="17">
                  <c:v>3</c:v>
                </c:pt>
                <c:pt idx="18">
                  <c:v>4</c:v>
                </c:pt>
                <c:pt idx="19">
                  <c:v>7</c:v>
                </c:pt>
                <c:pt idx="20">
                  <c:v>0</c:v>
                </c:pt>
              </c:numCache>
            </c:numRef>
          </c:val>
          <c:extLst>
            <c:ext xmlns:c16="http://schemas.microsoft.com/office/drawing/2014/chart" uri="{C3380CC4-5D6E-409C-BE32-E72D297353CC}">
              <c16:uniqueId val="{00000000-5616-4A24-AAB5-23BD26A68416}"/>
            </c:ext>
          </c:extLst>
        </c:ser>
        <c:ser>
          <c:idx val="1"/>
          <c:order val="1"/>
          <c:tx>
            <c:strRef>
              <c:f>Jurassic_2_Q1!$E$6</c:f>
              <c:strCache>
                <c:ptCount val="1"/>
                <c:pt idx="0">
                  <c:v>Medium Correct:</c:v>
                </c:pt>
              </c:strCache>
            </c:strRef>
          </c:tx>
          <c:spPr>
            <a:solidFill>
              <a:schemeClr val="accent6"/>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Jurassic_2_Q1!$E$7:$E$27</c:f>
              <c:numCache>
                <c:formatCode>General</c:formatCode>
                <c:ptCount val="21"/>
                <c:pt idx="0">
                  <c:v>2</c:v>
                </c:pt>
                <c:pt idx="1">
                  <c:v>0</c:v>
                </c:pt>
                <c:pt idx="2">
                  <c:v>1</c:v>
                </c:pt>
                <c:pt idx="3">
                  <c:v>0</c:v>
                </c:pt>
                <c:pt idx="4">
                  <c:v>6</c:v>
                </c:pt>
                <c:pt idx="5">
                  <c:v>0</c:v>
                </c:pt>
                <c:pt idx="6">
                  <c:v>1</c:v>
                </c:pt>
                <c:pt idx="7">
                  <c:v>0</c:v>
                </c:pt>
                <c:pt idx="8">
                  <c:v>3</c:v>
                </c:pt>
                <c:pt idx="9">
                  <c:v>0</c:v>
                </c:pt>
                <c:pt idx="10">
                  <c:v>1</c:v>
                </c:pt>
                <c:pt idx="11">
                  <c:v>2</c:v>
                </c:pt>
                <c:pt idx="12">
                  <c:v>0</c:v>
                </c:pt>
                <c:pt idx="13">
                  <c:v>1</c:v>
                </c:pt>
                <c:pt idx="14">
                  <c:v>0</c:v>
                </c:pt>
                <c:pt idx="15">
                  <c:v>0</c:v>
                </c:pt>
                <c:pt idx="16">
                  <c:v>7</c:v>
                </c:pt>
                <c:pt idx="17">
                  <c:v>8</c:v>
                </c:pt>
                <c:pt idx="18">
                  <c:v>2</c:v>
                </c:pt>
                <c:pt idx="19">
                  <c:v>1</c:v>
                </c:pt>
                <c:pt idx="20">
                  <c:v>1</c:v>
                </c:pt>
              </c:numCache>
            </c:numRef>
          </c:val>
          <c:extLst>
            <c:ext xmlns:c16="http://schemas.microsoft.com/office/drawing/2014/chart" uri="{C3380CC4-5D6E-409C-BE32-E72D297353CC}">
              <c16:uniqueId val="{00000001-5616-4A24-AAB5-23BD26A68416}"/>
            </c:ext>
          </c:extLst>
        </c:ser>
        <c:ser>
          <c:idx val="2"/>
          <c:order val="2"/>
          <c:tx>
            <c:strRef>
              <c:f>Jurassic_2_Q1!$F$6</c:f>
              <c:strCache>
                <c:ptCount val="1"/>
                <c:pt idx="0">
                  <c:v>Low Correct:</c:v>
                </c:pt>
              </c:strCache>
            </c:strRef>
          </c:tx>
          <c:spPr>
            <a:solidFill>
              <a:schemeClr val="accent6">
                <a:lumMod val="40000"/>
                <a:lumOff val="60000"/>
              </a:schemeClr>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Jurassic_2_Q1!$F$7:$F$27</c:f>
              <c:numCache>
                <c:formatCode>General</c:formatCode>
                <c:ptCount val="21"/>
                <c:pt idx="0">
                  <c:v>0</c:v>
                </c:pt>
                <c:pt idx="1">
                  <c:v>1</c:v>
                </c:pt>
                <c:pt idx="2">
                  <c:v>1</c:v>
                </c:pt>
                <c:pt idx="3">
                  <c:v>0</c:v>
                </c:pt>
                <c:pt idx="4">
                  <c:v>2</c:v>
                </c:pt>
                <c:pt idx="5">
                  <c:v>0</c:v>
                </c:pt>
                <c:pt idx="6">
                  <c:v>4</c:v>
                </c:pt>
                <c:pt idx="7">
                  <c:v>1</c:v>
                </c:pt>
                <c:pt idx="8">
                  <c:v>0</c:v>
                </c:pt>
                <c:pt idx="9">
                  <c:v>0</c:v>
                </c:pt>
                <c:pt idx="10">
                  <c:v>2</c:v>
                </c:pt>
                <c:pt idx="11">
                  <c:v>1</c:v>
                </c:pt>
                <c:pt idx="12">
                  <c:v>2</c:v>
                </c:pt>
                <c:pt idx="13">
                  <c:v>1</c:v>
                </c:pt>
                <c:pt idx="14">
                  <c:v>1</c:v>
                </c:pt>
                <c:pt idx="15">
                  <c:v>0</c:v>
                </c:pt>
                <c:pt idx="16">
                  <c:v>2</c:v>
                </c:pt>
                <c:pt idx="17">
                  <c:v>3</c:v>
                </c:pt>
                <c:pt idx="18">
                  <c:v>3</c:v>
                </c:pt>
                <c:pt idx="19">
                  <c:v>3</c:v>
                </c:pt>
                <c:pt idx="20">
                  <c:v>0</c:v>
                </c:pt>
              </c:numCache>
            </c:numRef>
          </c:val>
          <c:extLst>
            <c:ext xmlns:c16="http://schemas.microsoft.com/office/drawing/2014/chart" uri="{C3380CC4-5D6E-409C-BE32-E72D297353CC}">
              <c16:uniqueId val="{00000002-5616-4A24-AAB5-23BD26A68416}"/>
            </c:ext>
          </c:extLst>
        </c:ser>
        <c:ser>
          <c:idx val="3"/>
          <c:order val="3"/>
          <c:tx>
            <c:strRef>
              <c:f>Jurassic_2_Q1!$G$6</c:f>
              <c:strCache>
                <c:ptCount val="1"/>
                <c:pt idx="0">
                  <c:v>High Maybe:</c:v>
                </c:pt>
              </c:strCache>
            </c:strRef>
          </c:tx>
          <c:spPr>
            <a:solidFill>
              <a:schemeClr val="accent2">
                <a:lumMod val="75000"/>
              </a:schemeClr>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Jurassic_2_Q1!$G$7:$G$27</c:f>
              <c:numCache>
                <c:formatCode>General</c:formatCode>
                <c:ptCount val="21"/>
                <c:pt idx="0">
                  <c:v>0</c:v>
                </c:pt>
                <c:pt idx="1">
                  <c:v>1</c:v>
                </c:pt>
                <c:pt idx="2">
                  <c:v>0</c:v>
                </c:pt>
                <c:pt idx="3">
                  <c:v>1</c:v>
                </c:pt>
                <c:pt idx="4">
                  <c:v>0</c:v>
                </c:pt>
                <c:pt idx="5">
                  <c:v>0</c:v>
                </c:pt>
                <c:pt idx="6">
                  <c:v>1</c:v>
                </c:pt>
                <c:pt idx="7">
                  <c:v>0</c:v>
                </c:pt>
                <c:pt idx="8">
                  <c:v>0</c:v>
                </c:pt>
                <c:pt idx="9">
                  <c:v>1</c:v>
                </c:pt>
                <c:pt idx="10">
                  <c:v>0</c:v>
                </c:pt>
                <c:pt idx="11">
                  <c:v>1</c:v>
                </c:pt>
                <c:pt idx="12">
                  <c:v>0</c:v>
                </c:pt>
                <c:pt idx="13">
                  <c:v>1</c:v>
                </c:pt>
                <c:pt idx="14">
                  <c:v>0</c:v>
                </c:pt>
                <c:pt idx="15">
                  <c:v>0</c:v>
                </c:pt>
                <c:pt idx="16">
                  <c:v>0</c:v>
                </c:pt>
                <c:pt idx="17">
                  <c:v>1</c:v>
                </c:pt>
                <c:pt idx="18">
                  <c:v>0</c:v>
                </c:pt>
                <c:pt idx="19">
                  <c:v>0</c:v>
                </c:pt>
                <c:pt idx="20">
                  <c:v>0</c:v>
                </c:pt>
              </c:numCache>
            </c:numRef>
          </c:val>
          <c:extLst>
            <c:ext xmlns:c16="http://schemas.microsoft.com/office/drawing/2014/chart" uri="{C3380CC4-5D6E-409C-BE32-E72D297353CC}">
              <c16:uniqueId val="{00000003-5616-4A24-AAB5-23BD26A68416}"/>
            </c:ext>
          </c:extLst>
        </c:ser>
        <c:ser>
          <c:idx val="4"/>
          <c:order val="4"/>
          <c:tx>
            <c:strRef>
              <c:f>Jurassic_2_Q1!$H$6</c:f>
              <c:strCache>
                <c:ptCount val="1"/>
                <c:pt idx="0">
                  <c:v>Medium Maybe:</c:v>
                </c:pt>
              </c:strCache>
            </c:strRef>
          </c:tx>
          <c:spPr>
            <a:solidFill>
              <a:schemeClr val="accent2"/>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Jurassic_2_Q1!$H$7:$H$27</c:f>
              <c:numCache>
                <c:formatCode>General</c:formatCode>
                <c:ptCount val="21"/>
                <c:pt idx="0">
                  <c:v>0</c:v>
                </c:pt>
                <c:pt idx="1">
                  <c:v>0</c:v>
                </c:pt>
                <c:pt idx="2">
                  <c:v>0</c:v>
                </c:pt>
                <c:pt idx="3">
                  <c:v>0</c:v>
                </c:pt>
                <c:pt idx="4">
                  <c:v>1</c:v>
                </c:pt>
                <c:pt idx="5">
                  <c:v>0</c:v>
                </c:pt>
                <c:pt idx="6">
                  <c:v>1</c:v>
                </c:pt>
                <c:pt idx="7">
                  <c:v>1</c:v>
                </c:pt>
                <c:pt idx="8">
                  <c:v>1</c:v>
                </c:pt>
                <c:pt idx="9">
                  <c:v>1</c:v>
                </c:pt>
                <c:pt idx="10">
                  <c:v>1</c:v>
                </c:pt>
                <c:pt idx="11">
                  <c:v>2</c:v>
                </c:pt>
                <c:pt idx="12">
                  <c:v>0</c:v>
                </c:pt>
                <c:pt idx="13">
                  <c:v>3</c:v>
                </c:pt>
                <c:pt idx="14">
                  <c:v>0</c:v>
                </c:pt>
                <c:pt idx="15">
                  <c:v>0</c:v>
                </c:pt>
                <c:pt idx="16">
                  <c:v>2</c:v>
                </c:pt>
                <c:pt idx="17">
                  <c:v>0</c:v>
                </c:pt>
                <c:pt idx="18">
                  <c:v>2</c:v>
                </c:pt>
                <c:pt idx="19">
                  <c:v>2</c:v>
                </c:pt>
                <c:pt idx="20">
                  <c:v>2</c:v>
                </c:pt>
              </c:numCache>
            </c:numRef>
          </c:val>
          <c:extLst>
            <c:ext xmlns:c16="http://schemas.microsoft.com/office/drawing/2014/chart" uri="{C3380CC4-5D6E-409C-BE32-E72D297353CC}">
              <c16:uniqueId val="{00000004-5616-4A24-AAB5-23BD26A68416}"/>
            </c:ext>
          </c:extLst>
        </c:ser>
        <c:ser>
          <c:idx val="5"/>
          <c:order val="5"/>
          <c:tx>
            <c:strRef>
              <c:f>Jurassic_2_Q1!$I$6</c:f>
              <c:strCache>
                <c:ptCount val="1"/>
                <c:pt idx="0">
                  <c:v>Low Maybe:</c:v>
                </c:pt>
              </c:strCache>
            </c:strRef>
          </c:tx>
          <c:spPr>
            <a:solidFill>
              <a:schemeClr val="accent2">
                <a:lumMod val="60000"/>
                <a:lumOff val="40000"/>
              </a:schemeClr>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Jurassic_2_Q1!$I$7:$I$27</c:f>
              <c:numCache>
                <c:formatCode>General</c:formatCode>
                <c:ptCount val="21"/>
                <c:pt idx="0">
                  <c:v>0</c:v>
                </c:pt>
                <c:pt idx="1">
                  <c:v>1</c:v>
                </c:pt>
                <c:pt idx="2">
                  <c:v>1</c:v>
                </c:pt>
                <c:pt idx="3">
                  <c:v>1</c:v>
                </c:pt>
                <c:pt idx="4">
                  <c:v>0</c:v>
                </c:pt>
                <c:pt idx="5">
                  <c:v>0</c:v>
                </c:pt>
                <c:pt idx="6">
                  <c:v>3</c:v>
                </c:pt>
                <c:pt idx="7">
                  <c:v>0</c:v>
                </c:pt>
                <c:pt idx="8">
                  <c:v>1</c:v>
                </c:pt>
                <c:pt idx="9">
                  <c:v>0</c:v>
                </c:pt>
                <c:pt idx="10">
                  <c:v>0</c:v>
                </c:pt>
                <c:pt idx="11">
                  <c:v>0</c:v>
                </c:pt>
                <c:pt idx="12">
                  <c:v>0</c:v>
                </c:pt>
                <c:pt idx="13">
                  <c:v>0</c:v>
                </c:pt>
                <c:pt idx="14">
                  <c:v>0</c:v>
                </c:pt>
                <c:pt idx="15">
                  <c:v>0</c:v>
                </c:pt>
                <c:pt idx="16">
                  <c:v>0</c:v>
                </c:pt>
                <c:pt idx="17">
                  <c:v>0</c:v>
                </c:pt>
                <c:pt idx="18">
                  <c:v>1</c:v>
                </c:pt>
                <c:pt idx="19">
                  <c:v>0</c:v>
                </c:pt>
                <c:pt idx="20">
                  <c:v>0</c:v>
                </c:pt>
              </c:numCache>
            </c:numRef>
          </c:val>
          <c:extLst>
            <c:ext xmlns:c16="http://schemas.microsoft.com/office/drawing/2014/chart" uri="{C3380CC4-5D6E-409C-BE32-E72D297353CC}">
              <c16:uniqueId val="{00000005-5616-4A24-AAB5-23BD26A68416}"/>
            </c:ext>
          </c:extLst>
        </c:ser>
        <c:ser>
          <c:idx val="6"/>
          <c:order val="6"/>
          <c:tx>
            <c:strRef>
              <c:f>Jurassic_2_Q1!$J$6</c:f>
              <c:strCache>
                <c:ptCount val="1"/>
                <c:pt idx="0">
                  <c:v>Low Incorrect:</c:v>
                </c:pt>
              </c:strCache>
            </c:strRef>
          </c:tx>
          <c:spPr>
            <a:solidFill>
              <a:srgbClr val="F46868"/>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Jurassic_2_Q1!$J$7:$J$27</c:f>
              <c:numCache>
                <c:formatCode>General</c:formatCode>
                <c:ptCount val="21"/>
                <c:pt idx="0">
                  <c:v>1</c:v>
                </c:pt>
                <c:pt idx="1">
                  <c:v>0</c:v>
                </c:pt>
                <c:pt idx="2">
                  <c:v>1</c:v>
                </c:pt>
                <c:pt idx="3">
                  <c:v>0</c:v>
                </c:pt>
                <c:pt idx="4">
                  <c:v>1</c:v>
                </c:pt>
                <c:pt idx="5">
                  <c:v>0</c:v>
                </c:pt>
                <c:pt idx="6">
                  <c:v>2</c:v>
                </c:pt>
                <c:pt idx="7">
                  <c:v>0</c:v>
                </c:pt>
                <c:pt idx="8">
                  <c:v>0</c:v>
                </c:pt>
                <c:pt idx="9">
                  <c:v>0</c:v>
                </c:pt>
                <c:pt idx="10">
                  <c:v>0</c:v>
                </c:pt>
                <c:pt idx="11">
                  <c:v>0</c:v>
                </c:pt>
                <c:pt idx="12">
                  <c:v>0</c:v>
                </c:pt>
                <c:pt idx="13">
                  <c:v>0</c:v>
                </c:pt>
                <c:pt idx="14">
                  <c:v>0</c:v>
                </c:pt>
                <c:pt idx="15">
                  <c:v>0</c:v>
                </c:pt>
                <c:pt idx="16">
                  <c:v>0</c:v>
                </c:pt>
                <c:pt idx="17">
                  <c:v>0</c:v>
                </c:pt>
                <c:pt idx="18">
                  <c:v>2</c:v>
                </c:pt>
                <c:pt idx="19">
                  <c:v>1</c:v>
                </c:pt>
                <c:pt idx="20">
                  <c:v>0</c:v>
                </c:pt>
              </c:numCache>
            </c:numRef>
          </c:val>
          <c:extLst>
            <c:ext xmlns:c16="http://schemas.microsoft.com/office/drawing/2014/chart" uri="{C3380CC4-5D6E-409C-BE32-E72D297353CC}">
              <c16:uniqueId val="{00000006-5616-4A24-AAB5-23BD26A68416}"/>
            </c:ext>
          </c:extLst>
        </c:ser>
        <c:ser>
          <c:idx val="7"/>
          <c:order val="7"/>
          <c:tx>
            <c:strRef>
              <c:f>Jurassic_2_Q1!$K$6</c:f>
              <c:strCache>
                <c:ptCount val="1"/>
                <c:pt idx="0">
                  <c:v>Medium Incorrect:</c:v>
                </c:pt>
              </c:strCache>
            </c:strRef>
          </c:tx>
          <c:spPr>
            <a:solidFill>
              <a:srgbClr val="EC2828"/>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Jurassic_2_Q1!$K$7:$K$27</c:f>
              <c:numCache>
                <c:formatCode>General</c:formatCode>
                <c:ptCount val="21"/>
                <c:pt idx="0">
                  <c:v>0</c:v>
                </c:pt>
                <c:pt idx="1">
                  <c:v>0</c:v>
                </c:pt>
                <c:pt idx="2">
                  <c:v>0</c:v>
                </c:pt>
                <c:pt idx="3">
                  <c:v>2</c:v>
                </c:pt>
                <c:pt idx="4">
                  <c:v>0</c:v>
                </c:pt>
                <c:pt idx="5">
                  <c:v>1</c:v>
                </c:pt>
                <c:pt idx="6">
                  <c:v>2</c:v>
                </c:pt>
                <c:pt idx="7">
                  <c:v>1</c:v>
                </c:pt>
                <c:pt idx="8">
                  <c:v>0</c:v>
                </c:pt>
                <c:pt idx="9">
                  <c:v>1</c:v>
                </c:pt>
                <c:pt idx="10">
                  <c:v>0</c:v>
                </c:pt>
                <c:pt idx="11">
                  <c:v>0</c:v>
                </c:pt>
                <c:pt idx="12">
                  <c:v>0</c:v>
                </c:pt>
                <c:pt idx="13">
                  <c:v>0</c:v>
                </c:pt>
                <c:pt idx="14">
                  <c:v>0</c:v>
                </c:pt>
                <c:pt idx="15">
                  <c:v>0</c:v>
                </c:pt>
                <c:pt idx="16">
                  <c:v>0</c:v>
                </c:pt>
                <c:pt idx="17">
                  <c:v>1</c:v>
                </c:pt>
                <c:pt idx="18">
                  <c:v>1</c:v>
                </c:pt>
                <c:pt idx="19">
                  <c:v>1</c:v>
                </c:pt>
                <c:pt idx="20">
                  <c:v>1</c:v>
                </c:pt>
              </c:numCache>
            </c:numRef>
          </c:val>
          <c:extLst>
            <c:ext xmlns:c16="http://schemas.microsoft.com/office/drawing/2014/chart" uri="{C3380CC4-5D6E-409C-BE32-E72D297353CC}">
              <c16:uniqueId val="{00000007-5616-4A24-AAB5-23BD26A68416}"/>
            </c:ext>
          </c:extLst>
        </c:ser>
        <c:ser>
          <c:idx val="8"/>
          <c:order val="8"/>
          <c:tx>
            <c:strRef>
              <c:f>Jurassic_2_Q1!$L$6</c:f>
              <c:strCache>
                <c:ptCount val="1"/>
                <c:pt idx="0">
                  <c:v>High Incorrect:</c:v>
                </c:pt>
              </c:strCache>
            </c:strRef>
          </c:tx>
          <c:spPr>
            <a:solidFill>
              <a:srgbClr val="C00000"/>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Jurassic_2_Q1!$L$7:$L$27</c:f>
              <c:numCache>
                <c:formatCode>General</c:formatCode>
                <c:ptCount val="21"/>
                <c:pt idx="0">
                  <c:v>1</c:v>
                </c:pt>
                <c:pt idx="1">
                  <c:v>1</c:v>
                </c:pt>
                <c:pt idx="2">
                  <c:v>10</c:v>
                </c:pt>
                <c:pt idx="3">
                  <c:v>2</c:v>
                </c:pt>
                <c:pt idx="4">
                  <c:v>1</c:v>
                </c:pt>
                <c:pt idx="5">
                  <c:v>1</c:v>
                </c:pt>
                <c:pt idx="6">
                  <c:v>1</c:v>
                </c:pt>
                <c:pt idx="7">
                  <c:v>0</c:v>
                </c:pt>
                <c:pt idx="8">
                  <c:v>3</c:v>
                </c:pt>
                <c:pt idx="9">
                  <c:v>0</c:v>
                </c:pt>
                <c:pt idx="10">
                  <c:v>0</c:v>
                </c:pt>
                <c:pt idx="11">
                  <c:v>1</c:v>
                </c:pt>
                <c:pt idx="12">
                  <c:v>1</c:v>
                </c:pt>
                <c:pt idx="13">
                  <c:v>0</c:v>
                </c:pt>
                <c:pt idx="14">
                  <c:v>2</c:v>
                </c:pt>
                <c:pt idx="15">
                  <c:v>4</c:v>
                </c:pt>
                <c:pt idx="16">
                  <c:v>0</c:v>
                </c:pt>
                <c:pt idx="17">
                  <c:v>2</c:v>
                </c:pt>
                <c:pt idx="18">
                  <c:v>3</c:v>
                </c:pt>
                <c:pt idx="19">
                  <c:v>2</c:v>
                </c:pt>
                <c:pt idx="20">
                  <c:v>5</c:v>
                </c:pt>
              </c:numCache>
            </c:numRef>
          </c:val>
          <c:extLst>
            <c:ext xmlns:c16="http://schemas.microsoft.com/office/drawing/2014/chart" uri="{C3380CC4-5D6E-409C-BE32-E72D297353CC}">
              <c16:uniqueId val="{00000008-5616-4A24-AAB5-23BD26A68416}"/>
            </c:ext>
          </c:extLst>
        </c:ser>
        <c:ser>
          <c:idx val="9"/>
          <c:order val="9"/>
          <c:tx>
            <c:strRef>
              <c:f>Jurassic_2_Q1!$M$6</c:f>
              <c:strCache>
                <c:ptCount val="1"/>
                <c:pt idx="0">
                  <c:v>N/A:</c:v>
                </c:pt>
              </c:strCache>
            </c:strRef>
          </c:tx>
          <c:spPr>
            <a:solidFill>
              <a:schemeClr val="bg2">
                <a:lumMod val="75000"/>
              </a:schemeClr>
            </a:solidFill>
            <a:ln>
              <a:noFill/>
            </a:ln>
            <a:effectLst/>
          </c:spPr>
          <c:invertIfNegative val="0"/>
          <c:cat>
            <c:strRef>
              <c:f>Jurassic_2_Q1!$C$7:$C$27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Jurassic_2_Q1!$M$7:$M$27</c:f>
              <c:numCache>
                <c:formatCode>General</c:formatCode>
                <c:ptCount val="21"/>
                <c:pt idx="0">
                  <c:v>1</c:v>
                </c:pt>
                <c:pt idx="1">
                  <c:v>0</c:v>
                </c:pt>
                <c:pt idx="2">
                  <c:v>0</c:v>
                </c:pt>
                <c:pt idx="3">
                  <c:v>0</c:v>
                </c:pt>
                <c:pt idx="4">
                  <c:v>1</c:v>
                </c:pt>
                <c:pt idx="5">
                  <c:v>0</c:v>
                </c:pt>
                <c:pt idx="6">
                  <c:v>0</c:v>
                </c:pt>
                <c:pt idx="7">
                  <c:v>1</c:v>
                </c:pt>
                <c:pt idx="8">
                  <c:v>1</c:v>
                </c:pt>
                <c:pt idx="9">
                  <c:v>0</c:v>
                </c:pt>
                <c:pt idx="10">
                  <c:v>1</c:v>
                </c:pt>
                <c:pt idx="11">
                  <c:v>2</c:v>
                </c:pt>
                <c:pt idx="12">
                  <c:v>1</c:v>
                </c:pt>
                <c:pt idx="13">
                  <c:v>1</c:v>
                </c:pt>
                <c:pt idx="14">
                  <c:v>1</c:v>
                </c:pt>
                <c:pt idx="15">
                  <c:v>1</c:v>
                </c:pt>
                <c:pt idx="16">
                  <c:v>6</c:v>
                </c:pt>
                <c:pt idx="17">
                  <c:v>0</c:v>
                </c:pt>
                <c:pt idx="18">
                  <c:v>0</c:v>
                </c:pt>
                <c:pt idx="19">
                  <c:v>1</c:v>
                </c:pt>
                <c:pt idx="20">
                  <c:v>9</c:v>
                </c:pt>
              </c:numCache>
            </c:numRef>
          </c:val>
          <c:extLst>
            <c:ext xmlns:c16="http://schemas.microsoft.com/office/drawing/2014/chart" uri="{C3380CC4-5D6E-409C-BE32-E72D297353CC}">
              <c16:uniqueId val="{00000009-5616-4A24-AAB5-23BD26A68416}"/>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Jurassic</a:t>
            </a:r>
            <a:r>
              <a:rPr lang="en-US" baseline="0"/>
              <a:t> Q1 Obfuscation Correctness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Jurassic_2_Q1!$D$31</c:f>
              <c:strCache>
                <c:ptCount val="1"/>
                <c:pt idx="0">
                  <c:v>High Correct:</c:v>
                </c:pt>
              </c:strCache>
            </c:strRef>
          </c:tx>
          <c:spPr>
            <a:solidFill>
              <a:schemeClr val="accent6">
                <a:lumMod val="75000"/>
              </a:schemeClr>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Jurassic_2_Q1!$D$32:$D$49</c:f>
              <c:numCache>
                <c:formatCode>General</c:formatCode>
                <c:ptCount val="18"/>
                <c:pt idx="0">
                  <c:v>13</c:v>
                </c:pt>
                <c:pt idx="1">
                  <c:v>11</c:v>
                </c:pt>
                <c:pt idx="2">
                  <c:v>13</c:v>
                </c:pt>
                <c:pt idx="3">
                  <c:v>14</c:v>
                </c:pt>
                <c:pt idx="4">
                  <c:v>10</c:v>
                </c:pt>
                <c:pt idx="5">
                  <c:v>6</c:v>
                </c:pt>
                <c:pt idx="6">
                  <c:v>13</c:v>
                </c:pt>
                <c:pt idx="7">
                  <c:v>13</c:v>
                </c:pt>
                <c:pt idx="8">
                  <c:v>9</c:v>
                </c:pt>
                <c:pt idx="9">
                  <c:v>13</c:v>
                </c:pt>
                <c:pt idx="10">
                  <c:v>13</c:v>
                </c:pt>
                <c:pt idx="11">
                  <c:v>14</c:v>
                </c:pt>
                <c:pt idx="12">
                  <c:v>6</c:v>
                </c:pt>
                <c:pt idx="13">
                  <c:v>12</c:v>
                </c:pt>
                <c:pt idx="14">
                  <c:v>6</c:v>
                </c:pt>
                <c:pt idx="15">
                  <c:v>13</c:v>
                </c:pt>
                <c:pt idx="16">
                  <c:v>5</c:v>
                </c:pt>
                <c:pt idx="17">
                  <c:v>11</c:v>
                </c:pt>
              </c:numCache>
            </c:numRef>
          </c:val>
          <c:extLst>
            <c:ext xmlns:c16="http://schemas.microsoft.com/office/drawing/2014/chart" uri="{C3380CC4-5D6E-409C-BE32-E72D297353CC}">
              <c16:uniqueId val="{00000000-248C-4845-B2F9-D44492267364}"/>
            </c:ext>
          </c:extLst>
        </c:ser>
        <c:ser>
          <c:idx val="1"/>
          <c:order val="1"/>
          <c:tx>
            <c:strRef>
              <c:f>Jurassic_2_Q1!$E$31</c:f>
              <c:strCache>
                <c:ptCount val="1"/>
                <c:pt idx="0">
                  <c:v>Medium Correct:</c:v>
                </c:pt>
              </c:strCache>
            </c:strRef>
          </c:tx>
          <c:spPr>
            <a:solidFill>
              <a:schemeClr val="accent6"/>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Jurassic_2_Q1!$E$32:$E$49</c:f>
              <c:numCache>
                <c:formatCode>General</c:formatCode>
                <c:ptCount val="18"/>
                <c:pt idx="0">
                  <c:v>1</c:v>
                </c:pt>
                <c:pt idx="1">
                  <c:v>4</c:v>
                </c:pt>
                <c:pt idx="2">
                  <c:v>1</c:v>
                </c:pt>
                <c:pt idx="3">
                  <c:v>3</c:v>
                </c:pt>
                <c:pt idx="4">
                  <c:v>5</c:v>
                </c:pt>
                <c:pt idx="5">
                  <c:v>2</c:v>
                </c:pt>
                <c:pt idx="6">
                  <c:v>1</c:v>
                </c:pt>
                <c:pt idx="7">
                  <c:v>1</c:v>
                </c:pt>
                <c:pt idx="8">
                  <c:v>2</c:v>
                </c:pt>
                <c:pt idx="9">
                  <c:v>3</c:v>
                </c:pt>
                <c:pt idx="10">
                  <c:v>2</c:v>
                </c:pt>
                <c:pt idx="11">
                  <c:v>2</c:v>
                </c:pt>
                <c:pt idx="12">
                  <c:v>2</c:v>
                </c:pt>
                <c:pt idx="13">
                  <c:v>2</c:v>
                </c:pt>
                <c:pt idx="14">
                  <c:v>2</c:v>
                </c:pt>
                <c:pt idx="15">
                  <c:v>3</c:v>
                </c:pt>
                <c:pt idx="16">
                  <c:v>0</c:v>
                </c:pt>
                <c:pt idx="17">
                  <c:v>0</c:v>
                </c:pt>
              </c:numCache>
            </c:numRef>
          </c:val>
          <c:extLst>
            <c:ext xmlns:c16="http://schemas.microsoft.com/office/drawing/2014/chart" uri="{C3380CC4-5D6E-409C-BE32-E72D297353CC}">
              <c16:uniqueId val="{00000001-248C-4845-B2F9-D44492267364}"/>
            </c:ext>
          </c:extLst>
        </c:ser>
        <c:ser>
          <c:idx val="2"/>
          <c:order val="2"/>
          <c:tx>
            <c:strRef>
              <c:f>Jurassic_2_Q1!$F$31</c:f>
              <c:strCache>
                <c:ptCount val="1"/>
                <c:pt idx="0">
                  <c:v>Low Correct:</c:v>
                </c:pt>
              </c:strCache>
            </c:strRef>
          </c:tx>
          <c:spPr>
            <a:solidFill>
              <a:schemeClr val="accent6">
                <a:lumMod val="60000"/>
                <a:lumOff val="40000"/>
              </a:schemeClr>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Jurassic_2_Q1!$F$32:$F$49</c:f>
              <c:numCache>
                <c:formatCode>General</c:formatCode>
                <c:ptCount val="18"/>
                <c:pt idx="0">
                  <c:v>2</c:v>
                </c:pt>
                <c:pt idx="1">
                  <c:v>0</c:v>
                </c:pt>
                <c:pt idx="2">
                  <c:v>2</c:v>
                </c:pt>
                <c:pt idx="3">
                  <c:v>1</c:v>
                </c:pt>
                <c:pt idx="4">
                  <c:v>0</c:v>
                </c:pt>
                <c:pt idx="5">
                  <c:v>2</c:v>
                </c:pt>
                <c:pt idx="6">
                  <c:v>3</c:v>
                </c:pt>
                <c:pt idx="7">
                  <c:v>2</c:v>
                </c:pt>
                <c:pt idx="8">
                  <c:v>1</c:v>
                </c:pt>
                <c:pt idx="9">
                  <c:v>0</c:v>
                </c:pt>
                <c:pt idx="10">
                  <c:v>1</c:v>
                </c:pt>
                <c:pt idx="11">
                  <c:v>1</c:v>
                </c:pt>
                <c:pt idx="12">
                  <c:v>3</c:v>
                </c:pt>
                <c:pt idx="13">
                  <c:v>0</c:v>
                </c:pt>
                <c:pt idx="14">
                  <c:v>1</c:v>
                </c:pt>
                <c:pt idx="15">
                  <c:v>0</c:v>
                </c:pt>
                <c:pt idx="16">
                  <c:v>1</c:v>
                </c:pt>
                <c:pt idx="17">
                  <c:v>7</c:v>
                </c:pt>
              </c:numCache>
            </c:numRef>
          </c:val>
          <c:extLst>
            <c:ext xmlns:c16="http://schemas.microsoft.com/office/drawing/2014/chart" uri="{C3380CC4-5D6E-409C-BE32-E72D297353CC}">
              <c16:uniqueId val="{00000002-248C-4845-B2F9-D44492267364}"/>
            </c:ext>
          </c:extLst>
        </c:ser>
        <c:ser>
          <c:idx val="3"/>
          <c:order val="3"/>
          <c:tx>
            <c:strRef>
              <c:f>Jurassic_2_Q1!$G$31</c:f>
              <c:strCache>
                <c:ptCount val="1"/>
                <c:pt idx="0">
                  <c:v>High Maybe:</c:v>
                </c:pt>
              </c:strCache>
            </c:strRef>
          </c:tx>
          <c:spPr>
            <a:solidFill>
              <a:schemeClr val="accent2">
                <a:lumMod val="75000"/>
              </a:schemeClr>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Jurassic_2_Q1!$G$32:$G$49</c:f>
              <c:numCache>
                <c:formatCode>General</c:formatCode>
                <c:ptCount val="18"/>
                <c:pt idx="0">
                  <c:v>1</c:v>
                </c:pt>
                <c:pt idx="1">
                  <c:v>1</c:v>
                </c:pt>
                <c:pt idx="2">
                  <c:v>0</c:v>
                </c:pt>
                <c:pt idx="3">
                  <c:v>1</c:v>
                </c:pt>
                <c:pt idx="4">
                  <c:v>0</c:v>
                </c:pt>
                <c:pt idx="5">
                  <c:v>0</c:v>
                </c:pt>
                <c:pt idx="6">
                  <c:v>0</c:v>
                </c:pt>
                <c:pt idx="7">
                  <c:v>0</c:v>
                </c:pt>
                <c:pt idx="8">
                  <c:v>2</c:v>
                </c:pt>
                <c:pt idx="9">
                  <c:v>0</c:v>
                </c:pt>
                <c:pt idx="10">
                  <c:v>0</c:v>
                </c:pt>
                <c:pt idx="11">
                  <c:v>0</c:v>
                </c:pt>
                <c:pt idx="12">
                  <c:v>0</c:v>
                </c:pt>
                <c:pt idx="13">
                  <c:v>1</c:v>
                </c:pt>
                <c:pt idx="14">
                  <c:v>1</c:v>
                </c:pt>
                <c:pt idx="15">
                  <c:v>0</c:v>
                </c:pt>
                <c:pt idx="16">
                  <c:v>0</c:v>
                </c:pt>
                <c:pt idx="17">
                  <c:v>0</c:v>
                </c:pt>
              </c:numCache>
            </c:numRef>
          </c:val>
          <c:extLst>
            <c:ext xmlns:c16="http://schemas.microsoft.com/office/drawing/2014/chart" uri="{C3380CC4-5D6E-409C-BE32-E72D297353CC}">
              <c16:uniqueId val="{00000003-248C-4845-B2F9-D44492267364}"/>
            </c:ext>
          </c:extLst>
        </c:ser>
        <c:ser>
          <c:idx val="4"/>
          <c:order val="4"/>
          <c:tx>
            <c:strRef>
              <c:f>Jurassic_2_Q1!$H$31</c:f>
              <c:strCache>
                <c:ptCount val="1"/>
                <c:pt idx="0">
                  <c:v>Medium Maybe:</c:v>
                </c:pt>
              </c:strCache>
            </c:strRef>
          </c:tx>
          <c:spPr>
            <a:solidFill>
              <a:schemeClr val="accent2"/>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Jurassic_2_Q1!$H$32:$H$49</c:f>
              <c:numCache>
                <c:formatCode>General</c:formatCode>
                <c:ptCount val="18"/>
                <c:pt idx="0">
                  <c:v>1</c:v>
                </c:pt>
                <c:pt idx="1">
                  <c:v>1</c:v>
                </c:pt>
                <c:pt idx="2">
                  <c:v>1</c:v>
                </c:pt>
                <c:pt idx="3">
                  <c:v>1</c:v>
                </c:pt>
                <c:pt idx="4">
                  <c:v>0</c:v>
                </c:pt>
                <c:pt idx="5">
                  <c:v>0</c:v>
                </c:pt>
                <c:pt idx="6">
                  <c:v>0</c:v>
                </c:pt>
                <c:pt idx="7">
                  <c:v>2</c:v>
                </c:pt>
                <c:pt idx="8">
                  <c:v>2</c:v>
                </c:pt>
                <c:pt idx="9">
                  <c:v>1</c:v>
                </c:pt>
                <c:pt idx="10">
                  <c:v>3</c:v>
                </c:pt>
                <c:pt idx="11">
                  <c:v>0</c:v>
                </c:pt>
                <c:pt idx="12">
                  <c:v>1</c:v>
                </c:pt>
                <c:pt idx="13">
                  <c:v>1</c:v>
                </c:pt>
                <c:pt idx="14">
                  <c:v>1</c:v>
                </c:pt>
                <c:pt idx="15">
                  <c:v>2</c:v>
                </c:pt>
                <c:pt idx="16">
                  <c:v>2</c:v>
                </c:pt>
                <c:pt idx="17">
                  <c:v>0</c:v>
                </c:pt>
              </c:numCache>
            </c:numRef>
          </c:val>
          <c:extLst>
            <c:ext xmlns:c16="http://schemas.microsoft.com/office/drawing/2014/chart" uri="{C3380CC4-5D6E-409C-BE32-E72D297353CC}">
              <c16:uniqueId val="{00000004-248C-4845-B2F9-D44492267364}"/>
            </c:ext>
          </c:extLst>
        </c:ser>
        <c:ser>
          <c:idx val="5"/>
          <c:order val="5"/>
          <c:tx>
            <c:strRef>
              <c:f>Jurassic_2_Q1!$I$31</c:f>
              <c:strCache>
                <c:ptCount val="1"/>
                <c:pt idx="0">
                  <c:v>Low Maybe:</c:v>
                </c:pt>
              </c:strCache>
            </c:strRef>
          </c:tx>
          <c:spPr>
            <a:solidFill>
              <a:schemeClr val="accent2">
                <a:lumMod val="60000"/>
                <a:lumOff val="40000"/>
              </a:schemeClr>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Jurassic_2_Q1!$I$32:$I$49</c:f>
              <c:numCache>
                <c:formatCode>General</c:formatCode>
                <c:ptCount val="18"/>
                <c:pt idx="0">
                  <c:v>0</c:v>
                </c:pt>
                <c:pt idx="1">
                  <c:v>0</c:v>
                </c:pt>
                <c:pt idx="2">
                  <c:v>0</c:v>
                </c:pt>
                <c:pt idx="3">
                  <c:v>0</c:v>
                </c:pt>
                <c:pt idx="4">
                  <c:v>0</c:v>
                </c:pt>
                <c:pt idx="5">
                  <c:v>1</c:v>
                </c:pt>
                <c:pt idx="6">
                  <c:v>0</c:v>
                </c:pt>
                <c:pt idx="7">
                  <c:v>0</c:v>
                </c:pt>
                <c:pt idx="8">
                  <c:v>0</c:v>
                </c:pt>
                <c:pt idx="9">
                  <c:v>1</c:v>
                </c:pt>
                <c:pt idx="10">
                  <c:v>0</c:v>
                </c:pt>
                <c:pt idx="11">
                  <c:v>1</c:v>
                </c:pt>
                <c:pt idx="12">
                  <c:v>1</c:v>
                </c:pt>
                <c:pt idx="13">
                  <c:v>0</c:v>
                </c:pt>
                <c:pt idx="14">
                  <c:v>0</c:v>
                </c:pt>
                <c:pt idx="15">
                  <c:v>1</c:v>
                </c:pt>
                <c:pt idx="16">
                  <c:v>2</c:v>
                </c:pt>
                <c:pt idx="17">
                  <c:v>1</c:v>
                </c:pt>
              </c:numCache>
            </c:numRef>
          </c:val>
          <c:extLst>
            <c:ext xmlns:c16="http://schemas.microsoft.com/office/drawing/2014/chart" uri="{C3380CC4-5D6E-409C-BE32-E72D297353CC}">
              <c16:uniqueId val="{00000005-248C-4845-B2F9-D44492267364}"/>
            </c:ext>
          </c:extLst>
        </c:ser>
        <c:ser>
          <c:idx val="6"/>
          <c:order val="6"/>
          <c:tx>
            <c:strRef>
              <c:f>Jurassic_2_Q1!$J$31</c:f>
              <c:strCache>
                <c:ptCount val="1"/>
                <c:pt idx="0">
                  <c:v>Low Incorrect:</c:v>
                </c:pt>
              </c:strCache>
            </c:strRef>
          </c:tx>
          <c:spPr>
            <a:solidFill>
              <a:srgbClr val="F46868"/>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Jurassic_2_Q1!$J$32:$J$49</c:f>
              <c:numCache>
                <c:formatCode>General</c:formatCode>
                <c:ptCount val="18"/>
                <c:pt idx="0">
                  <c:v>0</c:v>
                </c:pt>
                <c:pt idx="1">
                  <c:v>0</c:v>
                </c:pt>
                <c:pt idx="2">
                  <c:v>0</c:v>
                </c:pt>
                <c:pt idx="3">
                  <c:v>0</c:v>
                </c:pt>
                <c:pt idx="4">
                  <c:v>2</c:v>
                </c:pt>
                <c:pt idx="5">
                  <c:v>1</c:v>
                </c:pt>
                <c:pt idx="6">
                  <c:v>1</c:v>
                </c:pt>
                <c:pt idx="7">
                  <c:v>1</c:v>
                </c:pt>
                <c:pt idx="8">
                  <c:v>0</c:v>
                </c:pt>
                <c:pt idx="9">
                  <c:v>0</c:v>
                </c:pt>
                <c:pt idx="10">
                  <c:v>1</c:v>
                </c:pt>
                <c:pt idx="11">
                  <c:v>0</c:v>
                </c:pt>
                <c:pt idx="12">
                  <c:v>1</c:v>
                </c:pt>
                <c:pt idx="13">
                  <c:v>1</c:v>
                </c:pt>
                <c:pt idx="14">
                  <c:v>0</c:v>
                </c:pt>
                <c:pt idx="15">
                  <c:v>0</c:v>
                </c:pt>
                <c:pt idx="16">
                  <c:v>0</c:v>
                </c:pt>
                <c:pt idx="17">
                  <c:v>0</c:v>
                </c:pt>
              </c:numCache>
            </c:numRef>
          </c:val>
          <c:extLst>
            <c:ext xmlns:c16="http://schemas.microsoft.com/office/drawing/2014/chart" uri="{C3380CC4-5D6E-409C-BE32-E72D297353CC}">
              <c16:uniqueId val="{00000006-248C-4845-B2F9-D44492267364}"/>
            </c:ext>
          </c:extLst>
        </c:ser>
        <c:ser>
          <c:idx val="7"/>
          <c:order val="7"/>
          <c:tx>
            <c:strRef>
              <c:f>Jurassic_2_Q1!$K$31</c:f>
              <c:strCache>
                <c:ptCount val="1"/>
                <c:pt idx="0">
                  <c:v>Medium Incorrect:</c:v>
                </c:pt>
              </c:strCache>
            </c:strRef>
          </c:tx>
          <c:spPr>
            <a:solidFill>
              <a:srgbClr val="EC2828"/>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Jurassic_2_Q1!$K$32:$K$49</c:f>
              <c:numCache>
                <c:formatCode>General</c:formatCode>
                <c:ptCount val="18"/>
                <c:pt idx="0">
                  <c:v>0</c:v>
                </c:pt>
                <c:pt idx="1">
                  <c:v>1</c:v>
                </c:pt>
                <c:pt idx="2">
                  <c:v>1</c:v>
                </c:pt>
                <c:pt idx="3">
                  <c:v>1</c:v>
                </c:pt>
                <c:pt idx="4">
                  <c:v>1</c:v>
                </c:pt>
                <c:pt idx="5">
                  <c:v>0</c:v>
                </c:pt>
                <c:pt idx="6">
                  <c:v>0</c:v>
                </c:pt>
                <c:pt idx="7">
                  <c:v>0</c:v>
                </c:pt>
                <c:pt idx="8">
                  <c:v>2</c:v>
                </c:pt>
                <c:pt idx="9">
                  <c:v>1</c:v>
                </c:pt>
                <c:pt idx="10">
                  <c:v>0</c:v>
                </c:pt>
                <c:pt idx="11">
                  <c:v>0</c:v>
                </c:pt>
                <c:pt idx="12">
                  <c:v>1</c:v>
                </c:pt>
                <c:pt idx="13">
                  <c:v>1</c:v>
                </c:pt>
                <c:pt idx="14">
                  <c:v>1</c:v>
                </c:pt>
                <c:pt idx="15">
                  <c:v>0</c:v>
                </c:pt>
                <c:pt idx="16">
                  <c:v>1</c:v>
                </c:pt>
                <c:pt idx="17">
                  <c:v>0</c:v>
                </c:pt>
              </c:numCache>
            </c:numRef>
          </c:val>
          <c:extLst>
            <c:ext xmlns:c16="http://schemas.microsoft.com/office/drawing/2014/chart" uri="{C3380CC4-5D6E-409C-BE32-E72D297353CC}">
              <c16:uniqueId val="{00000007-248C-4845-B2F9-D44492267364}"/>
            </c:ext>
          </c:extLst>
        </c:ser>
        <c:ser>
          <c:idx val="8"/>
          <c:order val="8"/>
          <c:tx>
            <c:strRef>
              <c:f>Jurassic_2_Q1!$L$31</c:f>
              <c:strCache>
                <c:ptCount val="1"/>
                <c:pt idx="0">
                  <c:v>High Incorrect:</c:v>
                </c:pt>
              </c:strCache>
            </c:strRef>
          </c:tx>
          <c:spPr>
            <a:solidFill>
              <a:srgbClr val="C00000"/>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Jurassic_2_Q1!$L$32:$L$49</c:f>
              <c:numCache>
                <c:formatCode>General</c:formatCode>
                <c:ptCount val="18"/>
                <c:pt idx="0">
                  <c:v>0</c:v>
                </c:pt>
                <c:pt idx="1">
                  <c:v>3</c:v>
                </c:pt>
                <c:pt idx="2">
                  <c:v>1</c:v>
                </c:pt>
                <c:pt idx="3">
                  <c:v>0</c:v>
                </c:pt>
                <c:pt idx="4">
                  <c:v>2</c:v>
                </c:pt>
                <c:pt idx="5">
                  <c:v>0</c:v>
                </c:pt>
                <c:pt idx="6">
                  <c:v>1</c:v>
                </c:pt>
                <c:pt idx="7">
                  <c:v>1</c:v>
                </c:pt>
                <c:pt idx="8">
                  <c:v>0</c:v>
                </c:pt>
                <c:pt idx="9">
                  <c:v>2</c:v>
                </c:pt>
                <c:pt idx="10">
                  <c:v>1</c:v>
                </c:pt>
                <c:pt idx="11">
                  <c:v>3</c:v>
                </c:pt>
                <c:pt idx="12">
                  <c:v>3</c:v>
                </c:pt>
                <c:pt idx="13">
                  <c:v>3</c:v>
                </c:pt>
                <c:pt idx="14">
                  <c:v>9</c:v>
                </c:pt>
                <c:pt idx="15">
                  <c:v>1</c:v>
                </c:pt>
                <c:pt idx="16">
                  <c:v>8</c:v>
                </c:pt>
                <c:pt idx="17">
                  <c:v>2</c:v>
                </c:pt>
              </c:numCache>
            </c:numRef>
          </c:val>
          <c:extLst>
            <c:ext xmlns:c16="http://schemas.microsoft.com/office/drawing/2014/chart" uri="{C3380CC4-5D6E-409C-BE32-E72D297353CC}">
              <c16:uniqueId val="{00000008-248C-4845-B2F9-D44492267364}"/>
            </c:ext>
          </c:extLst>
        </c:ser>
        <c:ser>
          <c:idx val="9"/>
          <c:order val="9"/>
          <c:tx>
            <c:strRef>
              <c:f>Jurassic_2_Q1!$M$31</c:f>
              <c:strCache>
                <c:ptCount val="1"/>
                <c:pt idx="0">
                  <c:v>N/A:</c:v>
                </c:pt>
              </c:strCache>
            </c:strRef>
          </c:tx>
          <c:spPr>
            <a:solidFill>
              <a:schemeClr val="bg2">
                <a:lumMod val="75000"/>
              </a:schemeClr>
            </a:solidFill>
            <a:ln>
              <a:noFill/>
            </a:ln>
            <a:effectLst/>
          </c:spPr>
          <c:invertIfNegative val="0"/>
          <c:cat>
            <c:strRef>
              <c:f>Jurassic_2_Q1!$C$32:$C$49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Jurassic_2_Q1!$M$32:$M$49</c:f>
              <c:numCache>
                <c:formatCode>General</c:formatCode>
                <c:ptCount val="18"/>
                <c:pt idx="0">
                  <c:v>3</c:v>
                </c:pt>
                <c:pt idx="1">
                  <c:v>0</c:v>
                </c:pt>
                <c:pt idx="2">
                  <c:v>2</c:v>
                </c:pt>
                <c:pt idx="3">
                  <c:v>0</c:v>
                </c:pt>
                <c:pt idx="4">
                  <c:v>1</c:v>
                </c:pt>
                <c:pt idx="5">
                  <c:v>9</c:v>
                </c:pt>
                <c:pt idx="6">
                  <c:v>2</c:v>
                </c:pt>
                <c:pt idx="7">
                  <c:v>1</c:v>
                </c:pt>
                <c:pt idx="8">
                  <c:v>3</c:v>
                </c:pt>
                <c:pt idx="9">
                  <c:v>0</c:v>
                </c:pt>
                <c:pt idx="10">
                  <c:v>0</c:v>
                </c:pt>
                <c:pt idx="11">
                  <c:v>0</c:v>
                </c:pt>
                <c:pt idx="12">
                  <c:v>3</c:v>
                </c:pt>
                <c:pt idx="13">
                  <c:v>0</c:v>
                </c:pt>
                <c:pt idx="14">
                  <c:v>0</c:v>
                </c:pt>
                <c:pt idx="15">
                  <c:v>1</c:v>
                </c:pt>
                <c:pt idx="16">
                  <c:v>2</c:v>
                </c:pt>
                <c:pt idx="17">
                  <c:v>0</c:v>
                </c:pt>
              </c:numCache>
            </c:numRef>
          </c:val>
          <c:extLst>
            <c:ext xmlns:c16="http://schemas.microsoft.com/office/drawing/2014/chart" uri="{C3380CC4-5D6E-409C-BE32-E72D297353CC}">
              <c16:uniqueId val="{00000009-248C-4845-B2F9-D44492267364}"/>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Jurassic_2_Q2!$D$6</c:f>
              <c:strCache>
                <c:ptCount val="1"/>
                <c:pt idx="0">
                  <c:v>High Correct:</c:v>
                </c:pt>
              </c:strCache>
            </c:strRef>
          </c:tx>
          <c:spPr>
            <a:solidFill>
              <a:schemeClr val="accent6">
                <a:lumMod val="75000"/>
              </a:schemeClr>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Jurassic_2_Q2!$D$7:$D$27</c:f>
              <c:numCache>
                <c:formatCode>General</c:formatCode>
                <c:ptCount val="21"/>
                <c:pt idx="0">
                  <c:v>13</c:v>
                </c:pt>
                <c:pt idx="1">
                  <c:v>4</c:v>
                </c:pt>
                <c:pt idx="2">
                  <c:v>5</c:v>
                </c:pt>
                <c:pt idx="3">
                  <c:v>5</c:v>
                </c:pt>
                <c:pt idx="4">
                  <c:v>8</c:v>
                </c:pt>
                <c:pt idx="5">
                  <c:v>10</c:v>
                </c:pt>
                <c:pt idx="6">
                  <c:v>3</c:v>
                </c:pt>
                <c:pt idx="7">
                  <c:v>8</c:v>
                </c:pt>
                <c:pt idx="8">
                  <c:v>11</c:v>
                </c:pt>
                <c:pt idx="9">
                  <c:v>14</c:v>
                </c:pt>
                <c:pt idx="10">
                  <c:v>14</c:v>
                </c:pt>
                <c:pt idx="11">
                  <c:v>9</c:v>
                </c:pt>
                <c:pt idx="12">
                  <c:v>11</c:v>
                </c:pt>
                <c:pt idx="13">
                  <c:v>6</c:v>
                </c:pt>
                <c:pt idx="14">
                  <c:v>12</c:v>
                </c:pt>
                <c:pt idx="15">
                  <c:v>11</c:v>
                </c:pt>
                <c:pt idx="16">
                  <c:v>1</c:v>
                </c:pt>
                <c:pt idx="17">
                  <c:v>0</c:v>
                </c:pt>
                <c:pt idx="18">
                  <c:v>6</c:v>
                </c:pt>
                <c:pt idx="19">
                  <c:v>3</c:v>
                </c:pt>
                <c:pt idx="20">
                  <c:v>2</c:v>
                </c:pt>
              </c:numCache>
            </c:numRef>
          </c:val>
          <c:extLst>
            <c:ext xmlns:c16="http://schemas.microsoft.com/office/drawing/2014/chart" uri="{C3380CC4-5D6E-409C-BE32-E72D297353CC}">
              <c16:uniqueId val="{00000000-CB70-4A27-9F44-3FE2D7AA83D2}"/>
            </c:ext>
          </c:extLst>
        </c:ser>
        <c:ser>
          <c:idx val="1"/>
          <c:order val="1"/>
          <c:tx>
            <c:strRef>
              <c:f>Jurassic_2_Q2!$E$6</c:f>
              <c:strCache>
                <c:ptCount val="1"/>
                <c:pt idx="0">
                  <c:v>Medium Correct:</c:v>
                </c:pt>
              </c:strCache>
            </c:strRef>
          </c:tx>
          <c:spPr>
            <a:solidFill>
              <a:schemeClr val="accent6"/>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Jurassic_2_Q2!$E$7:$E$27</c:f>
              <c:numCache>
                <c:formatCode>General</c:formatCode>
                <c:ptCount val="21"/>
                <c:pt idx="0">
                  <c:v>1</c:v>
                </c:pt>
                <c:pt idx="1">
                  <c:v>2</c:v>
                </c:pt>
                <c:pt idx="2">
                  <c:v>1</c:v>
                </c:pt>
                <c:pt idx="3">
                  <c:v>2</c:v>
                </c:pt>
                <c:pt idx="4">
                  <c:v>4</c:v>
                </c:pt>
                <c:pt idx="5">
                  <c:v>0</c:v>
                </c:pt>
                <c:pt idx="6">
                  <c:v>3</c:v>
                </c:pt>
                <c:pt idx="7">
                  <c:v>2</c:v>
                </c:pt>
                <c:pt idx="8">
                  <c:v>0</c:v>
                </c:pt>
                <c:pt idx="9">
                  <c:v>1</c:v>
                </c:pt>
                <c:pt idx="10">
                  <c:v>2</c:v>
                </c:pt>
                <c:pt idx="11">
                  <c:v>2</c:v>
                </c:pt>
                <c:pt idx="12">
                  <c:v>2</c:v>
                </c:pt>
                <c:pt idx="13">
                  <c:v>1</c:v>
                </c:pt>
                <c:pt idx="14">
                  <c:v>1</c:v>
                </c:pt>
                <c:pt idx="15">
                  <c:v>0</c:v>
                </c:pt>
                <c:pt idx="16">
                  <c:v>6</c:v>
                </c:pt>
                <c:pt idx="17">
                  <c:v>9</c:v>
                </c:pt>
                <c:pt idx="18">
                  <c:v>3</c:v>
                </c:pt>
                <c:pt idx="19">
                  <c:v>3</c:v>
                </c:pt>
                <c:pt idx="20">
                  <c:v>0</c:v>
                </c:pt>
              </c:numCache>
            </c:numRef>
          </c:val>
          <c:extLst>
            <c:ext xmlns:c16="http://schemas.microsoft.com/office/drawing/2014/chart" uri="{C3380CC4-5D6E-409C-BE32-E72D297353CC}">
              <c16:uniqueId val="{00000001-CB70-4A27-9F44-3FE2D7AA83D2}"/>
            </c:ext>
          </c:extLst>
        </c:ser>
        <c:ser>
          <c:idx val="2"/>
          <c:order val="2"/>
          <c:tx>
            <c:strRef>
              <c:f>Jurassic_2_Q2!$F$6</c:f>
              <c:strCache>
                <c:ptCount val="1"/>
                <c:pt idx="0">
                  <c:v>Low Correct:</c:v>
                </c:pt>
              </c:strCache>
            </c:strRef>
          </c:tx>
          <c:spPr>
            <a:solidFill>
              <a:schemeClr val="accent6">
                <a:lumMod val="40000"/>
                <a:lumOff val="60000"/>
              </a:schemeClr>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Jurassic_2_Q2!$F$7:$F$27</c:f>
              <c:numCache>
                <c:formatCode>General</c:formatCode>
                <c:ptCount val="21"/>
                <c:pt idx="0">
                  <c:v>0</c:v>
                </c:pt>
                <c:pt idx="1">
                  <c:v>0</c:v>
                </c:pt>
                <c:pt idx="2">
                  <c:v>1</c:v>
                </c:pt>
                <c:pt idx="3">
                  <c:v>3</c:v>
                </c:pt>
                <c:pt idx="4">
                  <c:v>2</c:v>
                </c:pt>
                <c:pt idx="5">
                  <c:v>0</c:v>
                </c:pt>
                <c:pt idx="6">
                  <c:v>0</c:v>
                </c:pt>
                <c:pt idx="7">
                  <c:v>1</c:v>
                </c:pt>
                <c:pt idx="8">
                  <c:v>1</c:v>
                </c:pt>
                <c:pt idx="9">
                  <c:v>2</c:v>
                </c:pt>
                <c:pt idx="10">
                  <c:v>0</c:v>
                </c:pt>
                <c:pt idx="11">
                  <c:v>1</c:v>
                </c:pt>
                <c:pt idx="12">
                  <c:v>2</c:v>
                </c:pt>
                <c:pt idx="13">
                  <c:v>0</c:v>
                </c:pt>
                <c:pt idx="14">
                  <c:v>1</c:v>
                </c:pt>
                <c:pt idx="15">
                  <c:v>0</c:v>
                </c:pt>
                <c:pt idx="16">
                  <c:v>2</c:v>
                </c:pt>
                <c:pt idx="17">
                  <c:v>3</c:v>
                </c:pt>
                <c:pt idx="18">
                  <c:v>1</c:v>
                </c:pt>
                <c:pt idx="19">
                  <c:v>2</c:v>
                </c:pt>
                <c:pt idx="20">
                  <c:v>1</c:v>
                </c:pt>
              </c:numCache>
            </c:numRef>
          </c:val>
          <c:extLst>
            <c:ext xmlns:c16="http://schemas.microsoft.com/office/drawing/2014/chart" uri="{C3380CC4-5D6E-409C-BE32-E72D297353CC}">
              <c16:uniqueId val="{00000002-CB70-4A27-9F44-3FE2D7AA83D2}"/>
            </c:ext>
          </c:extLst>
        </c:ser>
        <c:ser>
          <c:idx val="3"/>
          <c:order val="3"/>
          <c:tx>
            <c:strRef>
              <c:f>Jurassic_2_Q2!$G$6</c:f>
              <c:strCache>
                <c:ptCount val="1"/>
                <c:pt idx="0">
                  <c:v>High Maybe:</c:v>
                </c:pt>
              </c:strCache>
            </c:strRef>
          </c:tx>
          <c:spPr>
            <a:solidFill>
              <a:schemeClr val="accent2">
                <a:lumMod val="75000"/>
              </a:schemeClr>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Jurassic_2_Q2!$G$7:$G$27</c:f>
              <c:numCache>
                <c:formatCode>General</c:formatCode>
                <c:ptCount val="21"/>
                <c:pt idx="0">
                  <c:v>0</c:v>
                </c:pt>
                <c:pt idx="1">
                  <c:v>1</c:v>
                </c:pt>
                <c:pt idx="2">
                  <c:v>0</c:v>
                </c:pt>
                <c:pt idx="3">
                  <c:v>2</c:v>
                </c:pt>
                <c:pt idx="4">
                  <c:v>1</c:v>
                </c:pt>
                <c:pt idx="5">
                  <c:v>1</c:v>
                </c:pt>
                <c:pt idx="6">
                  <c:v>4</c:v>
                </c:pt>
                <c:pt idx="7">
                  <c:v>0</c:v>
                </c:pt>
                <c:pt idx="8">
                  <c:v>2</c:v>
                </c:pt>
                <c:pt idx="9">
                  <c:v>0</c:v>
                </c:pt>
                <c:pt idx="10">
                  <c:v>0</c:v>
                </c:pt>
                <c:pt idx="11">
                  <c:v>0</c:v>
                </c:pt>
                <c:pt idx="12">
                  <c:v>1</c:v>
                </c:pt>
                <c:pt idx="13">
                  <c:v>1</c:v>
                </c:pt>
                <c:pt idx="14">
                  <c:v>0</c:v>
                </c:pt>
                <c:pt idx="15">
                  <c:v>0</c:v>
                </c:pt>
                <c:pt idx="16">
                  <c:v>0</c:v>
                </c:pt>
                <c:pt idx="17">
                  <c:v>1</c:v>
                </c:pt>
                <c:pt idx="18">
                  <c:v>1</c:v>
                </c:pt>
                <c:pt idx="19">
                  <c:v>4</c:v>
                </c:pt>
                <c:pt idx="20">
                  <c:v>1</c:v>
                </c:pt>
              </c:numCache>
            </c:numRef>
          </c:val>
          <c:extLst>
            <c:ext xmlns:c16="http://schemas.microsoft.com/office/drawing/2014/chart" uri="{C3380CC4-5D6E-409C-BE32-E72D297353CC}">
              <c16:uniqueId val="{00000003-CB70-4A27-9F44-3FE2D7AA83D2}"/>
            </c:ext>
          </c:extLst>
        </c:ser>
        <c:ser>
          <c:idx val="4"/>
          <c:order val="4"/>
          <c:tx>
            <c:strRef>
              <c:f>Jurassic_2_Q2!$H$6</c:f>
              <c:strCache>
                <c:ptCount val="1"/>
                <c:pt idx="0">
                  <c:v>Medium Maybe:</c:v>
                </c:pt>
              </c:strCache>
            </c:strRef>
          </c:tx>
          <c:spPr>
            <a:solidFill>
              <a:schemeClr val="accent2"/>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Jurassic_2_Q2!$H$7:$H$27</c:f>
              <c:numCache>
                <c:formatCode>General</c:formatCode>
                <c:ptCount val="21"/>
                <c:pt idx="0">
                  <c:v>0</c:v>
                </c:pt>
                <c:pt idx="1">
                  <c:v>1</c:v>
                </c:pt>
                <c:pt idx="2">
                  <c:v>1</c:v>
                </c:pt>
                <c:pt idx="3">
                  <c:v>4</c:v>
                </c:pt>
                <c:pt idx="4">
                  <c:v>0</c:v>
                </c:pt>
                <c:pt idx="5">
                  <c:v>1</c:v>
                </c:pt>
                <c:pt idx="6">
                  <c:v>3</c:v>
                </c:pt>
                <c:pt idx="7">
                  <c:v>1</c:v>
                </c:pt>
                <c:pt idx="8">
                  <c:v>0</c:v>
                </c:pt>
                <c:pt idx="9">
                  <c:v>0</c:v>
                </c:pt>
                <c:pt idx="10">
                  <c:v>0</c:v>
                </c:pt>
                <c:pt idx="11">
                  <c:v>1</c:v>
                </c:pt>
                <c:pt idx="12">
                  <c:v>0</c:v>
                </c:pt>
                <c:pt idx="13">
                  <c:v>3</c:v>
                </c:pt>
                <c:pt idx="14">
                  <c:v>0</c:v>
                </c:pt>
                <c:pt idx="15">
                  <c:v>0</c:v>
                </c:pt>
                <c:pt idx="16">
                  <c:v>0</c:v>
                </c:pt>
                <c:pt idx="17">
                  <c:v>0</c:v>
                </c:pt>
                <c:pt idx="18">
                  <c:v>2</c:v>
                </c:pt>
                <c:pt idx="19">
                  <c:v>3</c:v>
                </c:pt>
                <c:pt idx="20">
                  <c:v>0</c:v>
                </c:pt>
              </c:numCache>
            </c:numRef>
          </c:val>
          <c:extLst>
            <c:ext xmlns:c16="http://schemas.microsoft.com/office/drawing/2014/chart" uri="{C3380CC4-5D6E-409C-BE32-E72D297353CC}">
              <c16:uniqueId val="{00000004-CB70-4A27-9F44-3FE2D7AA83D2}"/>
            </c:ext>
          </c:extLst>
        </c:ser>
        <c:ser>
          <c:idx val="5"/>
          <c:order val="5"/>
          <c:tx>
            <c:strRef>
              <c:f>Jurassic_2_Q2!$I$6</c:f>
              <c:strCache>
                <c:ptCount val="1"/>
                <c:pt idx="0">
                  <c:v>Low Maybe:</c:v>
                </c:pt>
              </c:strCache>
            </c:strRef>
          </c:tx>
          <c:spPr>
            <a:solidFill>
              <a:schemeClr val="accent2">
                <a:lumMod val="60000"/>
                <a:lumOff val="40000"/>
              </a:schemeClr>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Jurassic_2_Q2!$I$7:$I$27</c:f>
              <c:numCache>
                <c:formatCode>General</c:formatCode>
                <c:ptCount val="21"/>
                <c:pt idx="0">
                  <c:v>1</c:v>
                </c:pt>
                <c:pt idx="1">
                  <c:v>2</c:v>
                </c:pt>
                <c:pt idx="2">
                  <c:v>1</c:v>
                </c:pt>
                <c:pt idx="3">
                  <c:v>0</c:v>
                </c:pt>
                <c:pt idx="4">
                  <c:v>0</c:v>
                </c:pt>
                <c:pt idx="5">
                  <c:v>0</c:v>
                </c:pt>
                <c:pt idx="6">
                  <c:v>1</c:v>
                </c:pt>
                <c:pt idx="7">
                  <c:v>0</c:v>
                </c:pt>
                <c:pt idx="8">
                  <c:v>1</c:v>
                </c:pt>
                <c:pt idx="9">
                  <c:v>0</c:v>
                </c:pt>
                <c:pt idx="10">
                  <c:v>0</c:v>
                </c:pt>
                <c:pt idx="11">
                  <c:v>0</c:v>
                </c:pt>
                <c:pt idx="12">
                  <c:v>0</c:v>
                </c:pt>
                <c:pt idx="13">
                  <c:v>1</c:v>
                </c:pt>
                <c:pt idx="14">
                  <c:v>1</c:v>
                </c:pt>
                <c:pt idx="15">
                  <c:v>0</c:v>
                </c:pt>
                <c:pt idx="16">
                  <c:v>0</c:v>
                </c:pt>
                <c:pt idx="17">
                  <c:v>1</c:v>
                </c:pt>
                <c:pt idx="18">
                  <c:v>0</c:v>
                </c:pt>
                <c:pt idx="19">
                  <c:v>0</c:v>
                </c:pt>
                <c:pt idx="20">
                  <c:v>0</c:v>
                </c:pt>
              </c:numCache>
            </c:numRef>
          </c:val>
          <c:extLst>
            <c:ext xmlns:c16="http://schemas.microsoft.com/office/drawing/2014/chart" uri="{C3380CC4-5D6E-409C-BE32-E72D297353CC}">
              <c16:uniqueId val="{00000005-CB70-4A27-9F44-3FE2D7AA83D2}"/>
            </c:ext>
          </c:extLst>
        </c:ser>
        <c:ser>
          <c:idx val="6"/>
          <c:order val="6"/>
          <c:tx>
            <c:strRef>
              <c:f>Jurassic_2_Q2!$J$6</c:f>
              <c:strCache>
                <c:ptCount val="1"/>
                <c:pt idx="0">
                  <c:v>Low Incorrect:</c:v>
                </c:pt>
              </c:strCache>
            </c:strRef>
          </c:tx>
          <c:spPr>
            <a:solidFill>
              <a:srgbClr val="F46868"/>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Jurassic_2_Q2!$J$7:$J$27</c:f>
              <c:numCache>
                <c:formatCode>General</c:formatCode>
                <c:ptCount val="21"/>
                <c:pt idx="0">
                  <c:v>0</c:v>
                </c:pt>
                <c:pt idx="1">
                  <c:v>2</c:v>
                </c:pt>
                <c:pt idx="2">
                  <c:v>1</c:v>
                </c:pt>
                <c:pt idx="3">
                  <c:v>1</c:v>
                </c:pt>
                <c:pt idx="4">
                  <c:v>0</c:v>
                </c:pt>
                <c:pt idx="5">
                  <c:v>0</c:v>
                </c:pt>
                <c:pt idx="6">
                  <c:v>0</c:v>
                </c:pt>
                <c:pt idx="7">
                  <c:v>0</c:v>
                </c:pt>
                <c:pt idx="8">
                  <c:v>0</c:v>
                </c:pt>
                <c:pt idx="9">
                  <c:v>0</c:v>
                </c:pt>
                <c:pt idx="10">
                  <c:v>0</c:v>
                </c:pt>
                <c:pt idx="11">
                  <c:v>0</c:v>
                </c:pt>
                <c:pt idx="12">
                  <c:v>0</c:v>
                </c:pt>
                <c:pt idx="13">
                  <c:v>1</c:v>
                </c:pt>
                <c:pt idx="14">
                  <c:v>0</c:v>
                </c:pt>
                <c:pt idx="15">
                  <c:v>0</c:v>
                </c:pt>
                <c:pt idx="16">
                  <c:v>2</c:v>
                </c:pt>
                <c:pt idx="17">
                  <c:v>0</c:v>
                </c:pt>
                <c:pt idx="18">
                  <c:v>0</c:v>
                </c:pt>
                <c:pt idx="19">
                  <c:v>0</c:v>
                </c:pt>
                <c:pt idx="20">
                  <c:v>0</c:v>
                </c:pt>
              </c:numCache>
            </c:numRef>
          </c:val>
          <c:extLst>
            <c:ext xmlns:c16="http://schemas.microsoft.com/office/drawing/2014/chart" uri="{C3380CC4-5D6E-409C-BE32-E72D297353CC}">
              <c16:uniqueId val="{00000006-CB70-4A27-9F44-3FE2D7AA83D2}"/>
            </c:ext>
          </c:extLst>
        </c:ser>
        <c:ser>
          <c:idx val="7"/>
          <c:order val="7"/>
          <c:tx>
            <c:strRef>
              <c:f>Jurassic_2_Q2!$K$6</c:f>
              <c:strCache>
                <c:ptCount val="1"/>
                <c:pt idx="0">
                  <c:v>Medium Incorrect:</c:v>
                </c:pt>
              </c:strCache>
            </c:strRef>
          </c:tx>
          <c:spPr>
            <a:solidFill>
              <a:srgbClr val="EC2828"/>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Jurassic_2_Q2!$K$7:$K$27</c:f>
              <c:numCache>
                <c:formatCode>General</c:formatCode>
                <c:ptCount val="21"/>
                <c:pt idx="0">
                  <c:v>1</c:v>
                </c:pt>
                <c:pt idx="1">
                  <c:v>1</c:v>
                </c:pt>
                <c:pt idx="2">
                  <c:v>1</c:v>
                </c:pt>
                <c:pt idx="3">
                  <c:v>1</c:v>
                </c:pt>
                <c:pt idx="4">
                  <c:v>0</c:v>
                </c:pt>
                <c:pt idx="5">
                  <c:v>2</c:v>
                </c:pt>
                <c:pt idx="6">
                  <c:v>3</c:v>
                </c:pt>
                <c:pt idx="7">
                  <c:v>1</c:v>
                </c:pt>
                <c:pt idx="8">
                  <c:v>1</c:v>
                </c:pt>
                <c:pt idx="9">
                  <c:v>0</c:v>
                </c:pt>
                <c:pt idx="10">
                  <c:v>0</c:v>
                </c:pt>
                <c:pt idx="11">
                  <c:v>0</c:v>
                </c:pt>
                <c:pt idx="12">
                  <c:v>0</c:v>
                </c:pt>
                <c:pt idx="13">
                  <c:v>1</c:v>
                </c:pt>
                <c:pt idx="14">
                  <c:v>1</c:v>
                </c:pt>
                <c:pt idx="15">
                  <c:v>2</c:v>
                </c:pt>
                <c:pt idx="16">
                  <c:v>0</c:v>
                </c:pt>
                <c:pt idx="17">
                  <c:v>3</c:v>
                </c:pt>
                <c:pt idx="18">
                  <c:v>1</c:v>
                </c:pt>
                <c:pt idx="19">
                  <c:v>1</c:v>
                </c:pt>
                <c:pt idx="20">
                  <c:v>1</c:v>
                </c:pt>
              </c:numCache>
            </c:numRef>
          </c:val>
          <c:extLst>
            <c:ext xmlns:c16="http://schemas.microsoft.com/office/drawing/2014/chart" uri="{C3380CC4-5D6E-409C-BE32-E72D297353CC}">
              <c16:uniqueId val="{00000007-CB70-4A27-9F44-3FE2D7AA83D2}"/>
            </c:ext>
          </c:extLst>
        </c:ser>
        <c:ser>
          <c:idx val="8"/>
          <c:order val="8"/>
          <c:tx>
            <c:strRef>
              <c:f>Jurassic_2_Q2!$L$6</c:f>
              <c:strCache>
                <c:ptCount val="1"/>
                <c:pt idx="0">
                  <c:v>High Incorrect:</c:v>
                </c:pt>
              </c:strCache>
            </c:strRef>
          </c:tx>
          <c:spPr>
            <a:solidFill>
              <a:srgbClr val="C00000"/>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Jurassic_2_Q2!$L$7:$L$27</c:f>
              <c:numCache>
                <c:formatCode>General</c:formatCode>
                <c:ptCount val="21"/>
                <c:pt idx="0">
                  <c:v>1</c:v>
                </c:pt>
                <c:pt idx="1">
                  <c:v>5</c:v>
                </c:pt>
                <c:pt idx="2">
                  <c:v>7</c:v>
                </c:pt>
                <c:pt idx="3">
                  <c:v>0</c:v>
                </c:pt>
                <c:pt idx="4">
                  <c:v>2</c:v>
                </c:pt>
                <c:pt idx="5">
                  <c:v>4</c:v>
                </c:pt>
                <c:pt idx="6">
                  <c:v>1</c:v>
                </c:pt>
                <c:pt idx="7">
                  <c:v>4</c:v>
                </c:pt>
                <c:pt idx="8">
                  <c:v>1</c:v>
                </c:pt>
                <c:pt idx="9">
                  <c:v>1</c:v>
                </c:pt>
                <c:pt idx="10">
                  <c:v>1</c:v>
                </c:pt>
                <c:pt idx="11">
                  <c:v>3</c:v>
                </c:pt>
                <c:pt idx="12">
                  <c:v>1</c:v>
                </c:pt>
                <c:pt idx="13">
                  <c:v>3</c:v>
                </c:pt>
                <c:pt idx="14">
                  <c:v>1</c:v>
                </c:pt>
                <c:pt idx="15">
                  <c:v>4</c:v>
                </c:pt>
                <c:pt idx="16">
                  <c:v>1</c:v>
                </c:pt>
                <c:pt idx="17">
                  <c:v>1</c:v>
                </c:pt>
                <c:pt idx="18">
                  <c:v>4</c:v>
                </c:pt>
                <c:pt idx="19">
                  <c:v>1</c:v>
                </c:pt>
                <c:pt idx="20">
                  <c:v>4</c:v>
                </c:pt>
              </c:numCache>
            </c:numRef>
          </c:val>
          <c:extLst>
            <c:ext xmlns:c16="http://schemas.microsoft.com/office/drawing/2014/chart" uri="{C3380CC4-5D6E-409C-BE32-E72D297353CC}">
              <c16:uniqueId val="{00000008-CB70-4A27-9F44-3FE2D7AA83D2}"/>
            </c:ext>
          </c:extLst>
        </c:ser>
        <c:ser>
          <c:idx val="9"/>
          <c:order val="9"/>
          <c:tx>
            <c:strRef>
              <c:f>Jurassic_2_Q2!$M$6</c:f>
              <c:strCache>
                <c:ptCount val="1"/>
                <c:pt idx="0">
                  <c:v>N/A:</c:v>
                </c:pt>
              </c:strCache>
            </c:strRef>
          </c:tx>
          <c:spPr>
            <a:solidFill>
              <a:schemeClr val="bg2">
                <a:lumMod val="75000"/>
              </a:schemeClr>
            </a:solidFill>
            <a:ln>
              <a:noFill/>
            </a:ln>
            <a:effectLst/>
          </c:spPr>
          <c:invertIfNegative val="0"/>
          <c:cat>
            <c:strRef>
              <c:f>Jurassic_2_Q2!$C$7:$C$27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Jurassic_2_Q2!$M$7:$M$27</c:f>
              <c:numCache>
                <c:formatCode>General</c:formatCode>
                <c:ptCount val="21"/>
                <c:pt idx="0">
                  <c:v>1</c:v>
                </c:pt>
                <c:pt idx="1">
                  <c:v>0</c:v>
                </c:pt>
                <c:pt idx="2">
                  <c:v>0</c:v>
                </c:pt>
                <c:pt idx="3">
                  <c:v>0</c:v>
                </c:pt>
                <c:pt idx="4">
                  <c:v>1</c:v>
                </c:pt>
                <c:pt idx="5">
                  <c:v>0</c:v>
                </c:pt>
                <c:pt idx="6">
                  <c:v>0</c:v>
                </c:pt>
                <c:pt idx="7">
                  <c:v>1</c:v>
                </c:pt>
                <c:pt idx="8">
                  <c:v>1</c:v>
                </c:pt>
                <c:pt idx="9">
                  <c:v>0</c:v>
                </c:pt>
                <c:pt idx="10">
                  <c:v>1</c:v>
                </c:pt>
                <c:pt idx="11">
                  <c:v>2</c:v>
                </c:pt>
                <c:pt idx="12">
                  <c:v>1</c:v>
                </c:pt>
                <c:pt idx="13">
                  <c:v>1</c:v>
                </c:pt>
                <c:pt idx="14">
                  <c:v>1</c:v>
                </c:pt>
                <c:pt idx="15">
                  <c:v>1</c:v>
                </c:pt>
                <c:pt idx="16">
                  <c:v>6</c:v>
                </c:pt>
                <c:pt idx="17">
                  <c:v>0</c:v>
                </c:pt>
                <c:pt idx="18">
                  <c:v>0</c:v>
                </c:pt>
                <c:pt idx="19">
                  <c:v>1</c:v>
                </c:pt>
                <c:pt idx="20">
                  <c:v>9</c:v>
                </c:pt>
              </c:numCache>
            </c:numRef>
          </c:val>
          <c:extLst>
            <c:ext xmlns:c16="http://schemas.microsoft.com/office/drawing/2014/chart" uri="{C3380CC4-5D6E-409C-BE32-E72D297353CC}">
              <c16:uniqueId val="{00000009-CB70-4A27-9F44-3FE2D7AA83D2}"/>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Jurassic</a:t>
            </a:r>
            <a:r>
              <a:rPr lang="en-US" baseline="0"/>
              <a:t> Q2 Obfuscation Correctness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Jurassic_2_Q2!$D$31</c:f>
              <c:strCache>
                <c:ptCount val="1"/>
                <c:pt idx="0">
                  <c:v>High Correct:</c:v>
                </c:pt>
              </c:strCache>
            </c:strRef>
          </c:tx>
          <c:spPr>
            <a:solidFill>
              <a:schemeClr val="accent6">
                <a:lumMod val="75000"/>
              </a:schemeClr>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Jurassic_2_Q2!$D$32:$D$48</c:f>
              <c:numCache>
                <c:formatCode>General</c:formatCode>
                <c:ptCount val="17"/>
                <c:pt idx="0">
                  <c:v>11</c:v>
                </c:pt>
                <c:pt idx="1">
                  <c:v>8</c:v>
                </c:pt>
                <c:pt idx="2">
                  <c:v>7</c:v>
                </c:pt>
                <c:pt idx="3">
                  <c:v>9</c:v>
                </c:pt>
                <c:pt idx="4">
                  <c:v>9</c:v>
                </c:pt>
                <c:pt idx="5">
                  <c:v>7</c:v>
                </c:pt>
                <c:pt idx="6">
                  <c:v>8</c:v>
                </c:pt>
                <c:pt idx="7">
                  <c:v>10</c:v>
                </c:pt>
                <c:pt idx="8">
                  <c:v>8</c:v>
                </c:pt>
                <c:pt idx="9">
                  <c:v>13</c:v>
                </c:pt>
                <c:pt idx="10">
                  <c:v>10</c:v>
                </c:pt>
                <c:pt idx="11">
                  <c:v>13</c:v>
                </c:pt>
                <c:pt idx="12">
                  <c:v>5</c:v>
                </c:pt>
                <c:pt idx="13">
                  <c:v>7</c:v>
                </c:pt>
                <c:pt idx="14">
                  <c:v>3</c:v>
                </c:pt>
                <c:pt idx="15">
                  <c:v>13</c:v>
                </c:pt>
                <c:pt idx="16">
                  <c:v>3</c:v>
                </c:pt>
              </c:numCache>
            </c:numRef>
          </c:val>
          <c:extLst>
            <c:ext xmlns:c16="http://schemas.microsoft.com/office/drawing/2014/chart" uri="{C3380CC4-5D6E-409C-BE32-E72D297353CC}">
              <c16:uniqueId val="{00000000-203B-4454-9690-89271394FA38}"/>
            </c:ext>
          </c:extLst>
        </c:ser>
        <c:ser>
          <c:idx val="1"/>
          <c:order val="1"/>
          <c:tx>
            <c:strRef>
              <c:f>Jurassic_2_Q2!$E$31</c:f>
              <c:strCache>
                <c:ptCount val="1"/>
                <c:pt idx="0">
                  <c:v>Medium Correct:</c:v>
                </c:pt>
              </c:strCache>
            </c:strRef>
          </c:tx>
          <c:spPr>
            <a:solidFill>
              <a:schemeClr val="accent6"/>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Jurassic_2_Q2!$E$32:$E$48</c:f>
              <c:numCache>
                <c:formatCode>General</c:formatCode>
                <c:ptCount val="17"/>
                <c:pt idx="0">
                  <c:v>2</c:v>
                </c:pt>
                <c:pt idx="1">
                  <c:v>3</c:v>
                </c:pt>
                <c:pt idx="2">
                  <c:v>2</c:v>
                </c:pt>
                <c:pt idx="3">
                  <c:v>4</c:v>
                </c:pt>
                <c:pt idx="4">
                  <c:v>4</c:v>
                </c:pt>
                <c:pt idx="5">
                  <c:v>1</c:v>
                </c:pt>
                <c:pt idx="6">
                  <c:v>4</c:v>
                </c:pt>
                <c:pt idx="7">
                  <c:v>5</c:v>
                </c:pt>
                <c:pt idx="8">
                  <c:v>2</c:v>
                </c:pt>
                <c:pt idx="9">
                  <c:v>3</c:v>
                </c:pt>
                <c:pt idx="10">
                  <c:v>4</c:v>
                </c:pt>
                <c:pt idx="11">
                  <c:v>1</c:v>
                </c:pt>
                <c:pt idx="12">
                  <c:v>2</c:v>
                </c:pt>
                <c:pt idx="13">
                  <c:v>2</c:v>
                </c:pt>
                <c:pt idx="14">
                  <c:v>1</c:v>
                </c:pt>
                <c:pt idx="15">
                  <c:v>2</c:v>
                </c:pt>
                <c:pt idx="16">
                  <c:v>2</c:v>
                </c:pt>
              </c:numCache>
            </c:numRef>
          </c:val>
          <c:extLst>
            <c:ext xmlns:c16="http://schemas.microsoft.com/office/drawing/2014/chart" uri="{C3380CC4-5D6E-409C-BE32-E72D297353CC}">
              <c16:uniqueId val="{00000001-203B-4454-9690-89271394FA38}"/>
            </c:ext>
          </c:extLst>
        </c:ser>
        <c:ser>
          <c:idx val="2"/>
          <c:order val="2"/>
          <c:tx>
            <c:strRef>
              <c:f>Jurassic_2_Q2!$F$31</c:f>
              <c:strCache>
                <c:ptCount val="1"/>
                <c:pt idx="0">
                  <c:v>Low Correct:</c:v>
                </c:pt>
              </c:strCache>
            </c:strRef>
          </c:tx>
          <c:spPr>
            <a:solidFill>
              <a:schemeClr val="accent6">
                <a:lumMod val="60000"/>
                <a:lumOff val="40000"/>
              </a:schemeClr>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Jurassic_2_Q2!$F$32:$F$48</c:f>
              <c:numCache>
                <c:formatCode>General</c:formatCode>
                <c:ptCount val="17"/>
                <c:pt idx="0">
                  <c:v>1</c:v>
                </c:pt>
                <c:pt idx="1">
                  <c:v>1</c:v>
                </c:pt>
                <c:pt idx="2">
                  <c:v>3</c:v>
                </c:pt>
                <c:pt idx="3">
                  <c:v>2</c:v>
                </c:pt>
                <c:pt idx="4">
                  <c:v>1</c:v>
                </c:pt>
                <c:pt idx="5">
                  <c:v>0</c:v>
                </c:pt>
                <c:pt idx="6">
                  <c:v>1</c:v>
                </c:pt>
                <c:pt idx="7">
                  <c:v>0</c:v>
                </c:pt>
                <c:pt idx="8">
                  <c:v>0</c:v>
                </c:pt>
                <c:pt idx="9">
                  <c:v>0</c:v>
                </c:pt>
                <c:pt idx="10">
                  <c:v>1</c:v>
                </c:pt>
                <c:pt idx="11">
                  <c:v>1</c:v>
                </c:pt>
                <c:pt idx="12">
                  <c:v>1</c:v>
                </c:pt>
                <c:pt idx="13">
                  <c:v>0</c:v>
                </c:pt>
                <c:pt idx="14">
                  <c:v>0</c:v>
                </c:pt>
                <c:pt idx="15">
                  <c:v>2</c:v>
                </c:pt>
                <c:pt idx="16">
                  <c:v>1</c:v>
                </c:pt>
              </c:numCache>
            </c:numRef>
          </c:val>
          <c:extLst>
            <c:ext xmlns:c16="http://schemas.microsoft.com/office/drawing/2014/chart" uri="{C3380CC4-5D6E-409C-BE32-E72D297353CC}">
              <c16:uniqueId val="{00000002-203B-4454-9690-89271394FA38}"/>
            </c:ext>
          </c:extLst>
        </c:ser>
        <c:ser>
          <c:idx val="3"/>
          <c:order val="3"/>
          <c:tx>
            <c:strRef>
              <c:f>Jurassic_2_Q2!$G$31</c:f>
              <c:strCache>
                <c:ptCount val="1"/>
                <c:pt idx="0">
                  <c:v>High Maybe:</c:v>
                </c:pt>
              </c:strCache>
            </c:strRef>
          </c:tx>
          <c:spPr>
            <a:solidFill>
              <a:schemeClr val="accent2">
                <a:lumMod val="75000"/>
              </a:schemeClr>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Jurassic_2_Q2!$G$32:$G$48</c:f>
              <c:numCache>
                <c:formatCode>General</c:formatCode>
                <c:ptCount val="17"/>
                <c:pt idx="0">
                  <c:v>1</c:v>
                </c:pt>
                <c:pt idx="1">
                  <c:v>0</c:v>
                </c:pt>
                <c:pt idx="2">
                  <c:v>1</c:v>
                </c:pt>
                <c:pt idx="3">
                  <c:v>1</c:v>
                </c:pt>
                <c:pt idx="4">
                  <c:v>0</c:v>
                </c:pt>
                <c:pt idx="5">
                  <c:v>2</c:v>
                </c:pt>
                <c:pt idx="6">
                  <c:v>2</c:v>
                </c:pt>
                <c:pt idx="7">
                  <c:v>0</c:v>
                </c:pt>
                <c:pt idx="8">
                  <c:v>0</c:v>
                </c:pt>
                <c:pt idx="9">
                  <c:v>1</c:v>
                </c:pt>
                <c:pt idx="10">
                  <c:v>1</c:v>
                </c:pt>
                <c:pt idx="11">
                  <c:v>2</c:v>
                </c:pt>
                <c:pt idx="12">
                  <c:v>2</c:v>
                </c:pt>
                <c:pt idx="13">
                  <c:v>4</c:v>
                </c:pt>
                <c:pt idx="14">
                  <c:v>1</c:v>
                </c:pt>
                <c:pt idx="15">
                  <c:v>2</c:v>
                </c:pt>
                <c:pt idx="16">
                  <c:v>0</c:v>
                </c:pt>
              </c:numCache>
            </c:numRef>
          </c:val>
          <c:extLst>
            <c:ext xmlns:c16="http://schemas.microsoft.com/office/drawing/2014/chart" uri="{C3380CC4-5D6E-409C-BE32-E72D297353CC}">
              <c16:uniqueId val="{00000003-203B-4454-9690-89271394FA38}"/>
            </c:ext>
          </c:extLst>
        </c:ser>
        <c:ser>
          <c:idx val="4"/>
          <c:order val="4"/>
          <c:tx>
            <c:strRef>
              <c:f>Jurassic_2_Q2!$H$31</c:f>
              <c:strCache>
                <c:ptCount val="1"/>
                <c:pt idx="0">
                  <c:v>Medium Maybe:</c:v>
                </c:pt>
              </c:strCache>
            </c:strRef>
          </c:tx>
          <c:spPr>
            <a:solidFill>
              <a:schemeClr val="accent2"/>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Jurassic_2_Q2!$H$32:$H$48</c:f>
              <c:numCache>
                <c:formatCode>General</c:formatCode>
                <c:ptCount val="17"/>
                <c:pt idx="0">
                  <c:v>0</c:v>
                </c:pt>
                <c:pt idx="1">
                  <c:v>3</c:v>
                </c:pt>
                <c:pt idx="2">
                  <c:v>3</c:v>
                </c:pt>
                <c:pt idx="3">
                  <c:v>0</c:v>
                </c:pt>
                <c:pt idx="4">
                  <c:v>2</c:v>
                </c:pt>
                <c:pt idx="5">
                  <c:v>0</c:v>
                </c:pt>
                <c:pt idx="6">
                  <c:v>1</c:v>
                </c:pt>
                <c:pt idx="7">
                  <c:v>1</c:v>
                </c:pt>
                <c:pt idx="8">
                  <c:v>1</c:v>
                </c:pt>
                <c:pt idx="9">
                  <c:v>2</c:v>
                </c:pt>
                <c:pt idx="10">
                  <c:v>1</c:v>
                </c:pt>
                <c:pt idx="11">
                  <c:v>1</c:v>
                </c:pt>
                <c:pt idx="12">
                  <c:v>2</c:v>
                </c:pt>
                <c:pt idx="13">
                  <c:v>0</c:v>
                </c:pt>
                <c:pt idx="14">
                  <c:v>0</c:v>
                </c:pt>
                <c:pt idx="15">
                  <c:v>0</c:v>
                </c:pt>
                <c:pt idx="16">
                  <c:v>3</c:v>
                </c:pt>
              </c:numCache>
            </c:numRef>
          </c:val>
          <c:extLst>
            <c:ext xmlns:c16="http://schemas.microsoft.com/office/drawing/2014/chart" uri="{C3380CC4-5D6E-409C-BE32-E72D297353CC}">
              <c16:uniqueId val="{00000004-203B-4454-9690-89271394FA38}"/>
            </c:ext>
          </c:extLst>
        </c:ser>
        <c:ser>
          <c:idx val="5"/>
          <c:order val="5"/>
          <c:tx>
            <c:strRef>
              <c:f>Jurassic_2_Q2!$I$31</c:f>
              <c:strCache>
                <c:ptCount val="1"/>
                <c:pt idx="0">
                  <c:v>Low Maybe:</c:v>
                </c:pt>
              </c:strCache>
            </c:strRef>
          </c:tx>
          <c:spPr>
            <a:solidFill>
              <a:schemeClr val="accent2">
                <a:lumMod val="60000"/>
                <a:lumOff val="40000"/>
              </a:schemeClr>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Jurassic_2_Q2!$I$32:$I$48</c:f>
              <c:numCache>
                <c:formatCode>General</c:formatCode>
                <c:ptCount val="17"/>
                <c:pt idx="0">
                  <c:v>0</c:v>
                </c:pt>
                <c:pt idx="1">
                  <c:v>0</c:v>
                </c:pt>
                <c:pt idx="2">
                  <c:v>0</c:v>
                </c:pt>
                <c:pt idx="3">
                  <c:v>2</c:v>
                </c:pt>
                <c:pt idx="4">
                  <c:v>0</c:v>
                </c:pt>
                <c:pt idx="5">
                  <c:v>1</c:v>
                </c:pt>
                <c:pt idx="6">
                  <c:v>1</c:v>
                </c:pt>
                <c:pt idx="7">
                  <c:v>0</c:v>
                </c:pt>
                <c:pt idx="8">
                  <c:v>1</c:v>
                </c:pt>
                <c:pt idx="9">
                  <c:v>0</c:v>
                </c:pt>
                <c:pt idx="10">
                  <c:v>0</c:v>
                </c:pt>
                <c:pt idx="11">
                  <c:v>0</c:v>
                </c:pt>
                <c:pt idx="12">
                  <c:v>0</c:v>
                </c:pt>
                <c:pt idx="13">
                  <c:v>2</c:v>
                </c:pt>
                <c:pt idx="14">
                  <c:v>0</c:v>
                </c:pt>
                <c:pt idx="15">
                  <c:v>0</c:v>
                </c:pt>
                <c:pt idx="16">
                  <c:v>2</c:v>
                </c:pt>
              </c:numCache>
            </c:numRef>
          </c:val>
          <c:extLst>
            <c:ext xmlns:c16="http://schemas.microsoft.com/office/drawing/2014/chart" uri="{C3380CC4-5D6E-409C-BE32-E72D297353CC}">
              <c16:uniqueId val="{00000005-203B-4454-9690-89271394FA38}"/>
            </c:ext>
          </c:extLst>
        </c:ser>
        <c:ser>
          <c:idx val="6"/>
          <c:order val="6"/>
          <c:tx>
            <c:strRef>
              <c:f>Jurassic_2_Q2!$J$31</c:f>
              <c:strCache>
                <c:ptCount val="1"/>
                <c:pt idx="0">
                  <c:v>Low Incorrect:</c:v>
                </c:pt>
              </c:strCache>
            </c:strRef>
          </c:tx>
          <c:spPr>
            <a:solidFill>
              <a:srgbClr val="F46868"/>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Jurassic_2_Q2!$J$32:$J$48</c:f>
              <c:numCache>
                <c:formatCode>General</c:formatCode>
                <c:ptCount val="17"/>
                <c:pt idx="0">
                  <c:v>0</c:v>
                </c:pt>
                <c:pt idx="1">
                  <c:v>0</c:v>
                </c:pt>
                <c:pt idx="2">
                  <c:v>0</c:v>
                </c:pt>
                <c:pt idx="3">
                  <c:v>0</c:v>
                </c:pt>
                <c:pt idx="4">
                  <c:v>0</c:v>
                </c:pt>
                <c:pt idx="5">
                  <c:v>0</c:v>
                </c:pt>
                <c:pt idx="6">
                  <c:v>0</c:v>
                </c:pt>
                <c:pt idx="7">
                  <c:v>2</c:v>
                </c:pt>
                <c:pt idx="8">
                  <c:v>0</c:v>
                </c:pt>
                <c:pt idx="9">
                  <c:v>1</c:v>
                </c:pt>
                <c:pt idx="10">
                  <c:v>1</c:v>
                </c:pt>
                <c:pt idx="11">
                  <c:v>1</c:v>
                </c:pt>
                <c:pt idx="12">
                  <c:v>1</c:v>
                </c:pt>
                <c:pt idx="13">
                  <c:v>0</c:v>
                </c:pt>
                <c:pt idx="14">
                  <c:v>1</c:v>
                </c:pt>
                <c:pt idx="15">
                  <c:v>0</c:v>
                </c:pt>
                <c:pt idx="16">
                  <c:v>0</c:v>
                </c:pt>
              </c:numCache>
            </c:numRef>
          </c:val>
          <c:extLst>
            <c:ext xmlns:c16="http://schemas.microsoft.com/office/drawing/2014/chart" uri="{C3380CC4-5D6E-409C-BE32-E72D297353CC}">
              <c16:uniqueId val="{00000006-203B-4454-9690-89271394FA38}"/>
            </c:ext>
          </c:extLst>
        </c:ser>
        <c:ser>
          <c:idx val="7"/>
          <c:order val="7"/>
          <c:tx>
            <c:strRef>
              <c:f>Jurassic_2_Q2!$K$31</c:f>
              <c:strCache>
                <c:ptCount val="1"/>
                <c:pt idx="0">
                  <c:v>Medium Incorrect:</c:v>
                </c:pt>
              </c:strCache>
            </c:strRef>
          </c:tx>
          <c:spPr>
            <a:solidFill>
              <a:srgbClr val="EC2828"/>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Jurassic_2_Q2!$K$32:$K$48</c:f>
              <c:numCache>
                <c:formatCode>General</c:formatCode>
                <c:ptCount val="17"/>
                <c:pt idx="0">
                  <c:v>3</c:v>
                </c:pt>
                <c:pt idx="1">
                  <c:v>1</c:v>
                </c:pt>
                <c:pt idx="2">
                  <c:v>1</c:v>
                </c:pt>
                <c:pt idx="3">
                  <c:v>0</c:v>
                </c:pt>
                <c:pt idx="4">
                  <c:v>2</c:v>
                </c:pt>
                <c:pt idx="5">
                  <c:v>1</c:v>
                </c:pt>
                <c:pt idx="6">
                  <c:v>1</c:v>
                </c:pt>
                <c:pt idx="7">
                  <c:v>0</c:v>
                </c:pt>
                <c:pt idx="8">
                  <c:v>3</c:v>
                </c:pt>
                <c:pt idx="9">
                  <c:v>0</c:v>
                </c:pt>
                <c:pt idx="10">
                  <c:v>2</c:v>
                </c:pt>
                <c:pt idx="11">
                  <c:v>1</c:v>
                </c:pt>
                <c:pt idx="12">
                  <c:v>1</c:v>
                </c:pt>
                <c:pt idx="13">
                  <c:v>1</c:v>
                </c:pt>
                <c:pt idx="14">
                  <c:v>3</c:v>
                </c:pt>
                <c:pt idx="15">
                  <c:v>0</c:v>
                </c:pt>
                <c:pt idx="16">
                  <c:v>1</c:v>
                </c:pt>
              </c:numCache>
            </c:numRef>
          </c:val>
          <c:extLst>
            <c:ext xmlns:c16="http://schemas.microsoft.com/office/drawing/2014/chart" uri="{C3380CC4-5D6E-409C-BE32-E72D297353CC}">
              <c16:uniqueId val="{00000007-203B-4454-9690-89271394FA38}"/>
            </c:ext>
          </c:extLst>
        </c:ser>
        <c:ser>
          <c:idx val="8"/>
          <c:order val="8"/>
          <c:tx>
            <c:strRef>
              <c:f>Jurassic_2_Q2!$L$31</c:f>
              <c:strCache>
                <c:ptCount val="1"/>
                <c:pt idx="0">
                  <c:v>High Incorrect:</c:v>
                </c:pt>
              </c:strCache>
            </c:strRef>
          </c:tx>
          <c:spPr>
            <a:solidFill>
              <a:srgbClr val="C00000"/>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Jurassic_2_Q2!$L$32:$L$48</c:f>
              <c:numCache>
                <c:formatCode>General</c:formatCode>
                <c:ptCount val="17"/>
                <c:pt idx="0">
                  <c:v>0</c:v>
                </c:pt>
                <c:pt idx="1">
                  <c:v>5</c:v>
                </c:pt>
                <c:pt idx="2">
                  <c:v>2</c:v>
                </c:pt>
                <c:pt idx="3">
                  <c:v>3</c:v>
                </c:pt>
                <c:pt idx="4">
                  <c:v>2</c:v>
                </c:pt>
                <c:pt idx="5">
                  <c:v>0</c:v>
                </c:pt>
                <c:pt idx="6">
                  <c:v>1</c:v>
                </c:pt>
                <c:pt idx="7">
                  <c:v>2</c:v>
                </c:pt>
                <c:pt idx="8">
                  <c:v>3</c:v>
                </c:pt>
                <c:pt idx="9">
                  <c:v>1</c:v>
                </c:pt>
                <c:pt idx="10">
                  <c:v>1</c:v>
                </c:pt>
                <c:pt idx="11">
                  <c:v>1</c:v>
                </c:pt>
                <c:pt idx="12">
                  <c:v>4</c:v>
                </c:pt>
                <c:pt idx="13">
                  <c:v>5</c:v>
                </c:pt>
                <c:pt idx="14">
                  <c:v>12</c:v>
                </c:pt>
                <c:pt idx="15">
                  <c:v>1</c:v>
                </c:pt>
                <c:pt idx="16">
                  <c:v>7</c:v>
                </c:pt>
              </c:numCache>
            </c:numRef>
          </c:val>
          <c:extLst>
            <c:ext xmlns:c16="http://schemas.microsoft.com/office/drawing/2014/chart" uri="{C3380CC4-5D6E-409C-BE32-E72D297353CC}">
              <c16:uniqueId val="{00000008-203B-4454-9690-89271394FA38}"/>
            </c:ext>
          </c:extLst>
        </c:ser>
        <c:ser>
          <c:idx val="9"/>
          <c:order val="9"/>
          <c:tx>
            <c:strRef>
              <c:f>Jurassic_2_Q2!$M$31</c:f>
              <c:strCache>
                <c:ptCount val="1"/>
                <c:pt idx="0">
                  <c:v>N/A:</c:v>
                </c:pt>
              </c:strCache>
            </c:strRef>
          </c:tx>
          <c:spPr>
            <a:solidFill>
              <a:schemeClr val="bg2">
                <a:lumMod val="75000"/>
              </a:schemeClr>
            </a:solidFill>
            <a:ln>
              <a:noFill/>
            </a:ln>
            <a:effectLst/>
          </c:spPr>
          <c:invertIfNegative val="0"/>
          <c:cat>
            <c:strRef>
              <c:f>Jurassic_2_Q2!$C$32:$C$48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Jurassic_2_Q2!$M$32:$M$48</c:f>
              <c:numCache>
                <c:formatCode>General</c:formatCode>
                <c:ptCount val="17"/>
                <c:pt idx="0">
                  <c:v>3</c:v>
                </c:pt>
                <c:pt idx="1">
                  <c:v>0</c:v>
                </c:pt>
                <c:pt idx="2">
                  <c:v>2</c:v>
                </c:pt>
                <c:pt idx="3">
                  <c:v>0</c:v>
                </c:pt>
                <c:pt idx="4">
                  <c:v>1</c:v>
                </c:pt>
                <c:pt idx="5">
                  <c:v>9</c:v>
                </c:pt>
                <c:pt idx="6">
                  <c:v>2</c:v>
                </c:pt>
                <c:pt idx="7">
                  <c:v>1</c:v>
                </c:pt>
                <c:pt idx="8">
                  <c:v>3</c:v>
                </c:pt>
                <c:pt idx="9">
                  <c:v>0</c:v>
                </c:pt>
                <c:pt idx="10">
                  <c:v>0</c:v>
                </c:pt>
                <c:pt idx="11">
                  <c:v>0</c:v>
                </c:pt>
                <c:pt idx="12">
                  <c:v>3</c:v>
                </c:pt>
                <c:pt idx="13">
                  <c:v>0</c:v>
                </c:pt>
                <c:pt idx="14">
                  <c:v>0</c:v>
                </c:pt>
                <c:pt idx="15">
                  <c:v>1</c:v>
                </c:pt>
                <c:pt idx="16">
                  <c:v>2</c:v>
                </c:pt>
              </c:numCache>
            </c:numRef>
          </c:val>
          <c:extLst>
            <c:ext xmlns:c16="http://schemas.microsoft.com/office/drawing/2014/chart" uri="{C3380CC4-5D6E-409C-BE32-E72D297353CC}">
              <c16:uniqueId val="{00000009-203B-4454-9690-89271394FA38}"/>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Jurassic_2_Q3!$D$6</c:f>
              <c:strCache>
                <c:ptCount val="1"/>
                <c:pt idx="0">
                  <c:v>High Correct:</c:v>
                </c:pt>
              </c:strCache>
            </c:strRef>
          </c:tx>
          <c:spPr>
            <a:solidFill>
              <a:schemeClr val="accent6">
                <a:lumMod val="75000"/>
              </a:schemeClr>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Jurassic_2_Q3!$D$7:$D$27</c:f>
              <c:numCache>
                <c:formatCode>General</c:formatCode>
                <c:ptCount val="21"/>
                <c:pt idx="0">
                  <c:v>5</c:v>
                </c:pt>
                <c:pt idx="1">
                  <c:v>5</c:v>
                </c:pt>
                <c:pt idx="2">
                  <c:v>4</c:v>
                </c:pt>
                <c:pt idx="3">
                  <c:v>8</c:v>
                </c:pt>
                <c:pt idx="4">
                  <c:v>9</c:v>
                </c:pt>
                <c:pt idx="5">
                  <c:v>11</c:v>
                </c:pt>
                <c:pt idx="6">
                  <c:v>0</c:v>
                </c:pt>
                <c:pt idx="7">
                  <c:v>10</c:v>
                </c:pt>
                <c:pt idx="8">
                  <c:v>10</c:v>
                </c:pt>
                <c:pt idx="9">
                  <c:v>11</c:v>
                </c:pt>
                <c:pt idx="10">
                  <c:v>1</c:v>
                </c:pt>
                <c:pt idx="11">
                  <c:v>6</c:v>
                </c:pt>
                <c:pt idx="12">
                  <c:v>5</c:v>
                </c:pt>
                <c:pt idx="13">
                  <c:v>8</c:v>
                </c:pt>
                <c:pt idx="14">
                  <c:v>9</c:v>
                </c:pt>
                <c:pt idx="15">
                  <c:v>7</c:v>
                </c:pt>
                <c:pt idx="16">
                  <c:v>0</c:v>
                </c:pt>
                <c:pt idx="17">
                  <c:v>0</c:v>
                </c:pt>
                <c:pt idx="18">
                  <c:v>0</c:v>
                </c:pt>
                <c:pt idx="19">
                  <c:v>3</c:v>
                </c:pt>
                <c:pt idx="20">
                  <c:v>1</c:v>
                </c:pt>
              </c:numCache>
            </c:numRef>
          </c:val>
          <c:extLst>
            <c:ext xmlns:c16="http://schemas.microsoft.com/office/drawing/2014/chart" uri="{C3380CC4-5D6E-409C-BE32-E72D297353CC}">
              <c16:uniqueId val="{00000000-F010-4D5A-B838-3DE36F1F15D5}"/>
            </c:ext>
          </c:extLst>
        </c:ser>
        <c:ser>
          <c:idx val="1"/>
          <c:order val="1"/>
          <c:tx>
            <c:strRef>
              <c:f>Jurassic_2_Q3!$E$6</c:f>
              <c:strCache>
                <c:ptCount val="1"/>
                <c:pt idx="0">
                  <c:v>Medium Correct:</c:v>
                </c:pt>
              </c:strCache>
            </c:strRef>
          </c:tx>
          <c:spPr>
            <a:solidFill>
              <a:schemeClr val="accent6"/>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Jurassic_2_Q3!$E$7:$E$27</c:f>
              <c:numCache>
                <c:formatCode>General</c:formatCode>
                <c:ptCount val="21"/>
                <c:pt idx="0">
                  <c:v>5</c:v>
                </c:pt>
                <c:pt idx="1">
                  <c:v>2</c:v>
                </c:pt>
                <c:pt idx="2">
                  <c:v>0</c:v>
                </c:pt>
                <c:pt idx="3">
                  <c:v>2</c:v>
                </c:pt>
                <c:pt idx="4">
                  <c:v>2</c:v>
                </c:pt>
                <c:pt idx="5">
                  <c:v>2</c:v>
                </c:pt>
                <c:pt idx="6">
                  <c:v>3</c:v>
                </c:pt>
                <c:pt idx="7">
                  <c:v>2</c:v>
                </c:pt>
                <c:pt idx="8">
                  <c:v>0</c:v>
                </c:pt>
                <c:pt idx="9">
                  <c:v>1</c:v>
                </c:pt>
                <c:pt idx="10">
                  <c:v>8</c:v>
                </c:pt>
                <c:pt idx="11">
                  <c:v>2</c:v>
                </c:pt>
                <c:pt idx="12">
                  <c:v>1</c:v>
                </c:pt>
                <c:pt idx="13">
                  <c:v>3</c:v>
                </c:pt>
                <c:pt idx="14">
                  <c:v>3</c:v>
                </c:pt>
                <c:pt idx="15">
                  <c:v>1</c:v>
                </c:pt>
                <c:pt idx="16">
                  <c:v>1</c:v>
                </c:pt>
                <c:pt idx="17">
                  <c:v>2</c:v>
                </c:pt>
                <c:pt idx="18">
                  <c:v>7</c:v>
                </c:pt>
                <c:pt idx="19">
                  <c:v>2</c:v>
                </c:pt>
                <c:pt idx="20">
                  <c:v>1</c:v>
                </c:pt>
              </c:numCache>
            </c:numRef>
          </c:val>
          <c:extLst>
            <c:ext xmlns:c16="http://schemas.microsoft.com/office/drawing/2014/chart" uri="{C3380CC4-5D6E-409C-BE32-E72D297353CC}">
              <c16:uniqueId val="{00000001-F010-4D5A-B838-3DE36F1F15D5}"/>
            </c:ext>
          </c:extLst>
        </c:ser>
        <c:ser>
          <c:idx val="2"/>
          <c:order val="2"/>
          <c:tx>
            <c:strRef>
              <c:f>Jurassic_2_Q3!$F$6</c:f>
              <c:strCache>
                <c:ptCount val="1"/>
                <c:pt idx="0">
                  <c:v>Low Correct:</c:v>
                </c:pt>
              </c:strCache>
            </c:strRef>
          </c:tx>
          <c:spPr>
            <a:solidFill>
              <a:schemeClr val="accent6">
                <a:lumMod val="40000"/>
                <a:lumOff val="60000"/>
              </a:schemeClr>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Jurassic_2_Q3!$F$7:$F$27</c:f>
              <c:numCache>
                <c:formatCode>General</c:formatCode>
                <c:ptCount val="21"/>
                <c:pt idx="0">
                  <c:v>1</c:v>
                </c:pt>
                <c:pt idx="1">
                  <c:v>3</c:v>
                </c:pt>
                <c:pt idx="2">
                  <c:v>2</c:v>
                </c:pt>
                <c:pt idx="3">
                  <c:v>2</c:v>
                </c:pt>
                <c:pt idx="4">
                  <c:v>0</c:v>
                </c:pt>
                <c:pt idx="5">
                  <c:v>0</c:v>
                </c:pt>
                <c:pt idx="6">
                  <c:v>2</c:v>
                </c:pt>
                <c:pt idx="7">
                  <c:v>2</c:v>
                </c:pt>
                <c:pt idx="8">
                  <c:v>1</c:v>
                </c:pt>
                <c:pt idx="9">
                  <c:v>2</c:v>
                </c:pt>
                <c:pt idx="10">
                  <c:v>2</c:v>
                </c:pt>
                <c:pt idx="11">
                  <c:v>0</c:v>
                </c:pt>
                <c:pt idx="12">
                  <c:v>2</c:v>
                </c:pt>
                <c:pt idx="13">
                  <c:v>2</c:v>
                </c:pt>
                <c:pt idx="14">
                  <c:v>1</c:v>
                </c:pt>
                <c:pt idx="15">
                  <c:v>3</c:v>
                </c:pt>
                <c:pt idx="16">
                  <c:v>3</c:v>
                </c:pt>
                <c:pt idx="17">
                  <c:v>2</c:v>
                </c:pt>
                <c:pt idx="18">
                  <c:v>4</c:v>
                </c:pt>
                <c:pt idx="19">
                  <c:v>3</c:v>
                </c:pt>
                <c:pt idx="20">
                  <c:v>1</c:v>
                </c:pt>
              </c:numCache>
            </c:numRef>
          </c:val>
          <c:extLst>
            <c:ext xmlns:c16="http://schemas.microsoft.com/office/drawing/2014/chart" uri="{C3380CC4-5D6E-409C-BE32-E72D297353CC}">
              <c16:uniqueId val="{00000002-F010-4D5A-B838-3DE36F1F15D5}"/>
            </c:ext>
          </c:extLst>
        </c:ser>
        <c:ser>
          <c:idx val="3"/>
          <c:order val="3"/>
          <c:tx>
            <c:strRef>
              <c:f>Jurassic_2_Q3!$G$6</c:f>
              <c:strCache>
                <c:ptCount val="1"/>
                <c:pt idx="0">
                  <c:v>High Maybe:</c:v>
                </c:pt>
              </c:strCache>
            </c:strRef>
          </c:tx>
          <c:spPr>
            <a:solidFill>
              <a:schemeClr val="accent2">
                <a:lumMod val="75000"/>
              </a:schemeClr>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Jurassic_2_Q3!$G$7:$G$27</c:f>
              <c:numCache>
                <c:formatCode>General</c:formatCode>
                <c:ptCount val="21"/>
                <c:pt idx="0">
                  <c:v>1</c:v>
                </c:pt>
                <c:pt idx="1">
                  <c:v>1</c:v>
                </c:pt>
                <c:pt idx="2">
                  <c:v>2</c:v>
                </c:pt>
                <c:pt idx="3">
                  <c:v>3</c:v>
                </c:pt>
                <c:pt idx="4">
                  <c:v>1</c:v>
                </c:pt>
                <c:pt idx="5">
                  <c:v>0</c:v>
                </c:pt>
                <c:pt idx="6">
                  <c:v>4</c:v>
                </c:pt>
                <c:pt idx="7">
                  <c:v>1</c:v>
                </c:pt>
                <c:pt idx="8">
                  <c:v>1</c:v>
                </c:pt>
                <c:pt idx="9">
                  <c:v>1</c:v>
                </c:pt>
                <c:pt idx="10">
                  <c:v>2</c:v>
                </c:pt>
                <c:pt idx="11">
                  <c:v>3</c:v>
                </c:pt>
                <c:pt idx="12">
                  <c:v>3</c:v>
                </c:pt>
                <c:pt idx="13">
                  <c:v>0</c:v>
                </c:pt>
                <c:pt idx="14">
                  <c:v>1</c:v>
                </c:pt>
                <c:pt idx="15">
                  <c:v>2</c:v>
                </c:pt>
                <c:pt idx="16">
                  <c:v>0</c:v>
                </c:pt>
                <c:pt idx="17">
                  <c:v>1</c:v>
                </c:pt>
                <c:pt idx="18">
                  <c:v>2</c:v>
                </c:pt>
                <c:pt idx="19">
                  <c:v>2</c:v>
                </c:pt>
                <c:pt idx="20">
                  <c:v>1</c:v>
                </c:pt>
              </c:numCache>
            </c:numRef>
          </c:val>
          <c:extLst>
            <c:ext xmlns:c16="http://schemas.microsoft.com/office/drawing/2014/chart" uri="{C3380CC4-5D6E-409C-BE32-E72D297353CC}">
              <c16:uniqueId val="{00000003-F010-4D5A-B838-3DE36F1F15D5}"/>
            </c:ext>
          </c:extLst>
        </c:ser>
        <c:ser>
          <c:idx val="4"/>
          <c:order val="4"/>
          <c:tx>
            <c:strRef>
              <c:f>Jurassic_2_Q3!$H$6</c:f>
              <c:strCache>
                <c:ptCount val="1"/>
                <c:pt idx="0">
                  <c:v>Medium Maybe:</c:v>
                </c:pt>
              </c:strCache>
            </c:strRef>
          </c:tx>
          <c:spPr>
            <a:solidFill>
              <a:schemeClr val="accent2"/>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Jurassic_2_Q3!$H$7:$H$27</c:f>
              <c:numCache>
                <c:formatCode>General</c:formatCode>
                <c:ptCount val="21"/>
                <c:pt idx="0">
                  <c:v>1</c:v>
                </c:pt>
                <c:pt idx="1">
                  <c:v>1</c:v>
                </c:pt>
                <c:pt idx="2">
                  <c:v>1</c:v>
                </c:pt>
                <c:pt idx="3">
                  <c:v>0</c:v>
                </c:pt>
                <c:pt idx="4">
                  <c:v>1</c:v>
                </c:pt>
                <c:pt idx="5">
                  <c:v>2</c:v>
                </c:pt>
                <c:pt idx="6">
                  <c:v>2</c:v>
                </c:pt>
                <c:pt idx="7">
                  <c:v>0</c:v>
                </c:pt>
                <c:pt idx="8">
                  <c:v>0</c:v>
                </c:pt>
                <c:pt idx="9">
                  <c:v>1</c:v>
                </c:pt>
                <c:pt idx="10">
                  <c:v>0</c:v>
                </c:pt>
                <c:pt idx="11">
                  <c:v>1</c:v>
                </c:pt>
                <c:pt idx="12">
                  <c:v>2</c:v>
                </c:pt>
                <c:pt idx="13">
                  <c:v>1</c:v>
                </c:pt>
                <c:pt idx="14">
                  <c:v>1</c:v>
                </c:pt>
                <c:pt idx="15">
                  <c:v>1</c:v>
                </c:pt>
                <c:pt idx="16">
                  <c:v>1</c:v>
                </c:pt>
                <c:pt idx="17">
                  <c:v>5</c:v>
                </c:pt>
                <c:pt idx="18">
                  <c:v>2</c:v>
                </c:pt>
                <c:pt idx="19">
                  <c:v>4</c:v>
                </c:pt>
                <c:pt idx="20">
                  <c:v>1</c:v>
                </c:pt>
              </c:numCache>
            </c:numRef>
          </c:val>
          <c:extLst>
            <c:ext xmlns:c16="http://schemas.microsoft.com/office/drawing/2014/chart" uri="{C3380CC4-5D6E-409C-BE32-E72D297353CC}">
              <c16:uniqueId val="{00000004-F010-4D5A-B838-3DE36F1F15D5}"/>
            </c:ext>
          </c:extLst>
        </c:ser>
        <c:ser>
          <c:idx val="5"/>
          <c:order val="5"/>
          <c:tx>
            <c:strRef>
              <c:f>Jurassic_2_Q3!$I$6</c:f>
              <c:strCache>
                <c:ptCount val="1"/>
                <c:pt idx="0">
                  <c:v>Low Maybe:</c:v>
                </c:pt>
              </c:strCache>
            </c:strRef>
          </c:tx>
          <c:spPr>
            <a:solidFill>
              <a:schemeClr val="accent2">
                <a:lumMod val="60000"/>
                <a:lumOff val="40000"/>
              </a:schemeClr>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Jurassic_2_Q3!$I$7:$I$27</c:f>
              <c:numCache>
                <c:formatCode>General</c:formatCode>
                <c:ptCount val="21"/>
                <c:pt idx="0">
                  <c:v>0</c:v>
                </c:pt>
                <c:pt idx="1">
                  <c:v>1</c:v>
                </c:pt>
                <c:pt idx="2">
                  <c:v>0</c:v>
                </c:pt>
                <c:pt idx="3">
                  <c:v>0</c:v>
                </c:pt>
                <c:pt idx="4">
                  <c:v>0</c:v>
                </c:pt>
                <c:pt idx="5">
                  <c:v>0</c:v>
                </c:pt>
                <c:pt idx="6">
                  <c:v>1</c:v>
                </c:pt>
                <c:pt idx="7">
                  <c:v>0</c:v>
                </c:pt>
                <c:pt idx="8">
                  <c:v>1</c:v>
                </c:pt>
                <c:pt idx="9">
                  <c:v>0</c:v>
                </c:pt>
                <c:pt idx="10">
                  <c:v>1</c:v>
                </c:pt>
                <c:pt idx="11">
                  <c:v>0</c:v>
                </c:pt>
                <c:pt idx="12">
                  <c:v>0</c:v>
                </c:pt>
                <c:pt idx="13">
                  <c:v>0</c:v>
                </c:pt>
                <c:pt idx="14">
                  <c:v>0</c:v>
                </c:pt>
                <c:pt idx="15">
                  <c:v>0</c:v>
                </c:pt>
                <c:pt idx="16">
                  <c:v>1</c:v>
                </c:pt>
                <c:pt idx="17">
                  <c:v>0</c:v>
                </c:pt>
                <c:pt idx="18">
                  <c:v>0</c:v>
                </c:pt>
                <c:pt idx="19">
                  <c:v>0</c:v>
                </c:pt>
                <c:pt idx="20">
                  <c:v>0</c:v>
                </c:pt>
              </c:numCache>
            </c:numRef>
          </c:val>
          <c:extLst>
            <c:ext xmlns:c16="http://schemas.microsoft.com/office/drawing/2014/chart" uri="{C3380CC4-5D6E-409C-BE32-E72D297353CC}">
              <c16:uniqueId val="{00000005-F010-4D5A-B838-3DE36F1F15D5}"/>
            </c:ext>
          </c:extLst>
        </c:ser>
        <c:ser>
          <c:idx val="6"/>
          <c:order val="6"/>
          <c:tx>
            <c:strRef>
              <c:f>Jurassic_2_Q3!$J$6</c:f>
              <c:strCache>
                <c:ptCount val="1"/>
                <c:pt idx="0">
                  <c:v>Low Incorrect:</c:v>
                </c:pt>
              </c:strCache>
            </c:strRef>
          </c:tx>
          <c:spPr>
            <a:solidFill>
              <a:srgbClr val="F46868"/>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Jurassic_2_Q3!$J$7:$J$27</c:f>
              <c:numCache>
                <c:formatCode>General</c:formatCode>
                <c:ptCount val="21"/>
                <c:pt idx="0">
                  <c:v>0</c:v>
                </c:pt>
                <c:pt idx="1">
                  <c:v>1</c:v>
                </c:pt>
                <c:pt idx="2">
                  <c:v>1</c:v>
                </c:pt>
                <c:pt idx="3">
                  <c:v>0</c:v>
                </c:pt>
                <c:pt idx="4">
                  <c:v>1</c:v>
                </c:pt>
                <c:pt idx="5">
                  <c:v>0</c:v>
                </c:pt>
                <c:pt idx="6">
                  <c:v>3</c:v>
                </c:pt>
                <c:pt idx="7">
                  <c:v>0</c:v>
                </c:pt>
                <c:pt idx="8">
                  <c:v>0</c:v>
                </c:pt>
                <c:pt idx="9">
                  <c:v>0</c:v>
                </c:pt>
                <c:pt idx="10">
                  <c:v>1</c:v>
                </c:pt>
                <c:pt idx="11">
                  <c:v>1</c:v>
                </c:pt>
                <c:pt idx="12">
                  <c:v>1</c:v>
                </c:pt>
                <c:pt idx="13">
                  <c:v>0</c:v>
                </c:pt>
                <c:pt idx="14">
                  <c:v>0</c:v>
                </c:pt>
                <c:pt idx="15">
                  <c:v>1</c:v>
                </c:pt>
                <c:pt idx="16">
                  <c:v>2</c:v>
                </c:pt>
                <c:pt idx="17">
                  <c:v>2</c:v>
                </c:pt>
                <c:pt idx="18">
                  <c:v>0</c:v>
                </c:pt>
                <c:pt idx="19">
                  <c:v>0</c:v>
                </c:pt>
                <c:pt idx="20">
                  <c:v>0</c:v>
                </c:pt>
              </c:numCache>
            </c:numRef>
          </c:val>
          <c:extLst>
            <c:ext xmlns:c16="http://schemas.microsoft.com/office/drawing/2014/chart" uri="{C3380CC4-5D6E-409C-BE32-E72D297353CC}">
              <c16:uniqueId val="{00000006-F010-4D5A-B838-3DE36F1F15D5}"/>
            </c:ext>
          </c:extLst>
        </c:ser>
        <c:ser>
          <c:idx val="7"/>
          <c:order val="7"/>
          <c:tx>
            <c:strRef>
              <c:f>Jurassic_2_Q3!$K$6</c:f>
              <c:strCache>
                <c:ptCount val="1"/>
                <c:pt idx="0">
                  <c:v>Medium Incorrect:</c:v>
                </c:pt>
              </c:strCache>
            </c:strRef>
          </c:tx>
          <c:spPr>
            <a:solidFill>
              <a:srgbClr val="EC2828"/>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Jurassic_2_Q3!$K$7:$K$27</c:f>
              <c:numCache>
                <c:formatCode>General</c:formatCode>
                <c:ptCount val="21"/>
                <c:pt idx="0">
                  <c:v>3</c:v>
                </c:pt>
                <c:pt idx="1">
                  <c:v>1</c:v>
                </c:pt>
                <c:pt idx="2">
                  <c:v>1</c:v>
                </c:pt>
                <c:pt idx="3">
                  <c:v>0</c:v>
                </c:pt>
                <c:pt idx="4">
                  <c:v>0</c:v>
                </c:pt>
                <c:pt idx="5">
                  <c:v>1</c:v>
                </c:pt>
                <c:pt idx="6">
                  <c:v>1</c:v>
                </c:pt>
                <c:pt idx="7">
                  <c:v>1</c:v>
                </c:pt>
                <c:pt idx="8">
                  <c:v>1</c:v>
                </c:pt>
                <c:pt idx="9">
                  <c:v>1</c:v>
                </c:pt>
                <c:pt idx="10">
                  <c:v>1</c:v>
                </c:pt>
                <c:pt idx="11">
                  <c:v>0</c:v>
                </c:pt>
                <c:pt idx="12">
                  <c:v>0</c:v>
                </c:pt>
                <c:pt idx="13">
                  <c:v>0</c:v>
                </c:pt>
                <c:pt idx="14">
                  <c:v>1</c:v>
                </c:pt>
                <c:pt idx="15">
                  <c:v>0</c:v>
                </c:pt>
                <c:pt idx="16">
                  <c:v>1</c:v>
                </c:pt>
                <c:pt idx="17">
                  <c:v>2</c:v>
                </c:pt>
                <c:pt idx="18">
                  <c:v>0</c:v>
                </c:pt>
                <c:pt idx="19">
                  <c:v>0</c:v>
                </c:pt>
                <c:pt idx="20">
                  <c:v>1</c:v>
                </c:pt>
              </c:numCache>
            </c:numRef>
          </c:val>
          <c:extLst>
            <c:ext xmlns:c16="http://schemas.microsoft.com/office/drawing/2014/chart" uri="{C3380CC4-5D6E-409C-BE32-E72D297353CC}">
              <c16:uniqueId val="{00000007-F010-4D5A-B838-3DE36F1F15D5}"/>
            </c:ext>
          </c:extLst>
        </c:ser>
        <c:ser>
          <c:idx val="8"/>
          <c:order val="8"/>
          <c:tx>
            <c:strRef>
              <c:f>Jurassic_2_Q3!$L$6</c:f>
              <c:strCache>
                <c:ptCount val="1"/>
                <c:pt idx="0">
                  <c:v>High Incorrect:</c:v>
                </c:pt>
              </c:strCache>
            </c:strRef>
          </c:tx>
          <c:spPr>
            <a:solidFill>
              <a:srgbClr val="C00000"/>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Jurassic_2_Q3!$L$7:$L$27</c:f>
              <c:numCache>
                <c:formatCode>General</c:formatCode>
                <c:ptCount val="21"/>
                <c:pt idx="0">
                  <c:v>1</c:v>
                </c:pt>
                <c:pt idx="1">
                  <c:v>3</c:v>
                </c:pt>
                <c:pt idx="2">
                  <c:v>7</c:v>
                </c:pt>
                <c:pt idx="3">
                  <c:v>3</c:v>
                </c:pt>
                <c:pt idx="4">
                  <c:v>3</c:v>
                </c:pt>
                <c:pt idx="5">
                  <c:v>2</c:v>
                </c:pt>
                <c:pt idx="6">
                  <c:v>2</c:v>
                </c:pt>
                <c:pt idx="7">
                  <c:v>1</c:v>
                </c:pt>
                <c:pt idx="8">
                  <c:v>3</c:v>
                </c:pt>
                <c:pt idx="9">
                  <c:v>1</c:v>
                </c:pt>
                <c:pt idx="10">
                  <c:v>1</c:v>
                </c:pt>
                <c:pt idx="11">
                  <c:v>3</c:v>
                </c:pt>
                <c:pt idx="12">
                  <c:v>3</c:v>
                </c:pt>
                <c:pt idx="13">
                  <c:v>3</c:v>
                </c:pt>
                <c:pt idx="14">
                  <c:v>1</c:v>
                </c:pt>
                <c:pt idx="15">
                  <c:v>2</c:v>
                </c:pt>
                <c:pt idx="16">
                  <c:v>3</c:v>
                </c:pt>
                <c:pt idx="17">
                  <c:v>4</c:v>
                </c:pt>
                <c:pt idx="18">
                  <c:v>3</c:v>
                </c:pt>
                <c:pt idx="19">
                  <c:v>3</c:v>
                </c:pt>
                <c:pt idx="20">
                  <c:v>3</c:v>
                </c:pt>
              </c:numCache>
            </c:numRef>
          </c:val>
          <c:extLst>
            <c:ext xmlns:c16="http://schemas.microsoft.com/office/drawing/2014/chart" uri="{C3380CC4-5D6E-409C-BE32-E72D297353CC}">
              <c16:uniqueId val="{00000008-F010-4D5A-B838-3DE36F1F15D5}"/>
            </c:ext>
          </c:extLst>
        </c:ser>
        <c:ser>
          <c:idx val="9"/>
          <c:order val="9"/>
          <c:tx>
            <c:strRef>
              <c:f>Jurassic_2_Q3!$M$6</c:f>
              <c:strCache>
                <c:ptCount val="1"/>
                <c:pt idx="0">
                  <c:v>N/A:</c:v>
                </c:pt>
              </c:strCache>
            </c:strRef>
          </c:tx>
          <c:spPr>
            <a:solidFill>
              <a:schemeClr val="bg2">
                <a:lumMod val="75000"/>
              </a:schemeClr>
            </a:solidFill>
            <a:ln>
              <a:noFill/>
            </a:ln>
            <a:effectLst/>
          </c:spPr>
          <c:invertIfNegative val="0"/>
          <c:cat>
            <c:strRef>
              <c:f>Jurassic_2_Q3!$C$7:$C$27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Jurassic_2_Q3!$M$7:$M$27</c:f>
              <c:numCache>
                <c:formatCode>General</c:formatCode>
                <c:ptCount val="21"/>
                <c:pt idx="0">
                  <c:v>1</c:v>
                </c:pt>
                <c:pt idx="1">
                  <c:v>0</c:v>
                </c:pt>
                <c:pt idx="2">
                  <c:v>0</c:v>
                </c:pt>
                <c:pt idx="3">
                  <c:v>0</c:v>
                </c:pt>
                <c:pt idx="4">
                  <c:v>1</c:v>
                </c:pt>
                <c:pt idx="5">
                  <c:v>0</c:v>
                </c:pt>
                <c:pt idx="6">
                  <c:v>0</c:v>
                </c:pt>
                <c:pt idx="7">
                  <c:v>1</c:v>
                </c:pt>
                <c:pt idx="8">
                  <c:v>1</c:v>
                </c:pt>
                <c:pt idx="9">
                  <c:v>0</c:v>
                </c:pt>
                <c:pt idx="10">
                  <c:v>1</c:v>
                </c:pt>
                <c:pt idx="11">
                  <c:v>2</c:v>
                </c:pt>
                <c:pt idx="12">
                  <c:v>1</c:v>
                </c:pt>
                <c:pt idx="13">
                  <c:v>1</c:v>
                </c:pt>
                <c:pt idx="14">
                  <c:v>1</c:v>
                </c:pt>
                <c:pt idx="15">
                  <c:v>1</c:v>
                </c:pt>
                <c:pt idx="16">
                  <c:v>6</c:v>
                </c:pt>
                <c:pt idx="17">
                  <c:v>0</c:v>
                </c:pt>
                <c:pt idx="18">
                  <c:v>0</c:v>
                </c:pt>
                <c:pt idx="19">
                  <c:v>1</c:v>
                </c:pt>
                <c:pt idx="20">
                  <c:v>9</c:v>
                </c:pt>
              </c:numCache>
            </c:numRef>
          </c:val>
          <c:extLst>
            <c:ext xmlns:c16="http://schemas.microsoft.com/office/drawing/2014/chart" uri="{C3380CC4-5D6E-409C-BE32-E72D297353CC}">
              <c16:uniqueId val="{00000009-F010-4D5A-B838-3DE36F1F15D5}"/>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Jurassic_2_Q3!$D$31</c:f>
              <c:strCache>
                <c:ptCount val="1"/>
                <c:pt idx="0">
                  <c:v>High Correct:</c:v>
                </c:pt>
              </c:strCache>
            </c:strRef>
          </c:tx>
          <c:spPr>
            <a:solidFill>
              <a:schemeClr val="accent6">
                <a:lumMod val="75000"/>
              </a:schemeClr>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Jurassic_2_Q3!$D$32:$D$48</c:f>
              <c:numCache>
                <c:formatCode>General</c:formatCode>
                <c:ptCount val="17"/>
                <c:pt idx="0">
                  <c:v>12</c:v>
                </c:pt>
                <c:pt idx="1">
                  <c:v>5</c:v>
                </c:pt>
                <c:pt idx="2">
                  <c:v>9</c:v>
                </c:pt>
                <c:pt idx="3">
                  <c:v>13</c:v>
                </c:pt>
                <c:pt idx="4">
                  <c:v>9</c:v>
                </c:pt>
                <c:pt idx="5">
                  <c:v>6</c:v>
                </c:pt>
                <c:pt idx="6">
                  <c:v>3</c:v>
                </c:pt>
                <c:pt idx="7">
                  <c:v>5</c:v>
                </c:pt>
                <c:pt idx="8">
                  <c:v>3</c:v>
                </c:pt>
                <c:pt idx="9">
                  <c:v>8</c:v>
                </c:pt>
                <c:pt idx="10">
                  <c:v>6</c:v>
                </c:pt>
                <c:pt idx="11">
                  <c:v>9</c:v>
                </c:pt>
                <c:pt idx="12">
                  <c:v>1</c:v>
                </c:pt>
                <c:pt idx="13">
                  <c:v>6</c:v>
                </c:pt>
                <c:pt idx="14">
                  <c:v>0</c:v>
                </c:pt>
                <c:pt idx="15">
                  <c:v>11</c:v>
                </c:pt>
                <c:pt idx="16">
                  <c:v>2</c:v>
                </c:pt>
              </c:numCache>
            </c:numRef>
          </c:val>
          <c:extLst>
            <c:ext xmlns:c16="http://schemas.microsoft.com/office/drawing/2014/chart" uri="{C3380CC4-5D6E-409C-BE32-E72D297353CC}">
              <c16:uniqueId val="{00000000-5984-4208-9009-11B52B0BB43B}"/>
            </c:ext>
          </c:extLst>
        </c:ser>
        <c:ser>
          <c:idx val="1"/>
          <c:order val="1"/>
          <c:tx>
            <c:strRef>
              <c:f>Jurassic_2_Q3!$E$31</c:f>
              <c:strCache>
                <c:ptCount val="1"/>
                <c:pt idx="0">
                  <c:v>Medium Correct:</c:v>
                </c:pt>
              </c:strCache>
            </c:strRef>
          </c:tx>
          <c:spPr>
            <a:solidFill>
              <a:schemeClr val="accent6"/>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Jurassic_2_Q3!$E$32:$E$48</c:f>
              <c:numCache>
                <c:formatCode>General</c:formatCode>
                <c:ptCount val="17"/>
                <c:pt idx="0">
                  <c:v>3</c:v>
                </c:pt>
                <c:pt idx="1">
                  <c:v>1</c:v>
                </c:pt>
                <c:pt idx="2">
                  <c:v>2</c:v>
                </c:pt>
                <c:pt idx="3">
                  <c:v>4</c:v>
                </c:pt>
                <c:pt idx="4">
                  <c:v>2</c:v>
                </c:pt>
                <c:pt idx="5">
                  <c:v>2</c:v>
                </c:pt>
                <c:pt idx="6">
                  <c:v>3</c:v>
                </c:pt>
                <c:pt idx="7">
                  <c:v>5</c:v>
                </c:pt>
                <c:pt idx="8">
                  <c:v>6</c:v>
                </c:pt>
                <c:pt idx="9">
                  <c:v>4</c:v>
                </c:pt>
                <c:pt idx="10">
                  <c:v>4</c:v>
                </c:pt>
                <c:pt idx="11">
                  <c:v>5</c:v>
                </c:pt>
                <c:pt idx="12">
                  <c:v>4</c:v>
                </c:pt>
                <c:pt idx="13">
                  <c:v>2</c:v>
                </c:pt>
                <c:pt idx="14">
                  <c:v>0</c:v>
                </c:pt>
                <c:pt idx="15">
                  <c:v>3</c:v>
                </c:pt>
                <c:pt idx="16">
                  <c:v>0</c:v>
                </c:pt>
              </c:numCache>
            </c:numRef>
          </c:val>
          <c:extLst>
            <c:ext xmlns:c16="http://schemas.microsoft.com/office/drawing/2014/chart" uri="{C3380CC4-5D6E-409C-BE32-E72D297353CC}">
              <c16:uniqueId val="{00000001-5984-4208-9009-11B52B0BB43B}"/>
            </c:ext>
          </c:extLst>
        </c:ser>
        <c:ser>
          <c:idx val="2"/>
          <c:order val="2"/>
          <c:tx>
            <c:strRef>
              <c:f>Jurassic_2_Q3!$F$31</c:f>
              <c:strCache>
                <c:ptCount val="1"/>
                <c:pt idx="0">
                  <c:v>Low Correct:</c:v>
                </c:pt>
              </c:strCache>
            </c:strRef>
          </c:tx>
          <c:spPr>
            <a:solidFill>
              <a:schemeClr val="accent6">
                <a:lumMod val="60000"/>
                <a:lumOff val="40000"/>
              </a:schemeClr>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Jurassic_2_Q3!$F$32:$F$48</c:f>
              <c:numCache>
                <c:formatCode>General</c:formatCode>
                <c:ptCount val="17"/>
                <c:pt idx="0">
                  <c:v>0</c:v>
                </c:pt>
                <c:pt idx="1">
                  <c:v>3</c:v>
                </c:pt>
                <c:pt idx="2">
                  <c:v>2</c:v>
                </c:pt>
                <c:pt idx="3">
                  <c:v>0</c:v>
                </c:pt>
                <c:pt idx="4">
                  <c:v>1</c:v>
                </c:pt>
                <c:pt idx="5">
                  <c:v>0</c:v>
                </c:pt>
                <c:pt idx="6">
                  <c:v>4</c:v>
                </c:pt>
                <c:pt idx="7">
                  <c:v>2</c:v>
                </c:pt>
                <c:pt idx="8">
                  <c:v>2</c:v>
                </c:pt>
                <c:pt idx="9">
                  <c:v>5</c:v>
                </c:pt>
                <c:pt idx="10">
                  <c:v>2</c:v>
                </c:pt>
                <c:pt idx="11">
                  <c:v>3</c:v>
                </c:pt>
                <c:pt idx="12">
                  <c:v>2</c:v>
                </c:pt>
                <c:pt idx="13">
                  <c:v>0</c:v>
                </c:pt>
                <c:pt idx="14">
                  <c:v>0</c:v>
                </c:pt>
                <c:pt idx="15">
                  <c:v>1</c:v>
                </c:pt>
                <c:pt idx="16">
                  <c:v>0</c:v>
                </c:pt>
              </c:numCache>
            </c:numRef>
          </c:val>
          <c:extLst>
            <c:ext xmlns:c16="http://schemas.microsoft.com/office/drawing/2014/chart" uri="{C3380CC4-5D6E-409C-BE32-E72D297353CC}">
              <c16:uniqueId val="{00000002-5984-4208-9009-11B52B0BB43B}"/>
            </c:ext>
          </c:extLst>
        </c:ser>
        <c:ser>
          <c:idx val="3"/>
          <c:order val="3"/>
          <c:tx>
            <c:strRef>
              <c:f>Jurassic_2_Q3!$G$31</c:f>
              <c:strCache>
                <c:ptCount val="1"/>
                <c:pt idx="0">
                  <c:v>High Maybe:</c:v>
                </c:pt>
              </c:strCache>
            </c:strRef>
          </c:tx>
          <c:spPr>
            <a:solidFill>
              <a:schemeClr val="accent2">
                <a:lumMod val="75000"/>
              </a:schemeClr>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Jurassic_2_Q3!$G$32:$G$48</c:f>
              <c:numCache>
                <c:formatCode>General</c:formatCode>
                <c:ptCount val="17"/>
                <c:pt idx="0">
                  <c:v>2</c:v>
                </c:pt>
                <c:pt idx="1">
                  <c:v>3</c:v>
                </c:pt>
                <c:pt idx="2">
                  <c:v>2</c:v>
                </c:pt>
                <c:pt idx="3">
                  <c:v>1</c:v>
                </c:pt>
                <c:pt idx="4">
                  <c:v>1</c:v>
                </c:pt>
                <c:pt idx="5">
                  <c:v>2</c:v>
                </c:pt>
                <c:pt idx="6">
                  <c:v>2</c:v>
                </c:pt>
                <c:pt idx="7">
                  <c:v>0</c:v>
                </c:pt>
                <c:pt idx="8">
                  <c:v>3</c:v>
                </c:pt>
                <c:pt idx="9">
                  <c:v>2</c:v>
                </c:pt>
                <c:pt idx="10">
                  <c:v>1</c:v>
                </c:pt>
                <c:pt idx="11">
                  <c:v>1</c:v>
                </c:pt>
                <c:pt idx="12">
                  <c:v>0</c:v>
                </c:pt>
                <c:pt idx="13">
                  <c:v>3</c:v>
                </c:pt>
                <c:pt idx="14">
                  <c:v>0</c:v>
                </c:pt>
                <c:pt idx="15">
                  <c:v>2</c:v>
                </c:pt>
                <c:pt idx="16">
                  <c:v>2</c:v>
                </c:pt>
              </c:numCache>
            </c:numRef>
          </c:val>
          <c:extLst>
            <c:ext xmlns:c16="http://schemas.microsoft.com/office/drawing/2014/chart" uri="{C3380CC4-5D6E-409C-BE32-E72D297353CC}">
              <c16:uniqueId val="{00000003-5984-4208-9009-11B52B0BB43B}"/>
            </c:ext>
          </c:extLst>
        </c:ser>
        <c:ser>
          <c:idx val="4"/>
          <c:order val="4"/>
          <c:tx>
            <c:strRef>
              <c:f>Jurassic_2_Q3!$H$31</c:f>
              <c:strCache>
                <c:ptCount val="1"/>
                <c:pt idx="0">
                  <c:v>Medium Maybe:</c:v>
                </c:pt>
              </c:strCache>
            </c:strRef>
          </c:tx>
          <c:spPr>
            <a:solidFill>
              <a:schemeClr val="accent2"/>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Jurassic_2_Q3!$H$32:$H$48</c:f>
              <c:numCache>
                <c:formatCode>General</c:formatCode>
                <c:ptCount val="17"/>
                <c:pt idx="0">
                  <c:v>0</c:v>
                </c:pt>
                <c:pt idx="1">
                  <c:v>1</c:v>
                </c:pt>
                <c:pt idx="2">
                  <c:v>2</c:v>
                </c:pt>
                <c:pt idx="3">
                  <c:v>1</c:v>
                </c:pt>
                <c:pt idx="4">
                  <c:v>4</c:v>
                </c:pt>
                <c:pt idx="5">
                  <c:v>0</c:v>
                </c:pt>
                <c:pt idx="6">
                  <c:v>3</c:v>
                </c:pt>
                <c:pt idx="7">
                  <c:v>1</c:v>
                </c:pt>
                <c:pt idx="8">
                  <c:v>2</c:v>
                </c:pt>
                <c:pt idx="9">
                  <c:v>1</c:v>
                </c:pt>
                <c:pt idx="10">
                  <c:v>3</c:v>
                </c:pt>
                <c:pt idx="11">
                  <c:v>1</c:v>
                </c:pt>
                <c:pt idx="12">
                  <c:v>6</c:v>
                </c:pt>
                <c:pt idx="13">
                  <c:v>2</c:v>
                </c:pt>
                <c:pt idx="14">
                  <c:v>0</c:v>
                </c:pt>
                <c:pt idx="15">
                  <c:v>0</c:v>
                </c:pt>
                <c:pt idx="16">
                  <c:v>1</c:v>
                </c:pt>
              </c:numCache>
            </c:numRef>
          </c:val>
          <c:extLst>
            <c:ext xmlns:c16="http://schemas.microsoft.com/office/drawing/2014/chart" uri="{C3380CC4-5D6E-409C-BE32-E72D297353CC}">
              <c16:uniqueId val="{00000004-5984-4208-9009-11B52B0BB43B}"/>
            </c:ext>
          </c:extLst>
        </c:ser>
        <c:ser>
          <c:idx val="5"/>
          <c:order val="5"/>
          <c:tx>
            <c:strRef>
              <c:f>Jurassic_2_Q3!$I$31</c:f>
              <c:strCache>
                <c:ptCount val="1"/>
                <c:pt idx="0">
                  <c:v>Low Maybe:</c:v>
                </c:pt>
              </c:strCache>
            </c:strRef>
          </c:tx>
          <c:spPr>
            <a:solidFill>
              <a:schemeClr val="accent2">
                <a:lumMod val="60000"/>
                <a:lumOff val="40000"/>
              </a:schemeClr>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Jurassic_2_Q3!$I$32:$I$48</c:f>
              <c:numCache>
                <c:formatCode>General</c:formatCode>
                <c:ptCount val="17"/>
                <c:pt idx="0">
                  <c:v>0</c:v>
                </c:pt>
                <c:pt idx="1">
                  <c:v>0</c:v>
                </c:pt>
                <c:pt idx="2">
                  <c:v>0</c:v>
                </c:pt>
                <c:pt idx="3">
                  <c:v>1</c:v>
                </c:pt>
                <c:pt idx="4">
                  <c:v>0</c:v>
                </c:pt>
                <c:pt idx="5">
                  <c:v>0</c:v>
                </c:pt>
                <c:pt idx="6">
                  <c:v>1</c:v>
                </c:pt>
                <c:pt idx="7">
                  <c:v>0</c:v>
                </c:pt>
                <c:pt idx="8">
                  <c:v>0</c:v>
                </c:pt>
                <c:pt idx="9">
                  <c:v>0</c:v>
                </c:pt>
                <c:pt idx="10">
                  <c:v>1</c:v>
                </c:pt>
                <c:pt idx="11">
                  <c:v>0</c:v>
                </c:pt>
                <c:pt idx="12">
                  <c:v>0</c:v>
                </c:pt>
                <c:pt idx="13">
                  <c:v>2</c:v>
                </c:pt>
                <c:pt idx="14">
                  <c:v>0</c:v>
                </c:pt>
                <c:pt idx="15">
                  <c:v>0</c:v>
                </c:pt>
                <c:pt idx="16">
                  <c:v>0</c:v>
                </c:pt>
              </c:numCache>
            </c:numRef>
          </c:val>
          <c:extLst>
            <c:ext xmlns:c16="http://schemas.microsoft.com/office/drawing/2014/chart" uri="{C3380CC4-5D6E-409C-BE32-E72D297353CC}">
              <c16:uniqueId val="{00000005-5984-4208-9009-11B52B0BB43B}"/>
            </c:ext>
          </c:extLst>
        </c:ser>
        <c:ser>
          <c:idx val="6"/>
          <c:order val="6"/>
          <c:tx>
            <c:strRef>
              <c:f>Jurassic_2_Q3!$J$31</c:f>
              <c:strCache>
                <c:ptCount val="1"/>
                <c:pt idx="0">
                  <c:v>Low Incorrect:</c:v>
                </c:pt>
              </c:strCache>
            </c:strRef>
          </c:tx>
          <c:spPr>
            <a:solidFill>
              <a:srgbClr val="F46868"/>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Jurassic_2_Q3!$J$32:$J$48</c:f>
              <c:numCache>
                <c:formatCode>General</c:formatCode>
                <c:ptCount val="17"/>
                <c:pt idx="0">
                  <c:v>1</c:v>
                </c:pt>
                <c:pt idx="1">
                  <c:v>1</c:v>
                </c:pt>
                <c:pt idx="2">
                  <c:v>2</c:v>
                </c:pt>
                <c:pt idx="3">
                  <c:v>0</c:v>
                </c:pt>
                <c:pt idx="4">
                  <c:v>1</c:v>
                </c:pt>
                <c:pt idx="5">
                  <c:v>1</c:v>
                </c:pt>
                <c:pt idx="6">
                  <c:v>0</c:v>
                </c:pt>
                <c:pt idx="7">
                  <c:v>2</c:v>
                </c:pt>
                <c:pt idx="8">
                  <c:v>0</c:v>
                </c:pt>
                <c:pt idx="9">
                  <c:v>1</c:v>
                </c:pt>
                <c:pt idx="10">
                  <c:v>2</c:v>
                </c:pt>
                <c:pt idx="11">
                  <c:v>1</c:v>
                </c:pt>
                <c:pt idx="12">
                  <c:v>1</c:v>
                </c:pt>
                <c:pt idx="13">
                  <c:v>0</c:v>
                </c:pt>
                <c:pt idx="14">
                  <c:v>0</c:v>
                </c:pt>
                <c:pt idx="15">
                  <c:v>1</c:v>
                </c:pt>
                <c:pt idx="16">
                  <c:v>0</c:v>
                </c:pt>
              </c:numCache>
            </c:numRef>
          </c:val>
          <c:extLst>
            <c:ext xmlns:c16="http://schemas.microsoft.com/office/drawing/2014/chart" uri="{C3380CC4-5D6E-409C-BE32-E72D297353CC}">
              <c16:uniqueId val="{00000006-5984-4208-9009-11B52B0BB43B}"/>
            </c:ext>
          </c:extLst>
        </c:ser>
        <c:ser>
          <c:idx val="7"/>
          <c:order val="7"/>
          <c:tx>
            <c:strRef>
              <c:f>Jurassic_2_Q3!$K$31</c:f>
              <c:strCache>
                <c:ptCount val="1"/>
                <c:pt idx="0">
                  <c:v>Medium Incorrect:</c:v>
                </c:pt>
              </c:strCache>
            </c:strRef>
          </c:tx>
          <c:spPr>
            <a:solidFill>
              <a:srgbClr val="EC2828"/>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Jurassic_2_Q3!$K$32:$K$48</c:f>
              <c:numCache>
                <c:formatCode>General</c:formatCode>
                <c:ptCount val="17"/>
                <c:pt idx="0">
                  <c:v>0</c:v>
                </c:pt>
                <c:pt idx="1">
                  <c:v>2</c:v>
                </c:pt>
                <c:pt idx="2">
                  <c:v>0</c:v>
                </c:pt>
                <c:pt idx="3">
                  <c:v>1</c:v>
                </c:pt>
                <c:pt idx="4">
                  <c:v>1</c:v>
                </c:pt>
                <c:pt idx="5">
                  <c:v>0</c:v>
                </c:pt>
                <c:pt idx="6">
                  <c:v>0</c:v>
                </c:pt>
                <c:pt idx="7">
                  <c:v>2</c:v>
                </c:pt>
                <c:pt idx="8">
                  <c:v>0</c:v>
                </c:pt>
                <c:pt idx="9">
                  <c:v>0</c:v>
                </c:pt>
                <c:pt idx="10">
                  <c:v>1</c:v>
                </c:pt>
                <c:pt idx="11">
                  <c:v>0</c:v>
                </c:pt>
                <c:pt idx="12">
                  <c:v>1</c:v>
                </c:pt>
                <c:pt idx="13">
                  <c:v>3</c:v>
                </c:pt>
                <c:pt idx="14">
                  <c:v>1</c:v>
                </c:pt>
                <c:pt idx="15">
                  <c:v>0</c:v>
                </c:pt>
                <c:pt idx="16">
                  <c:v>4</c:v>
                </c:pt>
              </c:numCache>
            </c:numRef>
          </c:val>
          <c:extLst>
            <c:ext xmlns:c16="http://schemas.microsoft.com/office/drawing/2014/chart" uri="{C3380CC4-5D6E-409C-BE32-E72D297353CC}">
              <c16:uniqueId val="{00000007-5984-4208-9009-11B52B0BB43B}"/>
            </c:ext>
          </c:extLst>
        </c:ser>
        <c:ser>
          <c:idx val="8"/>
          <c:order val="8"/>
          <c:tx>
            <c:strRef>
              <c:f>Jurassic_2_Q3!$L$31</c:f>
              <c:strCache>
                <c:ptCount val="1"/>
                <c:pt idx="0">
                  <c:v>High Incorrect:</c:v>
                </c:pt>
              </c:strCache>
            </c:strRef>
          </c:tx>
          <c:spPr>
            <a:solidFill>
              <a:srgbClr val="C00000"/>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Jurassic_2_Q3!$L$32:$L$48</c:f>
              <c:numCache>
                <c:formatCode>General</c:formatCode>
                <c:ptCount val="17"/>
                <c:pt idx="0">
                  <c:v>0</c:v>
                </c:pt>
                <c:pt idx="1">
                  <c:v>5</c:v>
                </c:pt>
                <c:pt idx="2">
                  <c:v>0</c:v>
                </c:pt>
                <c:pt idx="3">
                  <c:v>0</c:v>
                </c:pt>
                <c:pt idx="4">
                  <c:v>1</c:v>
                </c:pt>
                <c:pt idx="5">
                  <c:v>1</c:v>
                </c:pt>
                <c:pt idx="6">
                  <c:v>3</c:v>
                </c:pt>
                <c:pt idx="7">
                  <c:v>3</c:v>
                </c:pt>
                <c:pt idx="8">
                  <c:v>2</c:v>
                </c:pt>
                <c:pt idx="9">
                  <c:v>0</c:v>
                </c:pt>
                <c:pt idx="10">
                  <c:v>1</c:v>
                </c:pt>
                <c:pt idx="11">
                  <c:v>1</c:v>
                </c:pt>
                <c:pt idx="12">
                  <c:v>3</c:v>
                </c:pt>
                <c:pt idx="13">
                  <c:v>3</c:v>
                </c:pt>
                <c:pt idx="14">
                  <c:v>20</c:v>
                </c:pt>
                <c:pt idx="15">
                  <c:v>2</c:v>
                </c:pt>
                <c:pt idx="16">
                  <c:v>10</c:v>
                </c:pt>
              </c:numCache>
            </c:numRef>
          </c:val>
          <c:extLst>
            <c:ext xmlns:c16="http://schemas.microsoft.com/office/drawing/2014/chart" uri="{C3380CC4-5D6E-409C-BE32-E72D297353CC}">
              <c16:uniqueId val="{00000008-5984-4208-9009-11B52B0BB43B}"/>
            </c:ext>
          </c:extLst>
        </c:ser>
        <c:ser>
          <c:idx val="9"/>
          <c:order val="9"/>
          <c:tx>
            <c:strRef>
              <c:f>Jurassic_2_Q3!$M$31</c:f>
              <c:strCache>
                <c:ptCount val="1"/>
                <c:pt idx="0">
                  <c:v>N/A:</c:v>
                </c:pt>
              </c:strCache>
            </c:strRef>
          </c:tx>
          <c:spPr>
            <a:solidFill>
              <a:schemeClr val="bg2">
                <a:lumMod val="75000"/>
              </a:schemeClr>
            </a:solidFill>
            <a:ln>
              <a:noFill/>
            </a:ln>
            <a:effectLst/>
          </c:spPr>
          <c:invertIfNegative val="0"/>
          <c:cat>
            <c:strRef>
              <c:f>Jurassic_2_Q3!$C$32:$C$48</c:f>
              <c:strCache>
                <c:ptCount val="17"/>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strCache>
            </c:strRef>
          </c:cat>
          <c:val>
            <c:numRef>
              <c:f>Jurassic_2_Q3!$M$32:$M$48</c:f>
              <c:numCache>
                <c:formatCode>General</c:formatCode>
                <c:ptCount val="17"/>
                <c:pt idx="0">
                  <c:v>3</c:v>
                </c:pt>
                <c:pt idx="1">
                  <c:v>0</c:v>
                </c:pt>
                <c:pt idx="2">
                  <c:v>2</c:v>
                </c:pt>
                <c:pt idx="3">
                  <c:v>0</c:v>
                </c:pt>
                <c:pt idx="4">
                  <c:v>1</c:v>
                </c:pt>
                <c:pt idx="5">
                  <c:v>9</c:v>
                </c:pt>
                <c:pt idx="6">
                  <c:v>2</c:v>
                </c:pt>
                <c:pt idx="7">
                  <c:v>1</c:v>
                </c:pt>
                <c:pt idx="8">
                  <c:v>3</c:v>
                </c:pt>
                <c:pt idx="9">
                  <c:v>0</c:v>
                </c:pt>
                <c:pt idx="10">
                  <c:v>0</c:v>
                </c:pt>
                <c:pt idx="11">
                  <c:v>0</c:v>
                </c:pt>
                <c:pt idx="12">
                  <c:v>3</c:v>
                </c:pt>
                <c:pt idx="13">
                  <c:v>0</c:v>
                </c:pt>
                <c:pt idx="14">
                  <c:v>0</c:v>
                </c:pt>
                <c:pt idx="15">
                  <c:v>1</c:v>
                </c:pt>
                <c:pt idx="16">
                  <c:v>2</c:v>
                </c:pt>
              </c:numCache>
            </c:numRef>
          </c:val>
          <c:extLst>
            <c:ext xmlns:c16="http://schemas.microsoft.com/office/drawing/2014/chart" uri="{C3380CC4-5D6E-409C-BE32-E72D297353CC}">
              <c16:uniqueId val="{00000009-5984-4208-9009-11B52B0BB43B}"/>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Jurassic_2_Total!$D$6</c:f>
              <c:strCache>
                <c:ptCount val="1"/>
                <c:pt idx="0">
                  <c:v>High Correct:</c:v>
                </c:pt>
              </c:strCache>
            </c:strRef>
          </c:tx>
          <c:spPr>
            <a:solidFill>
              <a:schemeClr val="accent6">
                <a:lumMod val="75000"/>
              </a:schemeClr>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Jurassic_2_Total!$D$7:$D$27</c:f>
              <c:numCache>
                <c:formatCode>General</c:formatCode>
                <c:ptCount val="21"/>
                <c:pt idx="0">
                  <c:v>31</c:v>
                </c:pt>
                <c:pt idx="1">
                  <c:v>23</c:v>
                </c:pt>
                <c:pt idx="2">
                  <c:v>13</c:v>
                </c:pt>
                <c:pt idx="3">
                  <c:v>25</c:v>
                </c:pt>
                <c:pt idx="4">
                  <c:v>23</c:v>
                </c:pt>
                <c:pt idx="5">
                  <c:v>37</c:v>
                </c:pt>
                <c:pt idx="6">
                  <c:v>6</c:v>
                </c:pt>
                <c:pt idx="7">
                  <c:v>32</c:v>
                </c:pt>
                <c:pt idx="8">
                  <c:v>30</c:v>
                </c:pt>
                <c:pt idx="9">
                  <c:v>40</c:v>
                </c:pt>
                <c:pt idx="10">
                  <c:v>28</c:v>
                </c:pt>
                <c:pt idx="11">
                  <c:v>24</c:v>
                </c:pt>
                <c:pt idx="12">
                  <c:v>30</c:v>
                </c:pt>
                <c:pt idx="13">
                  <c:v>25</c:v>
                </c:pt>
                <c:pt idx="14">
                  <c:v>35</c:v>
                </c:pt>
                <c:pt idx="15">
                  <c:v>31</c:v>
                </c:pt>
                <c:pt idx="16">
                  <c:v>2</c:v>
                </c:pt>
                <c:pt idx="17">
                  <c:v>3</c:v>
                </c:pt>
                <c:pt idx="18">
                  <c:v>10</c:v>
                </c:pt>
                <c:pt idx="19">
                  <c:v>13</c:v>
                </c:pt>
                <c:pt idx="20">
                  <c:v>3</c:v>
                </c:pt>
              </c:numCache>
            </c:numRef>
          </c:val>
          <c:extLst>
            <c:ext xmlns:c16="http://schemas.microsoft.com/office/drawing/2014/chart" uri="{C3380CC4-5D6E-409C-BE32-E72D297353CC}">
              <c16:uniqueId val="{00000000-ADFB-4A6D-8E19-4CB262B72482}"/>
            </c:ext>
          </c:extLst>
        </c:ser>
        <c:ser>
          <c:idx val="1"/>
          <c:order val="1"/>
          <c:tx>
            <c:strRef>
              <c:f>Jurassic_2_Total!$E$6</c:f>
              <c:strCache>
                <c:ptCount val="1"/>
                <c:pt idx="0">
                  <c:v>Medium Correct:</c:v>
                </c:pt>
              </c:strCache>
            </c:strRef>
          </c:tx>
          <c:spPr>
            <a:solidFill>
              <a:schemeClr val="accent6"/>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Jurassic_2_Total!$E$7:$E$27</c:f>
              <c:numCache>
                <c:formatCode>General</c:formatCode>
                <c:ptCount val="21"/>
                <c:pt idx="0">
                  <c:v>8</c:v>
                </c:pt>
                <c:pt idx="1">
                  <c:v>4</c:v>
                </c:pt>
                <c:pt idx="2">
                  <c:v>2</c:v>
                </c:pt>
                <c:pt idx="3">
                  <c:v>4</c:v>
                </c:pt>
                <c:pt idx="4">
                  <c:v>12</c:v>
                </c:pt>
                <c:pt idx="5">
                  <c:v>2</c:v>
                </c:pt>
                <c:pt idx="6">
                  <c:v>7</c:v>
                </c:pt>
                <c:pt idx="7">
                  <c:v>4</c:v>
                </c:pt>
                <c:pt idx="8">
                  <c:v>3</c:v>
                </c:pt>
                <c:pt idx="9">
                  <c:v>2</c:v>
                </c:pt>
                <c:pt idx="10">
                  <c:v>11</c:v>
                </c:pt>
                <c:pt idx="11">
                  <c:v>6</c:v>
                </c:pt>
                <c:pt idx="12">
                  <c:v>3</c:v>
                </c:pt>
                <c:pt idx="13">
                  <c:v>5</c:v>
                </c:pt>
                <c:pt idx="14">
                  <c:v>4</c:v>
                </c:pt>
                <c:pt idx="15">
                  <c:v>1</c:v>
                </c:pt>
                <c:pt idx="16">
                  <c:v>14</c:v>
                </c:pt>
                <c:pt idx="17">
                  <c:v>19</c:v>
                </c:pt>
                <c:pt idx="18">
                  <c:v>12</c:v>
                </c:pt>
                <c:pt idx="19">
                  <c:v>6</c:v>
                </c:pt>
                <c:pt idx="20">
                  <c:v>2</c:v>
                </c:pt>
              </c:numCache>
            </c:numRef>
          </c:val>
          <c:extLst>
            <c:ext xmlns:c16="http://schemas.microsoft.com/office/drawing/2014/chart" uri="{C3380CC4-5D6E-409C-BE32-E72D297353CC}">
              <c16:uniqueId val="{00000001-ADFB-4A6D-8E19-4CB262B72482}"/>
            </c:ext>
          </c:extLst>
        </c:ser>
        <c:ser>
          <c:idx val="2"/>
          <c:order val="2"/>
          <c:tx>
            <c:strRef>
              <c:f>Jurassic_2_Total!$F$6</c:f>
              <c:strCache>
                <c:ptCount val="1"/>
                <c:pt idx="0">
                  <c:v>Low Correct:</c:v>
                </c:pt>
              </c:strCache>
            </c:strRef>
          </c:tx>
          <c:spPr>
            <a:solidFill>
              <a:schemeClr val="accent6">
                <a:lumMod val="60000"/>
                <a:lumOff val="40000"/>
              </a:schemeClr>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Jurassic_2_Total!$F$7:$F$27</c:f>
              <c:numCache>
                <c:formatCode>General</c:formatCode>
                <c:ptCount val="21"/>
                <c:pt idx="0">
                  <c:v>1</c:v>
                </c:pt>
                <c:pt idx="1">
                  <c:v>4</c:v>
                </c:pt>
                <c:pt idx="2">
                  <c:v>4</c:v>
                </c:pt>
                <c:pt idx="3">
                  <c:v>5</c:v>
                </c:pt>
                <c:pt idx="4">
                  <c:v>4</c:v>
                </c:pt>
                <c:pt idx="5">
                  <c:v>0</c:v>
                </c:pt>
                <c:pt idx="6">
                  <c:v>6</c:v>
                </c:pt>
                <c:pt idx="7">
                  <c:v>4</c:v>
                </c:pt>
                <c:pt idx="8">
                  <c:v>2</c:v>
                </c:pt>
                <c:pt idx="9">
                  <c:v>4</c:v>
                </c:pt>
                <c:pt idx="10">
                  <c:v>4</c:v>
                </c:pt>
                <c:pt idx="11">
                  <c:v>2</c:v>
                </c:pt>
                <c:pt idx="12">
                  <c:v>6</c:v>
                </c:pt>
                <c:pt idx="13">
                  <c:v>3</c:v>
                </c:pt>
                <c:pt idx="14">
                  <c:v>3</c:v>
                </c:pt>
                <c:pt idx="15">
                  <c:v>3</c:v>
                </c:pt>
                <c:pt idx="16">
                  <c:v>7</c:v>
                </c:pt>
                <c:pt idx="17">
                  <c:v>8</c:v>
                </c:pt>
                <c:pt idx="18">
                  <c:v>8</c:v>
                </c:pt>
                <c:pt idx="19">
                  <c:v>8</c:v>
                </c:pt>
                <c:pt idx="20">
                  <c:v>2</c:v>
                </c:pt>
              </c:numCache>
            </c:numRef>
          </c:val>
          <c:extLst>
            <c:ext xmlns:c16="http://schemas.microsoft.com/office/drawing/2014/chart" uri="{C3380CC4-5D6E-409C-BE32-E72D297353CC}">
              <c16:uniqueId val="{00000002-ADFB-4A6D-8E19-4CB262B72482}"/>
            </c:ext>
          </c:extLst>
        </c:ser>
        <c:ser>
          <c:idx val="3"/>
          <c:order val="3"/>
          <c:tx>
            <c:strRef>
              <c:f>Jurassic_2_Total!$G$6</c:f>
              <c:strCache>
                <c:ptCount val="1"/>
                <c:pt idx="0">
                  <c:v>High Maybe:</c:v>
                </c:pt>
              </c:strCache>
            </c:strRef>
          </c:tx>
          <c:spPr>
            <a:solidFill>
              <a:schemeClr val="accent2">
                <a:lumMod val="75000"/>
              </a:schemeClr>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Jurassic_2_Total!$G$7:$G$27</c:f>
              <c:numCache>
                <c:formatCode>General</c:formatCode>
                <c:ptCount val="21"/>
                <c:pt idx="0">
                  <c:v>1</c:v>
                </c:pt>
                <c:pt idx="1">
                  <c:v>3</c:v>
                </c:pt>
                <c:pt idx="2">
                  <c:v>2</c:v>
                </c:pt>
                <c:pt idx="3">
                  <c:v>6</c:v>
                </c:pt>
                <c:pt idx="4">
                  <c:v>2</c:v>
                </c:pt>
                <c:pt idx="5">
                  <c:v>1</c:v>
                </c:pt>
                <c:pt idx="6">
                  <c:v>9</c:v>
                </c:pt>
                <c:pt idx="7">
                  <c:v>1</c:v>
                </c:pt>
                <c:pt idx="8">
                  <c:v>3</c:v>
                </c:pt>
                <c:pt idx="9">
                  <c:v>2</c:v>
                </c:pt>
                <c:pt idx="10">
                  <c:v>2</c:v>
                </c:pt>
                <c:pt idx="11">
                  <c:v>4</c:v>
                </c:pt>
                <c:pt idx="12">
                  <c:v>4</c:v>
                </c:pt>
                <c:pt idx="13">
                  <c:v>2</c:v>
                </c:pt>
                <c:pt idx="14">
                  <c:v>1</c:v>
                </c:pt>
                <c:pt idx="15">
                  <c:v>2</c:v>
                </c:pt>
                <c:pt idx="16">
                  <c:v>0</c:v>
                </c:pt>
                <c:pt idx="17">
                  <c:v>3</c:v>
                </c:pt>
                <c:pt idx="18">
                  <c:v>3</c:v>
                </c:pt>
                <c:pt idx="19">
                  <c:v>6</c:v>
                </c:pt>
                <c:pt idx="20">
                  <c:v>2</c:v>
                </c:pt>
              </c:numCache>
            </c:numRef>
          </c:val>
          <c:extLst>
            <c:ext xmlns:c16="http://schemas.microsoft.com/office/drawing/2014/chart" uri="{C3380CC4-5D6E-409C-BE32-E72D297353CC}">
              <c16:uniqueId val="{00000003-ADFB-4A6D-8E19-4CB262B72482}"/>
            </c:ext>
          </c:extLst>
        </c:ser>
        <c:ser>
          <c:idx val="4"/>
          <c:order val="4"/>
          <c:tx>
            <c:strRef>
              <c:f>Jurassic_2_Total!$H$6</c:f>
              <c:strCache>
                <c:ptCount val="1"/>
                <c:pt idx="0">
                  <c:v>Medium Maybe:</c:v>
                </c:pt>
              </c:strCache>
            </c:strRef>
          </c:tx>
          <c:spPr>
            <a:solidFill>
              <a:schemeClr val="accent2"/>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Jurassic_2_Total!$H$7:$H$27</c:f>
              <c:numCache>
                <c:formatCode>General</c:formatCode>
                <c:ptCount val="21"/>
                <c:pt idx="0">
                  <c:v>1</c:v>
                </c:pt>
                <c:pt idx="1">
                  <c:v>2</c:v>
                </c:pt>
                <c:pt idx="2">
                  <c:v>2</c:v>
                </c:pt>
                <c:pt idx="3">
                  <c:v>4</c:v>
                </c:pt>
                <c:pt idx="4">
                  <c:v>2</c:v>
                </c:pt>
                <c:pt idx="5">
                  <c:v>3</c:v>
                </c:pt>
                <c:pt idx="6">
                  <c:v>6</c:v>
                </c:pt>
                <c:pt idx="7">
                  <c:v>2</c:v>
                </c:pt>
                <c:pt idx="8">
                  <c:v>1</c:v>
                </c:pt>
                <c:pt idx="9">
                  <c:v>2</c:v>
                </c:pt>
                <c:pt idx="10">
                  <c:v>1</c:v>
                </c:pt>
                <c:pt idx="11">
                  <c:v>4</c:v>
                </c:pt>
                <c:pt idx="12">
                  <c:v>2</c:v>
                </c:pt>
                <c:pt idx="13">
                  <c:v>7</c:v>
                </c:pt>
                <c:pt idx="14">
                  <c:v>1</c:v>
                </c:pt>
                <c:pt idx="15">
                  <c:v>1</c:v>
                </c:pt>
                <c:pt idx="16">
                  <c:v>3</c:v>
                </c:pt>
                <c:pt idx="17">
                  <c:v>5</c:v>
                </c:pt>
                <c:pt idx="18">
                  <c:v>6</c:v>
                </c:pt>
                <c:pt idx="19">
                  <c:v>9</c:v>
                </c:pt>
                <c:pt idx="20">
                  <c:v>3</c:v>
                </c:pt>
              </c:numCache>
            </c:numRef>
          </c:val>
          <c:extLst>
            <c:ext xmlns:c16="http://schemas.microsoft.com/office/drawing/2014/chart" uri="{C3380CC4-5D6E-409C-BE32-E72D297353CC}">
              <c16:uniqueId val="{00000004-ADFB-4A6D-8E19-4CB262B72482}"/>
            </c:ext>
          </c:extLst>
        </c:ser>
        <c:ser>
          <c:idx val="5"/>
          <c:order val="5"/>
          <c:tx>
            <c:strRef>
              <c:f>Jurassic_2_Total!$I$6</c:f>
              <c:strCache>
                <c:ptCount val="1"/>
                <c:pt idx="0">
                  <c:v>Low Maybe:</c:v>
                </c:pt>
              </c:strCache>
            </c:strRef>
          </c:tx>
          <c:spPr>
            <a:solidFill>
              <a:schemeClr val="accent2">
                <a:lumMod val="60000"/>
                <a:lumOff val="40000"/>
              </a:schemeClr>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Jurassic_2_Total!$I$7:$I$27</c:f>
              <c:numCache>
                <c:formatCode>General</c:formatCode>
                <c:ptCount val="21"/>
                <c:pt idx="0">
                  <c:v>1</c:v>
                </c:pt>
                <c:pt idx="1">
                  <c:v>4</c:v>
                </c:pt>
                <c:pt idx="2">
                  <c:v>2</c:v>
                </c:pt>
                <c:pt idx="3">
                  <c:v>1</c:v>
                </c:pt>
                <c:pt idx="4">
                  <c:v>0</c:v>
                </c:pt>
                <c:pt idx="5">
                  <c:v>0</c:v>
                </c:pt>
                <c:pt idx="6">
                  <c:v>5</c:v>
                </c:pt>
                <c:pt idx="7">
                  <c:v>0</c:v>
                </c:pt>
                <c:pt idx="8">
                  <c:v>3</c:v>
                </c:pt>
                <c:pt idx="9">
                  <c:v>0</c:v>
                </c:pt>
                <c:pt idx="10">
                  <c:v>1</c:v>
                </c:pt>
                <c:pt idx="11">
                  <c:v>0</c:v>
                </c:pt>
                <c:pt idx="12">
                  <c:v>0</c:v>
                </c:pt>
                <c:pt idx="13">
                  <c:v>1</c:v>
                </c:pt>
                <c:pt idx="14">
                  <c:v>1</c:v>
                </c:pt>
                <c:pt idx="15">
                  <c:v>0</c:v>
                </c:pt>
                <c:pt idx="16">
                  <c:v>1</c:v>
                </c:pt>
                <c:pt idx="17">
                  <c:v>1</c:v>
                </c:pt>
                <c:pt idx="18">
                  <c:v>1</c:v>
                </c:pt>
                <c:pt idx="19">
                  <c:v>0</c:v>
                </c:pt>
                <c:pt idx="20">
                  <c:v>0</c:v>
                </c:pt>
              </c:numCache>
            </c:numRef>
          </c:val>
          <c:extLst>
            <c:ext xmlns:c16="http://schemas.microsoft.com/office/drawing/2014/chart" uri="{C3380CC4-5D6E-409C-BE32-E72D297353CC}">
              <c16:uniqueId val="{00000005-ADFB-4A6D-8E19-4CB262B72482}"/>
            </c:ext>
          </c:extLst>
        </c:ser>
        <c:ser>
          <c:idx val="6"/>
          <c:order val="6"/>
          <c:tx>
            <c:strRef>
              <c:f>Jurassic_2_Total!$J$6</c:f>
              <c:strCache>
                <c:ptCount val="1"/>
                <c:pt idx="0">
                  <c:v>Low Incorrect:</c:v>
                </c:pt>
              </c:strCache>
            </c:strRef>
          </c:tx>
          <c:spPr>
            <a:solidFill>
              <a:srgbClr val="F46868"/>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Jurassic_2_Total!$J$7:$J$27</c:f>
              <c:numCache>
                <c:formatCode>General</c:formatCode>
                <c:ptCount val="21"/>
                <c:pt idx="0">
                  <c:v>1</c:v>
                </c:pt>
                <c:pt idx="1">
                  <c:v>3</c:v>
                </c:pt>
                <c:pt idx="2">
                  <c:v>3</c:v>
                </c:pt>
                <c:pt idx="3">
                  <c:v>1</c:v>
                </c:pt>
                <c:pt idx="4">
                  <c:v>2</c:v>
                </c:pt>
                <c:pt idx="5">
                  <c:v>0</c:v>
                </c:pt>
                <c:pt idx="6">
                  <c:v>5</c:v>
                </c:pt>
                <c:pt idx="7">
                  <c:v>0</c:v>
                </c:pt>
                <c:pt idx="8">
                  <c:v>0</c:v>
                </c:pt>
                <c:pt idx="9">
                  <c:v>0</c:v>
                </c:pt>
                <c:pt idx="10">
                  <c:v>1</c:v>
                </c:pt>
                <c:pt idx="11">
                  <c:v>1</c:v>
                </c:pt>
                <c:pt idx="12">
                  <c:v>1</c:v>
                </c:pt>
                <c:pt idx="13">
                  <c:v>1</c:v>
                </c:pt>
                <c:pt idx="14">
                  <c:v>0</c:v>
                </c:pt>
                <c:pt idx="15">
                  <c:v>1</c:v>
                </c:pt>
                <c:pt idx="16">
                  <c:v>4</c:v>
                </c:pt>
                <c:pt idx="17">
                  <c:v>2</c:v>
                </c:pt>
                <c:pt idx="18">
                  <c:v>2</c:v>
                </c:pt>
                <c:pt idx="19">
                  <c:v>1</c:v>
                </c:pt>
                <c:pt idx="20">
                  <c:v>0</c:v>
                </c:pt>
              </c:numCache>
            </c:numRef>
          </c:val>
          <c:extLst>
            <c:ext xmlns:c16="http://schemas.microsoft.com/office/drawing/2014/chart" uri="{C3380CC4-5D6E-409C-BE32-E72D297353CC}">
              <c16:uniqueId val="{00000006-ADFB-4A6D-8E19-4CB262B72482}"/>
            </c:ext>
          </c:extLst>
        </c:ser>
        <c:ser>
          <c:idx val="7"/>
          <c:order val="7"/>
          <c:tx>
            <c:strRef>
              <c:f>Jurassic_2_Total!$K$6</c:f>
              <c:strCache>
                <c:ptCount val="1"/>
                <c:pt idx="0">
                  <c:v>Medium Incorrect:</c:v>
                </c:pt>
              </c:strCache>
            </c:strRef>
          </c:tx>
          <c:spPr>
            <a:solidFill>
              <a:srgbClr val="EC2828"/>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Jurassic_2_Total!$K$7:$K$27</c:f>
              <c:numCache>
                <c:formatCode>General</c:formatCode>
                <c:ptCount val="21"/>
                <c:pt idx="0">
                  <c:v>4</c:v>
                </c:pt>
                <c:pt idx="1">
                  <c:v>2</c:v>
                </c:pt>
                <c:pt idx="2">
                  <c:v>2</c:v>
                </c:pt>
                <c:pt idx="3">
                  <c:v>3</c:v>
                </c:pt>
                <c:pt idx="4">
                  <c:v>0</c:v>
                </c:pt>
                <c:pt idx="5">
                  <c:v>4</c:v>
                </c:pt>
                <c:pt idx="6">
                  <c:v>6</c:v>
                </c:pt>
                <c:pt idx="7">
                  <c:v>3</c:v>
                </c:pt>
                <c:pt idx="8">
                  <c:v>2</c:v>
                </c:pt>
                <c:pt idx="9">
                  <c:v>2</c:v>
                </c:pt>
                <c:pt idx="10">
                  <c:v>1</c:v>
                </c:pt>
                <c:pt idx="11">
                  <c:v>0</c:v>
                </c:pt>
                <c:pt idx="12">
                  <c:v>0</c:v>
                </c:pt>
                <c:pt idx="13">
                  <c:v>1</c:v>
                </c:pt>
                <c:pt idx="14">
                  <c:v>2</c:v>
                </c:pt>
                <c:pt idx="15">
                  <c:v>2</c:v>
                </c:pt>
                <c:pt idx="16">
                  <c:v>1</c:v>
                </c:pt>
                <c:pt idx="17">
                  <c:v>6</c:v>
                </c:pt>
                <c:pt idx="18">
                  <c:v>2</c:v>
                </c:pt>
                <c:pt idx="19">
                  <c:v>2</c:v>
                </c:pt>
                <c:pt idx="20">
                  <c:v>3</c:v>
                </c:pt>
              </c:numCache>
            </c:numRef>
          </c:val>
          <c:extLst>
            <c:ext xmlns:c16="http://schemas.microsoft.com/office/drawing/2014/chart" uri="{C3380CC4-5D6E-409C-BE32-E72D297353CC}">
              <c16:uniqueId val="{00000007-ADFB-4A6D-8E19-4CB262B72482}"/>
            </c:ext>
          </c:extLst>
        </c:ser>
        <c:ser>
          <c:idx val="8"/>
          <c:order val="8"/>
          <c:tx>
            <c:strRef>
              <c:f>Jurassic_2_Total!$L$6</c:f>
              <c:strCache>
                <c:ptCount val="1"/>
                <c:pt idx="0">
                  <c:v>High Incorrect:</c:v>
                </c:pt>
              </c:strCache>
            </c:strRef>
          </c:tx>
          <c:spPr>
            <a:solidFill>
              <a:srgbClr val="C00000"/>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Jurassic_2_Total!$L$7:$L$27</c:f>
              <c:numCache>
                <c:formatCode>General</c:formatCode>
                <c:ptCount val="21"/>
                <c:pt idx="0">
                  <c:v>3</c:v>
                </c:pt>
                <c:pt idx="1">
                  <c:v>9</c:v>
                </c:pt>
                <c:pt idx="2">
                  <c:v>24</c:v>
                </c:pt>
                <c:pt idx="3">
                  <c:v>5</c:v>
                </c:pt>
                <c:pt idx="4">
                  <c:v>6</c:v>
                </c:pt>
                <c:pt idx="5">
                  <c:v>7</c:v>
                </c:pt>
                <c:pt idx="6">
                  <c:v>4</c:v>
                </c:pt>
                <c:pt idx="7">
                  <c:v>5</c:v>
                </c:pt>
                <c:pt idx="8">
                  <c:v>7</c:v>
                </c:pt>
                <c:pt idx="9">
                  <c:v>2</c:v>
                </c:pt>
                <c:pt idx="10">
                  <c:v>2</c:v>
                </c:pt>
                <c:pt idx="11">
                  <c:v>7</c:v>
                </c:pt>
                <c:pt idx="12">
                  <c:v>5</c:v>
                </c:pt>
                <c:pt idx="13">
                  <c:v>6</c:v>
                </c:pt>
                <c:pt idx="14">
                  <c:v>4</c:v>
                </c:pt>
                <c:pt idx="15">
                  <c:v>10</c:v>
                </c:pt>
                <c:pt idx="16">
                  <c:v>4</c:v>
                </c:pt>
                <c:pt idx="17">
                  <c:v>7</c:v>
                </c:pt>
                <c:pt idx="18">
                  <c:v>10</c:v>
                </c:pt>
                <c:pt idx="19">
                  <c:v>6</c:v>
                </c:pt>
                <c:pt idx="20">
                  <c:v>12</c:v>
                </c:pt>
              </c:numCache>
            </c:numRef>
          </c:val>
          <c:extLst>
            <c:ext xmlns:c16="http://schemas.microsoft.com/office/drawing/2014/chart" uri="{C3380CC4-5D6E-409C-BE32-E72D297353CC}">
              <c16:uniqueId val="{00000008-ADFB-4A6D-8E19-4CB262B72482}"/>
            </c:ext>
          </c:extLst>
        </c:ser>
        <c:ser>
          <c:idx val="9"/>
          <c:order val="9"/>
          <c:tx>
            <c:strRef>
              <c:f>Jurassic_2_Total!$M$6</c:f>
              <c:strCache>
                <c:ptCount val="1"/>
                <c:pt idx="0">
                  <c:v>N/A:</c:v>
                </c:pt>
              </c:strCache>
            </c:strRef>
          </c:tx>
          <c:spPr>
            <a:solidFill>
              <a:schemeClr val="bg1">
                <a:lumMod val="65000"/>
              </a:schemeClr>
            </a:solidFill>
            <a:ln>
              <a:noFill/>
            </a:ln>
            <a:effectLst/>
          </c:spPr>
          <c:invertIfNegative val="0"/>
          <c:cat>
            <c:strRef>
              <c:f>Jurassic_2_Total!$C$7:$C$27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Jurassic_2_Total!$M$7:$M$27</c:f>
              <c:numCache>
                <c:formatCode>General</c:formatCode>
                <c:ptCount val="21"/>
                <c:pt idx="0">
                  <c:v>3</c:v>
                </c:pt>
                <c:pt idx="1">
                  <c:v>0</c:v>
                </c:pt>
                <c:pt idx="2">
                  <c:v>0</c:v>
                </c:pt>
                <c:pt idx="3">
                  <c:v>0</c:v>
                </c:pt>
                <c:pt idx="4">
                  <c:v>3</c:v>
                </c:pt>
                <c:pt idx="5">
                  <c:v>0</c:v>
                </c:pt>
                <c:pt idx="6">
                  <c:v>0</c:v>
                </c:pt>
                <c:pt idx="7">
                  <c:v>3</c:v>
                </c:pt>
                <c:pt idx="8">
                  <c:v>3</c:v>
                </c:pt>
                <c:pt idx="9">
                  <c:v>0</c:v>
                </c:pt>
                <c:pt idx="10">
                  <c:v>3</c:v>
                </c:pt>
                <c:pt idx="11">
                  <c:v>6</c:v>
                </c:pt>
                <c:pt idx="12">
                  <c:v>3</c:v>
                </c:pt>
                <c:pt idx="13">
                  <c:v>3</c:v>
                </c:pt>
                <c:pt idx="14">
                  <c:v>3</c:v>
                </c:pt>
                <c:pt idx="15">
                  <c:v>3</c:v>
                </c:pt>
                <c:pt idx="16">
                  <c:v>18</c:v>
                </c:pt>
                <c:pt idx="17">
                  <c:v>0</c:v>
                </c:pt>
                <c:pt idx="18">
                  <c:v>0</c:v>
                </c:pt>
                <c:pt idx="19">
                  <c:v>3</c:v>
                </c:pt>
                <c:pt idx="20">
                  <c:v>27</c:v>
                </c:pt>
              </c:numCache>
            </c:numRef>
          </c:val>
          <c:extLst>
            <c:ext xmlns:c16="http://schemas.microsoft.com/office/drawing/2014/chart" uri="{C3380CC4-5D6E-409C-BE32-E72D297353CC}">
              <c16:uniqueId val="{00000009-ADFB-4A6D-8E19-4CB262B72482}"/>
            </c:ext>
          </c:extLst>
        </c:ser>
        <c:dLbls>
          <c:showLegendKey val="0"/>
          <c:showVal val="0"/>
          <c:showCatName val="0"/>
          <c:showSerName val="0"/>
          <c:showPercent val="0"/>
          <c:showBubbleSize val="0"/>
        </c:dLbls>
        <c:gapWidth val="150"/>
        <c:overlap val="100"/>
        <c:axId val="1710327840"/>
        <c:axId val="1710328800"/>
      </c:barChart>
      <c:catAx>
        <c:axId val="1710327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710328800"/>
        <c:crosses val="autoZero"/>
        <c:auto val="1"/>
        <c:lblAlgn val="ctr"/>
        <c:lblOffset val="100"/>
        <c:noMultiLvlLbl val="0"/>
      </c:catAx>
      <c:valAx>
        <c:axId val="17103288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710327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Jurassic_2_Total!$D$31</c:f>
              <c:strCache>
                <c:ptCount val="1"/>
                <c:pt idx="0">
                  <c:v>High Correct:</c:v>
                </c:pt>
              </c:strCache>
            </c:strRef>
          </c:tx>
          <c:spPr>
            <a:solidFill>
              <a:schemeClr val="accent6">
                <a:lumMod val="75000"/>
              </a:schemeClr>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Jurassic_2_Total!$D$32:$D$49</c:f>
              <c:numCache>
                <c:formatCode>General</c:formatCode>
                <c:ptCount val="18"/>
                <c:pt idx="0">
                  <c:v>36</c:v>
                </c:pt>
                <c:pt idx="1">
                  <c:v>24</c:v>
                </c:pt>
                <c:pt idx="2">
                  <c:v>29</c:v>
                </c:pt>
                <c:pt idx="3">
                  <c:v>36</c:v>
                </c:pt>
                <c:pt idx="4">
                  <c:v>28</c:v>
                </c:pt>
                <c:pt idx="5">
                  <c:v>19</c:v>
                </c:pt>
                <c:pt idx="6">
                  <c:v>24</c:v>
                </c:pt>
                <c:pt idx="7">
                  <c:v>28</c:v>
                </c:pt>
                <c:pt idx="8">
                  <c:v>20</c:v>
                </c:pt>
                <c:pt idx="9">
                  <c:v>34</c:v>
                </c:pt>
                <c:pt idx="10">
                  <c:v>29</c:v>
                </c:pt>
                <c:pt idx="11">
                  <c:v>36</c:v>
                </c:pt>
                <c:pt idx="12">
                  <c:v>12</c:v>
                </c:pt>
                <c:pt idx="13">
                  <c:v>25</c:v>
                </c:pt>
                <c:pt idx="14">
                  <c:v>9</c:v>
                </c:pt>
                <c:pt idx="15">
                  <c:v>37</c:v>
                </c:pt>
                <c:pt idx="16">
                  <c:v>10</c:v>
                </c:pt>
                <c:pt idx="17">
                  <c:v>28</c:v>
                </c:pt>
              </c:numCache>
            </c:numRef>
          </c:val>
          <c:extLst>
            <c:ext xmlns:c16="http://schemas.microsoft.com/office/drawing/2014/chart" uri="{C3380CC4-5D6E-409C-BE32-E72D297353CC}">
              <c16:uniqueId val="{00000000-52B8-4185-9BE9-51E56D34EC17}"/>
            </c:ext>
          </c:extLst>
        </c:ser>
        <c:ser>
          <c:idx val="1"/>
          <c:order val="1"/>
          <c:tx>
            <c:strRef>
              <c:f>Jurassic_2_Total!$E$31</c:f>
              <c:strCache>
                <c:ptCount val="1"/>
                <c:pt idx="0">
                  <c:v>Medium Correct:</c:v>
                </c:pt>
              </c:strCache>
            </c:strRef>
          </c:tx>
          <c:spPr>
            <a:solidFill>
              <a:schemeClr val="accent6"/>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Jurassic_2_Total!$E$32:$E$49</c:f>
              <c:numCache>
                <c:formatCode>General</c:formatCode>
                <c:ptCount val="18"/>
                <c:pt idx="0">
                  <c:v>6</c:v>
                </c:pt>
                <c:pt idx="1">
                  <c:v>8</c:v>
                </c:pt>
                <c:pt idx="2">
                  <c:v>5</c:v>
                </c:pt>
                <c:pt idx="3">
                  <c:v>11</c:v>
                </c:pt>
                <c:pt idx="4">
                  <c:v>11</c:v>
                </c:pt>
                <c:pt idx="5">
                  <c:v>5</c:v>
                </c:pt>
                <c:pt idx="6">
                  <c:v>8</c:v>
                </c:pt>
                <c:pt idx="7">
                  <c:v>11</c:v>
                </c:pt>
                <c:pt idx="8">
                  <c:v>10</c:v>
                </c:pt>
                <c:pt idx="9">
                  <c:v>10</c:v>
                </c:pt>
                <c:pt idx="10">
                  <c:v>10</c:v>
                </c:pt>
                <c:pt idx="11">
                  <c:v>8</c:v>
                </c:pt>
                <c:pt idx="12">
                  <c:v>8</c:v>
                </c:pt>
                <c:pt idx="13">
                  <c:v>6</c:v>
                </c:pt>
                <c:pt idx="14">
                  <c:v>3</c:v>
                </c:pt>
                <c:pt idx="15">
                  <c:v>8</c:v>
                </c:pt>
                <c:pt idx="16">
                  <c:v>2</c:v>
                </c:pt>
                <c:pt idx="17">
                  <c:v>1</c:v>
                </c:pt>
              </c:numCache>
            </c:numRef>
          </c:val>
          <c:extLst>
            <c:ext xmlns:c16="http://schemas.microsoft.com/office/drawing/2014/chart" uri="{C3380CC4-5D6E-409C-BE32-E72D297353CC}">
              <c16:uniqueId val="{00000001-52B8-4185-9BE9-51E56D34EC17}"/>
            </c:ext>
          </c:extLst>
        </c:ser>
        <c:ser>
          <c:idx val="2"/>
          <c:order val="2"/>
          <c:tx>
            <c:strRef>
              <c:f>Jurassic_2_Total!$F$31</c:f>
              <c:strCache>
                <c:ptCount val="1"/>
                <c:pt idx="0">
                  <c:v>Low Correct:</c:v>
                </c:pt>
              </c:strCache>
            </c:strRef>
          </c:tx>
          <c:spPr>
            <a:solidFill>
              <a:schemeClr val="accent6">
                <a:lumMod val="60000"/>
                <a:lumOff val="40000"/>
              </a:schemeClr>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Jurassic_2_Total!$F$32:$F$49</c:f>
              <c:numCache>
                <c:formatCode>General</c:formatCode>
                <c:ptCount val="18"/>
                <c:pt idx="0">
                  <c:v>3</c:v>
                </c:pt>
                <c:pt idx="1">
                  <c:v>4</c:v>
                </c:pt>
                <c:pt idx="2">
                  <c:v>7</c:v>
                </c:pt>
                <c:pt idx="3">
                  <c:v>3</c:v>
                </c:pt>
                <c:pt idx="4">
                  <c:v>2</c:v>
                </c:pt>
                <c:pt idx="5">
                  <c:v>2</c:v>
                </c:pt>
                <c:pt idx="6">
                  <c:v>8</c:v>
                </c:pt>
                <c:pt idx="7">
                  <c:v>4</c:v>
                </c:pt>
                <c:pt idx="8">
                  <c:v>3</c:v>
                </c:pt>
                <c:pt idx="9">
                  <c:v>5</c:v>
                </c:pt>
                <c:pt idx="10">
                  <c:v>4</c:v>
                </c:pt>
                <c:pt idx="11">
                  <c:v>5</c:v>
                </c:pt>
                <c:pt idx="12">
                  <c:v>6</c:v>
                </c:pt>
                <c:pt idx="13">
                  <c:v>0</c:v>
                </c:pt>
                <c:pt idx="14">
                  <c:v>1</c:v>
                </c:pt>
                <c:pt idx="15">
                  <c:v>3</c:v>
                </c:pt>
                <c:pt idx="16">
                  <c:v>2</c:v>
                </c:pt>
                <c:pt idx="17">
                  <c:v>26</c:v>
                </c:pt>
              </c:numCache>
            </c:numRef>
          </c:val>
          <c:extLst>
            <c:ext xmlns:c16="http://schemas.microsoft.com/office/drawing/2014/chart" uri="{C3380CC4-5D6E-409C-BE32-E72D297353CC}">
              <c16:uniqueId val="{00000002-52B8-4185-9BE9-51E56D34EC17}"/>
            </c:ext>
          </c:extLst>
        </c:ser>
        <c:ser>
          <c:idx val="3"/>
          <c:order val="3"/>
          <c:tx>
            <c:strRef>
              <c:f>Jurassic_2_Total!$G$31</c:f>
              <c:strCache>
                <c:ptCount val="1"/>
                <c:pt idx="0">
                  <c:v>High Maybe:</c:v>
                </c:pt>
              </c:strCache>
            </c:strRef>
          </c:tx>
          <c:spPr>
            <a:solidFill>
              <a:schemeClr val="accent2">
                <a:lumMod val="75000"/>
              </a:schemeClr>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Jurassic_2_Total!$G$32:$G$49</c:f>
              <c:numCache>
                <c:formatCode>General</c:formatCode>
                <c:ptCount val="18"/>
                <c:pt idx="0">
                  <c:v>4</c:v>
                </c:pt>
                <c:pt idx="1">
                  <c:v>4</c:v>
                </c:pt>
                <c:pt idx="2">
                  <c:v>3</c:v>
                </c:pt>
                <c:pt idx="3">
                  <c:v>3</c:v>
                </c:pt>
                <c:pt idx="4">
                  <c:v>1</c:v>
                </c:pt>
                <c:pt idx="5">
                  <c:v>4</c:v>
                </c:pt>
                <c:pt idx="6">
                  <c:v>4</c:v>
                </c:pt>
                <c:pt idx="7">
                  <c:v>0</c:v>
                </c:pt>
                <c:pt idx="8">
                  <c:v>5</c:v>
                </c:pt>
                <c:pt idx="9">
                  <c:v>3</c:v>
                </c:pt>
                <c:pt idx="10">
                  <c:v>2</c:v>
                </c:pt>
                <c:pt idx="11">
                  <c:v>3</c:v>
                </c:pt>
                <c:pt idx="12">
                  <c:v>2</c:v>
                </c:pt>
                <c:pt idx="13">
                  <c:v>8</c:v>
                </c:pt>
                <c:pt idx="14">
                  <c:v>2</c:v>
                </c:pt>
                <c:pt idx="15">
                  <c:v>4</c:v>
                </c:pt>
                <c:pt idx="16">
                  <c:v>2</c:v>
                </c:pt>
                <c:pt idx="17">
                  <c:v>5</c:v>
                </c:pt>
              </c:numCache>
            </c:numRef>
          </c:val>
          <c:extLst>
            <c:ext xmlns:c16="http://schemas.microsoft.com/office/drawing/2014/chart" uri="{C3380CC4-5D6E-409C-BE32-E72D297353CC}">
              <c16:uniqueId val="{00000003-52B8-4185-9BE9-51E56D34EC17}"/>
            </c:ext>
          </c:extLst>
        </c:ser>
        <c:ser>
          <c:idx val="4"/>
          <c:order val="4"/>
          <c:tx>
            <c:strRef>
              <c:f>Jurassic_2_Total!$H$31</c:f>
              <c:strCache>
                <c:ptCount val="1"/>
                <c:pt idx="0">
                  <c:v>Medium Maybe:</c:v>
                </c:pt>
              </c:strCache>
            </c:strRef>
          </c:tx>
          <c:spPr>
            <a:solidFill>
              <a:schemeClr val="accent2"/>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Jurassic_2_Total!$H$32:$H$49</c:f>
              <c:numCache>
                <c:formatCode>General</c:formatCode>
                <c:ptCount val="18"/>
                <c:pt idx="0">
                  <c:v>1</c:v>
                </c:pt>
                <c:pt idx="1">
                  <c:v>5</c:v>
                </c:pt>
                <c:pt idx="2">
                  <c:v>6</c:v>
                </c:pt>
                <c:pt idx="3">
                  <c:v>2</c:v>
                </c:pt>
                <c:pt idx="4">
                  <c:v>6</c:v>
                </c:pt>
                <c:pt idx="5">
                  <c:v>0</c:v>
                </c:pt>
                <c:pt idx="6">
                  <c:v>4</c:v>
                </c:pt>
                <c:pt idx="7">
                  <c:v>4</c:v>
                </c:pt>
                <c:pt idx="8">
                  <c:v>5</c:v>
                </c:pt>
                <c:pt idx="9">
                  <c:v>4</c:v>
                </c:pt>
                <c:pt idx="10">
                  <c:v>7</c:v>
                </c:pt>
                <c:pt idx="11">
                  <c:v>2</c:v>
                </c:pt>
                <c:pt idx="12">
                  <c:v>9</c:v>
                </c:pt>
                <c:pt idx="13">
                  <c:v>3</c:v>
                </c:pt>
                <c:pt idx="14">
                  <c:v>1</c:v>
                </c:pt>
                <c:pt idx="15">
                  <c:v>2</c:v>
                </c:pt>
                <c:pt idx="16">
                  <c:v>6</c:v>
                </c:pt>
                <c:pt idx="17">
                  <c:v>0</c:v>
                </c:pt>
              </c:numCache>
            </c:numRef>
          </c:val>
          <c:extLst>
            <c:ext xmlns:c16="http://schemas.microsoft.com/office/drawing/2014/chart" uri="{C3380CC4-5D6E-409C-BE32-E72D297353CC}">
              <c16:uniqueId val="{00000004-52B8-4185-9BE9-51E56D34EC17}"/>
            </c:ext>
          </c:extLst>
        </c:ser>
        <c:ser>
          <c:idx val="5"/>
          <c:order val="5"/>
          <c:tx>
            <c:strRef>
              <c:f>Jurassic_2_Total!$I$31</c:f>
              <c:strCache>
                <c:ptCount val="1"/>
                <c:pt idx="0">
                  <c:v>Low Maybe:</c:v>
                </c:pt>
              </c:strCache>
            </c:strRef>
          </c:tx>
          <c:spPr>
            <a:solidFill>
              <a:schemeClr val="accent2">
                <a:lumMod val="60000"/>
                <a:lumOff val="40000"/>
              </a:schemeClr>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Jurassic_2_Total!$I$32:$I$49</c:f>
              <c:numCache>
                <c:formatCode>General</c:formatCode>
                <c:ptCount val="18"/>
                <c:pt idx="0">
                  <c:v>0</c:v>
                </c:pt>
                <c:pt idx="1">
                  <c:v>0</c:v>
                </c:pt>
                <c:pt idx="2">
                  <c:v>0</c:v>
                </c:pt>
                <c:pt idx="3">
                  <c:v>3</c:v>
                </c:pt>
                <c:pt idx="4">
                  <c:v>0</c:v>
                </c:pt>
                <c:pt idx="5">
                  <c:v>2</c:v>
                </c:pt>
                <c:pt idx="6">
                  <c:v>2</c:v>
                </c:pt>
                <c:pt idx="7">
                  <c:v>0</c:v>
                </c:pt>
                <c:pt idx="8">
                  <c:v>1</c:v>
                </c:pt>
                <c:pt idx="9">
                  <c:v>1</c:v>
                </c:pt>
                <c:pt idx="10">
                  <c:v>1</c:v>
                </c:pt>
                <c:pt idx="11">
                  <c:v>1</c:v>
                </c:pt>
                <c:pt idx="12">
                  <c:v>1</c:v>
                </c:pt>
                <c:pt idx="13">
                  <c:v>4</c:v>
                </c:pt>
                <c:pt idx="14">
                  <c:v>0</c:v>
                </c:pt>
                <c:pt idx="15">
                  <c:v>1</c:v>
                </c:pt>
                <c:pt idx="16">
                  <c:v>4</c:v>
                </c:pt>
                <c:pt idx="17">
                  <c:v>1</c:v>
                </c:pt>
              </c:numCache>
            </c:numRef>
          </c:val>
          <c:extLst>
            <c:ext xmlns:c16="http://schemas.microsoft.com/office/drawing/2014/chart" uri="{C3380CC4-5D6E-409C-BE32-E72D297353CC}">
              <c16:uniqueId val="{00000005-52B8-4185-9BE9-51E56D34EC17}"/>
            </c:ext>
          </c:extLst>
        </c:ser>
        <c:ser>
          <c:idx val="6"/>
          <c:order val="6"/>
          <c:tx>
            <c:strRef>
              <c:f>Jurassic_2_Total!$J$31</c:f>
              <c:strCache>
                <c:ptCount val="1"/>
                <c:pt idx="0">
                  <c:v>Low Incorrect:</c:v>
                </c:pt>
              </c:strCache>
            </c:strRef>
          </c:tx>
          <c:spPr>
            <a:solidFill>
              <a:srgbClr val="F46868"/>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Jurassic_2_Total!$J$32:$J$49</c:f>
              <c:numCache>
                <c:formatCode>General</c:formatCode>
                <c:ptCount val="18"/>
                <c:pt idx="0">
                  <c:v>1</c:v>
                </c:pt>
                <c:pt idx="1">
                  <c:v>1</c:v>
                </c:pt>
                <c:pt idx="2">
                  <c:v>2</c:v>
                </c:pt>
                <c:pt idx="3">
                  <c:v>0</c:v>
                </c:pt>
                <c:pt idx="4">
                  <c:v>3</c:v>
                </c:pt>
                <c:pt idx="5">
                  <c:v>2</c:v>
                </c:pt>
                <c:pt idx="6">
                  <c:v>1</c:v>
                </c:pt>
                <c:pt idx="7">
                  <c:v>5</c:v>
                </c:pt>
                <c:pt idx="8">
                  <c:v>0</c:v>
                </c:pt>
                <c:pt idx="9">
                  <c:v>2</c:v>
                </c:pt>
                <c:pt idx="10">
                  <c:v>4</c:v>
                </c:pt>
                <c:pt idx="11">
                  <c:v>2</c:v>
                </c:pt>
                <c:pt idx="12">
                  <c:v>3</c:v>
                </c:pt>
                <c:pt idx="13">
                  <c:v>1</c:v>
                </c:pt>
                <c:pt idx="14">
                  <c:v>1</c:v>
                </c:pt>
                <c:pt idx="15">
                  <c:v>1</c:v>
                </c:pt>
                <c:pt idx="16">
                  <c:v>0</c:v>
                </c:pt>
                <c:pt idx="17">
                  <c:v>0</c:v>
                </c:pt>
              </c:numCache>
            </c:numRef>
          </c:val>
          <c:extLst>
            <c:ext xmlns:c16="http://schemas.microsoft.com/office/drawing/2014/chart" uri="{C3380CC4-5D6E-409C-BE32-E72D297353CC}">
              <c16:uniqueId val="{00000006-52B8-4185-9BE9-51E56D34EC17}"/>
            </c:ext>
          </c:extLst>
        </c:ser>
        <c:ser>
          <c:idx val="7"/>
          <c:order val="7"/>
          <c:tx>
            <c:strRef>
              <c:f>Jurassic_2_Total!$K$31</c:f>
              <c:strCache>
                <c:ptCount val="1"/>
                <c:pt idx="0">
                  <c:v>Medium Incorrect:</c:v>
                </c:pt>
              </c:strCache>
            </c:strRef>
          </c:tx>
          <c:spPr>
            <a:solidFill>
              <a:srgbClr val="EC2828"/>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Jurassic_2_Total!$K$32:$K$49</c:f>
              <c:numCache>
                <c:formatCode>General</c:formatCode>
                <c:ptCount val="18"/>
                <c:pt idx="0">
                  <c:v>3</c:v>
                </c:pt>
                <c:pt idx="1">
                  <c:v>4</c:v>
                </c:pt>
                <c:pt idx="2">
                  <c:v>2</c:v>
                </c:pt>
                <c:pt idx="3">
                  <c:v>2</c:v>
                </c:pt>
                <c:pt idx="4">
                  <c:v>4</c:v>
                </c:pt>
                <c:pt idx="5">
                  <c:v>1</c:v>
                </c:pt>
                <c:pt idx="6">
                  <c:v>1</c:v>
                </c:pt>
                <c:pt idx="7">
                  <c:v>2</c:v>
                </c:pt>
                <c:pt idx="8">
                  <c:v>5</c:v>
                </c:pt>
                <c:pt idx="9">
                  <c:v>1</c:v>
                </c:pt>
                <c:pt idx="10">
                  <c:v>3</c:v>
                </c:pt>
                <c:pt idx="11">
                  <c:v>1</c:v>
                </c:pt>
                <c:pt idx="12">
                  <c:v>3</c:v>
                </c:pt>
                <c:pt idx="13">
                  <c:v>5</c:v>
                </c:pt>
                <c:pt idx="14">
                  <c:v>5</c:v>
                </c:pt>
                <c:pt idx="15">
                  <c:v>0</c:v>
                </c:pt>
                <c:pt idx="16">
                  <c:v>6</c:v>
                </c:pt>
                <c:pt idx="17">
                  <c:v>0</c:v>
                </c:pt>
              </c:numCache>
            </c:numRef>
          </c:val>
          <c:extLst>
            <c:ext xmlns:c16="http://schemas.microsoft.com/office/drawing/2014/chart" uri="{C3380CC4-5D6E-409C-BE32-E72D297353CC}">
              <c16:uniqueId val="{00000007-52B8-4185-9BE9-51E56D34EC17}"/>
            </c:ext>
          </c:extLst>
        </c:ser>
        <c:ser>
          <c:idx val="8"/>
          <c:order val="8"/>
          <c:tx>
            <c:strRef>
              <c:f>Jurassic_2_Total!$L$31</c:f>
              <c:strCache>
                <c:ptCount val="1"/>
                <c:pt idx="0">
                  <c:v>High Incorrect:</c:v>
                </c:pt>
              </c:strCache>
            </c:strRef>
          </c:tx>
          <c:spPr>
            <a:solidFill>
              <a:srgbClr val="C00000"/>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Jurassic_2_Total!$L$32:$L$49</c:f>
              <c:numCache>
                <c:formatCode>General</c:formatCode>
                <c:ptCount val="18"/>
                <c:pt idx="0">
                  <c:v>0</c:v>
                </c:pt>
                <c:pt idx="1">
                  <c:v>13</c:v>
                </c:pt>
                <c:pt idx="2">
                  <c:v>3</c:v>
                </c:pt>
                <c:pt idx="3">
                  <c:v>3</c:v>
                </c:pt>
                <c:pt idx="4">
                  <c:v>5</c:v>
                </c:pt>
                <c:pt idx="5">
                  <c:v>1</c:v>
                </c:pt>
                <c:pt idx="6">
                  <c:v>5</c:v>
                </c:pt>
                <c:pt idx="7">
                  <c:v>6</c:v>
                </c:pt>
                <c:pt idx="8">
                  <c:v>5</c:v>
                </c:pt>
                <c:pt idx="9">
                  <c:v>3</c:v>
                </c:pt>
                <c:pt idx="10">
                  <c:v>3</c:v>
                </c:pt>
                <c:pt idx="11">
                  <c:v>5</c:v>
                </c:pt>
                <c:pt idx="12">
                  <c:v>10</c:v>
                </c:pt>
                <c:pt idx="13">
                  <c:v>11</c:v>
                </c:pt>
                <c:pt idx="14">
                  <c:v>41</c:v>
                </c:pt>
                <c:pt idx="15">
                  <c:v>4</c:v>
                </c:pt>
                <c:pt idx="16">
                  <c:v>25</c:v>
                </c:pt>
                <c:pt idx="17">
                  <c:v>2</c:v>
                </c:pt>
              </c:numCache>
            </c:numRef>
          </c:val>
          <c:extLst>
            <c:ext xmlns:c16="http://schemas.microsoft.com/office/drawing/2014/chart" uri="{C3380CC4-5D6E-409C-BE32-E72D297353CC}">
              <c16:uniqueId val="{00000008-52B8-4185-9BE9-51E56D34EC17}"/>
            </c:ext>
          </c:extLst>
        </c:ser>
        <c:ser>
          <c:idx val="9"/>
          <c:order val="9"/>
          <c:tx>
            <c:strRef>
              <c:f>Jurassic_2_Total!$M$31</c:f>
              <c:strCache>
                <c:ptCount val="1"/>
                <c:pt idx="0">
                  <c:v>N/A:</c:v>
                </c:pt>
              </c:strCache>
            </c:strRef>
          </c:tx>
          <c:spPr>
            <a:solidFill>
              <a:schemeClr val="bg1">
                <a:lumMod val="65000"/>
              </a:schemeClr>
            </a:solidFill>
            <a:ln>
              <a:noFill/>
            </a:ln>
            <a:effectLst/>
          </c:spPr>
          <c:invertIfNegative val="0"/>
          <c:cat>
            <c:strRef>
              <c:f>Jurassic_2_Total!$C$32:$C$49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Jurassic_2_Total!$M$32:$M$49</c:f>
              <c:numCache>
                <c:formatCode>General</c:formatCode>
                <c:ptCount val="18"/>
                <c:pt idx="0">
                  <c:v>9</c:v>
                </c:pt>
                <c:pt idx="1">
                  <c:v>0</c:v>
                </c:pt>
                <c:pt idx="2">
                  <c:v>6</c:v>
                </c:pt>
                <c:pt idx="3">
                  <c:v>0</c:v>
                </c:pt>
                <c:pt idx="4">
                  <c:v>3</c:v>
                </c:pt>
                <c:pt idx="5">
                  <c:v>27</c:v>
                </c:pt>
                <c:pt idx="6">
                  <c:v>6</c:v>
                </c:pt>
                <c:pt idx="7">
                  <c:v>3</c:v>
                </c:pt>
                <c:pt idx="8">
                  <c:v>9</c:v>
                </c:pt>
                <c:pt idx="9">
                  <c:v>0</c:v>
                </c:pt>
                <c:pt idx="10">
                  <c:v>0</c:v>
                </c:pt>
                <c:pt idx="11">
                  <c:v>0</c:v>
                </c:pt>
                <c:pt idx="12">
                  <c:v>9</c:v>
                </c:pt>
                <c:pt idx="13">
                  <c:v>0</c:v>
                </c:pt>
                <c:pt idx="14">
                  <c:v>0</c:v>
                </c:pt>
                <c:pt idx="15">
                  <c:v>3</c:v>
                </c:pt>
                <c:pt idx="16">
                  <c:v>6</c:v>
                </c:pt>
                <c:pt idx="17">
                  <c:v>0</c:v>
                </c:pt>
              </c:numCache>
            </c:numRef>
          </c:val>
          <c:extLst>
            <c:ext xmlns:c16="http://schemas.microsoft.com/office/drawing/2014/chart" uri="{C3380CC4-5D6E-409C-BE32-E72D297353CC}">
              <c16:uniqueId val="{00000009-52B8-4185-9BE9-51E56D34EC17}"/>
            </c:ext>
          </c:extLst>
        </c:ser>
        <c:dLbls>
          <c:showLegendKey val="0"/>
          <c:showVal val="0"/>
          <c:showCatName val="0"/>
          <c:showSerName val="0"/>
          <c:showPercent val="0"/>
          <c:showBubbleSize val="0"/>
        </c:dLbls>
        <c:gapWidth val="150"/>
        <c:overlap val="100"/>
        <c:axId val="1908634896"/>
        <c:axId val="1908635856"/>
      </c:barChart>
      <c:catAx>
        <c:axId val="190863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08635856"/>
        <c:crosses val="autoZero"/>
        <c:auto val="1"/>
        <c:lblAlgn val="ctr"/>
        <c:lblOffset val="100"/>
        <c:noMultiLvlLbl val="0"/>
      </c:catAx>
      <c:valAx>
        <c:axId val="190863585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908634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Jurassic_2_Compiled_Q1!$D$6</c:f>
              <c:strCache>
                <c:ptCount val="1"/>
                <c:pt idx="0">
                  <c:v>High Correct:</c:v>
                </c:pt>
              </c:strCache>
            </c:strRef>
          </c:tx>
          <c:spPr>
            <a:solidFill>
              <a:schemeClr val="accent6">
                <a:lumMod val="75000"/>
              </a:schemeClr>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Jurassic_2_Compiled_Q1!$D$7:$D$27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0-A06C-46D8-9055-4519CAF6C4BF}"/>
            </c:ext>
          </c:extLst>
        </c:ser>
        <c:ser>
          <c:idx val="1"/>
          <c:order val="1"/>
          <c:tx>
            <c:strRef>
              <c:f>Jurassic_2_Compiled_Q1!$E$6</c:f>
              <c:strCache>
                <c:ptCount val="1"/>
                <c:pt idx="0">
                  <c:v>Medium Correct:</c:v>
                </c:pt>
              </c:strCache>
            </c:strRef>
          </c:tx>
          <c:spPr>
            <a:solidFill>
              <a:schemeClr val="accent6"/>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Jurassic_2_Compiled_Q1!$E$7:$E$27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1-A06C-46D8-9055-4519CAF6C4BF}"/>
            </c:ext>
          </c:extLst>
        </c:ser>
        <c:ser>
          <c:idx val="2"/>
          <c:order val="2"/>
          <c:tx>
            <c:strRef>
              <c:f>Jurassic_2_Compiled_Q1!$F$6</c:f>
              <c:strCache>
                <c:ptCount val="1"/>
                <c:pt idx="0">
                  <c:v>Low Correct:</c:v>
                </c:pt>
              </c:strCache>
            </c:strRef>
          </c:tx>
          <c:spPr>
            <a:solidFill>
              <a:schemeClr val="accent6">
                <a:lumMod val="40000"/>
                <a:lumOff val="60000"/>
              </a:schemeClr>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Jurassic_2_Compiled_Q1!$F$7:$F$27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2-A06C-46D8-9055-4519CAF6C4BF}"/>
            </c:ext>
          </c:extLst>
        </c:ser>
        <c:ser>
          <c:idx val="3"/>
          <c:order val="3"/>
          <c:tx>
            <c:strRef>
              <c:f>Jurassic_2_Compiled_Q1!$G$6</c:f>
              <c:strCache>
                <c:ptCount val="1"/>
                <c:pt idx="0">
                  <c:v>High Maybe:</c:v>
                </c:pt>
              </c:strCache>
            </c:strRef>
          </c:tx>
          <c:spPr>
            <a:solidFill>
              <a:schemeClr val="accent2">
                <a:lumMod val="75000"/>
              </a:schemeClr>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Jurassic_2_Compiled_Q1!$G$7:$G$27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3-A06C-46D8-9055-4519CAF6C4BF}"/>
            </c:ext>
          </c:extLst>
        </c:ser>
        <c:ser>
          <c:idx val="4"/>
          <c:order val="4"/>
          <c:tx>
            <c:strRef>
              <c:f>Jurassic_2_Compiled_Q1!$H$6</c:f>
              <c:strCache>
                <c:ptCount val="1"/>
                <c:pt idx="0">
                  <c:v>Medium Maybe:</c:v>
                </c:pt>
              </c:strCache>
            </c:strRef>
          </c:tx>
          <c:spPr>
            <a:solidFill>
              <a:schemeClr val="accent2"/>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Jurassic_2_Compiled_Q1!$H$7:$H$27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4-A06C-46D8-9055-4519CAF6C4BF}"/>
            </c:ext>
          </c:extLst>
        </c:ser>
        <c:ser>
          <c:idx val="5"/>
          <c:order val="5"/>
          <c:tx>
            <c:strRef>
              <c:f>Jurassic_2_Compiled_Q1!$I$6</c:f>
              <c:strCache>
                <c:ptCount val="1"/>
                <c:pt idx="0">
                  <c:v>Low Maybe:</c:v>
                </c:pt>
              </c:strCache>
            </c:strRef>
          </c:tx>
          <c:spPr>
            <a:solidFill>
              <a:schemeClr val="accent2">
                <a:lumMod val="60000"/>
                <a:lumOff val="40000"/>
              </a:schemeClr>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Jurassic_2_Compiled_Q1!$I$7:$I$27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5-A06C-46D8-9055-4519CAF6C4BF}"/>
            </c:ext>
          </c:extLst>
        </c:ser>
        <c:ser>
          <c:idx val="6"/>
          <c:order val="6"/>
          <c:tx>
            <c:strRef>
              <c:f>Jurassic_2_Compiled_Q1!$J$6</c:f>
              <c:strCache>
                <c:ptCount val="1"/>
                <c:pt idx="0">
                  <c:v>Low Incorrect:</c:v>
                </c:pt>
              </c:strCache>
            </c:strRef>
          </c:tx>
          <c:spPr>
            <a:solidFill>
              <a:srgbClr val="F46868"/>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Jurassic_2_Compiled_Q1!$J$7:$J$27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6-A06C-46D8-9055-4519CAF6C4BF}"/>
            </c:ext>
          </c:extLst>
        </c:ser>
        <c:ser>
          <c:idx val="7"/>
          <c:order val="7"/>
          <c:tx>
            <c:strRef>
              <c:f>Jurassic_2_Compiled_Q1!$K$6</c:f>
              <c:strCache>
                <c:ptCount val="1"/>
                <c:pt idx="0">
                  <c:v>Medium Incorrect:</c:v>
                </c:pt>
              </c:strCache>
            </c:strRef>
          </c:tx>
          <c:spPr>
            <a:solidFill>
              <a:srgbClr val="EC2828"/>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Jurassic_2_Compiled_Q1!$K$7:$K$27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7-A06C-46D8-9055-4519CAF6C4BF}"/>
            </c:ext>
          </c:extLst>
        </c:ser>
        <c:ser>
          <c:idx val="8"/>
          <c:order val="8"/>
          <c:tx>
            <c:strRef>
              <c:f>Jurassic_2_Compiled_Q1!$L$6</c:f>
              <c:strCache>
                <c:ptCount val="1"/>
                <c:pt idx="0">
                  <c:v>High Incorrect:</c:v>
                </c:pt>
              </c:strCache>
            </c:strRef>
          </c:tx>
          <c:spPr>
            <a:solidFill>
              <a:srgbClr val="C00000"/>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Jurassic_2_Compiled_Q1!$L$7:$L$27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8-A06C-46D8-9055-4519CAF6C4BF}"/>
            </c:ext>
          </c:extLst>
        </c:ser>
        <c:ser>
          <c:idx val="9"/>
          <c:order val="9"/>
          <c:tx>
            <c:strRef>
              <c:f>Jurassic_2_Compiled_Q1!$M$6</c:f>
              <c:strCache>
                <c:ptCount val="1"/>
                <c:pt idx="0">
                  <c:v>N/A:</c:v>
                </c:pt>
              </c:strCache>
            </c:strRef>
          </c:tx>
          <c:spPr>
            <a:solidFill>
              <a:schemeClr val="bg2">
                <a:lumMod val="75000"/>
              </a:schemeClr>
            </a:solidFill>
            <a:ln>
              <a:noFill/>
            </a:ln>
            <a:effectLst/>
          </c:spPr>
          <c:invertIfNegative val="0"/>
          <c:cat>
            <c:strRef>
              <c:f>Jurassic_2_Compiled_Q1!$C$7:$C$27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Jurassic_2_Compiled_Q1!$M$7:$M$27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9-A06C-46D8-9055-4519CAF6C4BF}"/>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Jurassic_2_Compiled_Q1!$D$31</c:f>
              <c:strCache>
                <c:ptCount val="1"/>
                <c:pt idx="0">
                  <c:v>High Correct:</c:v>
                </c:pt>
              </c:strCache>
            </c:strRef>
          </c:tx>
          <c:spPr>
            <a:solidFill>
              <a:schemeClr val="accent6">
                <a:lumMod val="75000"/>
              </a:schemeClr>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Jurassic_2_Compiled_Q1!$D$32:$D$47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D573-4C6F-ADB1-095CD81C20D2}"/>
            </c:ext>
          </c:extLst>
        </c:ser>
        <c:ser>
          <c:idx val="1"/>
          <c:order val="1"/>
          <c:tx>
            <c:strRef>
              <c:f>Jurassic_2_Compiled_Q1!$E$31</c:f>
              <c:strCache>
                <c:ptCount val="1"/>
                <c:pt idx="0">
                  <c:v>Medium Correct:</c:v>
                </c:pt>
              </c:strCache>
            </c:strRef>
          </c:tx>
          <c:spPr>
            <a:solidFill>
              <a:schemeClr val="accent6"/>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Jurassic_2_Compiled_Q1!$E$32:$E$47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D573-4C6F-ADB1-095CD81C20D2}"/>
            </c:ext>
          </c:extLst>
        </c:ser>
        <c:ser>
          <c:idx val="2"/>
          <c:order val="2"/>
          <c:tx>
            <c:strRef>
              <c:f>Jurassic_2_Compiled_Q1!$F$31</c:f>
              <c:strCache>
                <c:ptCount val="1"/>
                <c:pt idx="0">
                  <c:v>Low Correct:</c:v>
                </c:pt>
              </c:strCache>
            </c:strRef>
          </c:tx>
          <c:spPr>
            <a:solidFill>
              <a:schemeClr val="accent6">
                <a:lumMod val="60000"/>
                <a:lumOff val="40000"/>
              </a:schemeClr>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Jurassic_2_Compiled_Q1!$F$32:$F$47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D573-4C6F-ADB1-095CD81C20D2}"/>
            </c:ext>
          </c:extLst>
        </c:ser>
        <c:ser>
          <c:idx val="3"/>
          <c:order val="3"/>
          <c:tx>
            <c:strRef>
              <c:f>Jurassic_2_Compiled_Q1!$G$31</c:f>
              <c:strCache>
                <c:ptCount val="1"/>
                <c:pt idx="0">
                  <c:v>High Maybe:</c:v>
                </c:pt>
              </c:strCache>
            </c:strRef>
          </c:tx>
          <c:spPr>
            <a:solidFill>
              <a:schemeClr val="accent2">
                <a:lumMod val="75000"/>
              </a:schemeClr>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Jurassic_2_Compiled_Q1!$G$32:$G$47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D573-4C6F-ADB1-095CD81C20D2}"/>
            </c:ext>
          </c:extLst>
        </c:ser>
        <c:ser>
          <c:idx val="4"/>
          <c:order val="4"/>
          <c:tx>
            <c:strRef>
              <c:f>Jurassic_2_Compiled_Q1!$H$31</c:f>
              <c:strCache>
                <c:ptCount val="1"/>
                <c:pt idx="0">
                  <c:v>Medium Maybe:</c:v>
                </c:pt>
              </c:strCache>
            </c:strRef>
          </c:tx>
          <c:spPr>
            <a:solidFill>
              <a:schemeClr val="accent2"/>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Jurassic_2_Compiled_Q1!$H$32:$H$47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4-D573-4C6F-ADB1-095CD81C20D2}"/>
            </c:ext>
          </c:extLst>
        </c:ser>
        <c:ser>
          <c:idx val="5"/>
          <c:order val="5"/>
          <c:tx>
            <c:strRef>
              <c:f>Jurassic_2_Compiled_Q1!$I$31</c:f>
              <c:strCache>
                <c:ptCount val="1"/>
                <c:pt idx="0">
                  <c:v>Low Maybe:</c:v>
                </c:pt>
              </c:strCache>
            </c:strRef>
          </c:tx>
          <c:spPr>
            <a:solidFill>
              <a:schemeClr val="accent2">
                <a:lumMod val="60000"/>
                <a:lumOff val="40000"/>
              </a:schemeClr>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Jurassic_2_Compiled_Q1!$I$32:$I$47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5-D573-4C6F-ADB1-095CD81C20D2}"/>
            </c:ext>
          </c:extLst>
        </c:ser>
        <c:ser>
          <c:idx val="6"/>
          <c:order val="6"/>
          <c:tx>
            <c:strRef>
              <c:f>Jurassic_2_Compiled_Q1!$J$31</c:f>
              <c:strCache>
                <c:ptCount val="1"/>
                <c:pt idx="0">
                  <c:v>Low Incorrect:</c:v>
                </c:pt>
              </c:strCache>
            </c:strRef>
          </c:tx>
          <c:spPr>
            <a:solidFill>
              <a:srgbClr val="F46868"/>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Jurassic_2_Compiled_Q1!$J$32:$J$47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6-D573-4C6F-ADB1-095CD81C20D2}"/>
            </c:ext>
          </c:extLst>
        </c:ser>
        <c:ser>
          <c:idx val="7"/>
          <c:order val="7"/>
          <c:tx>
            <c:strRef>
              <c:f>Jurassic_2_Compiled_Q1!$K$31</c:f>
              <c:strCache>
                <c:ptCount val="1"/>
                <c:pt idx="0">
                  <c:v>Medium Incorrect:</c:v>
                </c:pt>
              </c:strCache>
            </c:strRef>
          </c:tx>
          <c:spPr>
            <a:solidFill>
              <a:srgbClr val="EC2828"/>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Jurassic_2_Compiled_Q1!$K$32:$K$47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7-D573-4C6F-ADB1-095CD81C20D2}"/>
            </c:ext>
          </c:extLst>
        </c:ser>
        <c:ser>
          <c:idx val="8"/>
          <c:order val="8"/>
          <c:tx>
            <c:strRef>
              <c:f>Jurassic_2_Compiled_Q1!$L$31</c:f>
              <c:strCache>
                <c:ptCount val="1"/>
                <c:pt idx="0">
                  <c:v>High Incorrect:</c:v>
                </c:pt>
              </c:strCache>
            </c:strRef>
          </c:tx>
          <c:spPr>
            <a:solidFill>
              <a:srgbClr val="C00000"/>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Jurassic_2_Compiled_Q1!$L$32:$L$47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8-D573-4C6F-ADB1-095CD81C20D2}"/>
            </c:ext>
          </c:extLst>
        </c:ser>
        <c:ser>
          <c:idx val="9"/>
          <c:order val="9"/>
          <c:tx>
            <c:strRef>
              <c:f>Jurassic_2_Compiled_Q1!$M$31</c:f>
              <c:strCache>
                <c:ptCount val="1"/>
                <c:pt idx="0">
                  <c:v>N/A:</c:v>
                </c:pt>
              </c:strCache>
            </c:strRef>
          </c:tx>
          <c:spPr>
            <a:solidFill>
              <a:schemeClr val="bg2">
                <a:lumMod val="75000"/>
              </a:schemeClr>
            </a:solidFill>
            <a:ln>
              <a:noFill/>
            </a:ln>
            <a:effectLst/>
          </c:spPr>
          <c:invertIfNegative val="0"/>
          <c:cat>
            <c:strRef>
              <c:f>Jurassic_2_Compiled_Q1!$C$32:$C$47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Jurassic_2_Compiled_Q1!$M$32:$M$47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D573-4C6F-ADB1-095CD81C20D2}"/>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PaLM_Q1!$D$6</c:f>
              <c:strCache>
                <c:ptCount val="1"/>
                <c:pt idx="0">
                  <c:v>High Correct:</c:v>
                </c:pt>
              </c:strCache>
            </c:strRef>
          </c:tx>
          <c:spPr>
            <a:solidFill>
              <a:schemeClr val="accent6">
                <a:lumMod val="75000"/>
              </a:schemeClr>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PaLM_Q1!$D$7:$D$27</c:f>
              <c:numCache>
                <c:formatCode>General</c:formatCode>
                <c:ptCount val="21"/>
                <c:pt idx="0">
                  <c:v>8</c:v>
                </c:pt>
                <c:pt idx="1">
                  <c:v>10</c:v>
                </c:pt>
                <c:pt idx="2">
                  <c:v>3</c:v>
                </c:pt>
                <c:pt idx="3">
                  <c:v>8</c:v>
                </c:pt>
                <c:pt idx="4">
                  <c:v>7</c:v>
                </c:pt>
                <c:pt idx="5">
                  <c:v>1</c:v>
                </c:pt>
                <c:pt idx="6">
                  <c:v>4</c:v>
                </c:pt>
                <c:pt idx="7">
                  <c:v>9</c:v>
                </c:pt>
                <c:pt idx="8">
                  <c:v>6</c:v>
                </c:pt>
                <c:pt idx="9">
                  <c:v>6</c:v>
                </c:pt>
                <c:pt idx="10">
                  <c:v>14</c:v>
                </c:pt>
                <c:pt idx="11">
                  <c:v>8</c:v>
                </c:pt>
                <c:pt idx="12">
                  <c:v>13</c:v>
                </c:pt>
                <c:pt idx="13">
                  <c:v>10</c:v>
                </c:pt>
                <c:pt idx="14">
                  <c:v>10</c:v>
                </c:pt>
                <c:pt idx="15">
                  <c:v>10</c:v>
                </c:pt>
                <c:pt idx="16">
                  <c:v>1</c:v>
                </c:pt>
                <c:pt idx="17">
                  <c:v>2</c:v>
                </c:pt>
                <c:pt idx="18">
                  <c:v>1</c:v>
                </c:pt>
                <c:pt idx="19">
                  <c:v>3</c:v>
                </c:pt>
                <c:pt idx="20">
                  <c:v>2</c:v>
                </c:pt>
              </c:numCache>
            </c:numRef>
          </c:val>
          <c:extLst>
            <c:ext xmlns:c16="http://schemas.microsoft.com/office/drawing/2014/chart" uri="{C3380CC4-5D6E-409C-BE32-E72D297353CC}">
              <c16:uniqueId val="{00000000-9CE4-4B18-ADA3-C15F84567A62}"/>
            </c:ext>
          </c:extLst>
        </c:ser>
        <c:ser>
          <c:idx val="1"/>
          <c:order val="1"/>
          <c:tx>
            <c:strRef>
              <c:f>PaLM_Q1!$E$6</c:f>
              <c:strCache>
                <c:ptCount val="1"/>
                <c:pt idx="0">
                  <c:v>Medium Correct:</c:v>
                </c:pt>
              </c:strCache>
            </c:strRef>
          </c:tx>
          <c:spPr>
            <a:solidFill>
              <a:schemeClr val="accent6"/>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PaLM_Q1!$E$7:$E$27</c:f>
              <c:numCache>
                <c:formatCode>General</c:formatCode>
                <c:ptCount val="21"/>
                <c:pt idx="0">
                  <c:v>1</c:v>
                </c:pt>
                <c:pt idx="1">
                  <c:v>0</c:v>
                </c:pt>
                <c:pt idx="2">
                  <c:v>0</c:v>
                </c:pt>
                <c:pt idx="3">
                  <c:v>0</c:v>
                </c:pt>
                <c:pt idx="4">
                  <c:v>3</c:v>
                </c:pt>
                <c:pt idx="5">
                  <c:v>0</c:v>
                </c:pt>
                <c:pt idx="6">
                  <c:v>1</c:v>
                </c:pt>
                <c:pt idx="7">
                  <c:v>1</c:v>
                </c:pt>
                <c:pt idx="8">
                  <c:v>7</c:v>
                </c:pt>
                <c:pt idx="9">
                  <c:v>1</c:v>
                </c:pt>
                <c:pt idx="10">
                  <c:v>1</c:v>
                </c:pt>
                <c:pt idx="11">
                  <c:v>0</c:v>
                </c:pt>
                <c:pt idx="12">
                  <c:v>0</c:v>
                </c:pt>
                <c:pt idx="13">
                  <c:v>0</c:v>
                </c:pt>
                <c:pt idx="14">
                  <c:v>1</c:v>
                </c:pt>
                <c:pt idx="15">
                  <c:v>1</c:v>
                </c:pt>
                <c:pt idx="16">
                  <c:v>8</c:v>
                </c:pt>
                <c:pt idx="17">
                  <c:v>2</c:v>
                </c:pt>
                <c:pt idx="18">
                  <c:v>6</c:v>
                </c:pt>
                <c:pt idx="19">
                  <c:v>1</c:v>
                </c:pt>
                <c:pt idx="20">
                  <c:v>0</c:v>
                </c:pt>
              </c:numCache>
            </c:numRef>
          </c:val>
          <c:extLst>
            <c:ext xmlns:c16="http://schemas.microsoft.com/office/drawing/2014/chart" uri="{C3380CC4-5D6E-409C-BE32-E72D297353CC}">
              <c16:uniqueId val="{00000001-9CE4-4B18-ADA3-C15F84567A62}"/>
            </c:ext>
          </c:extLst>
        </c:ser>
        <c:ser>
          <c:idx val="2"/>
          <c:order val="2"/>
          <c:tx>
            <c:strRef>
              <c:f>PaLM_Q1!$F$6</c:f>
              <c:strCache>
                <c:ptCount val="1"/>
                <c:pt idx="0">
                  <c:v>Low Correct:</c:v>
                </c:pt>
              </c:strCache>
            </c:strRef>
          </c:tx>
          <c:spPr>
            <a:solidFill>
              <a:schemeClr val="accent6">
                <a:lumMod val="40000"/>
                <a:lumOff val="60000"/>
              </a:schemeClr>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PaLM_Q1!$F$7:$F$27</c:f>
              <c:numCache>
                <c:formatCode>General</c:formatCode>
                <c:ptCount val="21"/>
                <c:pt idx="0">
                  <c:v>0</c:v>
                </c:pt>
                <c:pt idx="1">
                  <c:v>0</c:v>
                </c:pt>
                <c:pt idx="2">
                  <c:v>1</c:v>
                </c:pt>
                <c:pt idx="3">
                  <c:v>1</c:v>
                </c:pt>
                <c:pt idx="4">
                  <c:v>0</c:v>
                </c:pt>
                <c:pt idx="5">
                  <c:v>4</c:v>
                </c:pt>
                <c:pt idx="6">
                  <c:v>0</c:v>
                </c:pt>
                <c:pt idx="7">
                  <c:v>0</c:v>
                </c:pt>
                <c:pt idx="8">
                  <c:v>0</c:v>
                </c:pt>
                <c:pt idx="9">
                  <c:v>4</c:v>
                </c:pt>
                <c:pt idx="10">
                  <c:v>2</c:v>
                </c:pt>
                <c:pt idx="11">
                  <c:v>1</c:v>
                </c:pt>
                <c:pt idx="12">
                  <c:v>1</c:v>
                </c:pt>
                <c:pt idx="13">
                  <c:v>0</c:v>
                </c:pt>
                <c:pt idx="14">
                  <c:v>1</c:v>
                </c:pt>
                <c:pt idx="15">
                  <c:v>0</c:v>
                </c:pt>
                <c:pt idx="16">
                  <c:v>0</c:v>
                </c:pt>
                <c:pt idx="17">
                  <c:v>1</c:v>
                </c:pt>
                <c:pt idx="18">
                  <c:v>0</c:v>
                </c:pt>
                <c:pt idx="19">
                  <c:v>1</c:v>
                </c:pt>
                <c:pt idx="20">
                  <c:v>0</c:v>
                </c:pt>
              </c:numCache>
            </c:numRef>
          </c:val>
          <c:extLst>
            <c:ext xmlns:c16="http://schemas.microsoft.com/office/drawing/2014/chart" uri="{C3380CC4-5D6E-409C-BE32-E72D297353CC}">
              <c16:uniqueId val="{00000002-9CE4-4B18-ADA3-C15F84567A62}"/>
            </c:ext>
          </c:extLst>
        </c:ser>
        <c:ser>
          <c:idx val="3"/>
          <c:order val="3"/>
          <c:tx>
            <c:strRef>
              <c:f>PaLM_Q1!$G$6</c:f>
              <c:strCache>
                <c:ptCount val="1"/>
                <c:pt idx="0">
                  <c:v>High Maybe:</c:v>
                </c:pt>
              </c:strCache>
            </c:strRef>
          </c:tx>
          <c:spPr>
            <a:solidFill>
              <a:schemeClr val="accent2">
                <a:lumMod val="75000"/>
              </a:schemeClr>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PaLM_Q1!$G$7:$G$27</c:f>
              <c:numCache>
                <c:formatCode>General</c:formatCode>
                <c:ptCount val="21"/>
                <c:pt idx="0">
                  <c:v>0</c:v>
                </c:pt>
                <c:pt idx="1">
                  <c:v>3</c:v>
                </c:pt>
                <c:pt idx="2">
                  <c:v>5</c:v>
                </c:pt>
                <c:pt idx="3">
                  <c:v>1</c:v>
                </c:pt>
                <c:pt idx="4">
                  <c:v>1</c:v>
                </c:pt>
                <c:pt idx="5">
                  <c:v>1</c:v>
                </c:pt>
                <c:pt idx="6">
                  <c:v>1</c:v>
                </c:pt>
                <c:pt idx="7">
                  <c:v>0</c:v>
                </c:pt>
                <c:pt idx="8">
                  <c:v>0</c:v>
                </c:pt>
                <c:pt idx="9">
                  <c:v>2</c:v>
                </c:pt>
                <c:pt idx="10">
                  <c:v>0</c:v>
                </c:pt>
                <c:pt idx="11">
                  <c:v>0</c:v>
                </c:pt>
                <c:pt idx="12">
                  <c:v>0</c:v>
                </c:pt>
                <c:pt idx="13">
                  <c:v>1</c:v>
                </c:pt>
                <c:pt idx="14">
                  <c:v>2</c:v>
                </c:pt>
                <c:pt idx="15">
                  <c:v>1</c:v>
                </c:pt>
                <c:pt idx="16">
                  <c:v>0</c:v>
                </c:pt>
                <c:pt idx="17">
                  <c:v>1</c:v>
                </c:pt>
                <c:pt idx="18">
                  <c:v>0</c:v>
                </c:pt>
                <c:pt idx="19">
                  <c:v>2</c:v>
                </c:pt>
                <c:pt idx="20">
                  <c:v>1</c:v>
                </c:pt>
              </c:numCache>
            </c:numRef>
          </c:val>
          <c:extLst>
            <c:ext xmlns:c16="http://schemas.microsoft.com/office/drawing/2014/chart" uri="{C3380CC4-5D6E-409C-BE32-E72D297353CC}">
              <c16:uniqueId val="{00000003-9CE4-4B18-ADA3-C15F84567A62}"/>
            </c:ext>
          </c:extLst>
        </c:ser>
        <c:ser>
          <c:idx val="4"/>
          <c:order val="4"/>
          <c:tx>
            <c:strRef>
              <c:f>PaLM_Q1!$H$6</c:f>
              <c:strCache>
                <c:ptCount val="1"/>
                <c:pt idx="0">
                  <c:v>Medium Maybe:</c:v>
                </c:pt>
              </c:strCache>
            </c:strRef>
          </c:tx>
          <c:spPr>
            <a:solidFill>
              <a:schemeClr val="accent2"/>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PaLM_Q1!$H$7:$H$27</c:f>
              <c:numCache>
                <c:formatCode>General</c:formatCode>
                <c:ptCount val="21"/>
                <c:pt idx="0">
                  <c:v>0</c:v>
                </c:pt>
                <c:pt idx="1">
                  <c:v>0</c:v>
                </c:pt>
                <c:pt idx="2">
                  <c:v>4</c:v>
                </c:pt>
                <c:pt idx="3">
                  <c:v>0</c:v>
                </c:pt>
                <c:pt idx="4">
                  <c:v>0</c:v>
                </c:pt>
                <c:pt idx="5">
                  <c:v>1</c:v>
                </c:pt>
                <c:pt idx="6">
                  <c:v>2</c:v>
                </c:pt>
                <c:pt idx="7">
                  <c:v>1</c:v>
                </c:pt>
                <c:pt idx="8">
                  <c:v>0</c:v>
                </c:pt>
                <c:pt idx="9">
                  <c:v>0</c:v>
                </c:pt>
                <c:pt idx="10">
                  <c:v>0</c:v>
                </c:pt>
                <c:pt idx="11">
                  <c:v>3</c:v>
                </c:pt>
                <c:pt idx="12">
                  <c:v>0</c:v>
                </c:pt>
                <c:pt idx="13">
                  <c:v>1</c:v>
                </c:pt>
                <c:pt idx="14">
                  <c:v>1</c:v>
                </c:pt>
                <c:pt idx="15">
                  <c:v>1</c:v>
                </c:pt>
                <c:pt idx="16">
                  <c:v>1</c:v>
                </c:pt>
                <c:pt idx="17">
                  <c:v>2</c:v>
                </c:pt>
                <c:pt idx="18">
                  <c:v>1</c:v>
                </c:pt>
                <c:pt idx="19">
                  <c:v>4</c:v>
                </c:pt>
                <c:pt idx="20">
                  <c:v>0</c:v>
                </c:pt>
              </c:numCache>
            </c:numRef>
          </c:val>
          <c:extLst>
            <c:ext xmlns:c16="http://schemas.microsoft.com/office/drawing/2014/chart" uri="{C3380CC4-5D6E-409C-BE32-E72D297353CC}">
              <c16:uniqueId val="{00000004-9CE4-4B18-ADA3-C15F84567A62}"/>
            </c:ext>
          </c:extLst>
        </c:ser>
        <c:ser>
          <c:idx val="5"/>
          <c:order val="5"/>
          <c:tx>
            <c:strRef>
              <c:f>PaLM_Q1!$I$6</c:f>
              <c:strCache>
                <c:ptCount val="1"/>
                <c:pt idx="0">
                  <c:v>Low Maybe:</c:v>
                </c:pt>
              </c:strCache>
            </c:strRef>
          </c:tx>
          <c:spPr>
            <a:solidFill>
              <a:schemeClr val="accent2">
                <a:lumMod val="60000"/>
                <a:lumOff val="40000"/>
              </a:schemeClr>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PaLM_Q1!$I$7:$I$27</c:f>
              <c:numCache>
                <c:formatCode>General</c:formatCode>
                <c:ptCount val="21"/>
                <c:pt idx="0">
                  <c:v>1</c:v>
                </c:pt>
                <c:pt idx="1">
                  <c:v>0</c:v>
                </c:pt>
                <c:pt idx="2">
                  <c:v>2</c:v>
                </c:pt>
                <c:pt idx="3">
                  <c:v>0</c:v>
                </c:pt>
                <c:pt idx="4">
                  <c:v>1</c:v>
                </c:pt>
                <c:pt idx="5">
                  <c:v>0</c:v>
                </c:pt>
                <c:pt idx="6">
                  <c:v>1</c:v>
                </c:pt>
                <c:pt idx="7">
                  <c:v>0</c:v>
                </c:pt>
                <c:pt idx="8">
                  <c:v>0</c:v>
                </c:pt>
                <c:pt idx="9">
                  <c:v>0</c:v>
                </c:pt>
                <c:pt idx="10">
                  <c:v>0</c:v>
                </c:pt>
                <c:pt idx="11">
                  <c:v>1</c:v>
                </c:pt>
                <c:pt idx="12">
                  <c:v>0</c:v>
                </c:pt>
                <c:pt idx="13">
                  <c:v>0</c:v>
                </c:pt>
                <c:pt idx="14">
                  <c:v>0</c:v>
                </c:pt>
                <c:pt idx="15">
                  <c:v>1</c:v>
                </c:pt>
                <c:pt idx="16">
                  <c:v>0</c:v>
                </c:pt>
                <c:pt idx="17">
                  <c:v>1</c:v>
                </c:pt>
                <c:pt idx="18">
                  <c:v>0</c:v>
                </c:pt>
                <c:pt idx="19">
                  <c:v>0</c:v>
                </c:pt>
                <c:pt idx="20">
                  <c:v>1</c:v>
                </c:pt>
              </c:numCache>
            </c:numRef>
          </c:val>
          <c:extLst>
            <c:ext xmlns:c16="http://schemas.microsoft.com/office/drawing/2014/chart" uri="{C3380CC4-5D6E-409C-BE32-E72D297353CC}">
              <c16:uniqueId val="{00000005-9CE4-4B18-ADA3-C15F84567A62}"/>
            </c:ext>
          </c:extLst>
        </c:ser>
        <c:ser>
          <c:idx val="6"/>
          <c:order val="6"/>
          <c:tx>
            <c:strRef>
              <c:f>PaLM_Q1!$J$6</c:f>
              <c:strCache>
                <c:ptCount val="1"/>
                <c:pt idx="0">
                  <c:v>Low Incorrect:</c:v>
                </c:pt>
              </c:strCache>
            </c:strRef>
          </c:tx>
          <c:spPr>
            <a:solidFill>
              <a:srgbClr val="F46868"/>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PaLM_Q1!$J$7:$J$27</c:f>
              <c:numCache>
                <c:formatCode>General</c:formatCode>
                <c:ptCount val="21"/>
                <c:pt idx="0">
                  <c:v>0</c:v>
                </c:pt>
                <c:pt idx="1">
                  <c:v>0</c:v>
                </c:pt>
                <c:pt idx="2">
                  <c:v>0</c:v>
                </c:pt>
                <c:pt idx="3">
                  <c:v>0</c:v>
                </c:pt>
                <c:pt idx="4">
                  <c:v>0</c:v>
                </c:pt>
                <c:pt idx="5">
                  <c:v>0</c:v>
                </c:pt>
                <c:pt idx="6">
                  <c:v>4</c:v>
                </c:pt>
                <c:pt idx="7">
                  <c:v>0</c:v>
                </c:pt>
                <c:pt idx="8">
                  <c:v>0</c:v>
                </c:pt>
                <c:pt idx="9">
                  <c:v>1</c:v>
                </c:pt>
                <c:pt idx="10">
                  <c:v>0</c:v>
                </c:pt>
                <c:pt idx="11">
                  <c:v>0</c:v>
                </c:pt>
                <c:pt idx="12">
                  <c:v>1</c:v>
                </c:pt>
                <c:pt idx="13">
                  <c:v>0</c:v>
                </c:pt>
                <c:pt idx="14">
                  <c:v>0</c:v>
                </c:pt>
                <c:pt idx="15">
                  <c:v>0</c:v>
                </c:pt>
                <c:pt idx="16">
                  <c:v>0</c:v>
                </c:pt>
                <c:pt idx="17">
                  <c:v>1</c:v>
                </c:pt>
                <c:pt idx="18">
                  <c:v>1</c:v>
                </c:pt>
                <c:pt idx="19">
                  <c:v>0</c:v>
                </c:pt>
                <c:pt idx="20">
                  <c:v>1</c:v>
                </c:pt>
              </c:numCache>
            </c:numRef>
          </c:val>
          <c:extLst>
            <c:ext xmlns:c16="http://schemas.microsoft.com/office/drawing/2014/chart" uri="{C3380CC4-5D6E-409C-BE32-E72D297353CC}">
              <c16:uniqueId val="{00000006-9CE4-4B18-ADA3-C15F84567A62}"/>
            </c:ext>
          </c:extLst>
        </c:ser>
        <c:ser>
          <c:idx val="7"/>
          <c:order val="7"/>
          <c:tx>
            <c:strRef>
              <c:f>PaLM_Q1!$K$6</c:f>
              <c:strCache>
                <c:ptCount val="1"/>
                <c:pt idx="0">
                  <c:v>Medium Incorrect:</c:v>
                </c:pt>
              </c:strCache>
            </c:strRef>
          </c:tx>
          <c:spPr>
            <a:solidFill>
              <a:srgbClr val="EC2828"/>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PaLM_Q1!$K$7:$K$27</c:f>
              <c:numCache>
                <c:formatCode>General</c:formatCode>
                <c:ptCount val="21"/>
                <c:pt idx="0">
                  <c:v>1</c:v>
                </c:pt>
                <c:pt idx="1">
                  <c:v>1</c:v>
                </c:pt>
                <c:pt idx="2">
                  <c:v>1</c:v>
                </c:pt>
                <c:pt idx="3">
                  <c:v>3</c:v>
                </c:pt>
                <c:pt idx="4">
                  <c:v>1</c:v>
                </c:pt>
                <c:pt idx="5">
                  <c:v>2</c:v>
                </c:pt>
                <c:pt idx="6">
                  <c:v>3</c:v>
                </c:pt>
                <c:pt idx="7">
                  <c:v>0</c:v>
                </c:pt>
                <c:pt idx="8">
                  <c:v>1</c:v>
                </c:pt>
                <c:pt idx="9">
                  <c:v>1</c:v>
                </c:pt>
                <c:pt idx="10">
                  <c:v>0</c:v>
                </c:pt>
                <c:pt idx="11">
                  <c:v>1</c:v>
                </c:pt>
                <c:pt idx="12">
                  <c:v>0</c:v>
                </c:pt>
                <c:pt idx="13">
                  <c:v>0</c:v>
                </c:pt>
                <c:pt idx="14">
                  <c:v>0</c:v>
                </c:pt>
                <c:pt idx="15">
                  <c:v>0</c:v>
                </c:pt>
                <c:pt idx="16">
                  <c:v>0</c:v>
                </c:pt>
                <c:pt idx="17">
                  <c:v>4</c:v>
                </c:pt>
                <c:pt idx="18">
                  <c:v>0</c:v>
                </c:pt>
                <c:pt idx="19">
                  <c:v>3</c:v>
                </c:pt>
                <c:pt idx="20">
                  <c:v>0</c:v>
                </c:pt>
              </c:numCache>
            </c:numRef>
          </c:val>
          <c:extLst>
            <c:ext xmlns:c16="http://schemas.microsoft.com/office/drawing/2014/chart" uri="{C3380CC4-5D6E-409C-BE32-E72D297353CC}">
              <c16:uniqueId val="{00000007-9CE4-4B18-ADA3-C15F84567A62}"/>
            </c:ext>
          </c:extLst>
        </c:ser>
        <c:ser>
          <c:idx val="8"/>
          <c:order val="8"/>
          <c:tx>
            <c:strRef>
              <c:f>PaLM_Q1!$L$6</c:f>
              <c:strCache>
                <c:ptCount val="1"/>
                <c:pt idx="0">
                  <c:v>High Incorrect:</c:v>
                </c:pt>
              </c:strCache>
            </c:strRef>
          </c:tx>
          <c:spPr>
            <a:solidFill>
              <a:srgbClr val="C00000"/>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PaLM_Q1!$L$7:$L$27</c:f>
              <c:numCache>
                <c:formatCode>General</c:formatCode>
                <c:ptCount val="21"/>
                <c:pt idx="0">
                  <c:v>5</c:v>
                </c:pt>
                <c:pt idx="1">
                  <c:v>4</c:v>
                </c:pt>
                <c:pt idx="2">
                  <c:v>2</c:v>
                </c:pt>
                <c:pt idx="3">
                  <c:v>5</c:v>
                </c:pt>
                <c:pt idx="4">
                  <c:v>2</c:v>
                </c:pt>
                <c:pt idx="5">
                  <c:v>7</c:v>
                </c:pt>
                <c:pt idx="6">
                  <c:v>1</c:v>
                </c:pt>
                <c:pt idx="7">
                  <c:v>6</c:v>
                </c:pt>
                <c:pt idx="8">
                  <c:v>3</c:v>
                </c:pt>
                <c:pt idx="9">
                  <c:v>3</c:v>
                </c:pt>
                <c:pt idx="10">
                  <c:v>0</c:v>
                </c:pt>
                <c:pt idx="11">
                  <c:v>2</c:v>
                </c:pt>
                <c:pt idx="12">
                  <c:v>1</c:v>
                </c:pt>
                <c:pt idx="13">
                  <c:v>5</c:v>
                </c:pt>
                <c:pt idx="14">
                  <c:v>2</c:v>
                </c:pt>
                <c:pt idx="15">
                  <c:v>3</c:v>
                </c:pt>
                <c:pt idx="16">
                  <c:v>1</c:v>
                </c:pt>
                <c:pt idx="17">
                  <c:v>4</c:v>
                </c:pt>
                <c:pt idx="18">
                  <c:v>1</c:v>
                </c:pt>
                <c:pt idx="19">
                  <c:v>3</c:v>
                </c:pt>
                <c:pt idx="20">
                  <c:v>4</c:v>
                </c:pt>
              </c:numCache>
            </c:numRef>
          </c:val>
          <c:extLst>
            <c:ext xmlns:c16="http://schemas.microsoft.com/office/drawing/2014/chart" uri="{C3380CC4-5D6E-409C-BE32-E72D297353CC}">
              <c16:uniqueId val="{00000008-9CE4-4B18-ADA3-C15F84567A62}"/>
            </c:ext>
          </c:extLst>
        </c:ser>
        <c:ser>
          <c:idx val="9"/>
          <c:order val="9"/>
          <c:tx>
            <c:strRef>
              <c:f>PaLM_Q1!$M$6</c:f>
              <c:strCache>
                <c:ptCount val="1"/>
                <c:pt idx="0">
                  <c:v>N/A:</c:v>
                </c:pt>
              </c:strCache>
            </c:strRef>
          </c:tx>
          <c:spPr>
            <a:solidFill>
              <a:schemeClr val="bg2">
                <a:lumMod val="75000"/>
              </a:schemeClr>
            </a:solidFill>
            <a:ln>
              <a:noFill/>
            </a:ln>
            <a:effectLst/>
          </c:spPr>
          <c:invertIfNegative val="0"/>
          <c:cat>
            <c:strRef>
              <c:f>PaLM_Q1!$C$7:$C$27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PaLM_Q1!$M$7:$M$27</c:f>
              <c:numCache>
                <c:formatCode>General</c:formatCode>
                <c:ptCount val="21"/>
                <c:pt idx="0">
                  <c:v>2</c:v>
                </c:pt>
                <c:pt idx="1">
                  <c:v>0</c:v>
                </c:pt>
                <c:pt idx="2">
                  <c:v>0</c:v>
                </c:pt>
                <c:pt idx="3">
                  <c:v>0</c:v>
                </c:pt>
                <c:pt idx="4">
                  <c:v>3</c:v>
                </c:pt>
                <c:pt idx="5">
                  <c:v>2</c:v>
                </c:pt>
                <c:pt idx="6">
                  <c:v>1</c:v>
                </c:pt>
                <c:pt idx="7">
                  <c:v>1</c:v>
                </c:pt>
                <c:pt idx="8">
                  <c:v>1</c:v>
                </c:pt>
                <c:pt idx="9">
                  <c:v>0</c:v>
                </c:pt>
                <c:pt idx="10">
                  <c:v>1</c:v>
                </c:pt>
                <c:pt idx="11">
                  <c:v>2</c:v>
                </c:pt>
                <c:pt idx="12">
                  <c:v>2</c:v>
                </c:pt>
                <c:pt idx="13">
                  <c:v>1</c:v>
                </c:pt>
                <c:pt idx="14">
                  <c:v>1</c:v>
                </c:pt>
                <c:pt idx="15">
                  <c:v>1</c:v>
                </c:pt>
                <c:pt idx="16">
                  <c:v>7</c:v>
                </c:pt>
                <c:pt idx="17">
                  <c:v>0</c:v>
                </c:pt>
                <c:pt idx="18">
                  <c:v>8</c:v>
                </c:pt>
                <c:pt idx="19">
                  <c:v>1</c:v>
                </c:pt>
                <c:pt idx="20">
                  <c:v>9</c:v>
                </c:pt>
              </c:numCache>
            </c:numRef>
          </c:val>
          <c:extLst>
            <c:ext xmlns:c16="http://schemas.microsoft.com/office/drawing/2014/chart" uri="{C3380CC4-5D6E-409C-BE32-E72D297353CC}">
              <c16:uniqueId val="{00000009-9CE4-4B18-ADA3-C15F84567A62}"/>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PaLM</a:t>
            </a:r>
            <a:r>
              <a:rPr lang="en-US" baseline="0"/>
              <a:t> Q1 Obfuscation Correctness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PaLM_Q1!$D$31</c:f>
              <c:strCache>
                <c:ptCount val="1"/>
                <c:pt idx="0">
                  <c:v>High Correct:</c:v>
                </c:pt>
              </c:strCache>
            </c:strRef>
          </c:tx>
          <c:spPr>
            <a:solidFill>
              <a:schemeClr val="accent6">
                <a:lumMod val="75000"/>
              </a:schemeClr>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PaLM_Q1!$D$32:$D$47</c:f>
              <c:numCache>
                <c:formatCode>General</c:formatCode>
                <c:ptCount val="16"/>
                <c:pt idx="0">
                  <c:v>10</c:v>
                </c:pt>
                <c:pt idx="1">
                  <c:v>7</c:v>
                </c:pt>
                <c:pt idx="2">
                  <c:v>10</c:v>
                </c:pt>
                <c:pt idx="3">
                  <c:v>10</c:v>
                </c:pt>
                <c:pt idx="4">
                  <c:v>7</c:v>
                </c:pt>
                <c:pt idx="5">
                  <c:v>6</c:v>
                </c:pt>
                <c:pt idx="6">
                  <c:v>12</c:v>
                </c:pt>
                <c:pt idx="7">
                  <c:v>14</c:v>
                </c:pt>
                <c:pt idx="8">
                  <c:v>4</c:v>
                </c:pt>
                <c:pt idx="9">
                  <c:v>7</c:v>
                </c:pt>
                <c:pt idx="10">
                  <c:v>7</c:v>
                </c:pt>
                <c:pt idx="11">
                  <c:v>10</c:v>
                </c:pt>
                <c:pt idx="12">
                  <c:v>4</c:v>
                </c:pt>
                <c:pt idx="13">
                  <c:v>6</c:v>
                </c:pt>
                <c:pt idx="14">
                  <c:v>1</c:v>
                </c:pt>
                <c:pt idx="15">
                  <c:v>11</c:v>
                </c:pt>
              </c:numCache>
            </c:numRef>
          </c:val>
          <c:extLst>
            <c:ext xmlns:c16="http://schemas.microsoft.com/office/drawing/2014/chart" uri="{C3380CC4-5D6E-409C-BE32-E72D297353CC}">
              <c16:uniqueId val="{00000000-3B10-44BA-A15E-6E4AD63F1806}"/>
            </c:ext>
          </c:extLst>
        </c:ser>
        <c:ser>
          <c:idx val="1"/>
          <c:order val="1"/>
          <c:tx>
            <c:strRef>
              <c:f>PaLM_Q1!$E$31</c:f>
              <c:strCache>
                <c:ptCount val="1"/>
                <c:pt idx="0">
                  <c:v>Medium Correct:</c:v>
                </c:pt>
              </c:strCache>
            </c:strRef>
          </c:tx>
          <c:spPr>
            <a:solidFill>
              <a:schemeClr val="accent6"/>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PaLM_Q1!$E$32:$E$47</c:f>
              <c:numCache>
                <c:formatCode>General</c:formatCode>
                <c:ptCount val="16"/>
                <c:pt idx="0">
                  <c:v>1</c:v>
                </c:pt>
                <c:pt idx="1">
                  <c:v>1</c:v>
                </c:pt>
                <c:pt idx="2">
                  <c:v>0</c:v>
                </c:pt>
                <c:pt idx="3">
                  <c:v>3</c:v>
                </c:pt>
                <c:pt idx="4">
                  <c:v>3</c:v>
                </c:pt>
                <c:pt idx="5">
                  <c:v>3</c:v>
                </c:pt>
                <c:pt idx="6">
                  <c:v>1</c:v>
                </c:pt>
                <c:pt idx="7">
                  <c:v>3</c:v>
                </c:pt>
                <c:pt idx="8">
                  <c:v>0</c:v>
                </c:pt>
                <c:pt idx="9">
                  <c:v>2</c:v>
                </c:pt>
                <c:pt idx="10">
                  <c:v>2</c:v>
                </c:pt>
                <c:pt idx="11">
                  <c:v>6</c:v>
                </c:pt>
                <c:pt idx="12">
                  <c:v>0</c:v>
                </c:pt>
                <c:pt idx="13">
                  <c:v>3</c:v>
                </c:pt>
                <c:pt idx="14">
                  <c:v>2</c:v>
                </c:pt>
                <c:pt idx="15">
                  <c:v>2</c:v>
                </c:pt>
              </c:numCache>
            </c:numRef>
          </c:val>
          <c:extLst>
            <c:ext xmlns:c16="http://schemas.microsoft.com/office/drawing/2014/chart" uri="{C3380CC4-5D6E-409C-BE32-E72D297353CC}">
              <c16:uniqueId val="{00000001-3B10-44BA-A15E-6E4AD63F1806}"/>
            </c:ext>
          </c:extLst>
        </c:ser>
        <c:ser>
          <c:idx val="2"/>
          <c:order val="2"/>
          <c:tx>
            <c:strRef>
              <c:f>PaLM_Q1!$F$31</c:f>
              <c:strCache>
                <c:ptCount val="1"/>
                <c:pt idx="0">
                  <c:v>Low Correct:</c:v>
                </c:pt>
              </c:strCache>
            </c:strRef>
          </c:tx>
          <c:spPr>
            <a:solidFill>
              <a:schemeClr val="accent6">
                <a:lumMod val="60000"/>
                <a:lumOff val="40000"/>
              </a:schemeClr>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PaLM_Q1!$F$32:$F$47</c:f>
              <c:numCache>
                <c:formatCode>General</c:formatCode>
                <c:ptCount val="16"/>
                <c:pt idx="0">
                  <c:v>0</c:v>
                </c:pt>
                <c:pt idx="1">
                  <c:v>1</c:v>
                </c:pt>
                <c:pt idx="2">
                  <c:v>0</c:v>
                </c:pt>
                <c:pt idx="3">
                  <c:v>1</c:v>
                </c:pt>
                <c:pt idx="4">
                  <c:v>0</c:v>
                </c:pt>
                <c:pt idx="5">
                  <c:v>0</c:v>
                </c:pt>
                <c:pt idx="6">
                  <c:v>2</c:v>
                </c:pt>
                <c:pt idx="7">
                  <c:v>2</c:v>
                </c:pt>
                <c:pt idx="8">
                  <c:v>1</c:v>
                </c:pt>
                <c:pt idx="9">
                  <c:v>0</c:v>
                </c:pt>
                <c:pt idx="10">
                  <c:v>0</c:v>
                </c:pt>
                <c:pt idx="11">
                  <c:v>2</c:v>
                </c:pt>
                <c:pt idx="12">
                  <c:v>1</c:v>
                </c:pt>
                <c:pt idx="13">
                  <c:v>0</c:v>
                </c:pt>
                <c:pt idx="14">
                  <c:v>0</c:v>
                </c:pt>
                <c:pt idx="15">
                  <c:v>2</c:v>
                </c:pt>
              </c:numCache>
            </c:numRef>
          </c:val>
          <c:extLst>
            <c:ext xmlns:c16="http://schemas.microsoft.com/office/drawing/2014/chart" uri="{C3380CC4-5D6E-409C-BE32-E72D297353CC}">
              <c16:uniqueId val="{00000002-3B10-44BA-A15E-6E4AD63F1806}"/>
            </c:ext>
          </c:extLst>
        </c:ser>
        <c:ser>
          <c:idx val="3"/>
          <c:order val="3"/>
          <c:tx>
            <c:strRef>
              <c:f>PaLM_Q1!$G$31</c:f>
              <c:strCache>
                <c:ptCount val="1"/>
                <c:pt idx="0">
                  <c:v>High Maybe:</c:v>
                </c:pt>
              </c:strCache>
            </c:strRef>
          </c:tx>
          <c:spPr>
            <a:solidFill>
              <a:schemeClr val="accent2">
                <a:lumMod val="75000"/>
              </a:schemeClr>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PaLM_Q1!$G$32:$G$47</c:f>
              <c:numCache>
                <c:formatCode>General</c:formatCode>
                <c:ptCount val="16"/>
                <c:pt idx="0">
                  <c:v>1</c:v>
                </c:pt>
                <c:pt idx="1">
                  <c:v>0</c:v>
                </c:pt>
                <c:pt idx="2">
                  <c:v>2</c:v>
                </c:pt>
                <c:pt idx="3">
                  <c:v>1</c:v>
                </c:pt>
                <c:pt idx="4">
                  <c:v>3</c:v>
                </c:pt>
                <c:pt idx="5">
                  <c:v>0</c:v>
                </c:pt>
                <c:pt idx="6">
                  <c:v>1</c:v>
                </c:pt>
                <c:pt idx="7">
                  <c:v>0</c:v>
                </c:pt>
                <c:pt idx="8">
                  <c:v>2</c:v>
                </c:pt>
                <c:pt idx="9">
                  <c:v>3</c:v>
                </c:pt>
                <c:pt idx="10">
                  <c:v>3</c:v>
                </c:pt>
                <c:pt idx="11">
                  <c:v>0</c:v>
                </c:pt>
                <c:pt idx="12">
                  <c:v>1</c:v>
                </c:pt>
                <c:pt idx="13">
                  <c:v>3</c:v>
                </c:pt>
                <c:pt idx="14">
                  <c:v>0</c:v>
                </c:pt>
                <c:pt idx="15">
                  <c:v>1</c:v>
                </c:pt>
              </c:numCache>
            </c:numRef>
          </c:val>
          <c:extLst>
            <c:ext xmlns:c16="http://schemas.microsoft.com/office/drawing/2014/chart" uri="{C3380CC4-5D6E-409C-BE32-E72D297353CC}">
              <c16:uniqueId val="{00000003-3B10-44BA-A15E-6E4AD63F1806}"/>
            </c:ext>
          </c:extLst>
        </c:ser>
        <c:ser>
          <c:idx val="4"/>
          <c:order val="4"/>
          <c:tx>
            <c:strRef>
              <c:f>PaLM_Q1!$H$31</c:f>
              <c:strCache>
                <c:ptCount val="1"/>
                <c:pt idx="0">
                  <c:v>Medium Maybe:</c:v>
                </c:pt>
              </c:strCache>
            </c:strRef>
          </c:tx>
          <c:spPr>
            <a:solidFill>
              <a:schemeClr val="accent2"/>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PaLM_Q1!$H$32:$H$47</c:f>
              <c:numCache>
                <c:formatCode>General</c:formatCode>
                <c:ptCount val="16"/>
                <c:pt idx="0">
                  <c:v>2</c:v>
                </c:pt>
                <c:pt idx="1">
                  <c:v>1</c:v>
                </c:pt>
                <c:pt idx="2">
                  <c:v>2</c:v>
                </c:pt>
                <c:pt idx="3">
                  <c:v>1</c:v>
                </c:pt>
                <c:pt idx="4">
                  <c:v>1</c:v>
                </c:pt>
                <c:pt idx="5">
                  <c:v>0</c:v>
                </c:pt>
                <c:pt idx="6">
                  <c:v>1</c:v>
                </c:pt>
                <c:pt idx="7">
                  <c:v>0</c:v>
                </c:pt>
                <c:pt idx="8">
                  <c:v>3</c:v>
                </c:pt>
                <c:pt idx="9">
                  <c:v>1</c:v>
                </c:pt>
                <c:pt idx="10">
                  <c:v>3</c:v>
                </c:pt>
                <c:pt idx="11">
                  <c:v>1</c:v>
                </c:pt>
                <c:pt idx="12">
                  <c:v>2</c:v>
                </c:pt>
                <c:pt idx="13">
                  <c:v>2</c:v>
                </c:pt>
                <c:pt idx="14">
                  <c:v>0</c:v>
                </c:pt>
                <c:pt idx="15">
                  <c:v>0</c:v>
                </c:pt>
              </c:numCache>
            </c:numRef>
          </c:val>
          <c:extLst>
            <c:ext xmlns:c16="http://schemas.microsoft.com/office/drawing/2014/chart" uri="{C3380CC4-5D6E-409C-BE32-E72D297353CC}">
              <c16:uniqueId val="{00000004-3B10-44BA-A15E-6E4AD63F1806}"/>
            </c:ext>
          </c:extLst>
        </c:ser>
        <c:ser>
          <c:idx val="5"/>
          <c:order val="5"/>
          <c:tx>
            <c:strRef>
              <c:f>PaLM_Q1!$I$31</c:f>
              <c:strCache>
                <c:ptCount val="1"/>
                <c:pt idx="0">
                  <c:v>Low Maybe:</c:v>
                </c:pt>
              </c:strCache>
            </c:strRef>
          </c:tx>
          <c:spPr>
            <a:solidFill>
              <a:schemeClr val="accent2">
                <a:lumMod val="60000"/>
                <a:lumOff val="40000"/>
              </a:schemeClr>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PaLM_Q1!$I$32:$I$47</c:f>
              <c:numCache>
                <c:formatCode>General</c:formatCode>
                <c:ptCount val="16"/>
                <c:pt idx="0">
                  <c:v>1</c:v>
                </c:pt>
                <c:pt idx="1">
                  <c:v>0</c:v>
                </c:pt>
                <c:pt idx="2">
                  <c:v>0</c:v>
                </c:pt>
                <c:pt idx="3">
                  <c:v>0</c:v>
                </c:pt>
                <c:pt idx="4">
                  <c:v>0</c:v>
                </c:pt>
                <c:pt idx="5">
                  <c:v>0</c:v>
                </c:pt>
                <c:pt idx="6">
                  <c:v>1</c:v>
                </c:pt>
                <c:pt idx="7">
                  <c:v>0</c:v>
                </c:pt>
                <c:pt idx="8">
                  <c:v>1</c:v>
                </c:pt>
                <c:pt idx="9">
                  <c:v>1</c:v>
                </c:pt>
                <c:pt idx="10">
                  <c:v>1</c:v>
                </c:pt>
                <c:pt idx="11">
                  <c:v>0</c:v>
                </c:pt>
                <c:pt idx="12">
                  <c:v>1</c:v>
                </c:pt>
                <c:pt idx="13">
                  <c:v>1</c:v>
                </c:pt>
                <c:pt idx="14">
                  <c:v>1</c:v>
                </c:pt>
                <c:pt idx="15">
                  <c:v>0</c:v>
                </c:pt>
              </c:numCache>
            </c:numRef>
          </c:val>
          <c:extLst>
            <c:ext xmlns:c16="http://schemas.microsoft.com/office/drawing/2014/chart" uri="{C3380CC4-5D6E-409C-BE32-E72D297353CC}">
              <c16:uniqueId val="{00000005-3B10-44BA-A15E-6E4AD63F1806}"/>
            </c:ext>
          </c:extLst>
        </c:ser>
        <c:ser>
          <c:idx val="6"/>
          <c:order val="6"/>
          <c:tx>
            <c:strRef>
              <c:f>PaLM_Q1!$J$31</c:f>
              <c:strCache>
                <c:ptCount val="1"/>
                <c:pt idx="0">
                  <c:v>Low Incorrect:</c:v>
                </c:pt>
              </c:strCache>
            </c:strRef>
          </c:tx>
          <c:spPr>
            <a:solidFill>
              <a:srgbClr val="F46868"/>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PaLM_Q1!$J$32:$J$47</c:f>
              <c:numCache>
                <c:formatCode>General</c:formatCode>
                <c:ptCount val="16"/>
                <c:pt idx="0">
                  <c:v>0</c:v>
                </c:pt>
                <c:pt idx="1">
                  <c:v>1</c:v>
                </c:pt>
                <c:pt idx="2">
                  <c:v>0</c:v>
                </c:pt>
                <c:pt idx="3">
                  <c:v>1</c:v>
                </c:pt>
                <c:pt idx="4">
                  <c:v>2</c:v>
                </c:pt>
                <c:pt idx="5">
                  <c:v>0</c:v>
                </c:pt>
                <c:pt idx="6">
                  <c:v>0</c:v>
                </c:pt>
                <c:pt idx="7">
                  <c:v>1</c:v>
                </c:pt>
                <c:pt idx="8">
                  <c:v>0</c:v>
                </c:pt>
                <c:pt idx="9">
                  <c:v>1</c:v>
                </c:pt>
                <c:pt idx="10">
                  <c:v>1</c:v>
                </c:pt>
                <c:pt idx="11">
                  <c:v>1</c:v>
                </c:pt>
                <c:pt idx="12">
                  <c:v>0</c:v>
                </c:pt>
                <c:pt idx="13">
                  <c:v>1</c:v>
                </c:pt>
                <c:pt idx="14">
                  <c:v>0</c:v>
                </c:pt>
                <c:pt idx="15">
                  <c:v>0</c:v>
                </c:pt>
              </c:numCache>
            </c:numRef>
          </c:val>
          <c:extLst>
            <c:ext xmlns:c16="http://schemas.microsoft.com/office/drawing/2014/chart" uri="{C3380CC4-5D6E-409C-BE32-E72D297353CC}">
              <c16:uniqueId val="{00000006-3B10-44BA-A15E-6E4AD63F1806}"/>
            </c:ext>
          </c:extLst>
        </c:ser>
        <c:ser>
          <c:idx val="7"/>
          <c:order val="7"/>
          <c:tx>
            <c:strRef>
              <c:f>PaLM_Q1!$K$31</c:f>
              <c:strCache>
                <c:ptCount val="1"/>
                <c:pt idx="0">
                  <c:v>Medium Incorrect:</c:v>
                </c:pt>
              </c:strCache>
            </c:strRef>
          </c:tx>
          <c:spPr>
            <a:solidFill>
              <a:srgbClr val="EC2828"/>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PaLM_Q1!$K$32:$K$47</c:f>
              <c:numCache>
                <c:formatCode>General</c:formatCode>
                <c:ptCount val="16"/>
                <c:pt idx="0">
                  <c:v>2</c:v>
                </c:pt>
                <c:pt idx="1">
                  <c:v>1</c:v>
                </c:pt>
                <c:pt idx="2">
                  <c:v>1</c:v>
                </c:pt>
                <c:pt idx="3">
                  <c:v>0</c:v>
                </c:pt>
                <c:pt idx="4">
                  <c:v>0</c:v>
                </c:pt>
                <c:pt idx="5">
                  <c:v>0</c:v>
                </c:pt>
                <c:pt idx="6">
                  <c:v>0</c:v>
                </c:pt>
                <c:pt idx="7">
                  <c:v>0</c:v>
                </c:pt>
                <c:pt idx="8">
                  <c:v>3</c:v>
                </c:pt>
                <c:pt idx="9">
                  <c:v>2</c:v>
                </c:pt>
                <c:pt idx="10">
                  <c:v>2</c:v>
                </c:pt>
                <c:pt idx="11">
                  <c:v>0</c:v>
                </c:pt>
                <c:pt idx="12">
                  <c:v>2</c:v>
                </c:pt>
                <c:pt idx="13">
                  <c:v>4</c:v>
                </c:pt>
                <c:pt idx="14">
                  <c:v>1</c:v>
                </c:pt>
                <c:pt idx="15">
                  <c:v>1</c:v>
                </c:pt>
              </c:numCache>
            </c:numRef>
          </c:val>
          <c:extLst>
            <c:ext xmlns:c16="http://schemas.microsoft.com/office/drawing/2014/chart" uri="{C3380CC4-5D6E-409C-BE32-E72D297353CC}">
              <c16:uniqueId val="{00000007-3B10-44BA-A15E-6E4AD63F1806}"/>
            </c:ext>
          </c:extLst>
        </c:ser>
        <c:ser>
          <c:idx val="8"/>
          <c:order val="8"/>
          <c:tx>
            <c:strRef>
              <c:f>PaLM_Q1!$L$31</c:f>
              <c:strCache>
                <c:ptCount val="1"/>
                <c:pt idx="0">
                  <c:v>High Incorrect:</c:v>
                </c:pt>
              </c:strCache>
            </c:strRef>
          </c:tx>
          <c:spPr>
            <a:solidFill>
              <a:srgbClr val="C00000"/>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PaLM_Q1!$L$32:$L$47</c:f>
              <c:numCache>
                <c:formatCode>General</c:formatCode>
                <c:ptCount val="16"/>
                <c:pt idx="0">
                  <c:v>0</c:v>
                </c:pt>
                <c:pt idx="1">
                  <c:v>8</c:v>
                </c:pt>
                <c:pt idx="2">
                  <c:v>4</c:v>
                </c:pt>
                <c:pt idx="3">
                  <c:v>3</c:v>
                </c:pt>
                <c:pt idx="4">
                  <c:v>4</c:v>
                </c:pt>
                <c:pt idx="5">
                  <c:v>0</c:v>
                </c:pt>
                <c:pt idx="6">
                  <c:v>1</c:v>
                </c:pt>
                <c:pt idx="7">
                  <c:v>0</c:v>
                </c:pt>
                <c:pt idx="8">
                  <c:v>3</c:v>
                </c:pt>
                <c:pt idx="9">
                  <c:v>3</c:v>
                </c:pt>
                <c:pt idx="10">
                  <c:v>2</c:v>
                </c:pt>
                <c:pt idx="11">
                  <c:v>1</c:v>
                </c:pt>
                <c:pt idx="12">
                  <c:v>6</c:v>
                </c:pt>
                <c:pt idx="13">
                  <c:v>1</c:v>
                </c:pt>
                <c:pt idx="14">
                  <c:v>14</c:v>
                </c:pt>
                <c:pt idx="15">
                  <c:v>0</c:v>
                </c:pt>
              </c:numCache>
            </c:numRef>
          </c:val>
          <c:extLst>
            <c:ext xmlns:c16="http://schemas.microsoft.com/office/drawing/2014/chart" uri="{C3380CC4-5D6E-409C-BE32-E72D297353CC}">
              <c16:uniqueId val="{00000008-3B10-44BA-A15E-6E4AD63F1806}"/>
            </c:ext>
          </c:extLst>
        </c:ser>
        <c:ser>
          <c:idx val="9"/>
          <c:order val="9"/>
          <c:tx>
            <c:strRef>
              <c:f>PaLM_Q1!$M$31</c:f>
              <c:strCache>
                <c:ptCount val="1"/>
                <c:pt idx="0">
                  <c:v>N/A:</c:v>
                </c:pt>
              </c:strCache>
            </c:strRef>
          </c:tx>
          <c:spPr>
            <a:solidFill>
              <a:schemeClr val="bg2">
                <a:lumMod val="75000"/>
              </a:schemeClr>
            </a:solidFill>
            <a:ln>
              <a:noFill/>
            </a:ln>
            <a:effectLst/>
          </c:spPr>
          <c:invertIfNegative val="0"/>
          <c:cat>
            <c:strRef>
              <c:f>PaLM_Q1!$C$32:$C$47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PaLM_Q1!$M$32:$M$47</c:f>
              <c:numCache>
                <c:formatCode>General</c:formatCode>
                <c:ptCount val="16"/>
                <c:pt idx="0">
                  <c:v>4</c:v>
                </c:pt>
                <c:pt idx="1">
                  <c:v>1</c:v>
                </c:pt>
                <c:pt idx="2">
                  <c:v>2</c:v>
                </c:pt>
                <c:pt idx="3">
                  <c:v>1</c:v>
                </c:pt>
                <c:pt idx="4">
                  <c:v>1</c:v>
                </c:pt>
                <c:pt idx="5">
                  <c:v>12</c:v>
                </c:pt>
                <c:pt idx="6">
                  <c:v>2</c:v>
                </c:pt>
                <c:pt idx="7">
                  <c:v>1</c:v>
                </c:pt>
                <c:pt idx="8">
                  <c:v>4</c:v>
                </c:pt>
                <c:pt idx="9">
                  <c:v>1</c:v>
                </c:pt>
                <c:pt idx="10">
                  <c:v>0</c:v>
                </c:pt>
                <c:pt idx="11">
                  <c:v>0</c:v>
                </c:pt>
                <c:pt idx="12">
                  <c:v>4</c:v>
                </c:pt>
                <c:pt idx="13">
                  <c:v>0</c:v>
                </c:pt>
                <c:pt idx="14">
                  <c:v>2</c:v>
                </c:pt>
                <c:pt idx="15">
                  <c:v>4</c:v>
                </c:pt>
              </c:numCache>
            </c:numRef>
          </c:val>
          <c:extLst>
            <c:ext xmlns:c16="http://schemas.microsoft.com/office/drawing/2014/chart" uri="{C3380CC4-5D6E-409C-BE32-E72D297353CC}">
              <c16:uniqueId val="{00000009-3B10-44BA-A15E-6E4AD63F1806}"/>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PaLM_Q2!$D$6</c:f>
              <c:strCache>
                <c:ptCount val="1"/>
                <c:pt idx="0">
                  <c:v>High Correct:</c:v>
                </c:pt>
              </c:strCache>
            </c:strRef>
          </c:tx>
          <c:spPr>
            <a:solidFill>
              <a:schemeClr val="accent6">
                <a:lumMod val="75000"/>
              </a:schemeClr>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PaLM_Q2!$D$7:$D$27</c:f>
              <c:numCache>
                <c:formatCode>General</c:formatCode>
                <c:ptCount val="21"/>
                <c:pt idx="0">
                  <c:v>9</c:v>
                </c:pt>
                <c:pt idx="1">
                  <c:v>9</c:v>
                </c:pt>
                <c:pt idx="2">
                  <c:v>1</c:v>
                </c:pt>
                <c:pt idx="3">
                  <c:v>7</c:v>
                </c:pt>
                <c:pt idx="4">
                  <c:v>5</c:v>
                </c:pt>
                <c:pt idx="5">
                  <c:v>8</c:v>
                </c:pt>
                <c:pt idx="6">
                  <c:v>2</c:v>
                </c:pt>
                <c:pt idx="7">
                  <c:v>8</c:v>
                </c:pt>
                <c:pt idx="8">
                  <c:v>9</c:v>
                </c:pt>
                <c:pt idx="9">
                  <c:v>8</c:v>
                </c:pt>
                <c:pt idx="10">
                  <c:v>16</c:v>
                </c:pt>
                <c:pt idx="11">
                  <c:v>6</c:v>
                </c:pt>
                <c:pt idx="12">
                  <c:v>11</c:v>
                </c:pt>
                <c:pt idx="13">
                  <c:v>9</c:v>
                </c:pt>
                <c:pt idx="14">
                  <c:v>9</c:v>
                </c:pt>
                <c:pt idx="15">
                  <c:v>9</c:v>
                </c:pt>
                <c:pt idx="16">
                  <c:v>1</c:v>
                </c:pt>
                <c:pt idx="17">
                  <c:v>0</c:v>
                </c:pt>
                <c:pt idx="18">
                  <c:v>0</c:v>
                </c:pt>
                <c:pt idx="19">
                  <c:v>3</c:v>
                </c:pt>
                <c:pt idx="20">
                  <c:v>0</c:v>
                </c:pt>
              </c:numCache>
            </c:numRef>
          </c:val>
          <c:extLst>
            <c:ext xmlns:c16="http://schemas.microsoft.com/office/drawing/2014/chart" uri="{C3380CC4-5D6E-409C-BE32-E72D297353CC}">
              <c16:uniqueId val="{00000000-BBAD-4056-8F2B-C46F8BCEABA8}"/>
            </c:ext>
          </c:extLst>
        </c:ser>
        <c:ser>
          <c:idx val="1"/>
          <c:order val="1"/>
          <c:tx>
            <c:strRef>
              <c:f>PaLM_Q2!$E$6</c:f>
              <c:strCache>
                <c:ptCount val="1"/>
                <c:pt idx="0">
                  <c:v>Medium Correct:</c:v>
                </c:pt>
              </c:strCache>
            </c:strRef>
          </c:tx>
          <c:spPr>
            <a:solidFill>
              <a:schemeClr val="accent6"/>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PaLM_Q2!$E$7:$E$27</c:f>
              <c:numCache>
                <c:formatCode>General</c:formatCode>
                <c:ptCount val="21"/>
                <c:pt idx="0">
                  <c:v>0</c:v>
                </c:pt>
                <c:pt idx="1">
                  <c:v>0</c:v>
                </c:pt>
                <c:pt idx="2">
                  <c:v>0</c:v>
                </c:pt>
                <c:pt idx="3">
                  <c:v>0</c:v>
                </c:pt>
                <c:pt idx="4">
                  <c:v>2</c:v>
                </c:pt>
                <c:pt idx="5">
                  <c:v>0</c:v>
                </c:pt>
                <c:pt idx="6">
                  <c:v>2</c:v>
                </c:pt>
                <c:pt idx="7">
                  <c:v>0</c:v>
                </c:pt>
                <c:pt idx="8">
                  <c:v>2</c:v>
                </c:pt>
                <c:pt idx="9">
                  <c:v>0</c:v>
                </c:pt>
                <c:pt idx="10">
                  <c:v>0</c:v>
                </c:pt>
                <c:pt idx="11">
                  <c:v>1</c:v>
                </c:pt>
                <c:pt idx="12">
                  <c:v>0</c:v>
                </c:pt>
                <c:pt idx="13">
                  <c:v>1</c:v>
                </c:pt>
                <c:pt idx="14">
                  <c:v>1</c:v>
                </c:pt>
                <c:pt idx="15">
                  <c:v>1</c:v>
                </c:pt>
                <c:pt idx="16">
                  <c:v>6</c:v>
                </c:pt>
                <c:pt idx="17">
                  <c:v>1</c:v>
                </c:pt>
                <c:pt idx="18">
                  <c:v>9</c:v>
                </c:pt>
                <c:pt idx="19">
                  <c:v>0</c:v>
                </c:pt>
                <c:pt idx="20">
                  <c:v>0</c:v>
                </c:pt>
              </c:numCache>
            </c:numRef>
          </c:val>
          <c:extLst>
            <c:ext xmlns:c16="http://schemas.microsoft.com/office/drawing/2014/chart" uri="{C3380CC4-5D6E-409C-BE32-E72D297353CC}">
              <c16:uniqueId val="{00000001-BBAD-4056-8F2B-C46F8BCEABA8}"/>
            </c:ext>
          </c:extLst>
        </c:ser>
        <c:ser>
          <c:idx val="2"/>
          <c:order val="2"/>
          <c:tx>
            <c:strRef>
              <c:f>PaLM_Q2!$F$6</c:f>
              <c:strCache>
                <c:ptCount val="1"/>
                <c:pt idx="0">
                  <c:v>Low Correct:</c:v>
                </c:pt>
              </c:strCache>
            </c:strRef>
          </c:tx>
          <c:spPr>
            <a:solidFill>
              <a:schemeClr val="accent6">
                <a:lumMod val="40000"/>
                <a:lumOff val="60000"/>
              </a:schemeClr>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PaLM_Q2!$F$7:$F$27</c:f>
              <c:numCache>
                <c:formatCode>General</c:formatCode>
                <c:ptCount val="21"/>
                <c:pt idx="0">
                  <c:v>1</c:v>
                </c:pt>
                <c:pt idx="1">
                  <c:v>0</c:v>
                </c:pt>
                <c:pt idx="2">
                  <c:v>0</c:v>
                </c:pt>
                <c:pt idx="3">
                  <c:v>1</c:v>
                </c:pt>
                <c:pt idx="4">
                  <c:v>2</c:v>
                </c:pt>
                <c:pt idx="5">
                  <c:v>0</c:v>
                </c:pt>
                <c:pt idx="6">
                  <c:v>2</c:v>
                </c:pt>
                <c:pt idx="7">
                  <c:v>1</c:v>
                </c:pt>
                <c:pt idx="8">
                  <c:v>0</c:v>
                </c:pt>
                <c:pt idx="9">
                  <c:v>0</c:v>
                </c:pt>
                <c:pt idx="10">
                  <c:v>0</c:v>
                </c:pt>
                <c:pt idx="11">
                  <c:v>1</c:v>
                </c:pt>
                <c:pt idx="12">
                  <c:v>2</c:v>
                </c:pt>
                <c:pt idx="13">
                  <c:v>0</c:v>
                </c:pt>
                <c:pt idx="14">
                  <c:v>0</c:v>
                </c:pt>
                <c:pt idx="15">
                  <c:v>1</c:v>
                </c:pt>
                <c:pt idx="16">
                  <c:v>0</c:v>
                </c:pt>
                <c:pt idx="17">
                  <c:v>0</c:v>
                </c:pt>
                <c:pt idx="18">
                  <c:v>2</c:v>
                </c:pt>
                <c:pt idx="19">
                  <c:v>0</c:v>
                </c:pt>
                <c:pt idx="20">
                  <c:v>1</c:v>
                </c:pt>
              </c:numCache>
            </c:numRef>
          </c:val>
          <c:extLst>
            <c:ext xmlns:c16="http://schemas.microsoft.com/office/drawing/2014/chart" uri="{C3380CC4-5D6E-409C-BE32-E72D297353CC}">
              <c16:uniqueId val="{00000002-BBAD-4056-8F2B-C46F8BCEABA8}"/>
            </c:ext>
          </c:extLst>
        </c:ser>
        <c:ser>
          <c:idx val="3"/>
          <c:order val="3"/>
          <c:tx>
            <c:strRef>
              <c:f>PaLM_Q2!$G$6</c:f>
              <c:strCache>
                <c:ptCount val="1"/>
                <c:pt idx="0">
                  <c:v>High Maybe:</c:v>
                </c:pt>
              </c:strCache>
            </c:strRef>
          </c:tx>
          <c:spPr>
            <a:solidFill>
              <a:schemeClr val="accent2">
                <a:lumMod val="75000"/>
              </a:schemeClr>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PaLM_Q2!$G$7:$G$27</c:f>
              <c:numCache>
                <c:formatCode>General</c:formatCode>
                <c:ptCount val="21"/>
                <c:pt idx="0">
                  <c:v>2</c:v>
                </c:pt>
                <c:pt idx="1">
                  <c:v>2</c:v>
                </c:pt>
                <c:pt idx="2">
                  <c:v>3</c:v>
                </c:pt>
                <c:pt idx="3">
                  <c:v>1</c:v>
                </c:pt>
                <c:pt idx="4">
                  <c:v>1</c:v>
                </c:pt>
                <c:pt idx="5">
                  <c:v>2</c:v>
                </c:pt>
                <c:pt idx="6">
                  <c:v>0</c:v>
                </c:pt>
                <c:pt idx="7">
                  <c:v>1</c:v>
                </c:pt>
                <c:pt idx="8">
                  <c:v>3</c:v>
                </c:pt>
                <c:pt idx="9">
                  <c:v>4</c:v>
                </c:pt>
                <c:pt idx="10">
                  <c:v>0</c:v>
                </c:pt>
                <c:pt idx="11">
                  <c:v>2</c:v>
                </c:pt>
                <c:pt idx="12">
                  <c:v>1</c:v>
                </c:pt>
                <c:pt idx="13">
                  <c:v>2</c:v>
                </c:pt>
                <c:pt idx="14">
                  <c:v>2</c:v>
                </c:pt>
                <c:pt idx="15">
                  <c:v>1</c:v>
                </c:pt>
                <c:pt idx="16">
                  <c:v>1</c:v>
                </c:pt>
                <c:pt idx="17">
                  <c:v>2</c:v>
                </c:pt>
                <c:pt idx="18">
                  <c:v>2</c:v>
                </c:pt>
                <c:pt idx="19">
                  <c:v>3</c:v>
                </c:pt>
                <c:pt idx="20">
                  <c:v>1</c:v>
                </c:pt>
              </c:numCache>
            </c:numRef>
          </c:val>
          <c:extLst>
            <c:ext xmlns:c16="http://schemas.microsoft.com/office/drawing/2014/chart" uri="{C3380CC4-5D6E-409C-BE32-E72D297353CC}">
              <c16:uniqueId val="{00000003-BBAD-4056-8F2B-C46F8BCEABA8}"/>
            </c:ext>
          </c:extLst>
        </c:ser>
        <c:ser>
          <c:idx val="4"/>
          <c:order val="4"/>
          <c:tx>
            <c:strRef>
              <c:f>PaLM_Q2!$H$6</c:f>
              <c:strCache>
                <c:ptCount val="1"/>
                <c:pt idx="0">
                  <c:v>Medium Maybe:</c:v>
                </c:pt>
              </c:strCache>
            </c:strRef>
          </c:tx>
          <c:spPr>
            <a:solidFill>
              <a:schemeClr val="accent2"/>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PaLM_Q2!$H$7:$H$27</c:f>
              <c:numCache>
                <c:formatCode>General</c:formatCode>
                <c:ptCount val="21"/>
                <c:pt idx="0">
                  <c:v>0</c:v>
                </c:pt>
                <c:pt idx="1">
                  <c:v>0</c:v>
                </c:pt>
                <c:pt idx="2">
                  <c:v>2</c:v>
                </c:pt>
                <c:pt idx="3">
                  <c:v>4</c:v>
                </c:pt>
                <c:pt idx="4">
                  <c:v>0</c:v>
                </c:pt>
                <c:pt idx="5">
                  <c:v>3</c:v>
                </c:pt>
                <c:pt idx="6">
                  <c:v>0</c:v>
                </c:pt>
                <c:pt idx="7">
                  <c:v>0</c:v>
                </c:pt>
                <c:pt idx="8">
                  <c:v>1</c:v>
                </c:pt>
                <c:pt idx="9">
                  <c:v>0</c:v>
                </c:pt>
                <c:pt idx="10">
                  <c:v>0</c:v>
                </c:pt>
                <c:pt idx="11">
                  <c:v>2</c:v>
                </c:pt>
                <c:pt idx="12">
                  <c:v>0</c:v>
                </c:pt>
                <c:pt idx="13">
                  <c:v>0</c:v>
                </c:pt>
                <c:pt idx="14">
                  <c:v>2</c:v>
                </c:pt>
                <c:pt idx="15">
                  <c:v>1</c:v>
                </c:pt>
                <c:pt idx="16">
                  <c:v>0</c:v>
                </c:pt>
                <c:pt idx="17">
                  <c:v>4</c:v>
                </c:pt>
                <c:pt idx="18">
                  <c:v>1</c:v>
                </c:pt>
                <c:pt idx="19">
                  <c:v>7</c:v>
                </c:pt>
                <c:pt idx="20">
                  <c:v>0</c:v>
                </c:pt>
              </c:numCache>
            </c:numRef>
          </c:val>
          <c:extLst>
            <c:ext xmlns:c16="http://schemas.microsoft.com/office/drawing/2014/chart" uri="{C3380CC4-5D6E-409C-BE32-E72D297353CC}">
              <c16:uniqueId val="{00000004-BBAD-4056-8F2B-C46F8BCEABA8}"/>
            </c:ext>
          </c:extLst>
        </c:ser>
        <c:ser>
          <c:idx val="5"/>
          <c:order val="5"/>
          <c:tx>
            <c:strRef>
              <c:f>PaLM_Q2!$I$6</c:f>
              <c:strCache>
                <c:ptCount val="1"/>
                <c:pt idx="0">
                  <c:v>Low Maybe:</c:v>
                </c:pt>
              </c:strCache>
            </c:strRef>
          </c:tx>
          <c:spPr>
            <a:solidFill>
              <a:schemeClr val="accent2">
                <a:lumMod val="60000"/>
                <a:lumOff val="40000"/>
              </a:schemeClr>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PaLM_Q2!$I$7:$I$27</c:f>
              <c:numCache>
                <c:formatCode>General</c:formatCode>
                <c:ptCount val="21"/>
                <c:pt idx="0">
                  <c:v>0</c:v>
                </c:pt>
                <c:pt idx="1">
                  <c:v>2</c:v>
                </c:pt>
                <c:pt idx="2">
                  <c:v>1</c:v>
                </c:pt>
                <c:pt idx="3">
                  <c:v>0</c:v>
                </c:pt>
                <c:pt idx="4">
                  <c:v>0</c:v>
                </c:pt>
                <c:pt idx="5">
                  <c:v>1</c:v>
                </c:pt>
                <c:pt idx="6">
                  <c:v>0</c:v>
                </c:pt>
                <c:pt idx="7">
                  <c:v>0</c:v>
                </c:pt>
                <c:pt idx="8">
                  <c:v>0</c:v>
                </c:pt>
                <c:pt idx="9">
                  <c:v>0</c:v>
                </c:pt>
                <c:pt idx="10">
                  <c:v>0</c:v>
                </c:pt>
                <c:pt idx="11">
                  <c:v>0</c:v>
                </c:pt>
                <c:pt idx="12">
                  <c:v>0</c:v>
                </c:pt>
                <c:pt idx="13">
                  <c:v>1</c:v>
                </c:pt>
                <c:pt idx="14">
                  <c:v>0</c:v>
                </c:pt>
                <c:pt idx="15">
                  <c:v>0</c:v>
                </c:pt>
                <c:pt idx="16">
                  <c:v>0</c:v>
                </c:pt>
                <c:pt idx="17">
                  <c:v>2</c:v>
                </c:pt>
                <c:pt idx="18">
                  <c:v>0</c:v>
                </c:pt>
                <c:pt idx="19">
                  <c:v>0</c:v>
                </c:pt>
                <c:pt idx="20">
                  <c:v>0</c:v>
                </c:pt>
              </c:numCache>
            </c:numRef>
          </c:val>
          <c:extLst>
            <c:ext xmlns:c16="http://schemas.microsoft.com/office/drawing/2014/chart" uri="{C3380CC4-5D6E-409C-BE32-E72D297353CC}">
              <c16:uniqueId val="{00000005-BBAD-4056-8F2B-C46F8BCEABA8}"/>
            </c:ext>
          </c:extLst>
        </c:ser>
        <c:ser>
          <c:idx val="6"/>
          <c:order val="6"/>
          <c:tx>
            <c:strRef>
              <c:f>PaLM_Q2!$J$6</c:f>
              <c:strCache>
                <c:ptCount val="1"/>
                <c:pt idx="0">
                  <c:v>Low Incorrect:</c:v>
                </c:pt>
              </c:strCache>
            </c:strRef>
          </c:tx>
          <c:spPr>
            <a:solidFill>
              <a:srgbClr val="F46868"/>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PaLM_Q2!$J$7:$J$27</c:f>
              <c:numCache>
                <c:formatCode>General</c:formatCode>
                <c:ptCount val="21"/>
                <c:pt idx="0">
                  <c:v>0</c:v>
                </c:pt>
                <c:pt idx="1">
                  <c:v>1</c:v>
                </c:pt>
                <c:pt idx="2">
                  <c:v>0</c:v>
                </c:pt>
                <c:pt idx="3">
                  <c:v>0</c:v>
                </c:pt>
                <c:pt idx="4">
                  <c:v>1</c:v>
                </c:pt>
                <c:pt idx="5">
                  <c:v>1</c:v>
                </c:pt>
                <c:pt idx="6">
                  <c:v>2</c:v>
                </c:pt>
                <c:pt idx="7">
                  <c:v>1</c:v>
                </c:pt>
                <c:pt idx="8">
                  <c:v>0</c:v>
                </c:pt>
                <c:pt idx="9">
                  <c:v>1</c:v>
                </c:pt>
                <c:pt idx="10">
                  <c:v>1</c:v>
                </c:pt>
                <c:pt idx="11">
                  <c:v>1</c:v>
                </c:pt>
                <c:pt idx="12">
                  <c:v>0</c:v>
                </c:pt>
                <c:pt idx="13">
                  <c:v>1</c:v>
                </c:pt>
                <c:pt idx="14">
                  <c:v>0</c:v>
                </c:pt>
                <c:pt idx="15">
                  <c:v>1</c:v>
                </c:pt>
                <c:pt idx="16">
                  <c:v>1</c:v>
                </c:pt>
                <c:pt idx="17">
                  <c:v>2</c:v>
                </c:pt>
                <c:pt idx="18">
                  <c:v>0</c:v>
                </c:pt>
                <c:pt idx="19">
                  <c:v>0</c:v>
                </c:pt>
                <c:pt idx="20">
                  <c:v>0</c:v>
                </c:pt>
              </c:numCache>
            </c:numRef>
          </c:val>
          <c:extLst>
            <c:ext xmlns:c16="http://schemas.microsoft.com/office/drawing/2014/chart" uri="{C3380CC4-5D6E-409C-BE32-E72D297353CC}">
              <c16:uniqueId val="{00000006-BBAD-4056-8F2B-C46F8BCEABA8}"/>
            </c:ext>
          </c:extLst>
        </c:ser>
        <c:ser>
          <c:idx val="7"/>
          <c:order val="7"/>
          <c:tx>
            <c:strRef>
              <c:f>PaLM_Q2!$K$6</c:f>
              <c:strCache>
                <c:ptCount val="1"/>
                <c:pt idx="0">
                  <c:v>Medium Incorrect:</c:v>
                </c:pt>
              </c:strCache>
            </c:strRef>
          </c:tx>
          <c:spPr>
            <a:solidFill>
              <a:srgbClr val="EC2828"/>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PaLM_Q2!$K$7:$K$27</c:f>
              <c:numCache>
                <c:formatCode>General</c:formatCode>
                <c:ptCount val="21"/>
                <c:pt idx="0">
                  <c:v>2</c:v>
                </c:pt>
                <c:pt idx="1">
                  <c:v>1</c:v>
                </c:pt>
                <c:pt idx="2">
                  <c:v>0</c:v>
                </c:pt>
                <c:pt idx="3">
                  <c:v>0</c:v>
                </c:pt>
                <c:pt idx="4">
                  <c:v>1</c:v>
                </c:pt>
                <c:pt idx="5">
                  <c:v>0</c:v>
                </c:pt>
                <c:pt idx="6">
                  <c:v>0</c:v>
                </c:pt>
                <c:pt idx="7">
                  <c:v>0</c:v>
                </c:pt>
                <c:pt idx="8">
                  <c:v>0</c:v>
                </c:pt>
                <c:pt idx="9">
                  <c:v>1</c:v>
                </c:pt>
                <c:pt idx="10">
                  <c:v>0</c:v>
                </c:pt>
                <c:pt idx="11">
                  <c:v>0</c:v>
                </c:pt>
                <c:pt idx="12">
                  <c:v>0</c:v>
                </c:pt>
                <c:pt idx="13">
                  <c:v>1</c:v>
                </c:pt>
                <c:pt idx="14">
                  <c:v>0</c:v>
                </c:pt>
                <c:pt idx="15">
                  <c:v>0</c:v>
                </c:pt>
                <c:pt idx="16">
                  <c:v>0</c:v>
                </c:pt>
                <c:pt idx="17">
                  <c:v>3</c:v>
                </c:pt>
                <c:pt idx="18">
                  <c:v>0</c:v>
                </c:pt>
                <c:pt idx="19">
                  <c:v>0</c:v>
                </c:pt>
                <c:pt idx="20">
                  <c:v>0</c:v>
                </c:pt>
              </c:numCache>
            </c:numRef>
          </c:val>
          <c:extLst>
            <c:ext xmlns:c16="http://schemas.microsoft.com/office/drawing/2014/chart" uri="{C3380CC4-5D6E-409C-BE32-E72D297353CC}">
              <c16:uniqueId val="{00000007-BBAD-4056-8F2B-C46F8BCEABA8}"/>
            </c:ext>
          </c:extLst>
        </c:ser>
        <c:ser>
          <c:idx val="8"/>
          <c:order val="8"/>
          <c:tx>
            <c:strRef>
              <c:f>PaLM_Q2!$L$6</c:f>
              <c:strCache>
                <c:ptCount val="1"/>
                <c:pt idx="0">
                  <c:v>High Incorrect:</c:v>
                </c:pt>
              </c:strCache>
            </c:strRef>
          </c:tx>
          <c:spPr>
            <a:solidFill>
              <a:srgbClr val="C00000"/>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PaLM_Q2!$L$7:$L$27</c:f>
              <c:numCache>
                <c:formatCode>General</c:formatCode>
                <c:ptCount val="21"/>
                <c:pt idx="0">
                  <c:v>3</c:v>
                </c:pt>
                <c:pt idx="1">
                  <c:v>3</c:v>
                </c:pt>
                <c:pt idx="2">
                  <c:v>10</c:v>
                </c:pt>
                <c:pt idx="3">
                  <c:v>5</c:v>
                </c:pt>
                <c:pt idx="4">
                  <c:v>3</c:v>
                </c:pt>
                <c:pt idx="5">
                  <c:v>3</c:v>
                </c:pt>
                <c:pt idx="6">
                  <c:v>10</c:v>
                </c:pt>
                <c:pt idx="7">
                  <c:v>6</c:v>
                </c:pt>
                <c:pt idx="8">
                  <c:v>1</c:v>
                </c:pt>
                <c:pt idx="9">
                  <c:v>4</c:v>
                </c:pt>
                <c:pt idx="10">
                  <c:v>0</c:v>
                </c:pt>
                <c:pt idx="11">
                  <c:v>3</c:v>
                </c:pt>
                <c:pt idx="12">
                  <c:v>2</c:v>
                </c:pt>
                <c:pt idx="13">
                  <c:v>2</c:v>
                </c:pt>
                <c:pt idx="14">
                  <c:v>3</c:v>
                </c:pt>
                <c:pt idx="15">
                  <c:v>3</c:v>
                </c:pt>
                <c:pt idx="16">
                  <c:v>2</c:v>
                </c:pt>
                <c:pt idx="17">
                  <c:v>4</c:v>
                </c:pt>
                <c:pt idx="18">
                  <c:v>1</c:v>
                </c:pt>
                <c:pt idx="19">
                  <c:v>4</c:v>
                </c:pt>
                <c:pt idx="20">
                  <c:v>7</c:v>
                </c:pt>
              </c:numCache>
            </c:numRef>
          </c:val>
          <c:extLst>
            <c:ext xmlns:c16="http://schemas.microsoft.com/office/drawing/2014/chart" uri="{C3380CC4-5D6E-409C-BE32-E72D297353CC}">
              <c16:uniqueId val="{00000008-BBAD-4056-8F2B-C46F8BCEABA8}"/>
            </c:ext>
          </c:extLst>
        </c:ser>
        <c:ser>
          <c:idx val="9"/>
          <c:order val="9"/>
          <c:tx>
            <c:strRef>
              <c:f>PaLM_Q2!$M$6</c:f>
              <c:strCache>
                <c:ptCount val="1"/>
                <c:pt idx="0">
                  <c:v>N/A:</c:v>
                </c:pt>
              </c:strCache>
            </c:strRef>
          </c:tx>
          <c:spPr>
            <a:solidFill>
              <a:schemeClr val="bg2">
                <a:lumMod val="75000"/>
              </a:schemeClr>
            </a:solidFill>
            <a:ln>
              <a:noFill/>
            </a:ln>
            <a:effectLst/>
          </c:spPr>
          <c:invertIfNegative val="0"/>
          <c:cat>
            <c:strRef>
              <c:f>PaLM_Q2!$C$7:$C$27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PaLM_Q2!$M$7:$M$27</c:f>
              <c:numCache>
                <c:formatCode>General</c:formatCode>
                <c:ptCount val="21"/>
                <c:pt idx="0">
                  <c:v>1</c:v>
                </c:pt>
                <c:pt idx="1">
                  <c:v>0</c:v>
                </c:pt>
                <c:pt idx="2">
                  <c:v>1</c:v>
                </c:pt>
                <c:pt idx="3">
                  <c:v>0</c:v>
                </c:pt>
                <c:pt idx="4">
                  <c:v>3</c:v>
                </c:pt>
                <c:pt idx="5">
                  <c:v>0</c:v>
                </c:pt>
                <c:pt idx="6">
                  <c:v>0</c:v>
                </c:pt>
                <c:pt idx="7">
                  <c:v>1</c:v>
                </c:pt>
                <c:pt idx="8">
                  <c:v>2</c:v>
                </c:pt>
                <c:pt idx="9">
                  <c:v>0</c:v>
                </c:pt>
                <c:pt idx="10">
                  <c:v>1</c:v>
                </c:pt>
                <c:pt idx="11">
                  <c:v>2</c:v>
                </c:pt>
                <c:pt idx="12">
                  <c:v>2</c:v>
                </c:pt>
                <c:pt idx="13">
                  <c:v>1</c:v>
                </c:pt>
                <c:pt idx="14">
                  <c:v>1</c:v>
                </c:pt>
                <c:pt idx="15">
                  <c:v>1</c:v>
                </c:pt>
                <c:pt idx="16">
                  <c:v>7</c:v>
                </c:pt>
                <c:pt idx="17">
                  <c:v>0</c:v>
                </c:pt>
                <c:pt idx="18">
                  <c:v>3</c:v>
                </c:pt>
                <c:pt idx="19">
                  <c:v>1</c:v>
                </c:pt>
                <c:pt idx="20">
                  <c:v>9</c:v>
                </c:pt>
              </c:numCache>
            </c:numRef>
          </c:val>
          <c:extLst>
            <c:ext xmlns:c16="http://schemas.microsoft.com/office/drawing/2014/chart" uri="{C3380CC4-5D6E-409C-BE32-E72D297353CC}">
              <c16:uniqueId val="{00000009-BBAD-4056-8F2B-C46F8BCEABA8}"/>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PaLM_Q2!$D$31</c:f>
              <c:strCache>
                <c:ptCount val="1"/>
                <c:pt idx="0">
                  <c:v>High Correct:</c:v>
                </c:pt>
              </c:strCache>
            </c:strRef>
          </c:tx>
          <c:spPr>
            <a:solidFill>
              <a:schemeClr val="accent6">
                <a:lumMod val="75000"/>
              </a:schemeClr>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PaLM_Q2!$D$32:$D$47</c:f>
              <c:numCache>
                <c:formatCode>General</c:formatCode>
                <c:ptCount val="16"/>
                <c:pt idx="0">
                  <c:v>8</c:v>
                </c:pt>
                <c:pt idx="1">
                  <c:v>7</c:v>
                </c:pt>
                <c:pt idx="2">
                  <c:v>8</c:v>
                </c:pt>
                <c:pt idx="3">
                  <c:v>9</c:v>
                </c:pt>
                <c:pt idx="4">
                  <c:v>9</c:v>
                </c:pt>
                <c:pt idx="5">
                  <c:v>6</c:v>
                </c:pt>
                <c:pt idx="6">
                  <c:v>12</c:v>
                </c:pt>
                <c:pt idx="7">
                  <c:v>13</c:v>
                </c:pt>
                <c:pt idx="8">
                  <c:v>4</c:v>
                </c:pt>
                <c:pt idx="9">
                  <c:v>5</c:v>
                </c:pt>
                <c:pt idx="10">
                  <c:v>2</c:v>
                </c:pt>
                <c:pt idx="11">
                  <c:v>13</c:v>
                </c:pt>
                <c:pt idx="12">
                  <c:v>4</c:v>
                </c:pt>
                <c:pt idx="13">
                  <c:v>4</c:v>
                </c:pt>
                <c:pt idx="14">
                  <c:v>2</c:v>
                </c:pt>
                <c:pt idx="15">
                  <c:v>13</c:v>
                </c:pt>
              </c:numCache>
            </c:numRef>
          </c:val>
          <c:extLst>
            <c:ext xmlns:c16="http://schemas.microsoft.com/office/drawing/2014/chart" uri="{C3380CC4-5D6E-409C-BE32-E72D297353CC}">
              <c16:uniqueId val="{00000000-8DC3-45AC-A027-2853A57816CC}"/>
            </c:ext>
          </c:extLst>
        </c:ser>
        <c:ser>
          <c:idx val="1"/>
          <c:order val="1"/>
          <c:tx>
            <c:strRef>
              <c:f>PaLM_Q2!$E$31</c:f>
              <c:strCache>
                <c:ptCount val="1"/>
                <c:pt idx="0">
                  <c:v>Medium Correct:</c:v>
                </c:pt>
              </c:strCache>
            </c:strRef>
          </c:tx>
          <c:spPr>
            <a:solidFill>
              <a:schemeClr val="accent6"/>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PaLM_Q2!$E$32:$E$47</c:f>
              <c:numCache>
                <c:formatCode>General</c:formatCode>
                <c:ptCount val="16"/>
                <c:pt idx="0">
                  <c:v>1</c:v>
                </c:pt>
                <c:pt idx="1">
                  <c:v>0</c:v>
                </c:pt>
                <c:pt idx="2">
                  <c:v>2</c:v>
                </c:pt>
                <c:pt idx="3">
                  <c:v>4</c:v>
                </c:pt>
                <c:pt idx="4">
                  <c:v>1</c:v>
                </c:pt>
                <c:pt idx="5">
                  <c:v>0</c:v>
                </c:pt>
                <c:pt idx="6">
                  <c:v>1</c:v>
                </c:pt>
                <c:pt idx="7">
                  <c:v>3</c:v>
                </c:pt>
                <c:pt idx="8">
                  <c:v>1</c:v>
                </c:pt>
                <c:pt idx="9">
                  <c:v>3</c:v>
                </c:pt>
                <c:pt idx="10">
                  <c:v>2</c:v>
                </c:pt>
                <c:pt idx="11">
                  <c:v>2</c:v>
                </c:pt>
                <c:pt idx="12">
                  <c:v>0</c:v>
                </c:pt>
                <c:pt idx="13">
                  <c:v>2</c:v>
                </c:pt>
                <c:pt idx="14">
                  <c:v>0</c:v>
                </c:pt>
                <c:pt idx="15">
                  <c:v>2</c:v>
                </c:pt>
              </c:numCache>
            </c:numRef>
          </c:val>
          <c:extLst>
            <c:ext xmlns:c16="http://schemas.microsoft.com/office/drawing/2014/chart" uri="{C3380CC4-5D6E-409C-BE32-E72D297353CC}">
              <c16:uniqueId val="{00000001-8DC3-45AC-A027-2853A57816CC}"/>
            </c:ext>
          </c:extLst>
        </c:ser>
        <c:ser>
          <c:idx val="2"/>
          <c:order val="2"/>
          <c:tx>
            <c:strRef>
              <c:f>PaLM_Q2!$F$31</c:f>
              <c:strCache>
                <c:ptCount val="1"/>
                <c:pt idx="0">
                  <c:v>Low Correct:</c:v>
                </c:pt>
              </c:strCache>
            </c:strRef>
          </c:tx>
          <c:spPr>
            <a:solidFill>
              <a:schemeClr val="accent6">
                <a:lumMod val="60000"/>
                <a:lumOff val="40000"/>
              </a:schemeClr>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PaLM_Q2!$F$32:$F$47</c:f>
              <c:numCache>
                <c:formatCode>General</c:formatCode>
                <c:ptCount val="16"/>
                <c:pt idx="0">
                  <c:v>0</c:v>
                </c:pt>
                <c:pt idx="1">
                  <c:v>1</c:v>
                </c:pt>
                <c:pt idx="2">
                  <c:v>0</c:v>
                </c:pt>
                <c:pt idx="3">
                  <c:v>0</c:v>
                </c:pt>
                <c:pt idx="4">
                  <c:v>0</c:v>
                </c:pt>
                <c:pt idx="5">
                  <c:v>0</c:v>
                </c:pt>
                <c:pt idx="6">
                  <c:v>1</c:v>
                </c:pt>
                <c:pt idx="7">
                  <c:v>0</c:v>
                </c:pt>
                <c:pt idx="8">
                  <c:v>1</c:v>
                </c:pt>
                <c:pt idx="9">
                  <c:v>1</c:v>
                </c:pt>
                <c:pt idx="10">
                  <c:v>1</c:v>
                </c:pt>
                <c:pt idx="11">
                  <c:v>1</c:v>
                </c:pt>
                <c:pt idx="12">
                  <c:v>1</c:v>
                </c:pt>
                <c:pt idx="13">
                  <c:v>0</c:v>
                </c:pt>
                <c:pt idx="14">
                  <c:v>1</c:v>
                </c:pt>
                <c:pt idx="15">
                  <c:v>0</c:v>
                </c:pt>
              </c:numCache>
            </c:numRef>
          </c:val>
          <c:extLst>
            <c:ext xmlns:c16="http://schemas.microsoft.com/office/drawing/2014/chart" uri="{C3380CC4-5D6E-409C-BE32-E72D297353CC}">
              <c16:uniqueId val="{00000002-8DC3-45AC-A027-2853A57816CC}"/>
            </c:ext>
          </c:extLst>
        </c:ser>
        <c:ser>
          <c:idx val="3"/>
          <c:order val="3"/>
          <c:tx>
            <c:strRef>
              <c:f>PaLM_Q2!$G$31</c:f>
              <c:strCache>
                <c:ptCount val="1"/>
                <c:pt idx="0">
                  <c:v>High Maybe:</c:v>
                </c:pt>
              </c:strCache>
            </c:strRef>
          </c:tx>
          <c:spPr>
            <a:solidFill>
              <a:schemeClr val="accent2">
                <a:lumMod val="75000"/>
              </a:schemeClr>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PaLM_Q2!$G$32:$G$47</c:f>
              <c:numCache>
                <c:formatCode>General</c:formatCode>
                <c:ptCount val="16"/>
                <c:pt idx="0">
                  <c:v>1</c:v>
                </c:pt>
                <c:pt idx="1">
                  <c:v>2</c:v>
                </c:pt>
                <c:pt idx="2">
                  <c:v>1</c:v>
                </c:pt>
                <c:pt idx="3">
                  <c:v>2</c:v>
                </c:pt>
                <c:pt idx="4">
                  <c:v>3</c:v>
                </c:pt>
                <c:pt idx="5">
                  <c:v>1</c:v>
                </c:pt>
                <c:pt idx="6">
                  <c:v>0</c:v>
                </c:pt>
                <c:pt idx="7">
                  <c:v>2</c:v>
                </c:pt>
                <c:pt idx="8">
                  <c:v>3</c:v>
                </c:pt>
                <c:pt idx="9">
                  <c:v>3</c:v>
                </c:pt>
                <c:pt idx="10">
                  <c:v>6</c:v>
                </c:pt>
                <c:pt idx="11">
                  <c:v>0</c:v>
                </c:pt>
                <c:pt idx="12">
                  <c:v>2</c:v>
                </c:pt>
                <c:pt idx="13">
                  <c:v>5</c:v>
                </c:pt>
                <c:pt idx="14">
                  <c:v>1</c:v>
                </c:pt>
                <c:pt idx="15">
                  <c:v>2</c:v>
                </c:pt>
              </c:numCache>
            </c:numRef>
          </c:val>
          <c:extLst>
            <c:ext xmlns:c16="http://schemas.microsoft.com/office/drawing/2014/chart" uri="{C3380CC4-5D6E-409C-BE32-E72D297353CC}">
              <c16:uniqueId val="{00000003-8DC3-45AC-A027-2853A57816CC}"/>
            </c:ext>
          </c:extLst>
        </c:ser>
        <c:ser>
          <c:idx val="4"/>
          <c:order val="4"/>
          <c:tx>
            <c:strRef>
              <c:f>PaLM_Q2!$H$31</c:f>
              <c:strCache>
                <c:ptCount val="1"/>
                <c:pt idx="0">
                  <c:v>Medium Maybe:</c:v>
                </c:pt>
              </c:strCache>
            </c:strRef>
          </c:tx>
          <c:spPr>
            <a:solidFill>
              <a:schemeClr val="accent2"/>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PaLM_Q2!$H$32:$H$47</c:f>
              <c:numCache>
                <c:formatCode>General</c:formatCode>
                <c:ptCount val="16"/>
                <c:pt idx="0">
                  <c:v>1</c:v>
                </c:pt>
                <c:pt idx="1">
                  <c:v>1</c:v>
                </c:pt>
                <c:pt idx="2">
                  <c:v>1</c:v>
                </c:pt>
                <c:pt idx="3">
                  <c:v>0</c:v>
                </c:pt>
                <c:pt idx="4">
                  <c:v>3</c:v>
                </c:pt>
                <c:pt idx="5">
                  <c:v>1</c:v>
                </c:pt>
                <c:pt idx="6">
                  <c:v>2</c:v>
                </c:pt>
                <c:pt idx="7">
                  <c:v>1</c:v>
                </c:pt>
                <c:pt idx="8">
                  <c:v>3</c:v>
                </c:pt>
                <c:pt idx="9">
                  <c:v>2</c:v>
                </c:pt>
                <c:pt idx="10">
                  <c:v>4</c:v>
                </c:pt>
                <c:pt idx="11">
                  <c:v>1</c:v>
                </c:pt>
                <c:pt idx="12">
                  <c:v>2</c:v>
                </c:pt>
                <c:pt idx="13">
                  <c:v>3</c:v>
                </c:pt>
                <c:pt idx="14">
                  <c:v>0</c:v>
                </c:pt>
                <c:pt idx="15">
                  <c:v>1</c:v>
                </c:pt>
              </c:numCache>
            </c:numRef>
          </c:val>
          <c:extLst>
            <c:ext xmlns:c16="http://schemas.microsoft.com/office/drawing/2014/chart" uri="{C3380CC4-5D6E-409C-BE32-E72D297353CC}">
              <c16:uniqueId val="{00000004-8DC3-45AC-A027-2853A57816CC}"/>
            </c:ext>
          </c:extLst>
        </c:ser>
        <c:ser>
          <c:idx val="5"/>
          <c:order val="5"/>
          <c:tx>
            <c:strRef>
              <c:f>PaLM_Q2!$I$31</c:f>
              <c:strCache>
                <c:ptCount val="1"/>
                <c:pt idx="0">
                  <c:v>Low Maybe:</c:v>
                </c:pt>
              </c:strCache>
            </c:strRef>
          </c:tx>
          <c:spPr>
            <a:solidFill>
              <a:schemeClr val="accent2">
                <a:lumMod val="60000"/>
                <a:lumOff val="40000"/>
              </a:schemeClr>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PaLM_Q2!$I$32:$I$47</c:f>
              <c:numCache>
                <c:formatCode>General</c:formatCode>
                <c:ptCount val="16"/>
                <c:pt idx="0">
                  <c:v>0</c:v>
                </c:pt>
                <c:pt idx="1">
                  <c:v>0</c:v>
                </c:pt>
                <c:pt idx="2">
                  <c:v>1</c:v>
                </c:pt>
                <c:pt idx="3">
                  <c:v>2</c:v>
                </c:pt>
                <c:pt idx="4">
                  <c:v>0</c:v>
                </c:pt>
                <c:pt idx="5">
                  <c:v>0</c:v>
                </c:pt>
                <c:pt idx="6">
                  <c:v>1</c:v>
                </c:pt>
                <c:pt idx="7">
                  <c:v>0</c:v>
                </c:pt>
                <c:pt idx="8">
                  <c:v>0</c:v>
                </c:pt>
                <c:pt idx="9">
                  <c:v>2</c:v>
                </c:pt>
                <c:pt idx="10">
                  <c:v>0</c:v>
                </c:pt>
                <c:pt idx="11">
                  <c:v>0</c:v>
                </c:pt>
                <c:pt idx="12">
                  <c:v>0</c:v>
                </c:pt>
                <c:pt idx="13">
                  <c:v>1</c:v>
                </c:pt>
                <c:pt idx="14">
                  <c:v>0</c:v>
                </c:pt>
                <c:pt idx="15">
                  <c:v>0</c:v>
                </c:pt>
              </c:numCache>
            </c:numRef>
          </c:val>
          <c:extLst>
            <c:ext xmlns:c16="http://schemas.microsoft.com/office/drawing/2014/chart" uri="{C3380CC4-5D6E-409C-BE32-E72D297353CC}">
              <c16:uniqueId val="{00000005-8DC3-45AC-A027-2853A57816CC}"/>
            </c:ext>
          </c:extLst>
        </c:ser>
        <c:ser>
          <c:idx val="6"/>
          <c:order val="6"/>
          <c:tx>
            <c:strRef>
              <c:f>PaLM_Q2!$J$31</c:f>
              <c:strCache>
                <c:ptCount val="1"/>
                <c:pt idx="0">
                  <c:v>Low Incorrect:</c:v>
                </c:pt>
              </c:strCache>
            </c:strRef>
          </c:tx>
          <c:spPr>
            <a:solidFill>
              <a:srgbClr val="F46868"/>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PaLM_Q2!$J$32:$J$47</c:f>
              <c:numCache>
                <c:formatCode>General</c:formatCode>
                <c:ptCount val="16"/>
                <c:pt idx="0">
                  <c:v>1</c:v>
                </c:pt>
                <c:pt idx="1">
                  <c:v>0</c:v>
                </c:pt>
                <c:pt idx="2">
                  <c:v>2</c:v>
                </c:pt>
                <c:pt idx="3">
                  <c:v>1</c:v>
                </c:pt>
                <c:pt idx="4">
                  <c:v>1</c:v>
                </c:pt>
                <c:pt idx="5">
                  <c:v>1</c:v>
                </c:pt>
                <c:pt idx="6">
                  <c:v>0</c:v>
                </c:pt>
                <c:pt idx="7">
                  <c:v>0</c:v>
                </c:pt>
                <c:pt idx="8">
                  <c:v>1</c:v>
                </c:pt>
                <c:pt idx="9">
                  <c:v>1</c:v>
                </c:pt>
                <c:pt idx="10">
                  <c:v>0</c:v>
                </c:pt>
                <c:pt idx="11">
                  <c:v>1</c:v>
                </c:pt>
                <c:pt idx="12">
                  <c:v>2</c:v>
                </c:pt>
                <c:pt idx="13">
                  <c:v>1</c:v>
                </c:pt>
                <c:pt idx="14">
                  <c:v>0</c:v>
                </c:pt>
                <c:pt idx="15">
                  <c:v>0</c:v>
                </c:pt>
              </c:numCache>
            </c:numRef>
          </c:val>
          <c:extLst>
            <c:ext xmlns:c16="http://schemas.microsoft.com/office/drawing/2014/chart" uri="{C3380CC4-5D6E-409C-BE32-E72D297353CC}">
              <c16:uniqueId val="{00000006-8DC3-45AC-A027-2853A57816CC}"/>
            </c:ext>
          </c:extLst>
        </c:ser>
        <c:ser>
          <c:idx val="7"/>
          <c:order val="7"/>
          <c:tx>
            <c:strRef>
              <c:f>PaLM_Q2!$K$31</c:f>
              <c:strCache>
                <c:ptCount val="1"/>
                <c:pt idx="0">
                  <c:v>Medium Incorrect:</c:v>
                </c:pt>
              </c:strCache>
            </c:strRef>
          </c:tx>
          <c:spPr>
            <a:solidFill>
              <a:srgbClr val="EC2828"/>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PaLM_Q2!$K$32:$K$47</c:f>
              <c:numCache>
                <c:formatCode>General</c:formatCode>
                <c:ptCount val="16"/>
                <c:pt idx="0">
                  <c:v>1</c:v>
                </c:pt>
                <c:pt idx="1">
                  <c:v>2</c:v>
                </c:pt>
                <c:pt idx="2">
                  <c:v>0</c:v>
                </c:pt>
                <c:pt idx="3">
                  <c:v>0</c:v>
                </c:pt>
                <c:pt idx="4">
                  <c:v>1</c:v>
                </c:pt>
                <c:pt idx="5">
                  <c:v>0</c:v>
                </c:pt>
                <c:pt idx="6">
                  <c:v>0</c:v>
                </c:pt>
                <c:pt idx="7">
                  <c:v>0</c:v>
                </c:pt>
                <c:pt idx="8">
                  <c:v>2</c:v>
                </c:pt>
                <c:pt idx="9">
                  <c:v>2</c:v>
                </c:pt>
                <c:pt idx="10">
                  <c:v>0</c:v>
                </c:pt>
                <c:pt idx="11">
                  <c:v>0</c:v>
                </c:pt>
                <c:pt idx="12">
                  <c:v>0</c:v>
                </c:pt>
                <c:pt idx="13">
                  <c:v>1</c:v>
                </c:pt>
                <c:pt idx="14">
                  <c:v>0</c:v>
                </c:pt>
                <c:pt idx="15">
                  <c:v>0</c:v>
                </c:pt>
              </c:numCache>
            </c:numRef>
          </c:val>
          <c:extLst>
            <c:ext xmlns:c16="http://schemas.microsoft.com/office/drawing/2014/chart" uri="{C3380CC4-5D6E-409C-BE32-E72D297353CC}">
              <c16:uniqueId val="{00000007-8DC3-45AC-A027-2853A57816CC}"/>
            </c:ext>
          </c:extLst>
        </c:ser>
        <c:ser>
          <c:idx val="8"/>
          <c:order val="8"/>
          <c:tx>
            <c:strRef>
              <c:f>PaLM_Q2!$L$31</c:f>
              <c:strCache>
                <c:ptCount val="1"/>
                <c:pt idx="0">
                  <c:v>High Incorrect:</c:v>
                </c:pt>
              </c:strCache>
            </c:strRef>
          </c:tx>
          <c:spPr>
            <a:solidFill>
              <a:srgbClr val="C00000"/>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PaLM_Q2!$L$32:$L$47</c:f>
              <c:numCache>
                <c:formatCode>General</c:formatCode>
                <c:ptCount val="16"/>
                <c:pt idx="0">
                  <c:v>4</c:v>
                </c:pt>
                <c:pt idx="1">
                  <c:v>7</c:v>
                </c:pt>
                <c:pt idx="2">
                  <c:v>4</c:v>
                </c:pt>
                <c:pt idx="3">
                  <c:v>3</c:v>
                </c:pt>
                <c:pt idx="4">
                  <c:v>2</c:v>
                </c:pt>
                <c:pt idx="5">
                  <c:v>0</c:v>
                </c:pt>
                <c:pt idx="6">
                  <c:v>2</c:v>
                </c:pt>
                <c:pt idx="7">
                  <c:v>1</c:v>
                </c:pt>
                <c:pt idx="8">
                  <c:v>3</c:v>
                </c:pt>
                <c:pt idx="9">
                  <c:v>2</c:v>
                </c:pt>
                <c:pt idx="10">
                  <c:v>6</c:v>
                </c:pt>
                <c:pt idx="11">
                  <c:v>3</c:v>
                </c:pt>
                <c:pt idx="12">
                  <c:v>7</c:v>
                </c:pt>
                <c:pt idx="13">
                  <c:v>4</c:v>
                </c:pt>
                <c:pt idx="14">
                  <c:v>15</c:v>
                </c:pt>
                <c:pt idx="15">
                  <c:v>2</c:v>
                </c:pt>
              </c:numCache>
            </c:numRef>
          </c:val>
          <c:extLst>
            <c:ext xmlns:c16="http://schemas.microsoft.com/office/drawing/2014/chart" uri="{C3380CC4-5D6E-409C-BE32-E72D297353CC}">
              <c16:uniqueId val="{00000008-8DC3-45AC-A027-2853A57816CC}"/>
            </c:ext>
          </c:extLst>
        </c:ser>
        <c:ser>
          <c:idx val="9"/>
          <c:order val="9"/>
          <c:tx>
            <c:strRef>
              <c:f>PaLM_Q2!$M$31</c:f>
              <c:strCache>
                <c:ptCount val="1"/>
                <c:pt idx="0">
                  <c:v>N/A:</c:v>
                </c:pt>
              </c:strCache>
            </c:strRef>
          </c:tx>
          <c:spPr>
            <a:solidFill>
              <a:schemeClr val="bg2">
                <a:lumMod val="75000"/>
              </a:schemeClr>
            </a:solidFill>
            <a:ln>
              <a:noFill/>
            </a:ln>
            <a:effectLst/>
          </c:spPr>
          <c:invertIfNegative val="0"/>
          <c:cat>
            <c:strRef>
              <c:f>PaLM_Q2!$C$32:$C$47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PaLM_Q2!$M$32:$M$47</c:f>
              <c:numCache>
                <c:formatCode>General</c:formatCode>
                <c:ptCount val="16"/>
                <c:pt idx="0">
                  <c:v>4</c:v>
                </c:pt>
                <c:pt idx="1">
                  <c:v>1</c:v>
                </c:pt>
                <c:pt idx="2">
                  <c:v>2</c:v>
                </c:pt>
                <c:pt idx="3">
                  <c:v>0</c:v>
                </c:pt>
                <c:pt idx="4">
                  <c:v>1</c:v>
                </c:pt>
                <c:pt idx="5">
                  <c:v>12</c:v>
                </c:pt>
                <c:pt idx="6">
                  <c:v>2</c:v>
                </c:pt>
                <c:pt idx="7">
                  <c:v>1</c:v>
                </c:pt>
                <c:pt idx="8">
                  <c:v>3</c:v>
                </c:pt>
                <c:pt idx="9">
                  <c:v>0</c:v>
                </c:pt>
                <c:pt idx="10">
                  <c:v>0</c:v>
                </c:pt>
                <c:pt idx="11">
                  <c:v>0</c:v>
                </c:pt>
                <c:pt idx="12">
                  <c:v>3</c:v>
                </c:pt>
                <c:pt idx="13">
                  <c:v>0</c:v>
                </c:pt>
                <c:pt idx="14">
                  <c:v>2</c:v>
                </c:pt>
                <c:pt idx="15">
                  <c:v>1</c:v>
                </c:pt>
              </c:numCache>
            </c:numRef>
          </c:val>
          <c:extLst>
            <c:ext xmlns:c16="http://schemas.microsoft.com/office/drawing/2014/chart" uri="{C3380CC4-5D6E-409C-BE32-E72D297353CC}">
              <c16:uniqueId val="{00000009-8DC3-45AC-A027-2853A57816CC}"/>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PaLM_Q3!$D$6</c:f>
              <c:strCache>
                <c:ptCount val="1"/>
                <c:pt idx="0">
                  <c:v>High Correct:</c:v>
                </c:pt>
              </c:strCache>
            </c:strRef>
          </c:tx>
          <c:spPr>
            <a:solidFill>
              <a:schemeClr val="accent6">
                <a:lumMod val="75000"/>
              </a:schemeClr>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PaLM_Q3!$D$7:$D$27</c:f>
              <c:numCache>
                <c:formatCode>General</c:formatCode>
                <c:ptCount val="21"/>
                <c:pt idx="0">
                  <c:v>9</c:v>
                </c:pt>
                <c:pt idx="1">
                  <c:v>7</c:v>
                </c:pt>
                <c:pt idx="2">
                  <c:v>3</c:v>
                </c:pt>
                <c:pt idx="3">
                  <c:v>5</c:v>
                </c:pt>
                <c:pt idx="4">
                  <c:v>7</c:v>
                </c:pt>
                <c:pt idx="5">
                  <c:v>10</c:v>
                </c:pt>
                <c:pt idx="6">
                  <c:v>2</c:v>
                </c:pt>
                <c:pt idx="7">
                  <c:v>9</c:v>
                </c:pt>
                <c:pt idx="8">
                  <c:v>8</c:v>
                </c:pt>
                <c:pt idx="9">
                  <c:v>8</c:v>
                </c:pt>
                <c:pt idx="10">
                  <c:v>10</c:v>
                </c:pt>
                <c:pt idx="11">
                  <c:v>11</c:v>
                </c:pt>
                <c:pt idx="12">
                  <c:v>4</c:v>
                </c:pt>
                <c:pt idx="13">
                  <c:v>8</c:v>
                </c:pt>
                <c:pt idx="14">
                  <c:v>9</c:v>
                </c:pt>
                <c:pt idx="15">
                  <c:v>13</c:v>
                </c:pt>
                <c:pt idx="16">
                  <c:v>0</c:v>
                </c:pt>
                <c:pt idx="17">
                  <c:v>1</c:v>
                </c:pt>
                <c:pt idx="18">
                  <c:v>0</c:v>
                </c:pt>
                <c:pt idx="19">
                  <c:v>3</c:v>
                </c:pt>
                <c:pt idx="20">
                  <c:v>0</c:v>
                </c:pt>
              </c:numCache>
            </c:numRef>
          </c:val>
          <c:extLst>
            <c:ext xmlns:c16="http://schemas.microsoft.com/office/drawing/2014/chart" uri="{C3380CC4-5D6E-409C-BE32-E72D297353CC}">
              <c16:uniqueId val="{00000000-F194-4772-86B2-495619881746}"/>
            </c:ext>
          </c:extLst>
        </c:ser>
        <c:ser>
          <c:idx val="1"/>
          <c:order val="1"/>
          <c:tx>
            <c:strRef>
              <c:f>PaLM_Q3!$E$6</c:f>
              <c:strCache>
                <c:ptCount val="1"/>
                <c:pt idx="0">
                  <c:v>Medium Correct:</c:v>
                </c:pt>
              </c:strCache>
            </c:strRef>
          </c:tx>
          <c:spPr>
            <a:solidFill>
              <a:schemeClr val="accent6"/>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PaLM_Q3!$E$7:$E$27</c:f>
              <c:numCache>
                <c:formatCode>General</c:formatCode>
                <c:ptCount val="21"/>
                <c:pt idx="0">
                  <c:v>0</c:v>
                </c:pt>
                <c:pt idx="1">
                  <c:v>2</c:v>
                </c:pt>
                <c:pt idx="2">
                  <c:v>1</c:v>
                </c:pt>
                <c:pt idx="3">
                  <c:v>0</c:v>
                </c:pt>
                <c:pt idx="4">
                  <c:v>1</c:v>
                </c:pt>
                <c:pt idx="5">
                  <c:v>0</c:v>
                </c:pt>
                <c:pt idx="6">
                  <c:v>0</c:v>
                </c:pt>
                <c:pt idx="7">
                  <c:v>0</c:v>
                </c:pt>
                <c:pt idx="8">
                  <c:v>0</c:v>
                </c:pt>
                <c:pt idx="9">
                  <c:v>0</c:v>
                </c:pt>
                <c:pt idx="10">
                  <c:v>1</c:v>
                </c:pt>
                <c:pt idx="11">
                  <c:v>2</c:v>
                </c:pt>
                <c:pt idx="12">
                  <c:v>4</c:v>
                </c:pt>
                <c:pt idx="13">
                  <c:v>0</c:v>
                </c:pt>
                <c:pt idx="14">
                  <c:v>1</c:v>
                </c:pt>
                <c:pt idx="15">
                  <c:v>0</c:v>
                </c:pt>
                <c:pt idx="16">
                  <c:v>6</c:v>
                </c:pt>
                <c:pt idx="17">
                  <c:v>0</c:v>
                </c:pt>
                <c:pt idx="18">
                  <c:v>8</c:v>
                </c:pt>
                <c:pt idx="19">
                  <c:v>0</c:v>
                </c:pt>
                <c:pt idx="20">
                  <c:v>0</c:v>
                </c:pt>
              </c:numCache>
            </c:numRef>
          </c:val>
          <c:extLst>
            <c:ext xmlns:c16="http://schemas.microsoft.com/office/drawing/2014/chart" uri="{C3380CC4-5D6E-409C-BE32-E72D297353CC}">
              <c16:uniqueId val="{00000001-F194-4772-86B2-495619881746}"/>
            </c:ext>
          </c:extLst>
        </c:ser>
        <c:ser>
          <c:idx val="2"/>
          <c:order val="2"/>
          <c:tx>
            <c:strRef>
              <c:f>PaLM_Q3!$F$6</c:f>
              <c:strCache>
                <c:ptCount val="1"/>
                <c:pt idx="0">
                  <c:v>Low Correct:</c:v>
                </c:pt>
              </c:strCache>
            </c:strRef>
          </c:tx>
          <c:spPr>
            <a:solidFill>
              <a:schemeClr val="accent6">
                <a:lumMod val="40000"/>
                <a:lumOff val="60000"/>
              </a:schemeClr>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PaLM_Q3!$F$7:$F$27</c:f>
              <c:numCache>
                <c:formatCode>General</c:formatCode>
                <c:ptCount val="21"/>
                <c:pt idx="0">
                  <c:v>0</c:v>
                </c:pt>
                <c:pt idx="1">
                  <c:v>1</c:v>
                </c:pt>
                <c:pt idx="2">
                  <c:v>0</c:v>
                </c:pt>
                <c:pt idx="3">
                  <c:v>0</c:v>
                </c:pt>
                <c:pt idx="4">
                  <c:v>0</c:v>
                </c:pt>
                <c:pt idx="5">
                  <c:v>0</c:v>
                </c:pt>
                <c:pt idx="6">
                  <c:v>2</c:v>
                </c:pt>
                <c:pt idx="7">
                  <c:v>0</c:v>
                </c:pt>
                <c:pt idx="8">
                  <c:v>1</c:v>
                </c:pt>
                <c:pt idx="9">
                  <c:v>2</c:v>
                </c:pt>
                <c:pt idx="10">
                  <c:v>2</c:v>
                </c:pt>
                <c:pt idx="11">
                  <c:v>1</c:v>
                </c:pt>
                <c:pt idx="12">
                  <c:v>3</c:v>
                </c:pt>
                <c:pt idx="13">
                  <c:v>3</c:v>
                </c:pt>
                <c:pt idx="14">
                  <c:v>2</c:v>
                </c:pt>
                <c:pt idx="15">
                  <c:v>1</c:v>
                </c:pt>
                <c:pt idx="16">
                  <c:v>1</c:v>
                </c:pt>
                <c:pt idx="17">
                  <c:v>0</c:v>
                </c:pt>
                <c:pt idx="18">
                  <c:v>2</c:v>
                </c:pt>
                <c:pt idx="19">
                  <c:v>1</c:v>
                </c:pt>
                <c:pt idx="20">
                  <c:v>1</c:v>
                </c:pt>
              </c:numCache>
            </c:numRef>
          </c:val>
          <c:extLst>
            <c:ext xmlns:c16="http://schemas.microsoft.com/office/drawing/2014/chart" uri="{C3380CC4-5D6E-409C-BE32-E72D297353CC}">
              <c16:uniqueId val="{00000002-F194-4772-86B2-495619881746}"/>
            </c:ext>
          </c:extLst>
        </c:ser>
        <c:ser>
          <c:idx val="3"/>
          <c:order val="3"/>
          <c:tx>
            <c:strRef>
              <c:f>PaLM_Q3!$G$6</c:f>
              <c:strCache>
                <c:ptCount val="1"/>
                <c:pt idx="0">
                  <c:v>High Maybe:</c:v>
                </c:pt>
              </c:strCache>
            </c:strRef>
          </c:tx>
          <c:spPr>
            <a:solidFill>
              <a:schemeClr val="accent2">
                <a:lumMod val="75000"/>
              </a:schemeClr>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PaLM_Q3!$G$7:$G$27</c:f>
              <c:numCache>
                <c:formatCode>General</c:formatCode>
                <c:ptCount val="21"/>
                <c:pt idx="0">
                  <c:v>1</c:v>
                </c:pt>
                <c:pt idx="1">
                  <c:v>0</c:v>
                </c:pt>
                <c:pt idx="2">
                  <c:v>1</c:v>
                </c:pt>
                <c:pt idx="3">
                  <c:v>2</c:v>
                </c:pt>
                <c:pt idx="4">
                  <c:v>1</c:v>
                </c:pt>
                <c:pt idx="5">
                  <c:v>1</c:v>
                </c:pt>
                <c:pt idx="6">
                  <c:v>3</c:v>
                </c:pt>
                <c:pt idx="7">
                  <c:v>3</c:v>
                </c:pt>
                <c:pt idx="8">
                  <c:v>3</c:v>
                </c:pt>
                <c:pt idx="9">
                  <c:v>0</c:v>
                </c:pt>
                <c:pt idx="10">
                  <c:v>3</c:v>
                </c:pt>
                <c:pt idx="11">
                  <c:v>0</c:v>
                </c:pt>
                <c:pt idx="12">
                  <c:v>1</c:v>
                </c:pt>
                <c:pt idx="13">
                  <c:v>1</c:v>
                </c:pt>
                <c:pt idx="14">
                  <c:v>2</c:v>
                </c:pt>
                <c:pt idx="15">
                  <c:v>0</c:v>
                </c:pt>
                <c:pt idx="16">
                  <c:v>0</c:v>
                </c:pt>
                <c:pt idx="17">
                  <c:v>4</c:v>
                </c:pt>
                <c:pt idx="18">
                  <c:v>1</c:v>
                </c:pt>
                <c:pt idx="19">
                  <c:v>3</c:v>
                </c:pt>
                <c:pt idx="20">
                  <c:v>0</c:v>
                </c:pt>
              </c:numCache>
            </c:numRef>
          </c:val>
          <c:extLst>
            <c:ext xmlns:c16="http://schemas.microsoft.com/office/drawing/2014/chart" uri="{C3380CC4-5D6E-409C-BE32-E72D297353CC}">
              <c16:uniqueId val="{00000003-F194-4772-86B2-495619881746}"/>
            </c:ext>
          </c:extLst>
        </c:ser>
        <c:ser>
          <c:idx val="4"/>
          <c:order val="4"/>
          <c:tx>
            <c:strRef>
              <c:f>PaLM_Q3!$H$6</c:f>
              <c:strCache>
                <c:ptCount val="1"/>
                <c:pt idx="0">
                  <c:v>Medium Maybe:</c:v>
                </c:pt>
              </c:strCache>
            </c:strRef>
          </c:tx>
          <c:spPr>
            <a:solidFill>
              <a:schemeClr val="accent2"/>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PaLM_Q3!$H$7:$H$27</c:f>
              <c:numCache>
                <c:formatCode>General</c:formatCode>
                <c:ptCount val="21"/>
                <c:pt idx="0">
                  <c:v>1</c:v>
                </c:pt>
                <c:pt idx="1">
                  <c:v>1</c:v>
                </c:pt>
                <c:pt idx="2">
                  <c:v>3</c:v>
                </c:pt>
                <c:pt idx="3">
                  <c:v>1</c:v>
                </c:pt>
                <c:pt idx="4">
                  <c:v>1</c:v>
                </c:pt>
                <c:pt idx="5">
                  <c:v>3</c:v>
                </c:pt>
                <c:pt idx="6">
                  <c:v>2</c:v>
                </c:pt>
                <c:pt idx="7">
                  <c:v>1</c:v>
                </c:pt>
                <c:pt idx="8">
                  <c:v>0</c:v>
                </c:pt>
                <c:pt idx="9">
                  <c:v>2</c:v>
                </c:pt>
                <c:pt idx="10">
                  <c:v>0</c:v>
                </c:pt>
                <c:pt idx="11">
                  <c:v>0</c:v>
                </c:pt>
                <c:pt idx="12">
                  <c:v>2</c:v>
                </c:pt>
                <c:pt idx="13">
                  <c:v>0</c:v>
                </c:pt>
                <c:pt idx="14">
                  <c:v>1</c:v>
                </c:pt>
                <c:pt idx="15">
                  <c:v>0</c:v>
                </c:pt>
                <c:pt idx="16">
                  <c:v>1</c:v>
                </c:pt>
                <c:pt idx="17">
                  <c:v>1</c:v>
                </c:pt>
                <c:pt idx="18">
                  <c:v>0</c:v>
                </c:pt>
                <c:pt idx="19">
                  <c:v>0</c:v>
                </c:pt>
                <c:pt idx="20">
                  <c:v>0</c:v>
                </c:pt>
              </c:numCache>
            </c:numRef>
          </c:val>
          <c:extLst>
            <c:ext xmlns:c16="http://schemas.microsoft.com/office/drawing/2014/chart" uri="{C3380CC4-5D6E-409C-BE32-E72D297353CC}">
              <c16:uniqueId val="{00000004-F194-4772-86B2-495619881746}"/>
            </c:ext>
          </c:extLst>
        </c:ser>
        <c:ser>
          <c:idx val="5"/>
          <c:order val="5"/>
          <c:tx>
            <c:strRef>
              <c:f>PaLM_Q3!$I$6</c:f>
              <c:strCache>
                <c:ptCount val="1"/>
                <c:pt idx="0">
                  <c:v>Low Maybe:</c:v>
                </c:pt>
              </c:strCache>
            </c:strRef>
          </c:tx>
          <c:spPr>
            <a:solidFill>
              <a:schemeClr val="accent2">
                <a:lumMod val="60000"/>
                <a:lumOff val="40000"/>
              </a:schemeClr>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PaLM_Q3!$I$7:$I$27</c:f>
              <c:numCache>
                <c:formatCode>General</c:formatCode>
                <c:ptCount val="21"/>
                <c:pt idx="0">
                  <c:v>0</c:v>
                </c:pt>
                <c:pt idx="1">
                  <c:v>0</c:v>
                </c:pt>
                <c:pt idx="2">
                  <c:v>0</c:v>
                </c:pt>
                <c:pt idx="3">
                  <c:v>1</c:v>
                </c:pt>
                <c:pt idx="4">
                  <c:v>0</c:v>
                </c:pt>
                <c:pt idx="5">
                  <c:v>0</c:v>
                </c:pt>
                <c:pt idx="6">
                  <c:v>1</c:v>
                </c:pt>
                <c:pt idx="7">
                  <c:v>0</c:v>
                </c:pt>
                <c:pt idx="8">
                  <c:v>3</c:v>
                </c:pt>
                <c:pt idx="9">
                  <c:v>0</c:v>
                </c:pt>
                <c:pt idx="10">
                  <c:v>0</c:v>
                </c:pt>
                <c:pt idx="11">
                  <c:v>0</c:v>
                </c:pt>
                <c:pt idx="12">
                  <c:v>1</c:v>
                </c:pt>
                <c:pt idx="13">
                  <c:v>0</c:v>
                </c:pt>
                <c:pt idx="14">
                  <c:v>0</c:v>
                </c:pt>
                <c:pt idx="15">
                  <c:v>0</c:v>
                </c:pt>
                <c:pt idx="16">
                  <c:v>1</c:v>
                </c:pt>
                <c:pt idx="17">
                  <c:v>1</c:v>
                </c:pt>
                <c:pt idx="18">
                  <c:v>2</c:v>
                </c:pt>
                <c:pt idx="19">
                  <c:v>2</c:v>
                </c:pt>
                <c:pt idx="20">
                  <c:v>0</c:v>
                </c:pt>
              </c:numCache>
            </c:numRef>
          </c:val>
          <c:extLst>
            <c:ext xmlns:c16="http://schemas.microsoft.com/office/drawing/2014/chart" uri="{C3380CC4-5D6E-409C-BE32-E72D297353CC}">
              <c16:uniqueId val="{00000005-F194-4772-86B2-495619881746}"/>
            </c:ext>
          </c:extLst>
        </c:ser>
        <c:ser>
          <c:idx val="6"/>
          <c:order val="6"/>
          <c:tx>
            <c:strRef>
              <c:f>PaLM_Q3!$J$6</c:f>
              <c:strCache>
                <c:ptCount val="1"/>
                <c:pt idx="0">
                  <c:v>Low Incorrect:</c:v>
                </c:pt>
              </c:strCache>
            </c:strRef>
          </c:tx>
          <c:spPr>
            <a:solidFill>
              <a:srgbClr val="F46868"/>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PaLM_Q3!$J$7:$J$27</c:f>
              <c:numCache>
                <c:formatCode>General</c:formatCode>
                <c:ptCount val="21"/>
                <c:pt idx="0">
                  <c:v>0</c:v>
                </c:pt>
                <c:pt idx="1">
                  <c:v>3</c:v>
                </c:pt>
                <c:pt idx="2">
                  <c:v>2</c:v>
                </c:pt>
                <c:pt idx="3">
                  <c:v>1</c:v>
                </c:pt>
                <c:pt idx="4">
                  <c:v>0</c:v>
                </c:pt>
                <c:pt idx="5">
                  <c:v>0</c:v>
                </c:pt>
                <c:pt idx="6">
                  <c:v>2</c:v>
                </c:pt>
                <c:pt idx="7">
                  <c:v>0</c:v>
                </c:pt>
                <c:pt idx="8">
                  <c:v>0</c:v>
                </c:pt>
                <c:pt idx="9">
                  <c:v>0</c:v>
                </c:pt>
                <c:pt idx="10">
                  <c:v>0</c:v>
                </c:pt>
                <c:pt idx="11">
                  <c:v>0</c:v>
                </c:pt>
                <c:pt idx="12">
                  <c:v>1</c:v>
                </c:pt>
                <c:pt idx="13">
                  <c:v>0</c:v>
                </c:pt>
                <c:pt idx="14">
                  <c:v>0</c:v>
                </c:pt>
                <c:pt idx="15">
                  <c:v>0</c:v>
                </c:pt>
                <c:pt idx="16">
                  <c:v>0</c:v>
                </c:pt>
                <c:pt idx="17">
                  <c:v>2</c:v>
                </c:pt>
                <c:pt idx="18">
                  <c:v>0</c:v>
                </c:pt>
                <c:pt idx="19">
                  <c:v>2</c:v>
                </c:pt>
                <c:pt idx="20">
                  <c:v>0</c:v>
                </c:pt>
              </c:numCache>
            </c:numRef>
          </c:val>
          <c:extLst>
            <c:ext xmlns:c16="http://schemas.microsoft.com/office/drawing/2014/chart" uri="{C3380CC4-5D6E-409C-BE32-E72D297353CC}">
              <c16:uniqueId val="{00000006-F194-4772-86B2-495619881746}"/>
            </c:ext>
          </c:extLst>
        </c:ser>
        <c:ser>
          <c:idx val="7"/>
          <c:order val="7"/>
          <c:tx>
            <c:strRef>
              <c:f>PaLM_Q3!$K$6</c:f>
              <c:strCache>
                <c:ptCount val="1"/>
                <c:pt idx="0">
                  <c:v>Medium Incorrect:</c:v>
                </c:pt>
              </c:strCache>
            </c:strRef>
          </c:tx>
          <c:spPr>
            <a:solidFill>
              <a:srgbClr val="EC2828"/>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PaLM_Q3!$K$7:$K$27</c:f>
              <c:numCache>
                <c:formatCode>General</c:formatCode>
                <c:ptCount val="21"/>
                <c:pt idx="0">
                  <c:v>1</c:v>
                </c:pt>
                <c:pt idx="1">
                  <c:v>1</c:v>
                </c:pt>
                <c:pt idx="2">
                  <c:v>0</c:v>
                </c:pt>
                <c:pt idx="3">
                  <c:v>0</c:v>
                </c:pt>
                <c:pt idx="4">
                  <c:v>1</c:v>
                </c:pt>
                <c:pt idx="5">
                  <c:v>0</c:v>
                </c:pt>
                <c:pt idx="6">
                  <c:v>1</c:v>
                </c:pt>
                <c:pt idx="7">
                  <c:v>0</c:v>
                </c:pt>
                <c:pt idx="8">
                  <c:v>0</c:v>
                </c:pt>
                <c:pt idx="9">
                  <c:v>0</c:v>
                </c:pt>
                <c:pt idx="10">
                  <c:v>0</c:v>
                </c:pt>
                <c:pt idx="11">
                  <c:v>0</c:v>
                </c:pt>
                <c:pt idx="12">
                  <c:v>0</c:v>
                </c:pt>
                <c:pt idx="13">
                  <c:v>0</c:v>
                </c:pt>
                <c:pt idx="14">
                  <c:v>0</c:v>
                </c:pt>
                <c:pt idx="15">
                  <c:v>0</c:v>
                </c:pt>
                <c:pt idx="16">
                  <c:v>0</c:v>
                </c:pt>
                <c:pt idx="17">
                  <c:v>3</c:v>
                </c:pt>
                <c:pt idx="18">
                  <c:v>1</c:v>
                </c:pt>
                <c:pt idx="19">
                  <c:v>0</c:v>
                </c:pt>
                <c:pt idx="20">
                  <c:v>0</c:v>
                </c:pt>
              </c:numCache>
            </c:numRef>
          </c:val>
          <c:extLst>
            <c:ext xmlns:c16="http://schemas.microsoft.com/office/drawing/2014/chart" uri="{C3380CC4-5D6E-409C-BE32-E72D297353CC}">
              <c16:uniqueId val="{00000007-F194-4772-86B2-495619881746}"/>
            </c:ext>
          </c:extLst>
        </c:ser>
        <c:ser>
          <c:idx val="8"/>
          <c:order val="8"/>
          <c:tx>
            <c:strRef>
              <c:f>PaLM_Q3!$L$6</c:f>
              <c:strCache>
                <c:ptCount val="1"/>
                <c:pt idx="0">
                  <c:v>High Incorrect:</c:v>
                </c:pt>
              </c:strCache>
            </c:strRef>
          </c:tx>
          <c:spPr>
            <a:solidFill>
              <a:srgbClr val="C00000"/>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PaLM_Q3!$L$7:$L$27</c:f>
              <c:numCache>
                <c:formatCode>General</c:formatCode>
                <c:ptCount val="21"/>
                <c:pt idx="0">
                  <c:v>4</c:v>
                </c:pt>
                <c:pt idx="1">
                  <c:v>3</c:v>
                </c:pt>
                <c:pt idx="2">
                  <c:v>7</c:v>
                </c:pt>
                <c:pt idx="3">
                  <c:v>3</c:v>
                </c:pt>
                <c:pt idx="4">
                  <c:v>4</c:v>
                </c:pt>
                <c:pt idx="5">
                  <c:v>3</c:v>
                </c:pt>
                <c:pt idx="6">
                  <c:v>4</c:v>
                </c:pt>
                <c:pt idx="7">
                  <c:v>3</c:v>
                </c:pt>
                <c:pt idx="8">
                  <c:v>1</c:v>
                </c:pt>
                <c:pt idx="9">
                  <c:v>3</c:v>
                </c:pt>
                <c:pt idx="10">
                  <c:v>0</c:v>
                </c:pt>
                <c:pt idx="11">
                  <c:v>2</c:v>
                </c:pt>
                <c:pt idx="12">
                  <c:v>0</c:v>
                </c:pt>
                <c:pt idx="13">
                  <c:v>4</c:v>
                </c:pt>
                <c:pt idx="14">
                  <c:v>2</c:v>
                </c:pt>
                <c:pt idx="15">
                  <c:v>2</c:v>
                </c:pt>
                <c:pt idx="16">
                  <c:v>2</c:v>
                </c:pt>
                <c:pt idx="17">
                  <c:v>4</c:v>
                </c:pt>
                <c:pt idx="18">
                  <c:v>0</c:v>
                </c:pt>
                <c:pt idx="19">
                  <c:v>5</c:v>
                </c:pt>
                <c:pt idx="20">
                  <c:v>8</c:v>
                </c:pt>
              </c:numCache>
            </c:numRef>
          </c:val>
          <c:extLst>
            <c:ext xmlns:c16="http://schemas.microsoft.com/office/drawing/2014/chart" uri="{C3380CC4-5D6E-409C-BE32-E72D297353CC}">
              <c16:uniqueId val="{00000008-F194-4772-86B2-495619881746}"/>
            </c:ext>
          </c:extLst>
        </c:ser>
        <c:ser>
          <c:idx val="9"/>
          <c:order val="9"/>
          <c:tx>
            <c:strRef>
              <c:f>PaLM_Q3!$M$6</c:f>
              <c:strCache>
                <c:ptCount val="1"/>
                <c:pt idx="0">
                  <c:v>N/A:</c:v>
                </c:pt>
              </c:strCache>
            </c:strRef>
          </c:tx>
          <c:spPr>
            <a:solidFill>
              <a:schemeClr val="bg2">
                <a:lumMod val="75000"/>
              </a:schemeClr>
            </a:solidFill>
            <a:ln>
              <a:noFill/>
            </a:ln>
            <a:effectLst/>
          </c:spPr>
          <c:invertIfNegative val="0"/>
          <c:cat>
            <c:strRef>
              <c:f>PaLM_Q3!$C$7:$C$27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PaLM_Q3!$M$7:$M$27</c:f>
              <c:numCache>
                <c:formatCode>General</c:formatCode>
                <c:ptCount val="21"/>
                <c:pt idx="0">
                  <c:v>2</c:v>
                </c:pt>
                <c:pt idx="1">
                  <c:v>0</c:v>
                </c:pt>
                <c:pt idx="2">
                  <c:v>1</c:v>
                </c:pt>
                <c:pt idx="3">
                  <c:v>5</c:v>
                </c:pt>
                <c:pt idx="4">
                  <c:v>3</c:v>
                </c:pt>
                <c:pt idx="5">
                  <c:v>1</c:v>
                </c:pt>
                <c:pt idx="6">
                  <c:v>1</c:v>
                </c:pt>
                <c:pt idx="7">
                  <c:v>2</c:v>
                </c:pt>
                <c:pt idx="8">
                  <c:v>2</c:v>
                </c:pt>
                <c:pt idx="9">
                  <c:v>3</c:v>
                </c:pt>
                <c:pt idx="10">
                  <c:v>2</c:v>
                </c:pt>
                <c:pt idx="11">
                  <c:v>2</c:v>
                </c:pt>
                <c:pt idx="12">
                  <c:v>2</c:v>
                </c:pt>
                <c:pt idx="13">
                  <c:v>2</c:v>
                </c:pt>
                <c:pt idx="14">
                  <c:v>1</c:v>
                </c:pt>
                <c:pt idx="15">
                  <c:v>2</c:v>
                </c:pt>
                <c:pt idx="16">
                  <c:v>7</c:v>
                </c:pt>
                <c:pt idx="17">
                  <c:v>2</c:v>
                </c:pt>
                <c:pt idx="18">
                  <c:v>4</c:v>
                </c:pt>
                <c:pt idx="19">
                  <c:v>2</c:v>
                </c:pt>
                <c:pt idx="20">
                  <c:v>9</c:v>
                </c:pt>
              </c:numCache>
            </c:numRef>
          </c:val>
          <c:extLst>
            <c:ext xmlns:c16="http://schemas.microsoft.com/office/drawing/2014/chart" uri="{C3380CC4-5D6E-409C-BE32-E72D297353CC}">
              <c16:uniqueId val="{00000009-F194-4772-86B2-495619881746}"/>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PaLM_Q3!$D$31</c:f>
              <c:strCache>
                <c:ptCount val="1"/>
                <c:pt idx="0">
                  <c:v>High Correct:</c:v>
                </c:pt>
              </c:strCache>
            </c:strRef>
          </c:tx>
          <c:spPr>
            <a:solidFill>
              <a:schemeClr val="accent6">
                <a:lumMod val="75000"/>
              </a:schemeClr>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PaLM_Q3!$D$32:$D$47</c:f>
              <c:numCache>
                <c:formatCode>General</c:formatCode>
                <c:ptCount val="16"/>
                <c:pt idx="0">
                  <c:v>14</c:v>
                </c:pt>
                <c:pt idx="1">
                  <c:v>7</c:v>
                </c:pt>
                <c:pt idx="2">
                  <c:v>12</c:v>
                </c:pt>
                <c:pt idx="3">
                  <c:v>10</c:v>
                </c:pt>
                <c:pt idx="4">
                  <c:v>10</c:v>
                </c:pt>
                <c:pt idx="5">
                  <c:v>3</c:v>
                </c:pt>
                <c:pt idx="6">
                  <c:v>9</c:v>
                </c:pt>
                <c:pt idx="7">
                  <c:v>7</c:v>
                </c:pt>
                <c:pt idx="8">
                  <c:v>4</c:v>
                </c:pt>
                <c:pt idx="9">
                  <c:v>7</c:v>
                </c:pt>
                <c:pt idx="10">
                  <c:v>8</c:v>
                </c:pt>
                <c:pt idx="11">
                  <c:v>14</c:v>
                </c:pt>
                <c:pt idx="12">
                  <c:v>3</c:v>
                </c:pt>
                <c:pt idx="13">
                  <c:v>5</c:v>
                </c:pt>
                <c:pt idx="14">
                  <c:v>1</c:v>
                </c:pt>
                <c:pt idx="15">
                  <c:v>8</c:v>
                </c:pt>
              </c:numCache>
            </c:numRef>
          </c:val>
          <c:extLst>
            <c:ext xmlns:c16="http://schemas.microsoft.com/office/drawing/2014/chart" uri="{C3380CC4-5D6E-409C-BE32-E72D297353CC}">
              <c16:uniqueId val="{00000000-698F-4CBD-91FF-D6769FF72E2D}"/>
            </c:ext>
          </c:extLst>
        </c:ser>
        <c:ser>
          <c:idx val="1"/>
          <c:order val="1"/>
          <c:tx>
            <c:strRef>
              <c:f>PaLM_Q3!$E$31</c:f>
              <c:strCache>
                <c:ptCount val="1"/>
                <c:pt idx="0">
                  <c:v>Medium Correct:</c:v>
                </c:pt>
              </c:strCache>
            </c:strRef>
          </c:tx>
          <c:spPr>
            <a:solidFill>
              <a:schemeClr val="accent6"/>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PaLM_Q3!$E$32:$E$47</c:f>
              <c:numCache>
                <c:formatCode>General</c:formatCode>
                <c:ptCount val="16"/>
                <c:pt idx="0">
                  <c:v>0</c:v>
                </c:pt>
                <c:pt idx="1">
                  <c:v>1</c:v>
                </c:pt>
                <c:pt idx="2">
                  <c:v>0</c:v>
                </c:pt>
                <c:pt idx="3">
                  <c:v>3</c:v>
                </c:pt>
                <c:pt idx="4">
                  <c:v>2</c:v>
                </c:pt>
                <c:pt idx="5">
                  <c:v>0</c:v>
                </c:pt>
                <c:pt idx="6">
                  <c:v>2</c:v>
                </c:pt>
                <c:pt idx="7">
                  <c:v>2</c:v>
                </c:pt>
                <c:pt idx="8">
                  <c:v>1</c:v>
                </c:pt>
                <c:pt idx="9">
                  <c:v>4</c:v>
                </c:pt>
                <c:pt idx="10">
                  <c:v>3</c:v>
                </c:pt>
                <c:pt idx="11">
                  <c:v>2</c:v>
                </c:pt>
                <c:pt idx="12">
                  <c:v>2</c:v>
                </c:pt>
                <c:pt idx="13">
                  <c:v>2</c:v>
                </c:pt>
                <c:pt idx="14">
                  <c:v>0</c:v>
                </c:pt>
                <c:pt idx="15">
                  <c:v>2</c:v>
                </c:pt>
              </c:numCache>
            </c:numRef>
          </c:val>
          <c:extLst>
            <c:ext xmlns:c16="http://schemas.microsoft.com/office/drawing/2014/chart" uri="{C3380CC4-5D6E-409C-BE32-E72D297353CC}">
              <c16:uniqueId val="{00000001-698F-4CBD-91FF-D6769FF72E2D}"/>
            </c:ext>
          </c:extLst>
        </c:ser>
        <c:ser>
          <c:idx val="2"/>
          <c:order val="2"/>
          <c:tx>
            <c:strRef>
              <c:f>PaLM_Q3!$F$31</c:f>
              <c:strCache>
                <c:ptCount val="1"/>
                <c:pt idx="0">
                  <c:v>Low Correct:</c:v>
                </c:pt>
              </c:strCache>
            </c:strRef>
          </c:tx>
          <c:spPr>
            <a:solidFill>
              <a:schemeClr val="accent6">
                <a:lumMod val="60000"/>
                <a:lumOff val="40000"/>
              </a:schemeClr>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PaLM_Q3!$F$32:$F$47</c:f>
              <c:numCache>
                <c:formatCode>General</c:formatCode>
                <c:ptCount val="16"/>
                <c:pt idx="0">
                  <c:v>0</c:v>
                </c:pt>
                <c:pt idx="1">
                  <c:v>0</c:v>
                </c:pt>
                <c:pt idx="2">
                  <c:v>2</c:v>
                </c:pt>
                <c:pt idx="3">
                  <c:v>0</c:v>
                </c:pt>
                <c:pt idx="4">
                  <c:v>0</c:v>
                </c:pt>
                <c:pt idx="5">
                  <c:v>1</c:v>
                </c:pt>
                <c:pt idx="6">
                  <c:v>1</c:v>
                </c:pt>
                <c:pt idx="7">
                  <c:v>2</c:v>
                </c:pt>
                <c:pt idx="8">
                  <c:v>4</c:v>
                </c:pt>
                <c:pt idx="9">
                  <c:v>0</c:v>
                </c:pt>
                <c:pt idx="10">
                  <c:v>0</c:v>
                </c:pt>
                <c:pt idx="11">
                  <c:v>0</c:v>
                </c:pt>
                <c:pt idx="12">
                  <c:v>3</c:v>
                </c:pt>
                <c:pt idx="13">
                  <c:v>1</c:v>
                </c:pt>
                <c:pt idx="14">
                  <c:v>0</c:v>
                </c:pt>
                <c:pt idx="15">
                  <c:v>1</c:v>
                </c:pt>
              </c:numCache>
            </c:numRef>
          </c:val>
          <c:extLst>
            <c:ext xmlns:c16="http://schemas.microsoft.com/office/drawing/2014/chart" uri="{C3380CC4-5D6E-409C-BE32-E72D297353CC}">
              <c16:uniqueId val="{00000002-698F-4CBD-91FF-D6769FF72E2D}"/>
            </c:ext>
          </c:extLst>
        </c:ser>
        <c:ser>
          <c:idx val="3"/>
          <c:order val="3"/>
          <c:tx>
            <c:strRef>
              <c:f>PaLM_Q3!$G$31</c:f>
              <c:strCache>
                <c:ptCount val="1"/>
                <c:pt idx="0">
                  <c:v>High Maybe:</c:v>
                </c:pt>
              </c:strCache>
            </c:strRef>
          </c:tx>
          <c:spPr>
            <a:solidFill>
              <a:schemeClr val="accent2">
                <a:lumMod val="75000"/>
              </a:schemeClr>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PaLM_Q3!$G$32:$G$47</c:f>
              <c:numCache>
                <c:formatCode>General</c:formatCode>
                <c:ptCount val="16"/>
                <c:pt idx="0">
                  <c:v>1</c:v>
                </c:pt>
                <c:pt idx="1">
                  <c:v>2</c:v>
                </c:pt>
                <c:pt idx="2">
                  <c:v>2</c:v>
                </c:pt>
                <c:pt idx="3">
                  <c:v>1</c:v>
                </c:pt>
                <c:pt idx="4">
                  <c:v>2</c:v>
                </c:pt>
                <c:pt idx="5">
                  <c:v>0</c:v>
                </c:pt>
                <c:pt idx="6">
                  <c:v>2</c:v>
                </c:pt>
                <c:pt idx="7">
                  <c:v>1</c:v>
                </c:pt>
                <c:pt idx="8">
                  <c:v>2</c:v>
                </c:pt>
                <c:pt idx="9">
                  <c:v>1</c:v>
                </c:pt>
                <c:pt idx="10">
                  <c:v>3</c:v>
                </c:pt>
                <c:pt idx="11">
                  <c:v>1</c:v>
                </c:pt>
                <c:pt idx="12">
                  <c:v>0</c:v>
                </c:pt>
                <c:pt idx="13">
                  <c:v>1</c:v>
                </c:pt>
                <c:pt idx="14">
                  <c:v>1</c:v>
                </c:pt>
                <c:pt idx="15">
                  <c:v>4</c:v>
                </c:pt>
              </c:numCache>
            </c:numRef>
          </c:val>
          <c:extLst>
            <c:ext xmlns:c16="http://schemas.microsoft.com/office/drawing/2014/chart" uri="{C3380CC4-5D6E-409C-BE32-E72D297353CC}">
              <c16:uniqueId val="{00000003-698F-4CBD-91FF-D6769FF72E2D}"/>
            </c:ext>
          </c:extLst>
        </c:ser>
        <c:ser>
          <c:idx val="4"/>
          <c:order val="4"/>
          <c:tx>
            <c:strRef>
              <c:f>PaLM_Q3!$H$31</c:f>
              <c:strCache>
                <c:ptCount val="1"/>
                <c:pt idx="0">
                  <c:v>Medium Maybe:</c:v>
                </c:pt>
              </c:strCache>
            </c:strRef>
          </c:tx>
          <c:spPr>
            <a:solidFill>
              <a:schemeClr val="accent2"/>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PaLM_Q3!$H$32:$H$47</c:f>
              <c:numCache>
                <c:formatCode>General</c:formatCode>
                <c:ptCount val="16"/>
                <c:pt idx="0">
                  <c:v>0</c:v>
                </c:pt>
                <c:pt idx="1">
                  <c:v>2</c:v>
                </c:pt>
                <c:pt idx="2">
                  <c:v>0</c:v>
                </c:pt>
                <c:pt idx="3">
                  <c:v>2</c:v>
                </c:pt>
                <c:pt idx="4">
                  <c:v>2</c:v>
                </c:pt>
                <c:pt idx="5">
                  <c:v>1</c:v>
                </c:pt>
                <c:pt idx="6">
                  <c:v>1</c:v>
                </c:pt>
                <c:pt idx="7">
                  <c:v>0</c:v>
                </c:pt>
                <c:pt idx="8">
                  <c:v>2</c:v>
                </c:pt>
                <c:pt idx="9">
                  <c:v>1</c:v>
                </c:pt>
                <c:pt idx="10">
                  <c:v>2</c:v>
                </c:pt>
                <c:pt idx="11">
                  <c:v>1</c:v>
                </c:pt>
                <c:pt idx="12">
                  <c:v>0</c:v>
                </c:pt>
                <c:pt idx="13">
                  <c:v>2</c:v>
                </c:pt>
                <c:pt idx="14">
                  <c:v>1</c:v>
                </c:pt>
                <c:pt idx="15">
                  <c:v>1</c:v>
                </c:pt>
              </c:numCache>
            </c:numRef>
          </c:val>
          <c:extLst>
            <c:ext xmlns:c16="http://schemas.microsoft.com/office/drawing/2014/chart" uri="{C3380CC4-5D6E-409C-BE32-E72D297353CC}">
              <c16:uniqueId val="{00000004-698F-4CBD-91FF-D6769FF72E2D}"/>
            </c:ext>
          </c:extLst>
        </c:ser>
        <c:ser>
          <c:idx val="5"/>
          <c:order val="5"/>
          <c:tx>
            <c:strRef>
              <c:f>PaLM_Q3!$I$31</c:f>
              <c:strCache>
                <c:ptCount val="1"/>
                <c:pt idx="0">
                  <c:v>Low Maybe:</c:v>
                </c:pt>
              </c:strCache>
            </c:strRef>
          </c:tx>
          <c:spPr>
            <a:solidFill>
              <a:schemeClr val="accent2">
                <a:lumMod val="60000"/>
                <a:lumOff val="40000"/>
              </a:schemeClr>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PaLM_Q3!$I$32:$I$47</c:f>
              <c:numCache>
                <c:formatCode>General</c:formatCode>
                <c:ptCount val="16"/>
                <c:pt idx="0">
                  <c:v>1</c:v>
                </c:pt>
                <c:pt idx="1">
                  <c:v>1</c:v>
                </c:pt>
                <c:pt idx="2">
                  <c:v>1</c:v>
                </c:pt>
                <c:pt idx="3">
                  <c:v>1</c:v>
                </c:pt>
                <c:pt idx="4">
                  <c:v>0</c:v>
                </c:pt>
                <c:pt idx="5">
                  <c:v>0</c:v>
                </c:pt>
                <c:pt idx="6">
                  <c:v>1</c:v>
                </c:pt>
                <c:pt idx="7">
                  <c:v>0</c:v>
                </c:pt>
                <c:pt idx="8">
                  <c:v>1</c:v>
                </c:pt>
                <c:pt idx="9">
                  <c:v>1</c:v>
                </c:pt>
                <c:pt idx="10">
                  <c:v>0</c:v>
                </c:pt>
                <c:pt idx="11">
                  <c:v>0</c:v>
                </c:pt>
                <c:pt idx="12">
                  <c:v>0</c:v>
                </c:pt>
                <c:pt idx="13">
                  <c:v>3</c:v>
                </c:pt>
                <c:pt idx="14">
                  <c:v>1</c:v>
                </c:pt>
                <c:pt idx="15">
                  <c:v>0</c:v>
                </c:pt>
              </c:numCache>
            </c:numRef>
          </c:val>
          <c:extLst>
            <c:ext xmlns:c16="http://schemas.microsoft.com/office/drawing/2014/chart" uri="{C3380CC4-5D6E-409C-BE32-E72D297353CC}">
              <c16:uniqueId val="{00000005-698F-4CBD-91FF-D6769FF72E2D}"/>
            </c:ext>
          </c:extLst>
        </c:ser>
        <c:ser>
          <c:idx val="6"/>
          <c:order val="6"/>
          <c:tx>
            <c:strRef>
              <c:f>PaLM_Q3!$J$31</c:f>
              <c:strCache>
                <c:ptCount val="1"/>
                <c:pt idx="0">
                  <c:v>Low Incorrect:</c:v>
                </c:pt>
              </c:strCache>
            </c:strRef>
          </c:tx>
          <c:spPr>
            <a:solidFill>
              <a:srgbClr val="F46868"/>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PaLM_Q3!$J$32:$J$47</c:f>
              <c:numCache>
                <c:formatCode>General</c:formatCode>
                <c:ptCount val="16"/>
                <c:pt idx="0">
                  <c:v>0</c:v>
                </c:pt>
                <c:pt idx="1">
                  <c:v>0</c:v>
                </c:pt>
                <c:pt idx="2">
                  <c:v>1</c:v>
                </c:pt>
                <c:pt idx="3">
                  <c:v>1</c:v>
                </c:pt>
                <c:pt idx="4">
                  <c:v>1</c:v>
                </c:pt>
                <c:pt idx="5">
                  <c:v>1</c:v>
                </c:pt>
                <c:pt idx="6">
                  <c:v>0</c:v>
                </c:pt>
                <c:pt idx="7">
                  <c:v>2</c:v>
                </c:pt>
                <c:pt idx="8">
                  <c:v>1</c:v>
                </c:pt>
                <c:pt idx="9">
                  <c:v>3</c:v>
                </c:pt>
                <c:pt idx="10">
                  <c:v>1</c:v>
                </c:pt>
                <c:pt idx="11">
                  <c:v>0</c:v>
                </c:pt>
                <c:pt idx="12">
                  <c:v>1</c:v>
                </c:pt>
                <c:pt idx="13">
                  <c:v>0</c:v>
                </c:pt>
                <c:pt idx="14">
                  <c:v>0</c:v>
                </c:pt>
                <c:pt idx="15">
                  <c:v>0</c:v>
                </c:pt>
              </c:numCache>
            </c:numRef>
          </c:val>
          <c:extLst>
            <c:ext xmlns:c16="http://schemas.microsoft.com/office/drawing/2014/chart" uri="{C3380CC4-5D6E-409C-BE32-E72D297353CC}">
              <c16:uniqueId val="{00000006-698F-4CBD-91FF-D6769FF72E2D}"/>
            </c:ext>
          </c:extLst>
        </c:ser>
        <c:ser>
          <c:idx val="7"/>
          <c:order val="7"/>
          <c:tx>
            <c:strRef>
              <c:f>PaLM_Q3!$K$31</c:f>
              <c:strCache>
                <c:ptCount val="1"/>
                <c:pt idx="0">
                  <c:v>Medium Incorrect:</c:v>
                </c:pt>
              </c:strCache>
            </c:strRef>
          </c:tx>
          <c:spPr>
            <a:solidFill>
              <a:srgbClr val="EC2828"/>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PaLM_Q3!$K$32:$K$47</c:f>
              <c:numCache>
                <c:formatCode>General</c:formatCode>
                <c:ptCount val="16"/>
                <c:pt idx="0">
                  <c:v>0</c:v>
                </c:pt>
                <c:pt idx="1">
                  <c:v>1</c:v>
                </c:pt>
                <c:pt idx="2">
                  <c:v>0</c:v>
                </c:pt>
                <c:pt idx="3">
                  <c:v>0</c:v>
                </c:pt>
                <c:pt idx="4">
                  <c:v>2</c:v>
                </c:pt>
                <c:pt idx="5">
                  <c:v>0</c:v>
                </c:pt>
                <c:pt idx="6">
                  <c:v>0</c:v>
                </c:pt>
                <c:pt idx="7">
                  <c:v>0</c:v>
                </c:pt>
                <c:pt idx="8">
                  <c:v>0</c:v>
                </c:pt>
                <c:pt idx="9">
                  <c:v>1</c:v>
                </c:pt>
                <c:pt idx="10">
                  <c:v>1</c:v>
                </c:pt>
                <c:pt idx="11">
                  <c:v>1</c:v>
                </c:pt>
                <c:pt idx="12">
                  <c:v>2</c:v>
                </c:pt>
                <c:pt idx="13">
                  <c:v>0</c:v>
                </c:pt>
                <c:pt idx="14">
                  <c:v>0</c:v>
                </c:pt>
                <c:pt idx="15">
                  <c:v>0</c:v>
                </c:pt>
              </c:numCache>
            </c:numRef>
          </c:val>
          <c:extLst>
            <c:ext xmlns:c16="http://schemas.microsoft.com/office/drawing/2014/chart" uri="{C3380CC4-5D6E-409C-BE32-E72D297353CC}">
              <c16:uniqueId val="{00000007-698F-4CBD-91FF-D6769FF72E2D}"/>
            </c:ext>
          </c:extLst>
        </c:ser>
        <c:ser>
          <c:idx val="8"/>
          <c:order val="8"/>
          <c:tx>
            <c:strRef>
              <c:f>PaLM_Q3!$L$31</c:f>
              <c:strCache>
                <c:ptCount val="1"/>
                <c:pt idx="0">
                  <c:v>High Incorrect:</c:v>
                </c:pt>
              </c:strCache>
            </c:strRef>
          </c:tx>
          <c:spPr>
            <a:solidFill>
              <a:srgbClr val="C00000"/>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PaLM_Q3!$L$32:$L$47</c:f>
              <c:numCache>
                <c:formatCode>General</c:formatCode>
                <c:ptCount val="16"/>
                <c:pt idx="0">
                  <c:v>0</c:v>
                </c:pt>
                <c:pt idx="1">
                  <c:v>4</c:v>
                </c:pt>
                <c:pt idx="2">
                  <c:v>0</c:v>
                </c:pt>
                <c:pt idx="3">
                  <c:v>3</c:v>
                </c:pt>
                <c:pt idx="4">
                  <c:v>1</c:v>
                </c:pt>
                <c:pt idx="5">
                  <c:v>0</c:v>
                </c:pt>
                <c:pt idx="6">
                  <c:v>3</c:v>
                </c:pt>
                <c:pt idx="7">
                  <c:v>4</c:v>
                </c:pt>
                <c:pt idx="8">
                  <c:v>3</c:v>
                </c:pt>
                <c:pt idx="9">
                  <c:v>2</c:v>
                </c:pt>
                <c:pt idx="10">
                  <c:v>3</c:v>
                </c:pt>
                <c:pt idx="11">
                  <c:v>1</c:v>
                </c:pt>
                <c:pt idx="12">
                  <c:v>6</c:v>
                </c:pt>
                <c:pt idx="13">
                  <c:v>7</c:v>
                </c:pt>
                <c:pt idx="14">
                  <c:v>14</c:v>
                </c:pt>
                <c:pt idx="15">
                  <c:v>0</c:v>
                </c:pt>
              </c:numCache>
            </c:numRef>
          </c:val>
          <c:extLst>
            <c:ext xmlns:c16="http://schemas.microsoft.com/office/drawing/2014/chart" uri="{C3380CC4-5D6E-409C-BE32-E72D297353CC}">
              <c16:uniqueId val="{00000008-698F-4CBD-91FF-D6769FF72E2D}"/>
            </c:ext>
          </c:extLst>
        </c:ser>
        <c:ser>
          <c:idx val="9"/>
          <c:order val="9"/>
          <c:tx>
            <c:strRef>
              <c:f>PaLM_Q3!$M$31</c:f>
              <c:strCache>
                <c:ptCount val="1"/>
                <c:pt idx="0">
                  <c:v>N/A:</c:v>
                </c:pt>
              </c:strCache>
            </c:strRef>
          </c:tx>
          <c:spPr>
            <a:solidFill>
              <a:schemeClr val="bg2">
                <a:lumMod val="75000"/>
              </a:schemeClr>
            </a:solidFill>
            <a:ln>
              <a:noFill/>
            </a:ln>
            <a:effectLst/>
          </c:spPr>
          <c:invertIfNegative val="0"/>
          <c:cat>
            <c:strRef>
              <c:f>PaLM_Q3!$C$32:$C$47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PaLM_Q3!$M$32:$M$47</c:f>
              <c:numCache>
                <c:formatCode>General</c:formatCode>
                <c:ptCount val="16"/>
                <c:pt idx="0">
                  <c:v>5</c:v>
                </c:pt>
                <c:pt idx="1">
                  <c:v>3</c:v>
                </c:pt>
                <c:pt idx="2">
                  <c:v>3</c:v>
                </c:pt>
                <c:pt idx="3">
                  <c:v>0</c:v>
                </c:pt>
                <c:pt idx="4">
                  <c:v>1</c:v>
                </c:pt>
                <c:pt idx="5">
                  <c:v>15</c:v>
                </c:pt>
                <c:pt idx="6">
                  <c:v>2</c:v>
                </c:pt>
                <c:pt idx="7">
                  <c:v>3</c:v>
                </c:pt>
                <c:pt idx="8">
                  <c:v>3</c:v>
                </c:pt>
                <c:pt idx="9">
                  <c:v>1</c:v>
                </c:pt>
                <c:pt idx="10">
                  <c:v>0</c:v>
                </c:pt>
                <c:pt idx="11">
                  <c:v>1</c:v>
                </c:pt>
                <c:pt idx="12">
                  <c:v>4</c:v>
                </c:pt>
                <c:pt idx="13">
                  <c:v>0</c:v>
                </c:pt>
                <c:pt idx="14">
                  <c:v>3</c:v>
                </c:pt>
                <c:pt idx="15">
                  <c:v>5</c:v>
                </c:pt>
              </c:numCache>
            </c:numRef>
          </c:val>
          <c:extLst>
            <c:ext xmlns:c16="http://schemas.microsoft.com/office/drawing/2014/chart" uri="{C3380CC4-5D6E-409C-BE32-E72D297353CC}">
              <c16:uniqueId val="{00000009-698F-4CBD-91FF-D6769FF72E2D}"/>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PaLM_Total!$D$6</c:f>
              <c:strCache>
                <c:ptCount val="1"/>
                <c:pt idx="0">
                  <c:v>High Correct:</c:v>
                </c:pt>
              </c:strCache>
            </c:strRef>
          </c:tx>
          <c:spPr>
            <a:solidFill>
              <a:schemeClr val="accent6">
                <a:lumMod val="75000"/>
              </a:schemeClr>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PaLM_Total!$D$7:$D$27</c:f>
              <c:numCache>
                <c:formatCode>General</c:formatCode>
                <c:ptCount val="21"/>
                <c:pt idx="0">
                  <c:v>26</c:v>
                </c:pt>
                <c:pt idx="1">
                  <c:v>26</c:v>
                </c:pt>
                <c:pt idx="2">
                  <c:v>7</c:v>
                </c:pt>
                <c:pt idx="3">
                  <c:v>20</c:v>
                </c:pt>
                <c:pt idx="4">
                  <c:v>19</c:v>
                </c:pt>
                <c:pt idx="5">
                  <c:v>19</c:v>
                </c:pt>
                <c:pt idx="6">
                  <c:v>8</c:v>
                </c:pt>
                <c:pt idx="7">
                  <c:v>26</c:v>
                </c:pt>
                <c:pt idx="8">
                  <c:v>23</c:v>
                </c:pt>
                <c:pt idx="9">
                  <c:v>22</c:v>
                </c:pt>
                <c:pt idx="10">
                  <c:v>40</c:v>
                </c:pt>
                <c:pt idx="11">
                  <c:v>25</c:v>
                </c:pt>
                <c:pt idx="12">
                  <c:v>28</c:v>
                </c:pt>
                <c:pt idx="13">
                  <c:v>27</c:v>
                </c:pt>
                <c:pt idx="14">
                  <c:v>28</c:v>
                </c:pt>
                <c:pt idx="15">
                  <c:v>32</c:v>
                </c:pt>
                <c:pt idx="16">
                  <c:v>2</c:v>
                </c:pt>
                <c:pt idx="17">
                  <c:v>3</c:v>
                </c:pt>
                <c:pt idx="18">
                  <c:v>1</c:v>
                </c:pt>
                <c:pt idx="19">
                  <c:v>9</c:v>
                </c:pt>
                <c:pt idx="20">
                  <c:v>2</c:v>
                </c:pt>
              </c:numCache>
            </c:numRef>
          </c:val>
          <c:extLst>
            <c:ext xmlns:c16="http://schemas.microsoft.com/office/drawing/2014/chart" uri="{C3380CC4-5D6E-409C-BE32-E72D297353CC}">
              <c16:uniqueId val="{00000000-3C1D-4658-A41F-A36B01D2A316}"/>
            </c:ext>
          </c:extLst>
        </c:ser>
        <c:ser>
          <c:idx val="1"/>
          <c:order val="1"/>
          <c:tx>
            <c:strRef>
              <c:f>PaLM_Total!$E$6</c:f>
              <c:strCache>
                <c:ptCount val="1"/>
                <c:pt idx="0">
                  <c:v>Medium Correct:</c:v>
                </c:pt>
              </c:strCache>
            </c:strRef>
          </c:tx>
          <c:spPr>
            <a:solidFill>
              <a:schemeClr val="accent6"/>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PaLM_Total!$E$7:$E$27</c:f>
              <c:numCache>
                <c:formatCode>General</c:formatCode>
                <c:ptCount val="21"/>
                <c:pt idx="0">
                  <c:v>1</c:v>
                </c:pt>
                <c:pt idx="1">
                  <c:v>2</c:v>
                </c:pt>
                <c:pt idx="2">
                  <c:v>1</c:v>
                </c:pt>
                <c:pt idx="3">
                  <c:v>0</c:v>
                </c:pt>
                <c:pt idx="4">
                  <c:v>6</c:v>
                </c:pt>
                <c:pt idx="5">
                  <c:v>0</c:v>
                </c:pt>
                <c:pt idx="6">
                  <c:v>3</c:v>
                </c:pt>
                <c:pt idx="7">
                  <c:v>1</c:v>
                </c:pt>
                <c:pt idx="8">
                  <c:v>9</c:v>
                </c:pt>
                <c:pt idx="9">
                  <c:v>1</c:v>
                </c:pt>
                <c:pt idx="10">
                  <c:v>2</c:v>
                </c:pt>
                <c:pt idx="11">
                  <c:v>3</c:v>
                </c:pt>
                <c:pt idx="12">
                  <c:v>4</c:v>
                </c:pt>
                <c:pt idx="13">
                  <c:v>1</c:v>
                </c:pt>
                <c:pt idx="14">
                  <c:v>3</c:v>
                </c:pt>
                <c:pt idx="15">
                  <c:v>2</c:v>
                </c:pt>
                <c:pt idx="16">
                  <c:v>20</c:v>
                </c:pt>
                <c:pt idx="17">
                  <c:v>3</c:v>
                </c:pt>
                <c:pt idx="18">
                  <c:v>23</c:v>
                </c:pt>
                <c:pt idx="19">
                  <c:v>1</c:v>
                </c:pt>
                <c:pt idx="20">
                  <c:v>0</c:v>
                </c:pt>
              </c:numCache>
            </c:numRef>
          </c:val>
          <c:extLst>
            <c:ext xmlns:c16="http://schemas.microsoft.com/office/drawing/2014/chart" uri="{C3380CC4-5D6E-409C-BE32-E72D297353CC}">
              <c16:uniqueId val="{00000001-3C1D-4658-A41F-A36B01D2A316}"/>
            </c:ext>
          </c:extLst>
        </c:ser>
        <c:ser>
          <c:idx val="2"/>
          <c:order val="2"/>
          <c:tx>
            <c:strRef>
              <c:f>PaLM_Total!$F$6</c:f>
              <c:strCache>
                <c:ptCount val="1"/>
                <c:pt idx="0">
                  <c:v>Low Correct:</c:v>
                </c:pt>
              </c:strCache>
            </c:strRef>
          </c:tx>
          <c:spPr>
            <a:solidFill>
              <a:schemeClr val="accent6">
                <a:lumMod val="60000"/>
                <a:lumOff val="40000"/>
              </a:schemeClr>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PaLM_Total!$F$7:$F$27</c:f>
              <c:numCache>
                <c:formatCode>General</c:formatCode>
                <c:ptCount val="21"/>
                <c:pt idx="0">
                  <c:v>1</c:v>
                </c:pt>
                <c:pt idx="1">
                  <c:v>1</c:v>
                </c:pt>
                <c:pt idx="2">
                  <c:v>1</c:v>
                </c:pt>
                <c:pt idx="3">
                  <c:v>2</c:v>
                </c:pt>
                <c:pt idx="4">
                  <c:v>2</c:v>
                </c:pt>
                <c:pt idx="5">
                  <c:v>4</c:v>
                </c:pt>
                <c:pt idx="6">
                  <c:v>4</c:v>
                </c:pt>
                <c:pt idx="7">
                  <c:v>1</c:v>
                </c:pt>
                <c:pt idx="8">
                  <c:v>1</c:v>
                </c:pt>
                <c:pt idx="9">
                  <c:v>6</c:v>
                </c:pt>
                <c:pt idx="10">
                  <c:v>4</c:v>
                </c:pt>
                <c:pt idx="11">
                  <c:v>3</c:v>
                </c:pt>
                <c:pt idx="12">
                  <c:v>6</c:v>
                </c:pt>
                <c:pt idx="13">
                  <c:v>3</c:v>
                </c:pt>
                <c:pt idx="14">
                  <c:v>3</c:v>
                </c:pt>
                <c:pt idx="15">
                  <c:v>2</c:v>
                </c:pt>
                <c:pt idx="16">
                  <c:v>1</c:v>
                </c:pt>
                <c:pt idx="17">
                  <c:v>1</c:v>
                </c:pt>
                <c:pt idx="18">
                  <c:v>4</c:v>
                </c:pt>
                <c:pt idx="19">
                  <c:v>2</c:v>
                </c:pt>
                <c:pt idx="20">
                  <c:v>2</c:v>
                </c:pt>
              </c:numCache>
            </c:numRef>
          </c:val>
          <c:extLst>
            <c:ext xmlns:c16="http://schemas.microsoft.com/office/drawing/2014/chart" uri="{C3380CC4-5D6E-409C-BE32-E72D297353CC}">
              <c16:uniqueId val="{00000002-3C1D-4658-A41F-A36B01D2A316}"/>
            </c:ext>
          </c:extLst>
        </c:ser>
        <c:ser>
          <c:idx val="3"/>
          <c:order val="3"/>
          <c:tx>
            <c:strRef>
              <c:f>PaLM_Total!$G$6</c:f>
              <c:strCache>
                <c:ptCount val="1"/>
                <c:pt idx="0">
                  <c:v>High Maybe:</c:v>
                </c:pt>
              </c:strCache>
            </c:strRef>
          </c:tx>
          <c:spPr>
            <a:solidFill>
              <a:schemeClr val="accent2">
                <a:lumMod val="75000"/>
              </a:schemeClr>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PaLM_Total!$G$7:$G$27</c:f>
              <c:numCache>
                <c:formatCode>General</c:formatCode>
                <c:ptCount val="21"/>
                <c:pt idx="0">
                  <c:v>3</c:v>
                </c:pt>
                <c:pt idx="1">
                  <c:v>5</c:v>
                </c:pt>
                <c:pt idx="2">
                  <c:v>9</c:v>
                </c:pt>
                <c:pt idx="3">
                  <c:v>4</c:v>
                </c:pt>
                <c:pt idx="4">
                  <c:v>3</c:v>
                </c:pt>
                <c:pt idx="5">
                  <c:v>4</c:v>
                </c:pt>
                <c:pt idx="6">
                  <c:v>4</c:v>
                </c:pt>
                <c:pt idx="7">
                  <c:v>4</c:v>
                </c:pt>
                <c:pt idx="8">
                  <c:v>6</c:v>
                </c:pt>
                <c:pt idx="9">
                  <c:v>6</c:v>
                </c:pt>
                <c:pt idx="10">
                  <c:v>3</c:v>
                </c:pt>
                <c:pt idx="11">
                  <c:v>2</c:v>
                </c:pt>
                <c:pt idx="12">
                  <c:v>2</c:v>
                </c:pt>
                <c:pt idx="13">
                  <c:v>4</c:v>
                </c:pt>
                <c:pt idx="14">
                  <c:v>6</c:v>
                </c:pt>
                <c:pt idx="15">
                  <c:v>2</c:v>
                </c:pt>
                <c:pt idx="16">
                  <c:v>1</c:v>
                </c:pt>
                <c:pt idx="17">
                  <c:v>7</c:v>
                </c:pt>
                <c:pt idx="18">
                  <c:v>3</c:v>
                </c:pt>
                <c:pt idx="19">
                  <c:v>8</c:v>
                </c:pt>
                <c:pt idx="20">
                  <c:v>2</c:v>
                </c:pt>
              </c:numCache>
            </c:numRef>
          </c:val>
          <c:extLst>
            <c:ext xmlns:c16="http://schemas.microsoft.com/office/drawing/2014/chart" uri="{C3380CC4-5D6E-409C-BE32-E72D297353CC}">
              <c16:uniqueId val="{00000003-3C1D-4658-A41F-A36B01D2A316}"/>
            </c:ext>
          </c:extLst>
        </c:ser>
        <c:ser>
          <c:idx val="4"/>
          <c:order val="4"/>
          <c:tx>
            <c:strRef>
              <c:f>PaLM_Total!$H$6</c:f>
              <c:strCache>
                <c:ptCount val="1"/>
                <c:pt idx="0">
                  <c:v>Medium Maybe:</c:v>
                </c:pt>
              </c:strCache>
            </c:strRef>
          </c:tx>
          <c:spPr>
            <a:solidFill>
              <a:schemeClr val="accent2"/>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PaLM_Total!$H$7:$H$27</c:f>
              <c:numCache>
                <c:formatCode>General</c:formatCode>
                <c:ptCount val="21"/>
                <c:pt idx="0">
                  <c:v>1</c:v>
                </c:pt>
                <c:pt idx="1">
                  <c:v>1</c:v>
                </c:pt>
                <c:pt idx="2">
                  <c:v>9</c:v>
                </c:pt>
                <c:pt idx="3">
                  <c:v>5</c:v>
                </c:pt>
                <c:pt idx="4">
                  <c:v>1</c:v>
                </c:pt>
                <c:pt idx="5">
                  <c:v>7</c:v>
                </c:pt>
                <c:pt idx="6">
                  <c:v>4</c:v>
                </c:pt>
                <c:pt idx="7">
                  <c:v>2</c:v>
                </c:pt>
                <c:pt idx="8">
                  <c:v>1</c:v>
                </c:pt>
                <c:pt idx="9">
                  <c:v>2</c:v>
                </c:pt>
                <c:pt idx="10">
                  <c:v>0</c:v>
                </c:pt>
                <c:pt idx="11">
                  <c:v>5</c:v>
                </c:pt>
                <c:pt idx="12">
                  <c:v>2</c:v>
                </c:pt>
                <c:pt idx="13">
                  <c:v>1</c:v>
                </c:pt>
                <c:pt idx="14">
                  <c:v>4</c:v>
                </c:pt>
                <c:pt idx="15">
                  <c:v>2</c:v>
                </c:pt>
                <c:pt idx="16">
                  <c:v>2</c:v>
                </c:pt>
                <c:pt idx="17">
                  <c:v>7</c:v>
                </c:pt>
                <c:pt idx="18">
                  <c:v>2</c:v>
                </c:pt>
                <c:pt idx="19">
                  <c:v>11</c:v>
                </c:pt>
                <c:pt idx="20">
                  <c:v>0</c:v>
                </c:pt>
              </c:numCache>
            </c:numRef>
          </c:val>
          <c:extLst>
            <c:ext xmlns:c16="http://schemas.microsoft.com/office/drawing/2014/chart" uri="{C3380CC4-5D6E-409C-BE32-E72D297353CC}">
              <c16:uniqueId val="{00000004-3C1D-4658-A41F-A36B01D2A316}"/>
            </c:ext>
          </c:extLst>
        </c:ser>
        <c:ser>
          <c:idx val="5"/>
          <c:order val="5"/>
          <c:tx>
            <c:strRef>
              <c:f>PaLM_Total!$I$6</c:f>
              <c:strCache>
                <c:ptCount val="1"/>
                <c:pt idx="0">
                  <c:v>Low Maybe:</c:v>
                </c:pt>
              </c:strCache>
            </c:strRef>
          </c:tx>
          <c:spPr>
            <a:solidFill>
              <a:schemeClr val="accent2">
                <a:lumMod val="60000"/>
                <a:lumOff val="40000"/>
              </a:schemeClr>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PaLM_Total!$I$7:$I$27</c:f>
              <c:numCache>
                <c:formatCode>General</c:formatCode>
                <c:ptCount val="21"/>
                <c:pt idx="0">
                  <c:v>1</c:v>
                </c:pt>
                <c:pt idx="1">
                  <c:v>2</c:v>
                </c:pt>
                <c:pt idx="2">
                  <c:v>3</c:v>
                </c:pt>
                <c:pt idx="3">
                  <c:v>1</c:v>
                </c:pt>
                <c:pt idx="4">
                  <c:v>1</c:v>
                </c:pt>
                <c:pt idx="5">
                  <c:v>1</c:v>
                </c:pt>
                <c:pt idx="6">
                  <c:v>2</c:v>
                </c:pt>
                <c:pt idx="7">
                  <c:v>0</c:v>
                </c:pt>
                <c:pt idx="8">
                  <c:v>3</c:v>
                </c:pt>
                <c:pt idx="9">
                  <c:v>0</c:v>
                </c:pt>
                <c:pt idx="10">
                  <c:v>0</c:v>
                </c:pt>
                <c:pt idx="11">
                  <c:v>1</c:v>
                </c:pt>
                <c:pt idx="12">
                  <c:v>1</c:v>
                </c:pt>
                <c:pt idx="13">
                  <c:v>1</c:v>
                </c:pt>
                <c:pt idx="14">
                  <c:v>0</c:v>
                </c:pt>
                <c:pt idx="15">
                  <c:v>1</c:v>
                </c:pt>
                <c:pt idx="16">
                  <c:v>1</c:v>
                </c:pt>
                <c:pt idx="17">
                  <c:v>4</c:v>
                </c:pt>
                <c:pt idx="18">
                  <c:v>2</c:v>
                </c:pt>
                <c:pt idx="19">
                  <c:v>2</c:v>
                </c:pt>
                <c:pt idx="20">
                  <c:v>1</c:v>
                </c:pt>
              </c:numCache>
            </c:numRef>
          </c:val>
          <c:extLst>
            <c:ext xmlns:c16="http://schemas.microsoft.com/office/drawing/2014/chart" uri="{C3380CC4-5D6E-409C-BE32-E72D297353CC}">
              <c16:uniqueId val="{00000005-3C1D-4658-A41F-A36B01D2A316}"/>
            </c:ext>
          </c:extLst>
        </c:ser>
        <c:ser>
          <c:idx val="6"/>
          <c:order val="6"/>
          <c:tx>
            <c:strRef>
              <c:f>PaLM_Total!$J$6</c:f>
              <c:strCache>
                <c:ptCount val="1"/>
                <c:pt idx="0">
                  <c:v>Low Incorrect:</c:v>
                </c:pt>
              </c:strCache>
            </c:strRef>
          </c:tx>
          <c:spPr>
            <a:solidFill>
              <a:srgbClr val="F46868"/>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PaLM_Total!$J$7:$J$27</c:f>
              <c:numCache>
                <c:formatCode>General</c:formatCode>
                <c:ptCount val="21"/>
                <c:pt idx="0">
                  <c:v>0</c:v>
                </c:pt>
                <c:pt idx="1">
                  <c:v>4</c:v>
                </c:pt>
                <c:pt idx="2">
                  <c:v>2</c:v>
                </c:pt>
                <c:pt idx="3">
                  <c:v>1</c:v>
                </c:pt>
                <c:pt idx="4">
                  <c:v>1</c:v>
                </c:pt>
                <c:pt idx="5">
                  <c:v>1</c:v>
                </c:pt>
                <c:pt idx="6">
                  <c:v>8</c:v>
                </c:pt>
                <c:pt idx="7">
                  <c:v>1</c:v>
                </c:pt>
                <c:pt idx="8">
                  <c:v>0</c:v>
                </c:pt>
                <c:pt idx="9">
                  <c:v>2</c:v>
                </c:pt>
                <c:pt idx="10">
                  <c:v>1</c:v>
                </c:pt>
                <c:pt idx="11">
                  <c:v>1</c:v>
                </c:pt>
                <c:pt idx="12">
                  <c:v>2</c:v>
                </c:pt>
                <c:pt idx="13">
                  <c:v>1</c:v>
                </c:pt>
                <c:pt idx="14">
                  <c:v>0</c:v>
                </c:pt>
                <c:pt idx="15">
                  <c:v>1</c:v>
                </c:pt>
                <c:pt idx="16">
                  <c:v>1</c:v>
                </c:pt>
                <c:pt idx="17">
                  <c:v>5</c:v>
                </c:pt>
                <c:pt idx="18">
                  <c:v>1</c:v>
                </c:pt>
                <c:pt idx="19">
                  <c:v>2</c:v>
                </c:pt>
                <c:pt idx="20">
                  <c:v>1</c:v>
                </c:pt>
              </c:numCache>
            </c:numRef>
          </c:val>
          <c:extLst>
            <c:ext xmlns:c16="http://schemas.microsoft.com/office/drawing/2014/chart" uri="{C3380CC4-5D6E-409C-BE32-E72D297353CC}">
              <c16:uniqueId val="{00000006-3C1D-4658-A41F-A36B01D2A316}"/>
            </c:ext>
          </c:extLst>
        </c:ser>
        <c:ser>
          <c:idx val="7"/>
          <c:order val="7"/>
          <c:tx>
            <c:strRef>
              <c:f>PaLM_Total!$K$6</c:f>
              <c:strCache>
                <c:ptCount val="1"/>
                <c:pt idx="0">
                  <c:v>Medium Incorrect:</c:v>
                </c:pt>
              </c:strCache>
            </c:strRef>
          </c:tx>
          <c:spPr>
            <a:solidFill>
              <a:srgbClr val="EC2828"/>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PaLM_Total!$K$7:$K$27</c:f>
              <c:numCache>
                <c:formatCode>General</c:formatCode>
                <c:ptCount val="21"/>
                <c:pt idx="0">
                  <c:v>4</c:v>
                </c:pt>
                <c:pt idx="1">
                  <c:v>3</c:v>
                </c:pt>
                <c:pt idx="2">
                  <c:v>1</c:v>
                </c:pt>
                <c:pt idx="3">
                  <c:v>3</c:v>
                </c:pt>
                <c:pt idx="4">
                  <c:v>3</c:v>
                </c:pt>
                <c:pt idx="5">
                  <c:v>2</c:v>
                </c:pt>
                <c:pt idx="6">
                  <c:v>4</c:v>
                </c:pt>
                <c:pt idx="7">
                  <c:v>0</c:v>
                </c:pt>
                <c:pt idx="8">
                  <c:v>1</c:v>
                </c:pt>
                <c:pt idx="9">
                  <c:v>2</c:v>
                </c:pt>
                <c:pt idx="10">
                  <c:v>0</c:v>
                </c:pt>
                <c:pt idx="11">
                  <c:v>1</c:v>
                </c:pt>
                <c:pt idx="12">
                  <c:v>0</c:v>
                </c:pt>
                <c:pt idx="13">
                  <c:v>1</c:v>
                </c:pt>
                <c:pt idx="14">
                  <c:v>0</c:v>
                </c:pt>
                <c:pt idx="15">
                  <c:v>0</c:v>
                </c:pt>
                <c:pt idx="16">
                  <c:v>0</c:v>
                </c:pt>
                <c:pt idx="17">
                  <c:v>10</c:v>
                </c:pt>
                <c:pt idx="18">
                  <c:v>1</c:v>
                </c:pt>
                <c:pt idx="19">
                  <c:v>3</c:v>
                </c:pt>
                <c:pt idx="20">
                  <c:v>0</c:v>
                </c:pt>
              </c:numCache>
            </c:numRef>
          </c:val>
          <c:extLst>
            <c:ext xmlns:c16="http://schemas.microsoft.com/office/drawing/2014/chart" uri="{C3380CC4-5D6E-409C-BE32-E72D297353CC}">
              <c16:uniqueId val="{00000007-3C1D-4658-A41F-A36B01D2A316}"/>
            </c:ext>
          </c:extLst>
        </c:ser>
        <c:ser>
          <c:idx val="8"/>
          <c:order val="8"/>
          <c:tx>
            <c:strRef>
              <c:f>PaLM_Total!$L$6</c:f>
              <c:strCache>
                <c:ptCount val="1"/>
                <c:pt idx="0">
                  <c:v>High Incorrect:</c:v>
                </c:pt>
              </c:strCache>
            </c:strRef>
          </c:tx>
          <c:spPr>
            <a:solidFill>
              <a:srgbClr val="C00000"/>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PaLM_Total!$L$7:$L$27</c:f>
              <c:numCache>
                <c:formatCode>General</c:formatCode>
                <c:ptCount val="21"/>
                <c:pt idx="0">
                  <c:v>12</c:v>
                </c:pt>
                <c:pt idx="1">
                  <c:v>10</c:v>
                </c:pt>
                <c:pt idx="2">
                  <c:v>19</c:v>
                </c:pt>
                <c:pt idx="3">
                  <c:v>13</c:v>
                </c:pt>
                <c:pt idx="4">
                  <c:v>9</c:v>
                </c:pt>
                <c:pt idx="5">
                  <c:v>13</c:v>
                </c:pt>
                <c:pt idx="6">
                  <c:v>15</c:v>
                </c:pt>
                <c:pt idx="7">
                  <c:v>15</c:v>
                </c:pt>
                <c:pt idx="8">
                  <c:v>5</c:v>
                </c:pt>
                <c:pt idx="9">
                  <c:v>10</c:v>
                </c:pt>
                <c:pt idx="10">
                  <c:v>0</c:v>
                </c:pt>
                <c:pt idx="11">
                  <c:v>7</c:v>
                </c:pt>
                <c:pt idx="12">
                  <c:v>3</c:v>
                </c:pt>
                <c:pt idx="13">
                  <c:v>11</c:v>
                </c:pt>
                <c:pt idx="14">
                  <c:v>7</c:v>
                </c:pt>
                <c:pt idx="15">
                  <c:v>8</c:v>
                </c:pt>
                <c:pt idx="16">
                  <c:v>5</c:v>
                </c:pt>
                <c:pt idx="17">
                  <c:v>12</c:v>
                </c:pt>
                <c:pt idx="18">
                  <c:v>2</c:v>
                </c:pt>
                <c:pt idx="19">
                  <c:v>12</c:v>
                </c:pt>
                <c:pt idx="20">
                  <c:v>19</c:v>
                </c:pt>
              </c:numCache>
            </c:numRef>
          </c:val>
          <c:extLst>
            <c:ext xmlns:c16="http://schemas.microsoft.com/office/drawing/2014/chart" uri="{C3380CC4-5D6E-409C-BE32-E72D297353CC}">
              <c16:uniqueId val="{00000008-3C1D-4658-A41F-A36B01D2A316}"/>
            </c:ext>
          </c:extLst>
        </c:ser>
        <c:ser>
          <c:idx val="9"/>
          <c:order val="9"/>
          <c:tx>
            <c:strRef>
              <c:f>PaLM_Total!$M$6</c:f>
              <c:strCache>
                <c:ptCount val="1"/>
                <c:pt idx="0">
                  <c:v>N/A:</c:v>
                </c:pt>
              </c:strCache>
            </c:strRef>
          </c:tx>
          <c:spPr>
            <a:solidFill>
              <a:schemeClr val="bg1">
                <a:lumMod val="65000"/>
              </a:schemeClr>
            </a:solidFill>
            <a:ln>
              <a:noFill/>
            </a:ln>
            <a:effectLst/>
          </c:spPr>
          <c:invertIfNegative val="0"/>
          <c:cat>
            <c:strRef>
              <c:f>PaLM_Total!$C$7:$C$27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PaLM_Total!$M$7:$M$27</c:f>
              <c:numCache>
                <c:formatCode>General</c:formatCode>
                <c:ptCount val="21"/>
                <c:pt idx="0">
                  <c:v>5</c:v>
                </c:pt>
                <c:pt idx="1">
                  <c:v>0</c:v>
                </c:pt>
                <c:pt idx="2">
                  <c:v>2</c:v>
                </c:pt>
                <c:pt idx="3">
                  <c:v>5</c:v>
                </c:pt>
                <c:pt idx="4">
                  <c:v>9</c:v>
                </c:pt>
                <c:pt idx="5">
                  <c:v>3</c:v>
                </c:pt>
                <c:pt idx="6">
                  <c:v>2</c:v>
                </c:pt>
                <c:pt idx="7">
                  <c:v>4</c:v>
                </c:pt>
                <c:pt idx="8">
                  <c:v>5</c:v>
                </c:pt>
                <c:pt idx="9">
                  <c:v>3</c:v>
                </c:pt>
                <c:pt idx="10">
                  <c:v>4</c:v>
                </c:pt>
                <c:pt idx="11">
                  <c:v>6</c:v>
                </c:pt>
                <c:pt idx="12">
                  <c:v>6</c:v>
                </c:pt>
                <c:pt idx="13">
                  <c:v>4</c:v>
                </c:pt>
                <c:pt idx="14">
                  <c:v>3</c:v>
                </c:pt>
                <c:pt idx="15">
                  <c:v>4</c:v>
                </c:pt>
                <c:pt idx="16">
                  <c:v>21</c:v>
                </c:pt>
                <c:pt idx="17">
                  <c:v>2</c:v>
                </c:pt>
                <c:pt idx="18">
                  <c:v>15</c:v>
                </c:pt>
                <c:pt idx="19">
                  <c:v>4</c:v>
                </c:pt>
                <c:pt idx="20">
                  <c:v>27</c:v>
                </c:pt>
              </c:numCache>
            </c:numRef>
          </c:val>
          <c:extLst>
            <c:ext xmlns:c16="http://schemas.microsoft.com/office/drawing/2014/chart" uri="{C3380CC4-5D6E-409C-BE32-E72D297353CC}">
              <c16:uniqueId val="{00000009-3C1D-4658-A41F-A36B01D2A316}"/>
            </c:ext>
          </c:extLst>
        </c:ser>
        <c:dLbls>
          <c:showLegendKey val="0"/>
          <c:showVal val="0"/>
          <c:showCatName val="0"/>
          <c:showSerName val="0"/>
          <c:showPercent val="0"/>
          <c:showBubbleSize val="0"/>
        </c:dLbls>
        <c:gapWidth val="150"/>
        <c:overlap val="100"/>
        <c:axId val="418812240"/>
        <c:axId val="418818480"/>
      </c:barChart>
      <c:catAx>
        <c:axId val="41881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418818480"/>
        <c:crosses val="autoZero"/>
        <c:auto val="1"/>
        <c:lblAlgn val="ctr"/>
        <c:lblOffset val="100"/>
        <c:noMultiLvlLbl val="0"/>
      </c:catAx>
      <c:valAx>
        <c:axId val="4188184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418812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PaLM_Total!$D$31</c:f>
              <c:strCache>
                <c:ptCount val="1"/>
                <c:pt idx="0">
                  <c:v>High Correct:</c:v>
                </c:pt>
              </c:strCache>
            </c:strRef>
          </c:tx>
          <c:spPr>
            <a:solidFill>
              <a:schemeClr val="accent6">
                <a:lumMod val="75000"/>
              </a:schemeClr>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PaLM_Total!$D$32:$D$49</c:f>
              <c:numCache>
                <c:formatCode>General</c:formatCode>
                <c:ptCount val="18"/>
                <c:pt idx="0">
                  <c:v>32</c:v>
                </c:pt>
                <c:pt idx="1">
                  <c:v>21</c:v>
                </c:pt>
                <c:pt idx="2">
                  <c:v>30</c:v>
                </c:pt>
                <c:pt idx="3">
                  <c:v>29</c:v>
                </c:pt>
                <c:pt idx="4">
                  <c:v>26</c:v>
                </c:pt>
                <c:pt idx="5">
                  <c:v>15</c:v>
                </c:pt>
                <c:pt idx="6">
                  <c:v>33</c:v>
                </c:pt>
                <c:pt idx="7">
                  <c:v>34</c:v>
                </c:pt>
                <c:pt idx="8">
                  <c:v>12</c:v>
                </c:pt>
                <c:pt idx="9">
                  <c:v>19</c:v>
                </c:pt>
                <c:pt idx="10">
                  <c:v>17</c:v>
                </c:pt>
                <c:pt idx="11">
                  <c:v>37</c:v>
                </c:pt>
                <c:pt idx="12">
                  <c:v>11</c:v>
                </c:pt>
                <c:pt idx="13">
                  <c:v>15</c:v>
                </c:pt>
                <c:pt idx="14">
                  <c:v>4</c:v>
                </c:pt>
                <c:pt idx="15">
                  <c:v>32</c:v>
                </c:pt>
                <c:pt idx="16">
                  <c:v>5</c:v>
                </c:pt>
                <c:pt idx="17">
                  <c:v>21</c:v>
                </c:pt>
              </c:numCache>
            </c:numRef>
          </c:val>
          <c:extLst>
            <c:ext xmlns:c16="http://schemas.microsoft.com/office/drawing/2014/chart" uri="{C3380CC4-5D6E-409C-BE32-E72D297353CC}">
              <c16:uniqueId val="{00000000-1B65-4853-9DFD-CC11468248AE}"/>
            </c:ext>
          </c:extLst>
        </c:ser>
        <c:ser>
          <c:idx val="1"/>
          <c:order val="1"/>
          <c:tx>
            <c:strRef>
              <c:f>PaLM_Total!$E$31</c:f>
              <c:strCache>
                <c:ptCount val="1"/>
                <c:pt idx="0">
                  <c:v>Medium Correct:</c:v>
                </c:pt>
              </c:strCache>
            </c:strRef>
          </c:tx>
          <c:spPr>
            <a:solidFill>
              <a:schemeClr val="accent6"/>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PaLM_Total!$E$32:$E$49</c:f>
              <c:numCache>
                <c:formatCode>General</c:formatCode>
                <c:ptCount val="18"/>
                <c:pt idx="0">
                  <c:v>2</c:v>
                </c:pt>
                <c:pt idx="1">
                  <c:v>2</c:v>
                </c:pt>
                <c:pt idx="2">
                  <c:v>2</c:v>
                </c:pt>
                <c:pt idx="3">
                  <c:v>10</c:v>
                </c:pt>
                <c:pt idx="4">
                  <c:v>6</c:v>
                </c:pt>
                <c:pt idx="5">
                  <c:v>3</c:v>
                </c:pt>
                <c:pt idx="6">
                  <c:v>4</c:v>
                </c:pt>
                <c:pt idx="7">
                  <c:v>8</c:v>
                </c:pt>
                <c:pt idx="8">
                  <c:v>2</c:v>
                </c:pt>
                <c:pt idx="9">
                  <c:v>9</c:v>
                </c:pt>
                <c:pt idx="10">
                  <c:v>7</c:v>
                </c:pt>
                <c:pt idx="11">
                  <c:v>10</c:v>
                </c:pt>
                <c:pt idx="12">
                  <c:v>2</c:v>
                </c:pt>
                <c:pt idx="13">
                  <c:v>7</c:v>
                </c:pt>
                <c:pt idx="14">
                  <c:v>2</c:v>
                </c:pt>
                <c:pt idx="15">
                  <c:v>6</c:v>
                </c:pt>
                <c:pt idx="16">
                  <c:v>0</c:v>
                </c:pt>
                <c:pt idx="17">
                  <c:v>4</c:v>
                </c:pt>
              </c:numCache>
            </c:numRef>
          </c:val>
          <c:extLst>
            <c:ext xmlns:c16="http://schemas.microsoft.com/office/drawing/2014/chart" uri="{C3380CC4-5D6E-409C-BE32-E72D297353CC}">
              <c16:uniqueId val="{00000001-1B65-4853-9DFD-CC11468248AE}"/>
            </c:ext>
          </c:extLst>
        </c:ser>
        <c:ser>
          <c:idx val="2"/>
          <c:order val="2"/>
          <c:tx>
            <c:strRef>
              <c:f>PaLM_Total!$F$31</c:f>
              <c:strCache>
                <c:ptCount val="1"/>
                <c:pt idx="0">
                  <c:v>Low Correct:</c:v>
                </c:pt>
              </c:strCache>
            </c:strRef>
          </c:tx>
          <c:spPr>
            <a:solidFill>
              <a:schemeClr val="accent6">
                <a:lumMod val="60000"/>
                <a:lumOff val="40000"/>
              </a:schemeClr>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PaLM_Total!$F$32:$F$49</c:f>
              <c:numCache>
                <c:formatCode>General</c:formatCode>
                <c:ptCount val="18"/>
                <c:pt idx="0">
                  <c:v>0</c:v>
                </c:pt>
                <c:pt idx="1">
                  <c:v>2</c:v>
                </c:pt>
                <c:pt idx="2">
                  <c:v>2</c:v>
                </c:pt>
                <c:pt idx="3">
                  <c:v>1</c:v>
                </c:pt>
                <c:pt idx="4">
                  <c:v>0</c:v>
                </c:pt>
                <c:pt idx="5">
                  <c:v>1</c:v>
                </c:pt>
                <c:pt idx="6">
                  <c:v>4</c:v>
                </c:pt>
                <c:pt idx="7">
                  <c:v>4</c:v>
                </c:pt>
                <c:pt idx="8">
                  <c:v>6</c:v>
                </c:pt>
                <c:pt idx="9">
                  <c:v>1</c:v>
                </c:pt>
                <c:pt idx="10">
                  <c:v>1</c:v>
                </c:pt>
                <c:pt idx="11">
                  <c:v>3</c:v>
                </c:pt>
                <c:pt idx="12">
                  <c:v>5</c:v>
                </c:pt>
                <c:pt idx="13">
                  <c:v>1</c:v>
                </c:pt>
                <c:pt idx="14">
                  <c:v>1</c:v>
                </c:pt>
                <c:pt idx="15">
                  <c:v>3</c:v>
                </c:pt>
                <c:pt idx="16">
                  <c:v>0</c:v>
                </c:pt>
                <c:pt idx="17">
                  <c:v>19</c:v>
                </c:pt>
              </c:numCache>
            </c:numRef>
          </c:val>
          <c:extLst>
            <c:ext xmlns:c16="http://schemas.microsoft.com/office/drawing/2014/chart" uri="{C3380CC4-5D6E-409C-BE32-E72D297353CC}">
              <c16:uniqueId val="{00000002-1B65-4853-9DFD-CC11468248AE}"/>
            </c:ext>
          </c:extLst>
        </c:ser>
        <c:ser>
          <c:idx val="3"/>
          <c:order val="3"/>
          <c:tx>
            <c:strRef>
              <c:f>PaLM_Total!$G$31</c:f>
              <c:strCache>
                <c:ptCount val="1"/>
                <c:pt idx="0">
                  <c:v>High Maybe:</c:v>
                </c:pt>
              </c:strCache>
            </c:strRef>
          </c:tx>
          <c:spPr>
            <a:solidFill>
              <a:schemeClr val="accent2">
                <a:lumMod val="75000"/>
              </a:schemeClr>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PaLM_Total!$G$32:$G$49</c:f>
              <c:numCache>
                <c:formatCode>General</c:formatCode>
                <c:ptCount val="18"/>
                <c:pt idx="0">
                  <c:v>3</c:v>
                </c:pt>
                <c:pt idx="1">
                  <c:v>4</c:v>
                </c:pt>
                <c:pt idx="2">
                  <c:v>5</c:v>
                </c:pt>
                <c:pt idx="3">
                  <c:v>4</c:v>
                </c:pt>
                <c:pt idx="4">
                  <c:v>8</c:v>
                </c:pt>
                <c:pt idx="5">
                  <c:v>1</c:v>
                </c:pt>
                <c:pt idx="6">
                  <c:v>3</c:v>
                </c:pt>
                <c:pt idx="7">
                  <c:v>3</c:v>
                </c:pt>
                <c:pt idx="8">
                  <c:v>7</c:v>
                </c:pt>
                <c:pt idx="9">
                  <c:v>7</c:v>
                </c:pt>
                <c:pt idx="10">
                  <c:v>12</c:v>
                </c:pt>
                <c:pt idx="11">
                  <c:v>1</c:v>
                </c:pt>
                <c:pt idx="12">
                  <c:v>3</c:v>
                </c:pt>
                <c:pt idx="13">
                  <c:v>9</c:v>
                </c:pt>
                <c:pt idx="14">
                  <c:v>2</c:v>
                </c:pt>
                <c:pt idx="15">
                  <c:v>7</c:v>
                </c:pt>
                <c:pt idx="16">
                  <c:v>4</c:v>
                </c:pt>
                <c:pt idx="17">
                  <c:v>5</c:v>
                </c:pt>
              </c:numCache>
            </c:numRef>
          </c:val>
          <c:extLst>
            <c:ext xmlns:c16="http://schemas.microsoft.com/office/drawing/2014/chart" uri="{C3380CC4-5D6E-409C-BE32-E72D297353CC}">
              <c16:uniqueId val="{00000003-1B65-4853-9DFD-CC11468248AE}"/>
            </c:ext>
          </c:extLst>
        </c:ser>
        <c:ser>
          <c:idx val="4"/>
          <c:order val="4"/>
          <c:tx>
            <c:strRef>
              <c:f>PaLM_Total!$H$31</c:f>
              <c:strCache>
                <c:ptCount val="1"/>
                <c:pt idx="0">
                  <c:v>Medium Maybe:</c:v>
                </c:pt>
              </c:strCache>
            </c:strRef>
          </c:tx>
          <c:spPr>
            <a:solidFill>
              <a:schemeClr val="accent2"/>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PaLM_Total!$H$32:$H$49</c:f>
              <c:numCache>
                <c:formatCode>General</c:formatCode>
                <c:ptCount val="18"/>
                <c:pt idx="0">
                  <c:v>3</c:v>
                </c:pt>
                <c:pt idx="1">
                  <c:v>4</c:v>
                </c:pt>
                <c:pt idx="2">
                  <c:v>3</c:v>
                </c:pt>
                <c:pt idx="3">
                  <c:v>3</c:v>
                </c:pt>
                <c:pt idx="4">
                  <c:v>6</c:v>
                </c:pt>
                <c:pt idx="5">
                  <c:v>2</c:v>
                </c:pt>
                <c:pt idx="6">
                  <c:v>4</c:v>
                </c:pt>
                <c:pt idx="7">
                  <c:v>1</c:v>
                </c:pt>
                <c:pt idx="8">
                  <c:v>8</c:v>
                </c:pt>
                <c:pt idx="9">
                  <c:v>4</c:v>
                </c:pt>
                <c:pt idx="10">
                  <c:v>9</c:v>
                </c:pt>
                <c:pt idx="11">
                  <c:v>3</c:v>
                </c:pt>
                <c:pt idx="12">
                  <c:v>4</c:v>
                </c:pt>
                <c:pt idx="13">
                  <c:v>7</c:v>
                </c:pt>
                <c:pt idx="14">
                  <c:v>1</c:v>
                </c:pt>
                <c:pt idx="15">
                  <c:v>2</c:v>
                </c:pt>
                <c:pt idx="16">
                  <c:v>4</c:v>
                </c:pt>
                <c:pt idx="17">
                  <c:v>1</c:v>
                </c:pt>
              </c:numCache>
            </c:numRef>
          </c:val>
          <c:extLst>
            <c:ext xmlns:c16="http://schemas.microsoft.com/office/drawing/2014/chart" uri="{C3380CC4-5D6E-409C-BE32-E72D297353CC}">
              <c16:uniqueId val="{00000004-1B65-4853-9DFD-CC11468248AE}"/>
            </c:ext>
          </c:extLst>
        </c:ser>
        <c:ser>
          <c:idx val="5"/>
          <c:order val="5"/>
          <c:tx>
            <c:strRef>
              <c:f>PaLM_Total!$I$31</c:f>
              <c:strCache>
                <c:ptCount val="1"/>
                <c:pt idx="0">
                  <c:v>Low Maybe:</c:v>
                </c:pt>
              </c:strCache>
            </c:strRef>
          </c:tx>
          <c:spPr>
            <a:solidFill>
              <a:schemeClr val="accent2">
                <a:lumMod val="60000"/>
                <a:lumOff val="40000"/>
              </a:schemeClr>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PaLM_Total!$I$32:$I$49</c:f>
              <c:numCache>
                <c:formatCode>General</c:formatCode>
                <c:ptCount val="18"/>
                <c:pt idx="0">
                  <c:v>2</c:v>
                </c:pt>
                <c:pt idx="1">
                  <c:v>1</c:v>
                </c:pt>
                <c:pt idx="2">
                  <c:v>2</c:v>
                </c:pt>
                <c:pt idx="3">
                  <c:v>3</c:v>
                </c:pt>
                <c:pt idx="4">
                  <c:v>0</c:v>
                </c:pt>
                <c:pt idx="5">
                  <c:v>0</c:v>
                </c:pt>
                <c:pt idx="6">
                  <c:v>3</c:v>
                </c:pt>
                <c:pt idx="7">
                  <c:v>0</c:v>
                </c:pt>
                <c:pt idx="8">
                  <c:v>2</c:v>
                </c:pt>
                <c:pt idx="9">
                  <c:v>4</c:v>
                </c:pt>
                <c:pt idx="10">
                  <c:v>1</c:v>
                </c:pt>
                <c:pt idx="11">
                  <c:v>0</c:v>
                </c:pt>
                <c:pt idx="12">
                  <c:v>1</c:v>
                </c:pt>
                <c:pt idx="13">
                  <c:v>5</c:v>
                </c:pt>
                <c:pt idx="14">
                  <c:v>2</c:v>
                </c:pt>
                <c:pt idx="15">
                  <c:v>0</c:v>
                </c:pt>
                <c:pt idx="16">
                  <c:v>0</c:v>
                </c:pt>
                <c:pt idx="17">
                  <c:v>2</c:v>
                </c:pt>
              </c:numCache>
            </c:numRef>
          </c:val>
          <c:extLst>
            <c:ext xmlns:c16="http://schemas.microsoft.com/office/drawing/2014/chart" uri="{C3380CC4-5D6E-409C-BE32-E72D297353CC}">
              <c16:uniqueId val="{00000005-1B65-4853-9DFD-CC11468248AE}"/>
            </c:ext>
          </c:extLst>
        </c:ser>
        <c:ser>
          <c:idx val="6"/>
          <c:order val="6"/>
          <c:tx>
            <c:strRef>
              <c:f>PaLM_Total!$J$31</c:f>
              <c:strCache>
                <c:ptCount val="1"/>
                <c:pt idx="0">
                  <c:v>Low Incorrect:</c:v>
                </c:pt>
              </c:strCache>
            </c:strRef>
          </c:tx>
          <c:spPr>
            <a:solidFill>
              <a:srgbClr val="F46868"/>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PaLM_Total!$J$32:$J$49</c:f>
              <c:numCache>
                <c:formatCode>General</c:formatCode>
                <c:ptCount val="18"/>
                <c:pt idx="0">
                  <c:v>1</c:v>
                </c:pt>
                <c:pt idx="1">
                  <c:v>1</c:v>
                </c:pt>
                <c:pt idx="2">
                  <c:v>3</c:v>
                </c:pt>
                <c:pt idx="3">
                  <c:v>3</c:v>
                </c:pt>
                <c:pt idx="4">
                  <c:v>4</c:v>
                </c:pt>
                <c:pt idx="5">
                  <c:v>2</c:v>
                </c:pt>
                <c:pt idx="6">
                  <c:v>0</c:v>
                </c:pt>
                <c:pt idx="7">
                  <c:v>3</c:v>
                </c:pt>
                <c:pt idx="8">
                  <c:v>2</c:v>
                </c:pt>
                <c:pt idx="9">
                  <c:v>5</c:v>
                </c:pt>
                <c:pt idx="10">
                  <c:v>2</c:v>
                </c:pt>
                <c:pt idx="11">
                  <c:v>2</c:v>
                </c:pt>
                <c:pt idx="12">
                  <c:v>3</c:v>
                </c:pt>
                <c:pt idx="13">
                  <c:v>2</c:v>
                </c:pt>
                <c:pt idx="14">
                  <c:v>0</c:v>
                </c:pt>
                <c:pt idx="15">
                  <c:v>0</c:v>
                </c:pt>
                <c:pt idx="16">
                  <c:v>1</c:v>
                </c:pt>
                <c:pt idx="17">
                  <c:v>2</c:v>
                </c:pt>
              </c:numCache>
            </c:numRef>
          </c:val>
          <c:extLst>
            <c:ext xmlns:c16="http://schemas.microsoft.com/office/drawing/2014/chart" uri="{C3380CC4-5D6E-409C-BE32-E72D297353CC}">
              <c16:uniqueId val="{00000006-1B65-4853-9DFD-CC11468248AE}"/>
            </c:ext>
          </c:extLst>
        </c:ser>
        <c:ser>
          <c:idx val="7"/>
          <c:order val="7"/>
          <c:tx>
            <c:strRef>
              <c:f>PaLM_Total!$K$31</c:f>
              <c:strCache>
                <c:ptCount val="1"/>
                <c:pt idx="0">
                  <c:v>Medium Incorrect:</c:v>
                </c:pt>
              </c:strCache>
            </c:strRef>
          </c:tx>
          <c:spPr>
            <a:solidFill>
              <a:srgbClr val="EC2828"/>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PaLM_Total!$K$32:$K$49</c:f>
              <c:numCache>
                <c:formatCode>General</c:formatCode>
                <c:ptCount val="18"/>
                <c:pt idx="0">
                  <c:v>3</c:v>
                </c:pt>
                <c:pt idx="1">
                  <c:v>4</c:v>
                </c:pt>
                <c:pt idx="2">
                  <c:v>1</c:v>
                </c:pt>
                <c:pt idx="3">
                  <c:v>0</c:v>
                </c:pt>
                <c:pt idx="4">
                  <c:v>3</c:v>
                </c:pt>
                <c:pt idx="5">
                  <c:v>0</c:v>
                </c:pt>
                <c:pt idx="6">
                  <c:v>0</c:v>
                </c:pt>
                <c:pt idx="7">
                  <c:v>0</c:v>
                </c:pt>
                <c:pt idx="8">
                  <c:v>5</c:v>
                </c:pt>
                <c:pt idx="9">
                  <c:v>5</c:v>
                </c:pt>
                <c:pt idx="10">
                  <c:v>3</c:v>
                </c:pt>
                <c:pt idx="11">
                  <c:v>1</c:v>
                </c:pt>
                <c:pt idx="12">
                  <c:v>4</c:v>
                </c:pt>
                <c:pt idx="13">
                  <c:v>5</c:v>
                </c:pt>
                <c:pt idx="14">
                  <c:v>1</c:v>
                </c:pt>
                <c:pt idx="15">
                  <c:v>1</c:v>
                </c:pt>
                <c:pt idx="16">
                  <c:v>2</c:v>
                </c:pt>
                <c:pt idx="17">
                  <c:v>1</c:v>
                </c:pt>
              </c:numCache>
            </c:numRef>
          </c:val>
          <c:extLst>
            <c:ext xmlns:c16="http://schemas.microsoft.com/office/drawing/2014/chart" uri="{C3380CC4-5D6E-409C-BE32-E72D297353CC}">
              <c16:uniqueId val="{00000007-1B65-4853-9DFD-CC11468248AE}"/>
            </c:ext>
          </c:extLst>
        </c:ser>
        <c:ser>
          <c:idx val="8"/>
          <c:order val="8"/>
          <c:tx>
            <c:strRef>
              <c:f>PaLM_Total!$L$31</c:f>
              <c:strCache>
                <c:ptCount val="1"/>
                <c:pt idx="0">
                  <c:v>High Incorrect:</c:v>
                </c:pt>
              </c:strCache>
            </c:strRef>
          </c:tx>
          <c:spPr>
            <a:solidFill>
              <a:srgbClr val="C00000"/>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PaLM_Total!$L$32:$L$49</c:f>
              <c:numCache>
                <c:formatCode>General</c:formatCode>
                <c:ptCount val="18"/>
                <c:pt idx="0">
                  <c:v>4</c:v>
                </c:pt>
                <c:pt idx="1">
                  <c:v>19</c:v>
                </c:pt>
                <c:pt idx="2">
                  <c:v>8</c:v>
                </c:pt>
                <c:pt idx="3">
                  <c:v>9</c:v>
                </c:pt>
                <c:pt idx="4">
                  <c:v>7</c:v>
                </c:pt>
                <c:pt idx="5">
                  <c:v>0</c:v>
                </c:pt>
                <c:pt idx="6">
                  <c:v>6</c:v>
                </c:pt>
                <c:pt idx="7">
                  <c:v>5</c:v>
                </c:pt>
                <c:pt idx="8">
                  <c:v>9</c:v>
                </c:pt>
                <c:pt idx="9">
                  <c:v>7</c:v>
                </c:pt>
                <c:pt idx="10">
                  <c:v>11</c:v>
                </c:pt>
                <c:pt idx="11">
                  <c:v>5</c:v>
                </c:pt>
                <c:pt idx="12">
                  <c:v>19</c:v>
                </c:pt>
                <c:pt idx="13">
                  <c:v>12</c:v>
                </c:pt>
                <c:pt idx="14">
                  <c:v>43</c:v>
                </c:pt>
                <c:pt idx="15">
                  <c:v>2</c:v>
                </c:pt>
                <c:pt idx="16">
                  <c:v>41</c:v>
                </c:pt>
                <c:pt idx="17">
                  <c:v>0</c:v>
                </c:pt>
              </c:numCache>
            </c:numRef>
          </c:val>
          <c:extLst>
            <c:ext xmlns:c16="http://schemas.microsoft.com/office/drawing/2014/chart" uri="{C3380CC4-5D6E-409C-BE32-E72D297353CC}">
              <c16:uniqueId val="{00000008-1B65-4853-9DFD-CC11468248AE}"/>
            </c:ext>
          </c:extLst>
        </c:ser>
        <c:ser>
          <c:idx val="9"/>
          <c:order val="9"/>
          <c:tx>
            <c:strRef>
              <c:f>PaLM_Total!$M$31</c:f>
              <c:strCache>
                <c:ptCount val="1"/>
                <c:pt idx="0">
                  <c:v>N/A:</c:v>
                </c:pt>
              </c:strCache>
            </c:strRef>
          </c:tx>
          <c:spPr>
            <a:solidFill>
              <a:schemeClr val="bg1">
                <a:lumMod val="65000"/>
              </a:schemeClr>
            </a:solidFill>
            <a:ln>
              <a:noFill/>
            </a:ln>
            <a:effectLst/>
          </c:spPr>
          <c:invertIfNegative val="0"/>
          <c:cat>
            <c:strRef>
              <c:f>PaLM_Total!$C$32:$C$49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PaLM_Total!$M$32:$M$49</c:f>
              <c:numCache>
                <c:formatCode>General</c:formatCode>
                <c:ptCount val="18"/>
                <c:pt idx="0">
                  <c:v>13</c:v>
                </c:pt>
                <c:pt idx="1">
                  <c:v>5</c:v>
                </c:pt>
                <c:pt idx="2">
                  <c:v>7</c:v>
                </c:pt>
                <c:pt idx="3">
                  <c:v>1</c:v>
                </c:pt>
                <c:pt idx="4">
                  <c:v>3</c:v>
                </c:pt>
                <c:pt idx="5">
                  <c:v>39</c:v>
                </c:pt>
                <c:pt idx="6">
                  <c:v>6</c:v>
                </c:pt>
                <c:pt idx="7">
                  <c:v>5</c:v>
                </c:pt>
                <c:pt idx="8">
                  <c:v>10</c:v>
                </c:pt>
                <c:pt idx="9">
                  <c:v>2</c:v>
                </c:pt>
                <c:pt idx="10">
                  <c:v>0</c:v>
                </c:pt>
                <c:pt idx="11">
                  <c:v>1</c:v>
                </c:pt>
                <c:pt idx="12">
                  <c:v>11</c:v>
                </c:pt>
                <c:pt idx="13">
                  <c:v>0</c:v>
                </c:pt>
                <c:pt idx="14">
                  <c:v>7</c:v>
                </c:pt>
                <c:pt idx="15">
                  <c:v>10</c:v>
                </c:pt>
                <c:pt idx="16">
                  <c:v>6</c:v>
                </c:pt>
                <c:pt idx="17">
                  <c:v>8</c:v>
                </c:pt>
              </c:numCache>
            </c:numRef>
          </c:val>
          <c:extLst>
            <c:ext xmlns:c16="http://schemas.microsoft.com/office/drawing/2014/chart" uri="{C3380CC4-5D6E-409C-BE32-E72D297353CC}">
              <c16:uniqueId val="{00000009-1B65-4853-9DFD-CC11468248AE}"/>
            </c:ext>
          </c:extLst>
        </c:ser>
        <c:dLbls>
          <c:showLegendKey val="0"/>
          <c:showVal val="0"/>
          <c:showCatName val="0"/>
          <c:showSerName val="0"/>
          <c:showPercent val="0"/>
          <c:showBubbleSize val="0"/>
        </c:dLbls>
        <c:gapWidth val="150"/>
        <c:overlap val="100"/>
        <c:axId val="138566464"/>
        <c:axId val="138566944"/>
      </c:barChart>
      <c:catAx>
        <c:axId val="138566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8566944"/>
        <c:crosses val="autoZero"/>
        <c:auto val="1"/>
        <c:lblAlgn val="ctr"/>
        <c:lblOffset val="100"/>
        <c:noMultiLvlLbl val="0"/>
      </c:catAx>
      <c:valAx>
        <c:axId val="13856694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8566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'PaLM_Compiled_Q1 '!$D$6</c:f>
              <c:strCache>
                <c:ptCount val="1"/>
                <c:pt idx="0">
                  <c:v>High Correct:</c:v>
                </c:pt>
              </c:strCache>
            </c:strRef>
          </c:tx>
          <c:spPr>
            <a:solidFill>
              <a:schemeClr val="accent6">
                <a:lumMod val="75000"/>
              </a:schemeClr>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'!$D$7:$D$27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0-A235-4CD4-BA57-13955B73D5A2}"/>
            </c:ext>
          </c:extLst>
        </c:ser>
        <c:ser>
          <c:idx val="1"/>
          <c:order val="1"/>
          <c:tx>
            <c:strRef>
              <c:f>'PaLM_Compiled_Q1 '!$E$6</c:f>
              <c:strCache>
                <c:ptCount val="1"/>
                <c:pt idx="0">
                  <c:v>Medium Correct:</c:v>
                </c:pt>
              </c:strCache>
            </c:strRef>
          </c:tx>
          <c:spPr>
            <a:solidFill>
              <a:schemeClr val="accent6"/>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'!$E$7:$E$27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1-A235-4CD4-BA57-13955B73D5A2}"/>
            </c:ext>
          </c:extLst>
        </c:ser>
        <c:ser>
          <c:idx val="2"/>
          <c:order val="2"/>
          <c:tx>
            <c:strRef>
              <c:f>'PaLM_Compiled_Q1 '!$F$6</c:f>
              <c:strCache>
                <c:ptCount val="1"/>
                <c:pt idx="0">
                  <c:v>Low Correct:</c:v>
                </c:pt>
              </c:strCache>
            </c:strRef>
          </c:tx>
          <c:spPr>
            <a:solidFill>
              <a:schemeClr val="accent6">
                <a:lumMod val="40000"/>
                <a:lumOff val="60000"/>
              </a:schemeClr>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'!$F$7:$F$27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2-A235-4CD4-BA57-13955B73D5A2}"/>
            </c:ext>
          </c:extLst>
        </c:ser>
        <c:ser>
          <c:idx val="3"/>
          <c:order val="3"/>
          <c:tx>
            <c:strRef>
              <c:f>'PaLM_Compiled_Q1 '!$G$6</c:f>
              <c:strCache>
                <c:ptCount val="1"/>
                <c:pt idx="0">
                  <c:v>High Maybe:</c:v>
                </c:pt>
              </c:strCache>
            </c:strRef>
          </c:tx>
          <c:spPr>
            <a:solidFill>
              <a:schemeClr val="accent2">
                <a:lumMod val="75000"/>
              </a:schemeClr>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'!$G$7:$G$27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3-A235-4CD4-BA57-13955B73D5A2}"/>
            </c:ext>
          </c:extLst>
        </c:ser>
        <c:ser>
          <c:idx val="4"/>
          <c:order val="4"/>
          <c:tx>
            <c:strRef>
              <c:f>'PaLM_Compiled_Q1 '!$H$6</c:f>
              <c:strCache>
                <c:ptCount val="1"/>
                <c:pt idx="0">
                  <c:v>Medium Maybe:</c:v>
                </c:pt>
              </c:strCache>
            </c:strRef>
          </c:tx>
          <c:spPr>
            <a:solidFill>
              <a:schemeClr val="accent2"/>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'!$H$7:$H$27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4-A235-4CD4-BA57-13955B73D5A2}"/>
            </c:ext>
          </c:extLst>
        </c:ser>
        <c:ser>
          <c:idx val="5"/>
          <c:order val="5"/>
          <c:tx>
            <c:strRef>
              <c:f>'PaLM_Compiled_Q1 '!$I$6</c:f>
              <c:strCache>
                <c:ptCount val="1"/>
                <c:pt idx="0">
                  <c:v>Low Maybe:</c:v>
                </c:pt>
              </c:strCache>
            </c:strRef>
          </c:tx>
          <c:spPr>
            <a:solidFill>
              <a:schemeClr val="accent2">
                <a:lumMod val="60000"/>
                <a:lumOff val="40000"/>
              </a:schemeClr>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'!$I$7:$I$27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5-A235-4CD4-BA57-13955B73D5A2}"/>
            </c:ext>
          </c:extLst>
        </c:ser>
        <c:ser>
          <c:idx val="6"/>
          <c:order val="6"/>
          <c:tx>
            <c:strRef>
              <c:f>'PaLM_Compiled_Q1 '!$J$6</c:f>
              <c:strCache>
                <c:ptCount val="1"/>
                <c:pt idx="0">
                  <c:v>Low Incorrect:</c:v>
                </c:pt>
              </c:strCache>
            </c:strRef>
          </c:tx>
          <c:spPr>
            <a:solidFill>
              <a:srgbClr val="F46868"/>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'!$J$7:$J$27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6-A235-4CD4-BA57-13955B73D5A2}"/>
            </c:ext>
          </c:extLst>
        </c:ser>
        <c:ser>
          <c:idx val="7"/>
          <c:order val="7"/>
          <c:tx>
            <c:strRef>
              <c:f>'PaLM_Compiled_Q1 '!$K$6</c:f>
              <c:strCache>
                <c:ptCount val="1"/>
                <c:pt idx="0">
                  <c:v>Medium Incorrect:</c:v>
                </c:pt>
              </c:strCache>
            </c:strRef>
          </c:tx>
          <c:spPr>
            <a:solidFill>
              <a:srgbClr val="EC2828"/>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'!$K$7:$K$27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7-A235-4CD4-BA57-13955B73D5A2}"/>
            </c:ext>
          </c:extLst>
        </c:ser>
        <c:ser>
          <c:idx val="8"/>
          <c:order val="8"/>
          <c:tx>
            <c:strRef>
              <c:f>'PaLM_Compiled_Q1 '!$L$6</c:f>
              <c:strCache>
                <c:ptCount val="1"/>
                <c:pt idx="0">
                  <c:v>High Incorrect:</c:v>
                </c:pt>
              </c:strCache>
            </c:strRef>
          </c:tx>
          <c:spPr>
            <a:solidFill>
              <a:srgbClr val="C00000"/>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'!$L$7:$L$27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8-A235-4CD4-BA57-13955B73D5A2}"/>
            </c:ext>
          </c:extLst>
        </c:ser>
        <c:ser>
          <c:idx val="9"/>
          <c:order val="9"/>
          <c:tx>
            <c:strRef>
              <c:f>'PaLM_Compiled_Q1 '!$M$6</c:f>
              <c:strCache>
                <c:ptCount val="1"/>
                <c:pt idx="0">
                  <c:v>N/A:</c:v>
                </c:pt>
              </c:strCache>
            </c:strRef>
          </c:tx>
          <c:spPr>
            <a:solidFill>
              <a:schemeClr val="bg2">
                <a:lumMod val="75000"/>
              </a:schemeClr>
            </a:solidFill>
            <a:ln>
              <a:noFill/>
            </a:ln>
            <a:effectLst/>
          </c:spPr>
          <c:invertIfNegative val="0"/>
          <c:cat>
            <c:strRef>
              <c:f>'PaLM_Compiled_Q1 '!$C$7:$C$27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'PaLM_Compiled_Q1 '!$M$7:$M$27</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9-A235-4CD4-BA57-13955B73D5A2}"/>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'PaLM_Compiled_Q1 '!$D$31</c:f>
              <c:strCache>
                <c:ptCount val="1"/>
                <c:pt idx="0">
                  <c:v>High Correct:</c:v>
                </c:pt>
              </c:strCache>
            </c:strRef>
          </c:tx>
          <c:spPr>
            <a:solidFill>
              <a:schemeClr val="accent6">
                <a:lumMod val="75000"/>
              </a:schemeClr>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'!$D$32:$D$47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9732-4B30-AAB7-3238269FB0B3}"/>
            </c:ext>
          </c:extLst>
        </c:ser>
        <c:ser>
          <c:idx val="1"/>
          <c:order val="1"/>
          <c:tx>
            <c:strRef>
              <c:f>'PaLM_Compiled_Q1 '!$E$31</c:f>
              <c:strCache>
                <c:ptCount val="1"/>
                <c:pt idx="0">
                  <c:v>Medium Correct:</c:v>
                </c:pt>
              </c:strCache>
            </c:strRef>
          </c:tx>
          <c:spPr>
            <a:solidFill>
              <a:schemeClr val="accent6"/>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'!$E$32:$E$47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9732-4B30-AAB7-3238269FB0B3}"/>
            </c:ext>
          </c:extLst>
        </c:ser>
        <c:ser>
          <c:idx val="2"/>
          <c:order val="2"/>
          <c:tx>
            <c:strRef>
              <c:f>'PaLM_Compiled_Q1 '!$F$31</c:f>
              <c:strCache>
                <c:ptCount val="1"/>
                <c:pt idx="0">
                  <c:v>Low Correct:</c:v>
                </c:pt>
              </c:strCache>
            </c:strRef>
          </c:tx>
          <c:spPr>
            <a:solidFill>
              <a:schemeClr val="accent6">
                <a:lumMod val="60000"/>
                <a:lumOff val="40000"/>
              </a:schemeClr>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'!$F$32:$F$47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9732-4B30-AAB7-3238269FB0B3}"/>
            </c:ext>
          </c:extLst>
        </c:ser>
        <c:ser>
          <c:idx val="3"/>
          <c:order val="3"/>
          <c:tx>
            <c:strRef>
              <c:f>'PaLM_Compiled_Q1 '!$G$31</c:f>
              <c:strCache>
                <c:ptCount val="1"/>
                <c:pt idx="0">
                  <c:v>High Maybe:</c:v>
                </c:pt>
              </c:strCache>
            </c:strRef>
          </c:tx>
          <c:spPr>
            <a:solidFill>
              <a:schemeClr val="accent2">
                <a:lumMod val="75000"/>
              </a:schemeClr>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'!$G$32:$G$47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9732-4B30-AAB7-3238269FB0B3}"/>
            </c:ext>
          </c:extLst>
        </c:ser>
        <c:ser>
          <c:idx val="4"/>
          <c:order val="4"/>
          <c:tx>
            <c:strRef>
              <c:f>'PaLM_Compiled_Q1 '!$H$31</c:f>
              <c:strCache>
                <c:ptCount val="1"/>
                <c:pt idx="0">
                  <c:v>Medium Maybe:</c:v>
                </c:pt>
              </c:strCache>
            </c:strRef>
          </c:tx>
          <c:spPr>
            <a:solidFill>
              <a:schemeClr val="accent2"/>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'!$H$32:$H$47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4-9732-4B30-AAB7-3238269FB0B3}"/>
            </c:ext>
          </c:extLst>
        </c:ser>
        <c:ser>
          <c:idx val="5"/>
          <c:order val="5"/>
          <c:tx>
            <c:strRef>
              <c:f>'PaLM_Compiled_Q1 '!$I$31</c:f>
              <c:strCache>
                <c:ptCount val="1"/>
                <c:pt idx="0">
                  <c:v>Low Maybe:</c:v>
                </c:pt>
              </c:strCache>
            </c:strRef>
          </c:tx>
          <c:spPr>
            <a:solidFill>
              <a:schemeClr val="accent2">
                <a:lumMod val="60000"/>
                <a:lumOff val="40000"/>
              </a:schemeClr>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'!$I$32:$I$47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5-9732-4B30-AAB7-3238269FB0B3}"/>
            </c:ext>
          </c:extLst>
        </c:ser>
        <c:ser>
          <c:idx val="6"/>
          <c:order val="6"/>
          <c:tx>
            <c:strRef>
              <c:f>'PaLM_Compiled_Q1 '!$J$31</c:f>
              <c:strCache>
                <c:ptCount val="1"/>
                <c:pt idx="0">
                  <c:v>Low Incorrect:</c:v>
                </c:pt>
              </c:strCache>
            </c:strRef>
          </c:tx>
          <c:spPr>
            <a:solidFill>
              <a:srgbClr val="F46868"/>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'!$J$32:$J$47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6-9732-4B30-AAB7-3238269FB0B3}"/>
            </c:ext>
          </c:extLst>
        </c:ser>
        <c:ser>
          <c:idx val="7"/>
          <c:order val="7"/>
          <c:tx>
            <c:strRef>
              <c:f>'PaLM_Compiled_Q1 '!$K$31</c:f>
              <c:strCache>
                <c:ptCount val="1"/>
                <c:pt idx="0">
                  <c:v>Medium Incorrect:</c:v>
                </c:pt>
              </c:strCache>
            </c:strRef>
          </c:tx>
          <c:spPr>
            <a:solidFill>
              <a:srgbClr val="EC2828"/>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'!$K$32:$K$47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7-9732-4B30-AAB7-3238269FB0B3}"/>
            </c:ext>
          </c:extLst>
        </c:ser>
        <c:ser>
          <c:idx val="8"/>
          <c:order val="8"/>
          <c:tx>
            <c:strRef>
              <c:f>'PaLM_Compiled_Q1 '!$L$31</c:f>
              <c:strCache>
                <c:ptCount val="1"/>
                <c:pt idx="0">
                  <c:v>High Incorrect:</c:v>
                </c:pt>
              </c:strCache>
            </c:strRef>
          </c:tx>
          <c:spPr>
            <a:solidFill>
              <a:srgbClr val="C00000"/>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'!$L$32:$L$47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8-9732-4B30-AAB7-3238269FB0B3}"/>
            </c:ext>
          </c:extLst>
        </c:ser>
        <c:ser>
          <c:idx val="9"/>
          <c:order val="9"/>
          <c:tx>
            <c:strRef>
              <c:f>'PaLM_Compiled_Q1 '!$M$31</c:f>
              <c:strCache>
                <c:ptCount val="1"/>
                <c:pt idx="0">
                  <c:v>N/A:</c:v>
                </c:pt>
              </c:strCache>
            </c:strRef>
          </c:tx>
          <c:spPr>
            <a:solidFill>
              <a:schemeClr val="bg2">
                <a:lumMod val="75000"/>
              </a:schemeClr>
            </a:solidFill>
            <a:ln>
              <a:noFill/>
            </a:ln>
            <a:effectLst/>
          </c:spPr>
          <c:invertIfNegative val="0"/>
          <c:cat>
            <c:strRef>
              <c:f>'PaLM_Compiled_Q1 '!$C$32:$C$47</c:f>
              <c:strCache>
                <c:ptCount val="16"/>
                <c:pt idx="0">
                  <c:v>C1</c:v>
                </c:pt>
                <c:pt idx="1">
                  <c:v>C2</c:v>
                </c:pt>
                <c:pt idx="2">
                  <c:v>C3</c:v>
                </c:pt>
                <c:pt idx="3">
                  <c:v>C4</c:v>
                </c:pt>
                <c:pt idx="4">
                  <c:v>C5</c:v>
                </c:pt>
                <c:pt idx="5">
                  <c:v>C6</c:v>
                </c:pt>
                <c:pt idx="6">
                  <c:v>C7</c:v>
                </c:pt>
                <c:pt idx="7">
                  <c:v>C8</c:v>
                </c:pt>
                <c:pt idx="8">
                  <c:v>C9</c:v>
                </c:pt>
                <c:pt idx="9">
                  <c:v>C10</c:v>
                </c:pt>
                <c:pt idx="10">
                  <c:v>C11</c:v>
                </c:pt>
                <c:pt idx="11">
                  <c:v>C12</c:v>
                </c:pt>
                <c:pt idx="12">
                  <c:v>C13</c:v>
                </c:pt>
                <c:pt idx="13">
                  <c:v>C14</c:v>
                </c:pt>
                <c:pt idx="14">
                  <c:v>C15</c:v>
                </c:pt>
                <c:pt idx="15">
                  <c:v>C16</c:v>
                </c:pt>
              </c:strCache>
            </c:strRef>
          </c:cat>
          <c:val>
            <c:numRef>
              <c:f>'PaLM_Compiled_Q1 '!$M$32:$M$47</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9-9732-4B30-AAB7-3238269FB0B3}"/>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PaLM_Compiled_Q2!$D$6</c:f>
              <c:strCache>
                <c:ptCount val="1"/>
                <c:pt idx="0">
                  <c:v>High Correct:</c:v>
                </c:pt>
              </c:strCache>
            </c:strRef>
          </c:tx>
          <c:spPr>
            <a:solidFill>
              <a:schemeClr val="accent6">
                <a:lumMod val="75000"/>
              </a:schemeClr>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PaLM_Compiled_Q2!$D$7:$D$27</c:f>
              <c:numCache>
                <c:formatCode>General</c:formatCode>
                <c:ptCount val="21"/>
                <c:pt idx="0">
                  <c:v>9</c:v>
                </c:pt>
              </c:numCache>
            </c:numRef>
          </c:val>
          <c:extLst>
            <c:ext xmlns:c16="http://schemas.microsoft.com/office/drawing/2014/chart" uri="{C3380CC4-5D6E-409C-BE32-E72D297353CC}">
              <c16:uniqueId val="{00000000-B698-462A-9317-2DD1F5A46833}"/>
            </c:ext>
          </c:extLst>
        </c:ser>
        <c:ser>
          <c:idx val="1"/>
          <c:order val="1"/>
          <c:tx>
            <c:strRef>
              <c:f>PaLM_Compiled_Q2!$E$6</c:f>
              <c:strCache>
                <c:ptCount val="1"/>
                <c:pt idx="0">
                  <c:v>Medium Correct:</c:v>
                </c:pt>
              </c:strCache>
            </c:strRef>
          </c:tx>
          <c:spPr>
            <a:solidFill>
              <a:schemeClr val="accent6"/>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PaLM_Compiled_Q2!$E$7:$E$27</c:f>
              <c:numCache>
                <c:formatCode>General</c:formatCode>
                <c:ptCount val="21"/>
                <c:pt idx="0">
                  <c:v>1</c:v>
                </c:pt>
              </c:numCache>
            </c:numRef>
          </c:val>
          <c:extLst>
            <c:ext xmlns:c16="http://schemas.microsoft.com/office/drawing/2014/chart" uri="{C3380CC4-5D6E-409C-BE32-E72D297353CC}">
              <c16:uniqueId val="{00000001-B698-462A-9317-2DD1F5A46833}"/>
            </c:ext>
          </c:extLst>
        </c:ser>
        <c:ser>
          <c:idx val="2"/>
          <c:order val="2"/>
          <c:tx>
            <c:strRef>
              <c:f>PaLM_Compiled_Q2!$F$6</c:f>
              <c:strCache>
                <c:ptCount val="1"/>
                <c:pt idx="0">
                  <c:v>Low Correct:</c:v>
                </c:pt>
              </c:strCache>
            </c:strRef>
          </c:tx>
          <c:spPr>
            <a:solidFill>
              <a:schemeClr val="accent6">
                <a:lumMod val="40000"/>
                <a:lumOff val="60000"/>
              </a:schemeClr>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PaLM_Compiled_Q2!$F$7:$F$27</c:f>
              <c:numCache>
                <c:formatCode>General</c:formatCode>
                <c:ptCount val="21"/>
                <c:pt idx="0">
                  <c:v>0</c:v>
                </c:pt>
              </c:numCache>
            </c:numRef>
          </c:val>
          <c:extLst>
            <c:ext xmlns:c16="http://schemas.microsoft.com/office/drawing/2014/chart" uri="{C3380CC4-5D6E-409C-BE32-E72D297353CC}">
              <c16:uniqueId val="{00000002-B698-462A-9317-2DD1F5A46833}"/>
            </c:ext>
          </c:extLst>
        </c:ser>
        <c:ser>
          <c:idx val="3"/>
          <c:order val="3"/>
          <c:tx>
            <c:strRef>
              <c:f>PaLM_Compiled_Q2!$G$6</c:f>
              <c:strCache>
                <c:ptCount val="1"/>
                <c:pt idx="0">
                  <c:v>High Maybe:</c:v>
                </c:pt>
              </c:strCache>
            </c:strRef>
          </c:tx>
          <c:spPr>
            <a:solidFill>
              <a:schemeClr val="accent2">
                <a:lumMod val="75000"/>
              </a:schemeClr>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PaLM_Compiled_Q2!$G$7:$G$27</c:f>
              <c:numCache>
                <c:formatCode>General</c:formatCode>
                <c:ptCount val="21"/>
                <c:pt idx="0">
                  <c:v>0</c:v>
                </c:pt>
              </c:numCache>
            </c:numRef>
          </c:val>
          <c:extLst>
            <c:ext xmlns:c16="http://schemas.microsoft.com/office/drawing/2014/chart" uri="{C3380CC4-5D6E-409C-BE32-E72D297353CC}">
              <c16:uniqueId val="{00000003-B698-462A-9317-2DD1F5A46833}"/>
            </c:ext>
          </c:extLst>
        </c:ser>
        <c:ser>
          <c:idx val="4"/>
          <c:order val="4"/>
          <c:tx>
            <c:strRef>
              <c:f>PaLM_Compiled_Q2!$H$6</c:f>
              <c:strCache>
                <c:ptCount val="1"/>
                <c:pt idx="0">
                  <c:v>Medium Maybe:</c:v>
                </c:pt>
              </c:strCache>
            </c:strRef>
          </c:tx>
          <c:spPr>
            <a:solidFill>
              <a:schemeClr val="accent2"/>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PaLM_Compiled_Q2!$H$7:$H$27</c:f>
              <c:numCache>
                <c:formatCode>General</c:formatCode>
                <c:ptCount val="21"/>
                <c:pt idx="0">
                  <c:v>0</c:v>
                </c:pt>
              </c:numCache>
            </c:numRef>
          </c:val>
          <c:extLst>
            <c:ext xmlns:c16="http://schemas.microsoft.com/office/drawing/2014/chart" uri="{C3380CC4-5D6E-409C-BE32-E72D297353CC}">
              <c16:uniqueId val="{00000004-B698-462A-9317-2DD1F5A46833}"/>
            </c:ext>
          </c:extLst>
        </c:ser>
        <c:ser>
          <c:idx val="5"/>
          <c:order val="5"/>
          <c:tx>
            <c:strRef>
              <c:f>PaLM_Compiled_Q2!$I$6</c:f>
              <c:strCache>
                <c:ptCount val="1"/>
                <c:pt idx="0">
                  <c:v>Low Maybe:</c:v>
                </c:pt>
              </c:strCache>
            </c:strRef>
          </c:tx>
          <c:spPr>
            <a:solidFill>
              <a:schemeClr val="accent2">
                <a:lumMod val="60000"/>
                <a:lumOff val="40000"/>
              </a:schemeClr>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PaLM_Compiled_Q2!$I$7:$I$27</c:f>
              <c:numCache>
                <c:formatCode>General</c:formatCode>
                <c:ptCount val="21"/>
                <c:pt idx="0">
                  <c:v>1</c:v>
                </c:pt>
              </c:numCache>
            </c:numRef>
          </c:val>
          <c:extLst>
            <c:ext xmlns:c16="http://schemas.microsoft.com/office/drawing/2014/chart" uri="{C3380CC4-5D6E-409C-BE32-E72D297353CC}">
              <c16:uniqueId val="{00000005-B698-462A-9317-2DD1F5A46833}"/>
            </c:ext>
          </c:extLst>
        </c:ser>
        <c:ser>
          <c:idx val="6"/>
          <c:order val="6"/>
          <c:tx>
            <c:strRef>
              <c:f>PaLM_Compiled_Q2!$J$6</c:f>
              <c:strCache>
                <c:ptCount val="1"/>
                <c:pt idx="0">
                  <c:v>Low Incorrect:</c:v>
                </c:pt>
              </c:strCache>
            </c:strRef>
          </c:tx>
          <c:spPr>
            <a:solidFill>
              <a:srgbClr val="F46868"/>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PaLM_Compiled_Q2!$J$7:$J$27</c:f>
              <c:numCache>
                <c:formatCode>General</c:formatCode>
                <c:ptCount val="21"/>
                <c:pt idx="0">
                  <c:v>0</c:v>
                </c:pt>
              </c:numCache>
            </c:numRef>
          </c:val>
          <c:extLst>
            <c:ext xmlns:c16="http://schemas.microsoft.com/office/drawing/2014/chart" uri="{C3380CC4-5D6E-409C-BE32-E72D297353CC}">
              <c16:uniqueId val="{00000006-B698-462A-9317-2DD1F5A46833}"/>
            </c:ext>
          </c:extLst>
        </c:ser>
        <c:ser>
          <c:idx val="7"/>
          <c:order val="7"/>
          <c:tx>
            <c:strRef>
              <c:f>PaLM_Compiled_Q2!$K$6</c:f>
              <c:strCache>
                <c:ptCount val="1"/>
                <c:pt idx="0">
                  <c:v>Medium Incorrect:</c:v>
                </c:pt>
              </c:strCache>
            </c:strRef>
          </c:tx>
          <c:spPr>
            <a:solidFill>
              <a:srgbClr val="EC2828"/>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PaLM_Compiled_Q2!$K$7:$K$27</c:f>
              <c:numCache>
                <c:formatCode>General</c:formatCode>
                <c:ptCount val="21"/>
                <c:pt idx="0">
                  <c:v>1</c:v>
                </c:pt>
              </c:numCache>
            </c:numRef>
          </c:val>
          <c:extLst>
            <c:ext xmlns:c16="http://schemas.microsoft.com/office/drawing/2014/chart" uri="{C3380CC4-5D6E-409C-BE32-E72D297353CC}">
              <c16:uniqueId val="{00000007-B698-462A-9317-2DD1F5A46833}"/>
            </c:ext>
          </c:extLst>
        </c:ser>
        <c:ser>
          <c:idx val="8"/>
          <c:order val="8"/>
          <c:tx>
            <c:strRef>
              <c:f>PaLM_Compiled_Q2!$L$6</c:f>
              <c:strCache>
                <c:ptCount val="1"/>
                <c:pt idx="0">
                  <c:v>High Incorrect:</c:v>
                </c:pt>
              </c:strCache>
            </c:strRef>
          </c:tx>
          <c:spPr>
            <a:solidFill>
              <a:srgbClr val="C00000"/>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PaLM_Compiled_Q2!$L$7:$L$27</c:f>
              <c:numCache>
                <c:formatCode>General</c:formatCode>
                <c:ptCount val="21"/>
                <c:pt idx="0">
                  <c:v>1</c:v>
                </c:pt>
              </c:numCache>
            </c:numRef>
          </c:val>
          <c:extLst>
            <c:ext xmlns:c16="http://schemas.microsoft.com/office/drawing/2014/chart" uri="{C3380CC4-5D6E-409C-BE32-E72D297353CC}">
              <c16:uniqueId val="{00000008-B698-462A-9317-2DD1F5A46833}"/>
            </c:ext>
          </c:extLst>
        </c:ser>
        <c:ser>
          <c:idx val="9"/>
          <c:order val="9"/>
          <c:tx>
            <c:strRef>
              <c:f>PaLM_Compiled_Q2!$M$6</c:f>
              <c:strCache>
                <c:ptCount val="1"/>
                <c:pt idx="0">
                  <c:v>N/A:</c:v>
                </c:pt>
              </c:strCache>
            </c:strRef>
          </c:tx>
          <c:spPr>
            <a:solidFill>
              <a:schemeClr val="bg2">
                <a:lumMod val="75000"/>
              </a:schemeClr>
            </a:solidFill>
            <a:ln>
              <a:noFill/>
            </a:ln>
            <a:effectLst/>
          </c:spPr>
          <c:invertIfNegative val="0"/>
          <c:cat>
            <c:strRef>
              <c:f>PaLM_Compiled_Q2!$C$7:$C$27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PaLM_Compiled_Q2!$M$7:$M$27</c:f>
              <c:numCache>
                <c:formatCode>General</c:formatCode>
                <c:ptCount val="21"/>
                <c:pt idx="0">
                  <c:v>1</c:v>
                </c:pt>
              </c:numCache>
            </c:numRef>
          </c:val>
          <c:extLst>
            <c:ext xmlns:c16="http://schemas.microsoft.com/office/drawing/2014/chart" uri="{C3380CC4-5D6E-409C-BE32-E72D297353CC}">
              <c16:uniqueId val="{00000009-B698-462A-9317-2DD1F5A46833}"/>
            </c:ext>
          </c:extLst>
        </c:ser>
        <c:dLbls>
          <c:showLegendKey val="0"/>
          <c:showVal val="0"/>
          <c:showCatName val="0"/>
          <c:showSerName val="0"/>
          <c:showPercent val="0"/>
          <c:showBubbleSize val="0"/>
        </c:dLbls>
        <c:gapWidth val="150"/>
        <c:overlap val="100"/>
        <c:axId val="62698640"/>
        <c:axId val="62709680"/>
      </c:barChart>
      <c:catAx>
        <c:axId val="6269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9680"/>
        <c:crosses val="autoZero"/>
        <c:auto val="1"/>
        <c:lblAlgn val="ctr"/>
        <c:lblOffset val="100"/>
        <c:noMultiLvlLbl val="0"/>
      </c:catAx>
      <c:valAx>
        <c:axId val="62709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9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PaLM_Compiled_Q2!$D$31</c:f>
              <c:strCache>
                <c:ptCount val="1"/>
                <c:pt idx="0">
                  <c:v>High Correct:</c:v>
                </c:pt>
              </c:strCache>
            </c:strRef>
          </c:tx>
          <c:spPr>
            <a:solidFill>
              <a:schemeClr val="accent6">
                <a:lumMod val="75000"/>
              </a:schemeClr>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PaLM_Compiled_Q2!$D$32:$D$47</c:f>
              <c:numCache>
                <c:formatCode>General</c:formatCode>
                <c:ptCount val="16"/>
                <c:pt idx="0">
                  <c:v>11</c:v>
                </c:pt>
              </c:numCache>
            </c:numRef>
          </c:val>
          <c:extLst>
            <c:ext xmlns:c16="http://schemas.microsoft.com/office/drawing/2014/chart" uri="{C3380CC4-5D6E-409C-BE32-E72D297353CC}">
              <c16:uniqueId val="{00000000-B9FC-44AF-B53B-552C4DE9F7AC}"/>
            </c:ext>
          </c:extLst>
        </c:ser>
        <c:ser>
          <c:idx val="1"/>
          <c:order val="1"/>
          <c:tx>
            <c:strRef>
              <c:f>PaLM_Compiled_Q2!$E$31</c:f>
              <c:strCache>
                <c:ptCount val="1"/>
                <c:pt idx="0">
                  <c:v>Medium Correct:</c:v>
                </c:pt>
              </c:strCache>
            </c:strRef>
          </c:tx>
          <c:spPr>
            <a:solidFill>
              <a:schemeClr val="accent6"/>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PaLM_Compiled_Q2!$E$32:$E$47</c:f>
              <c:numCache>
                <c:formatCode>General</c:formatCode>
                <c:ptCount val="16"/>
                <c:pt idx="0">
                  <c:v>2</c:v>
                </c:pt>
              </c:numCache>
            </c:numRef>
          </c:val>
          <c:extLst>
            <c:ext xmlns:c16="http://schemas.microsoft.com/office/drawing/2014/chart" uri="{C3380CC4-5D6E-409C-BE32-E72D297353CC}">
              <c16:uniqueId val="{00000001-B9FC-44AF-B53B-552C4DE9F7AC}"/>
            </c:ext>
          </c:extLst>
        </c:ser>
        <c:ser>
          <c:idx val="2"/>
          <c:order val="2"/>
          <c:tx>
            <c:strRef>
              <c:f>PaLM_Compiled_Q2!$F$31</c:f>
              <c:strCache>
                <c:ptCount val="1"/>
                <c:pt idx="0">
                  <c:v>Low Correct:</c:v>
                </c:pt>
              </c:strCache>
            </c:strRef>
          </c:tx>
          <c:spPr>
            <a:solidFill>
              <a:schemeClr val="accent6">
                <a:lumMod val="60000"/>
                <a:lumOff val="40000"/>
              </a:schemeClr>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PaLM_Compiled_Q2!$F$32:$F$47</c:f>
              <c:numCache>
                <c:formatCode>General</c:formatCode>
                <c:ptCount val="16"/>
                <c:pt idx="0">
                  <c:v>1</c:v>
                </c:pt>
              </c:numCache>
            </c:numRef>
          </c:val>
          <c:extLst>
            <c:ext xmlns:c16="http://schemas.microsoft.com/office/drawing/2014/chart" uri="{C3380CC4-5D6E-409C-BE32-E72D297353CC}">
              <c16:uniqueId val="{00000002-B9FC-44AF-B53B-552C4DE9F7AC}"/>
            </c:ext>
          </c:extLst>
        </c:ser>
        <c:ser>
          <c:idx val="3"/>
          <c:order val="3"/>
          <c:tx>
            <c:strRef>
              <c:f>PaLM_Compiled_Q2!$G$31</c:f>
              <c:strCache>
                <c:ptCount val="1"/>
                <c:pt idx="0">
                  <c:v>High Maybe:</c:v>
                </c:pt>
              </c:strCache>
            </c:strRef>
          </c:tx>
          <c:spPr>
            <a:solidFill>
              <a:schemeClr val="accent2">
                <a:lumMod val="75000"/>
              </a:schemeClr>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PaLM_Compiled_Q2!$G$32:$G$47</c:f>
              <c:numCache>
                <c:formatCode>General</c:formatCode>
                <c:ptCount val="16"/>
                <c:pt idx="0">
                  <c:v>1</c:v>
                </c:pt>
              </c:numCache>
            </c:numRef>
          </c:val>
          <c:extLst>
            <c:ext xmlns:c16="http://schemas.microsoft.com/office/drawing/2014/chart" uri="{C3380CC4-5D6E-409C-BE32-E72D297353CC}">
              <c16:uniqueId val="{00000003-B9FC-44AF-B53B-552C4DE9F7AC}"/>
            </c:ext>
          </c:extLst>
        </c:ser>
        <c:ser>
          <c:idx val="4"/>
          <c:order val="4"/>
          <c:tx>
            <c:strRef>
              <c:f>PaLM_Compiled_Q2!$H$31</c:f>
              <c:strCache>
                <c:ptCount val="1"/>
                <c:pt idx="0">
                  <c:v>Medium Maybe:</c:v>
                </c:pt>
              </c:strCache>
            </c:strRef>
          </c:tx>
          <c:spPr>
            <a:solidFill>
              <a:schemeClr val="accent2"/>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PaLM_Compiled_Q2!$H$32:$H$47</c:f>
              <c:numCache>
                <c:formatCode>General</c:formatCode>
                <c:ptCount val="16"/>
                <c:pt idx="0">
                  <c:v>0</c:v>
                </c:pt>
              </c:numCache>
            </c:numRef>
          </c:val>
          <c:extLst>
            <c:ext xmlns:c16="http://schemas.microsoft.com/office/drawing/2014/chart" uri="{C3380CC4-5D6E-409C-BE32-E72D297353CC}">
              <c16:uniqueId val="{00000004-B9FC-44AF-B53B-552C4DE9F7AC}"/>
            </c:ext>
          </c:extLst>
        </c:ser>
        <c:ser>
          <c:idx val="5"/>
          <c:order val="5"/>
          <c:tx>
            <c:strRef>
              <c:f>PaLM_Compiled_Q2!$I$31</c:f>
              <c:strCache>
                <c:ptCount val="1"/>
                <c:pt idx="0">
                  <c:v>Low Maybe:</c:v>
                </c:pt>
              </c:strCache>
            </c:strRef>
          </c:tx>
          <c:spPr>
            <a:solidFill>
              <a:schemeClr val="accent2">
                <a:lumMod val="60000"/>
                <a:lumOff val="40000"/>
              </a:schemeClr>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PaLM_Compiled_Q2!$I$32:$I$47</c:f>
              <c:numCache>
                <c:formatCode>General</c:formatCode>
                <c:ptCount val="16"/>
                <c:pt idx="0">
                  <c:v>0</c:v>
                </c:pt>
              </c:numCache>
            </c:numRef>
          </c:val>
          <c:extLst>
            <c:ext xmlns:c16="http://schemas.microsoft.com/office/drawing/2014/chart" uri="{C3380CC4-5D6E-409C-BE32-E72D297353CC}">
              <c16:uniqueId val="{00000005-B9FC-44AF-B53B-552C4DE9F7AC}"/>
            </c:ext>
          </c:extLst>
        </c:ser>
        <c:ser>
          <c:idx val="6"/>
          <c:order val="6"/>
          <c:tx>
            <c:strRef>
              <c:f>PaLM_Compiled_Q2!$J$31</c:f>
              <c:strCache>
                <c:ptCount val="1"/>
                <c:pt idx="0">
                  <c:v>Low Incorrect:</c:v>
                </c:pt>
              </c:strCache>
            </c:strRef>
          </c:tx>
          <c:spPr>
            <a:solidFill>
              <a:srgbClr val="F46868"/>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PaLM_Compiled_Q2!$J$32:$J$47</c:f>
              <c:numCache>
                <c:formatCode>General</c:formatCode>
                <c:ptCount val="16"/>
                <c:pt idx="0">
                  <c:v>0</c:v>
                </c:pt>
              </c:numCache>
            </c:numRef>
          </c:val>
          <c:extLst>
            <c:ext xmlns:c16="http://schemas.microsoft.com/office/drawing/2014/chart" uri="{C3380CC4-5D6E-409C-BE32-E72D297353CC}">
              <c16:uniqueId val="{00000006-B9FC-44AF-B53B-552C4DE9F7AC}"/>
            </c:ext>
          </c:extLst>
        </c:ser>
        <c:ser>
          <c:idx val="7"/>
          <c:order val="7"/>
          <c:tx>
            <c:strRef>
              <c:f>PaLM_Compiled_Q2!$K$31</c:f>
              <c:strCache>
                <c:ptCount val="1"/>
                <c:pt idx="0">
                  <c:v>Medium Incorrect:</c:v>
                </c:pt>
              </c:strCache>
            </c:strRef>
          </c:tx>
          <c:spPr>
            <a:solidFill>
              <a:srgbClr val="EC2828"/>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PaLM_Compiled_Q2!$K$32:$K$47</c:f>
              <c:numCache>
                <c:formatCode>General</c:formatCode>
                <c:ptCount val="16"/>
                <c:pt idx="0">
                  <c:v>3</c:v>
                </c:pt>
              </c:numCache>
            </c:numRef>
          </c:val>
          <c:extLst>
            <c:ext xmlns:c16="http://schemas.microsoft.com/office/drawing/2014/chart" uri="{C3380CC4-5D6E-409C-BE32-E72D297353CC}">
              <c16:uniqueId val="{00000007-B9FC-44AF-B53B-552C4DE9F7AC}"/>
            </c:ext>
          </c:extLst>
        </c:ser>
        <c:ser>
          <c:idx val="8"/>
          <c:order val="8"/>
          <c:tx>
            <c:strRef>
              <c:f>PaLM_Compiled_Q2!$L$31</c:f>
              <c:strCache>
                <c:ptCount val="1"/>
                <c:pt idx="0">
                  <c:v>High Incorrect:</c:v>
                </c:pt>
              </c:strCache>
            </c:strRef>
          </c:tx>
          <c:spPr>
            <a:solidFill>
              <a:srgbClr val="C00000"/>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PaLM_Compiled_Q2!$L$32:$L$47</c:f>
              <c:numCache>
                <c:formatCode>General</c:formatCode>
                <c:ptCount val="16"/>
                <c:pt idx="0">
                  <c:v>0</c:v>
                </c:pt>
              </c:numCache>
            </c:numRef>
          </c:val>
          <c:extLst>
            <c:ext xmlns:c16="http://schemas.microsoft.com/office/drawing/2014/chart" uri="{C3380CC4-5D6E-409C-BE32-E72D297353CC}">
              <c16:uniqueId val="{00000008-B9FC-44AF-B53B-552C4DE9F7AC}"/>
            </c:ext>
          </c:extLst>
        </c:ser>
        <c:ser>
          <c:idx val="9"/>
          <c:order val="9"/>
          <c:tx>
            <c:strRef>
              <c:f>PaLM_Compiled_Q2!$M$31</c:f>
              <c:strCache>
                <c:ptCount val="1"/>
                <c:pt idx="0">
                  <c:v>N/A:</c:v>
                </c:pt>
              </c:strCache>
            </c:strRef>
          </c:tx>
          <c:spPr>
            <a:solidFill>
              <a:schemeClr val="bg2">
                <a:lumMod val="75000"/>
              </a:schemeClr>
            </a:solidFill>
            <a:ln>
              <a:noFill/>
            </a:ln>
            <a:effectLst/>
          </c:spPr>
          <c:invertIfNegative val="0"/>
          <c:cat>
            <c:strRef>
              <c:f>PaLM_Compiled_Q2!$C$32:$C$47</c:f>
              <c:strCache>
                <c:ptCount val="16"/>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strCache>
            </c:strRef>
          </c:cat>
          <c:val>
            <c:numRef>
              <c:f>PaLM_Compiled_Q2!$M$32:$M$47</c:f>
              <c:numCache>
                <c:formatCode>General</c:formatCode>
                <c:ptCount val="16"/>
                <c:pt idx="0">
                  <c:v>3</c:v>
                </c:pt>
              </c:numCache>
            </c:numRef>
          </c:val>
          <c:extLst>
            <c:ext xmlns:c16="http://schemas.microsoft.com/office/drawing/2014/chart" uri="{C3380CC4-5D6E-409C-BE32-E72D297353CC}">
              <c16:uniqueId val="{00000009-B9FC-44AF-B53B-552C4DE9F7AC}"/>
            </c:ext>
          </c:extLst>
        </c:ser>
        <c:dLbls>
          <c:showLegendKey val="0"/>
          <c:showVal val="0"/>
          <c:showCatName val="0"/>
          <c:showSerName val="0"/>
          <c:showPercent val="0"/>
          <c:showBubbleSize val="0"/>
        </c:dLbls>
        <c:gapWidth val="150"/>
        <c:overlap val="100"/>
        <c:axId val="440937408"/>
        <c:axId val="440935488"/>
      </c:barChart>
      <c:catAx>
        <c:axId val="44093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5488"/>
        <c:crosses val="autoZero"/>
        <c:auto val="1"/>
        <c:lblAlgn val="ctr"/>
        <c:lblOffset val="100"/>
        <c:noMultiLvlLbl val="0"/>
      </c:catAx>
      <c:valAx>
        <c:axId val="4409354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37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percentStacked"/>
        <c:varyColors val="0"/>
        <c:ser>
          <c:idx val="0"/>
          <c:order val="0"/>
          <c:tx>
            <c:strRef>
              <c:f>Total!$D$6</c:f>
              <c:strCache>
                <c:ptCount val="1"/>
                <c:pt idx="0">
                  <c:v>High Correct:</c:v>
                </c:pt>
              </c:strCache>
            </c:strRef>
          </c:tx>
          <c:spPr>
            <a:solidFill>
              <a:schemeClr val="accent6">
                <a:lumMod val="75000"/>
              </a:schemeClr>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Total!$D$7:$D$27</c:f>
              <c:numCache>
                <c:formatCode>General</c:formatCode>
                <c:ptCount val="21"/>
                <c:pt idx="0">
                  <c:v>74</c:v>
                </c:pt>
                <c:pt idx="1">
                  <c:v>68</c:v>
                </c:pt>
                <c:pt idx="2">
                  <c:v>45</c:v>
                </c:pt>
                <c:pt idx="3">
                  <c:v>67</c:v>
                </c:pt>
                <c:pt idx="4">
                  <c:v>55</c:v>
                </c:pt>
                <c:pt idx="5">
                  <c:v>79</c:v>
                </c:pt>
                <c:pt idx="6">
                  <c:v>32</c:v>
                </c:pt>
                <c:pt idx="7">
                  <c:v>75</c:v>
                </c:pt>
                <c:pt idx="8">
                  <c:v>67</c:v>
                </c:pt>
                <c:pt idx="9">
                  <c:v>77</c:v>
                </c:pt>
                <c:pt idx="10">
                  <c:v>83</c:v>
                </c:pt>
                <c:pt idx="11">
                  <c:v>67</c:v>
                </c:pt>
                <c:pt idx="12">
                  <c:v>72</c:v>
                </c:pt>
                <c:pt idx="13">
                  <c:v>70</c:v>
                </c:pt>
                <c:pt idx="14">
                  <c:v>83</c:v>
                </c:pt>
                <c:pt idx="15">
                  <c:v>86</c:v>
                </c:pt>
                <c:pt idx="16">
                  <c:v>14</c:v>
                </c:pt>
                <c:pt idx="17">
                  <c:v>24</c:v>
                </c:pt>
                <c:pt idx="18">
                  <c:v>32</c:v>
                </c:pt>
                <c:pt idx="19">
                  <c:v>27</c:v>
                </c:pt>
                <c:pt idx="20">
                  <c:v>13</c:v>
                </c:pt>
              </c:numCache>
            </c:numRef>
          </c:val>
          <c:extLst>
            <c:ext xmlns:c16="http://schemas.microsoft.com/office/drawing/2014/chart" uri="{C3380CC4-5D6E-409C-BE32-E72D297353CC}">
              <c16:uniqueId val="{00000000-3469-4B24-B3AF-E0C09E262815}"/>
            </c:ext>
          </c:extLst>
        </c:ser>
        <c:ser>
          <c:idx val="1"/>
          <c:order val="1"/>
          <c:tx>
            <c:strRef>
              <c:f>Total!$E$6</c:f>
              <c:strCache>
                <c:ptCount val="1"/>
                <c:pt idx="0">
                  <c:v>Medium Correct:</c:v>
                </c:pt>
              </c:strCache>
            </c:strRef>
          </c:tx>
          <c:spPr>
            <a:solidFill>
              <a:schemeClr val="accent6"/>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Total!$E$7:$E$27</c:f>
              <c:numCache>
                <c:formatCode>General</c:formatCode>
                <c:ptCount val="21"/>
                <c:pt idx="0">
                  <c:v>16</c:v>
                </c:pt>
                <c:pt idx="1">
                  <c:v>13</c:v>
                </c:pt>
                <c:pt idx="2">
                  <c:v>3</c:v>
                </c:pt>
                <c:pt idx="3">
                  <c:v>6</c:v>
                </c:pt>
                <c:pt idx="4">
                  <c:v>21</c:v>
                </c:pt>
                <c:pt idx="5">
                  <c:v>6</c:v>
                </c:pt>
                <c:pt idx="6">
                  <c:v>15</c:v>
                </c:pt>
                <c:pt idx="7">
                  <c:v>13</c:v>
                </c:pt>
                <c:pt idx="8">
                  <c:v>18</c:v>
                </c:pt>
                <c:pt idx="9">
                  <c:v>11</c:v>
                </c:pt>
                <c:pt idx="10">
                  <c:v>19</c:v>
                </c:pt>
                <c:pt idx="11">
                  <c:v>12</c:v>
                </c:pt>
                <c:pt idx="12">
                  <c:v>9</c:v>
                </c:pt>
                <c:pt idx="13">
                  <c:v>8</c:v>
                </c:pt>
                <c:pt idx="14">
                  <c:v>10</c:v>
                </c:pt>
                <c:pt idx="15">
                  <c:v>7</c:v>
                </c:pt>
                <c:pt idx="16">
                  <c:v>35</c:v>
                </c:pt>
                <c:pt idx="17">
                  <c:v>24</c:v>
                </c:pt>
                <c:pt idx="18">
                  <c:v>39</c:v>
                </c:pt>
                <c:pt idx="19">
                  <c:v>10</c:v>
                </c:pt>
                <c:pt idx="20">
                  <c:v>5</c:v>
                </c:pt>
              </c:numCache>
            </c:numRef>
          </c:val>
          <c:extLst>
            <c:ext xmlns:c16="http://schemas.microsoft.com/office/drawing/2014/chart" uri="{C3380CC4-5D6E-409C-BE32-E72D297353CC}">
              <c16:uniqueId val="{00000001-3469-4B24-B3AF-E0C09E262815}"/>
            </c:ext>
          </c:extLst>
        </c:ser>
        <c:ser>
          <c:idx val="2"/>
          <c:order val="2"/>
          <c:tx>
            <c:strRef>
              <c:f>Total!$F$6</c:f>
              <c:strCache>
                <c:ptCount val="1"/>
                <c:pt idx="0">
                  <c:v>Low Correct:</c:v>
                </c:pt>
              </c:strCache>
            </c:strRef>
          </c:tx>
          <c:spPr>
            <a:solidFill>
              <a:schemeClr val="accent6">
                <a:lumMod val="60000"/>
                <a:lumOff val="40000"/>
              </a:schemeClr>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Total!$F$7:$F$27</c:f>
              <c:numCache>
                <c:formatCode>General</c:formatCode>
                <c:ptCount val="21"/>
                <c:pt idx="0">
                  <c:v>5</c:v>
                </c:pt>
                <c:pt idx="1">
                  <c:v>6</c:v>
                </c:pt>
                <c:pt idx="2">
                  <c:v>8</c:v>
                </c:pt>
                <c:pt idx="3">
                  <c:v>10</c:v>
                </c:pt>
                <c:pt idx="4">
                  <c:v>13</c:v>
                </c:pt>
                <c:pt idx="5">
                  <c:v>8</c:v>
                </c:pt>
                <c:pt idx="6">
                  <c:v>15</c:v>
                </c:pt>
                <c:pt idx="7">
                  <c:v>9</c:v>
                </c:pt>
                <c:pt idx="8">
                  <c:v>8</c:v>
                </c:pt>
                <c:pt idx="9">
                  <c:v>18</c:v>
                </c:pt>
                <c:pt idx="10">
                  <c:v>14</c:v>
                </c:pt>
                <c:pt idx="11">
                  <c:v>12</c:v>
                </c:pt>
                <c:pt idx="12">
                  <c:v>17</c:v>
                </c:pt>
                <c:pt idx="13">
                  <c:v>9</c:v>
                </c:pt>
                <c:pt idx="14">
                  <c:v>12</c:v>
                </c:pt>
                <c:pt idx="15">
                  <c:v>9</c:v>
                </c:pt>
                <c:pt idx="16">
                  <c:v>12</c:v>
                </c:pt>
                <c:pt idx="17">
                  <c:v>18</c:v>
                </c:pt>
                <c:pt idx="18">
                  <c:v>19</c:v>
                </c:pt>
                <c:pt idx="19">
                  <c:v>15</c:v>
                </c:pt>
                <c:pt idx="20">
                  <c:v>7</c:v>
                </c:pt>
              </c:numCache>
            </c:numRef>
          </c:val>
          <c:extLst>
            <c:ext xmlns:c16="http://schemas.microsoft.com/office/drawing/2014/chart" uri="{C3380CC4-5D6E-409C-BE32-E72D297353CC}">
              <c16:uniqueId val="{00000002-3469-4B24-B3AF-E0C09E262815}"/>
            </c:ext>
          </c:extLst>
        </c:ser>
        <c:ser>
          <c:idx val="3"/>
          <c:order val="3"/>
          <c:tx>
            <c:strRef>
              <c:f>Total!$G$6</c:f>
              <c:strCache>
                <c:ptCount val="1"/>
                <c:pt idx="0">
                  <c:v>High Maybe:</c:v>
                </c:pt>
              </c:strCache>
            </c:strRef>
          </c:tx>
          <c:spPr>
            <a:solidFill>
              <a:schemeClr val="accent2">
                <a:lumMod val="75000"/>
              </a:schemeClr>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Total!$G$7:$G$27</c:f>
              <c:numCache>
                <c:formatCode>General</c:formatCode>
                <c:ptCount val="21"/>
                <c:pt idx="0">
                  <c:v>6</c:v>
                </c:pt>
                <c:pt idx="1">
                  <c:v>16</c:v>
                </c:pt>
                <c:pt idx="2">
                  <c:v>17</c:v>
                </c:pt>
                <c:pt idx="3">
                  <c:v>19</c:v>
                </c:pt>
                <c:pt idx="4">
                  <c:v>8</c:v>
                </c:pt>
                <c:pt idx="5">
                  <c:v>6</c:v>
                </c:pt>
                <c:pt idx="6">
                  <c:v>16</c:v>
                </c:pt>
                <c:pt idx="7">
                  <c:v>7</c:v>
                </c:pt>
                <c:pt idx="8">
                  <c:v>9</c:v>
                </c:pt>
                <c:pt idx="9">
                  <c:v>11</c:v>
                </c:pt>
                <c:pt idx="10">
                  <c:v>9</c:v>
                </c:pt>
                <c:pt idx="11">
                  <c:v>7</c:v>
                </c:pt>
                <c:pt idx="12">
                  <c:v>7</c:v>
                </c:pt>
                <c:pt idx="13">
                  <c:v>7</c:v>
                </c:pt>
                <c:pt idx="14">
                  <c:v>8</c:v>
                </c:pt>
                <c:pt idx="15">
                  <c:v>6</c:v>
                </c:pt>
                <c:pt idx="16">
                  <c:v>2</c:v>
                </c:pt>
                <c:pt idx="17">
                  <c:v>14</c:v>
                </c:pt>
                <c:pt idx="18">
                  <c:v>7</c:v>
                </c:pt>
                <c:pt idx="19">
                  <c:v>15</c:v>
                </c:pt>
                <c:pt idx="20">
                  <c:v>4</c:v>
                </c:pt>
              </c:numCache>
            </c:numRef>
          </c:val>
          <c:extLst>
            <c:ext xmlns:c16="http://schemas.microsoft.com/office/drawing/2014/chart" uri="{C3380CC4-5D6E-409C-BE32-E72D297353CC}">
              <c16:uniqueId val="{00000003-3469-4B24-B3AF-E0C09E262815}"/>
            </c:ext>
          </c:extLst>
        </c:ser>
        <c:ser>
          <c:idx val="4"/>
          <c:order val="4"/>
          <c:tx>
            <c:strRef>
              <c:f>Total!$H$6</c:f>
              <c:strCache>
                <c:ptCount val="1"/>
                <c:pt idx="0">
                  <c:v>Medium Maybe:</c:v>
                </c:pt>
              </c:strCache>
            </c:strRef>
          </c:tx>
          <c:spPr>
            <a:solidFill>
              <a:schemeClr val="accent2"/>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Total!$H$7:$H$27</c:f>
              <c:numCache>
                <c:formatCode>General</c:formatCode>
                <c:ptCount val="21"/>
                <c:pt idx="0">
                  <c:v>3</c:v>
                </c:pt>
                <c:pt idx="1">
                  <c:v>4</c:v>
                </c:pt>
                <c:pt idx="2">
                  <c:v>12</c:v>
                </c:pt>
                <c:pt idx="3">
                  <c:v>13</c:v>
                </c:pt>
                <c:pt idx="4">
                  <c:v>9</c:v>
                </c:pt>
                <c:pt idx="5">
                  <c:v>12</c:v>
                </c:pt>
                <c:pt idx="6">
                  <c:v>12</c:v>
                </c:pt>
                <c:pt idx="7">
                  <c:v>4</c:v>
                </c:pt>
                <c:pt idx="8">
                  <c:v>3</c:v>
                </c:pt>
                <c:pt idx="9">
                  <c:v>5</c:v>
                </c:pt>
                <c:pt idx="10">
                  <c:v>4</c:v>
                </c:pt>
                <c:pt idx="11">
                  <c:v>9</c:v>
                </c:pt>
                <c:pt idx="12">
                  <c:v>4</c:v>
                </c:pt>
                <c:pt idx="13">
                  <c:v>8</c:v>
                </c:pt>
                <c:pt idx="14">
                  <c:v>6</c:v>
                </c:pt>
                <c:pt idx="15">
                  <c:v>3</c:v>
                </c:pt>
                <c:pt idx="16">
                  <c:v>6</c:v>
                </c:pt>
                <c:pt idx="17">
                  <c:v>14</c:v>
                </c:pt>
                <c:pt idx="18">
                  <c:v>9</c:v>
                </c:pt>
                <c:pt idx="19">
                  <c:v>22</c:v>
                </c:pt>
                <c:pt idx="20">
                  <c:v>4</c:v>
                </c:pt>
              </c:numCache>
            </c:numRef>
          </c:val>
          <c:extLst>
            <c:ext xmlns:c16="http://schemas.microsoft.com/office/drawing/2014/chart" uri="{C3380CC4-5D6E-409C-BE32-E72D297353CC}">
              <c16:uniqueId val="{00000004-3469-4B24-B3AF-E0C09E262815}"/>
            </c:ext>
          </c:extLst>
        </c:ser>
        <c:ser>
          <c:idx val="5"/>
          <c:order val="5"/>
          <c:tx>
            <c:strRef>
              <c:f>Total!$I$6</c:f>
              <c:strCache>
                <c:ptCount val="1"/>
                <c:pt idx="0">
                  <c:v>Low Maybe:</c:v>
                </c:pt>
              </c:strCache>
            </c:strRef>
          </c:tx>
          <c:spPr>
            <a:solidFill>
              <a:schemeClr val="accent2">
                <a:lumMod val="60000"/>
                <a:lumOff val="40000"/>
              </a:schemeClr>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Total!$I$7:$I$27</c:f>
              <c:numCache>
                <c:formatCode>General</c:formatCode>
                <c:ptCount val="21"/>
                <c:pt idx="0">
                  <c:v>4</c:v>
                </c:pt>
                <c:pt idx="1">
                  <c:v>8</c:v>
                </c:pt>
                <c:pt idx="2">
                  <c:v>7</c:v>
                </c:pt>
                <c:pt idx="3">
                  <c:v>2</c:v>
                </c:pt>
                <c:pt idx="4">
                  <c:v>5</c:v>
                </c:pt>
                <c:pt idx="5">
                  <c:v>3</c:v>
                </c:pt>
                <c:pt idx="6">
                  <c:v>11</c:v>
                </c:pt>
                <c:pt idx="7">
                  <c:v>1</c:v>
                </c:pt>
                <c:pt idx="8">
                  <c:v>9</c:v>
                </c:pt>
                <c:pt idx="9">
                  <c:v>1</c:v>
                </c:pt>
                <c:pt idx="10">
                  <c:v>2</c:v>
                </c:pt>
                <c:pt idx="11">
                  <c:v>3</c:v>
                </c:pt>
                <c:pt idx="12">
                  <c:v>7</c:v>
                </c:pt>
                <c:pt idx="13">
                  <c:v>7</c:v>
                </c:pt>
                <c:pt idx="14">
                  <c:v>5</c:v>
                </c:pt>
                <c:pt idx="15">
                  <c:v>2</c:v>
                </c:pt>
                <c:pt idx="16">
                  <c:v>8</c:v>
                </c:pt>
                <c:pt idx="17">
                  <c:v>8</c:v>
                </c:pt>
                <c:pt idx="18">
                  <c:v>9</c:v>
                </c:pt>
                <c:pt idx="19">
                  <c:v>9</c:v>
                </c:pt>
                <c:pt idx="20">
                  <c:v>2</c:v>
                </c:pt>
              </c:numCache>
            </c:numRef>
          </c:val>
          <c:extLst>
            <c:ext xmlns:c16="http://schemas.microsoft.com/office/drawing/2014/chart" uri="{C3380CC4-5D6E-409C-BE32-E72D297353CC}">
              <c16:uniqueId val="{00000005-3469-4B24-B3AF-E0C09E262815}"/>
            </c:ext>
          </c:extLst>
        </c:ser>
        <c:ser>
          <c:idx val="6"/>
          <c:order val="6"/>
          <c:tx>
            <c:strRef>
              <c:f>Total!$J$6</c:f>
              <c:strCache>
                <c:ptCount val="1"/>
                <c:pt idx="0">
                  <c:v>Low Incorrect:</c:v>
                </c:pt>
              </c:strCache>
            </c:strRef>
          </c:tx>
          <c:spPr>
            <a:solidFill>
              <a:srgbClr val="F46868"/>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Total!$J$7:$J$27</c:f>
              <c:numCache>
                <c:formatCode>General</c:formatCode>
                <c:ptCount val="21"/>
                <c:pt idx="0">
                  <c:v>6</c:v>
                </c:pt>
                <c:pt idx="1">
                  <c:v>16</c:v>
                </c:pt>
                <c:pt idx="2">
                  <c:v>12</c:v>
                </c:pt>
                <c:pt idx="3">
                  <c:v>5</c:v>
                </c:pt>
                <c:pt idx="4">
                  <c:v>10</c:v>
                </c:pt>
                <c:pt idx="5">
                  <c:v>9</c:v>
                </c:pt>
                <c:pt idx="6">
                  <c:v>20</c:v>
                </c:pt>
                <c:pt idx="7">
                  <c:v>6</c:v>
                </c:pt>
                <c:pt idx="8">
                  <c:v>7</c:v>
                </c:pt>
                <c:pt idx="9">
                  <c:v>6</c:v>
                </c:pt>
                <c:pt idx="10">
                  <c:v>7</c:v>
                </c:pt>
                <c:pt idx="11">
                  <c:v>10</c:v>
                </c:pt>
                <c:pt idx="12">
                  <c:v>15</c:v>
                </c:pt>
                <c:pt idx="13">
                  <c:v>13</c:v>
                </c:pt>
                <c:pt idx="14">
                  <c:v>6</c:v>
                </c:pt>
                <c:pt idx="15">
                  <c:v>10</c:v>
                </c:pt>
                <c:pt idx="16">
                  <c:v>9</c:v>
                </c:pt>
                <c:pt idx="17">
                  <c:v>15</c:v>
                </c:pt>
                <c:pt idx="18">
                  <c:v>11</c:v>
                </c:pt>
                <c:pt idx="19">
                  <c:v>18</c:v>
                </c:pt>
                <c:pt idx="20">
                  <c:v>5</c:v>
                </c:pt>
              </c:numCache>
            </c:numRef>
          </c:val>
          <c:extLst>
            <c:ext xmlns:c16="http://schemas.microsoft.com/office/drawing/2014/chart" uri="{C3380CC4-5D6E-409C-BE32-E72D297353CC}">
              <c16:uniqueId val="{00000006-3469-4B24-B3AF-E0C09E262815}"/>
            </c:ext>
          </c:extLst>
        </c:ser>
        <c:ser>
          <c:idx val="7"/>
          <c:order val="7"/>
          <c:tx>
            <c:strRef>
              <c:f>Total!$K$6</c:f>
              <c:strCache>
                <c:ptCount val="1"/>
                <c:pt idx="0">
                  <c:v>Medium Incorrect:</c:v>
                </c:pt>
              </c:strCache>
            </c:strRef>
          </c:tx>
          <c:spPr>
            <a:solidFill>
              <a:srgbClr val="EC2828"/>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Total!$K$7:$K$27</c:f>
              <c:numCache>
                <c:formatCode>General</c:formatCode>
                <c:ptCount val="21"/>
                <c:pt idx="0">
                  <c:v>17</c:v>
                </c:pt>
                <c:pt idx="1">
                  <c:v>9</c:v>
                </c:pt>
                <c:pt idx="2">
                  <c:v>6</c:v>
                </c:pt>
                <c:pt idx="3">
                  <c:v>10</c:v>
                </c:pt>
                <c:pt idx="4">
                  <c:v>4</c:v>
                </c:pt>
                <c:pt idx="5">
                  <c:v>11</c:v>
                </c:pt>
                <c:pt idx="6">
                  <c:v>17</c:v>
                </c:pt>
                <c:pt idx="7">
                  <c:v>13</c:v>
                </c:pt>
                <c:pt idx="8">
                  <c:v>15</c:v>
                </c:pt>
                <c:pt idx="9">
                  <c:v>14</c:v>
                </c:pt>
                <c:pt idx="10">
                  <c:v>11</c:v>
                </c:pt>
                <c:pt idx="11">
                  <c:v>6</c:v>
                </c:pt>
                <c:pt idx="12">
                  <c:v>6</c:v>
                </c:pt>
                <c:pt idx="13">
                  <c:v>8</c:v>
                </c:pt>
                <c:pt idx="14">
                  <c:v>6</c:v>
                </c:pt>
                <c:pt idx="15">
                  <c:v>5</c:v>
                </c:pt>
                <c:pt idx="16">
                  <c:v>5</c:v>
                </c:pt>
                <c:pt idx="17">
                  <c:v>21</c:v>
                </c:pt>
                <c:pt idx="18">
                  <c:v>7</c:v>
                </c:pt>
                <c:pt idx="19">
                  <c:v>10</c:v>
                </c:pt>
                <c:pt idx="20">
                  <c:v>7</c:v>
                </c:pt>
              </c:numCache>
            </c:numRef>
          </c:val>
          <c:extLst>
            <c:ext xmlns:c16="http://schemas.microsoft.com/office/drawing/2014/chart" uri="{C3380CC4-5D6E-409C-BE32-E72D297353CC}">
              <c16:uniqueId val="{00000007-3469-4B24-B3AF-E0C09E262815}"/>
            </c:ext>
          </c:extLst>
        </c:ser>
        <c:ser>
          <c:idx val="8"/>
          <c:order val="8"/>
          <c:tx>
            <c:strRef>
              <c:f>Total!$L$6</c:f>
              <c:strCache>
                <c:ptCount val="1"/>
                <c:pt idx="0">
                  <c:v>High Incorrect:</c:v>
                </c:pt>
              </c:strCache>
            </c:strRef>
          </c:tx>
          <c:spPr>
            <a:solidFill>
              <a:srgbClr val="C00000"/>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Total!$L$7:$L$27</c:f>
              <c:numCache>
                <c:formatCode>General</c:formatCode>
                <c:ptCount val="21"/>
                <c:pt idx="0">
                  <c:v>20</c:v>
                </c:pt>
                <c:pt idx="1">
                  <c:v>22</c:v>
                </c:pt>
                <c:pt idx="2">
                  <c:v>50</c:v>
                </c:pt>
                <c:pt idx="3">
                  <c:v>25</c:v>
                </c:pt>
                <c:pt idx="4">
                  <c:v>24</c:v>
                </c:pt>
                <c:pt idx="5">
                  <c:v>25</c:v>
                </c:pt>
                <c:pt idx="6">
                  <c:v>22</c:v>
                </c:pt>
                <c:pt idx="7">
                  <c:v>24</c:v>
                </c:pt>
                <c:pt idx="8">
                  <c:v>16</c:v>
                </c:pt>
                <c:pt idx="9">
                  <c:v>16</c:v>
                </c:pt>
                <c:pt idx="10">
                  <c:v>3</c:v>
                </c:pt>
                <c:pt idx="11">
                  <c:v>18</c:v>
                </c:pt>
                <c:pt idx="12">
                  <c:v>13</c:v>
                </c:pt>
                <c:pt idx="13">
                  <c:v>22</c:v>
                </c:pt>
                <c:pt idx="14">
                  <c:v>17</c:v>
                </c:pt>
                <c:pt idx="15">
                  <c:v>24</c:v>
                </c:pt>
                <c:pt idx="16">
                  <c:v>14</c:v>
                </c:pt>
                <c:pt idx="17">
                  <c:v>22</c:v>
                </c:pt>
                <c:pt idx="18">
                  <c:v>14</c:v>
                </c:pt>
                <c:pt idx="19">
                  <c:v>26</c:v>
                </c:pt>
                <c:pt idx="20">
                  <c:v>35</c:v>
                </c:pt>
              </c:numCache>
            </c:numRef>
          </c:val>
          <c:extLst>
            <c:ext xmlns:c16="http://schemas.microsoft.com/office/drawing/2014/chart" uri="{C3380CC4-5D6E-409C-BE32-E72D297353CC}">
              <c16:uniqueId val="{00000008-3469-4B24-B3AF-E0C09E262815}"/>
            </c:ext>
          </c:extLst>
        </c:ser>
        <c:ser>
          <c:idx val="9"/>
          <c:order val="9"/>
          <c:tx>
            <c:strRef>
              <c:f>Total!$M$6</c:f>
              <c:strCache>
                <c:ptCount val="1"/>
                <c:pt idx="0">
                  <c:v>N/A:</c:v>
                </c:pt>
              </c:strCache>
            </c:strRef>
          </c:tx>
          <c:spPr>
            <a:solidFill>
              <a:schemeClr val="bg1">
                <a:lumMod val="65000"/>
              </a:schemeClr>
            </a:solidFill>
            <a:ln>
              <a:noFill/>
            </a:ln>
            <a:effectLst/>
          </c:spPr>
          <c:invertIfNegative val="0"/>
          <c:cat>
            <c:strRef>
              <c:f>Total!$C$7:$C$27</c:f>
              <c:strCache>
                <c:ptCount val="21"/>
                <c:pt idx="0">
                  <c:v>B1</c:v>
                </c:pt>
                <c:pt idx="1">
                  <c:v>B2</c:v>
                </c:pt>
                <c:pt idx="2">
                  <c:v>B3</c:v>
                </c:pt>
                <c:pt idx="3">
                  <c:v>B4</c:v>
                </c:pt>
                <c:pt idx="4">
                  <c:v>B5</c:v>
                </c:pt>
                <c:pt idx="5">
                  <c:v>B6</c:v>
                </c:pt>
                <c:pt idx="6">
                  <c:v>B7</c:v>
                </c:pt>
                <c:pt idx="7">
                  <c:v>B8</c:v>
                </c:pt>
                <c:pt idx="8">
                  <c:v>B9</c:v>
                </c:pt>
                <c:pt idx="9">
                  <c:v>B10</c:v>
                </c:pt>
                <c:pt idx="10">
                  <c:v>B45</c:v>
                </c:pt>
                <c:pt idx="11">
                  <c:v>B46</c:v>
                </c:pt>
                <c:pt idx="12">
                  <c:v>B47</c:v>
                </c:pt>
                <c:pt idx="13">
                  <c:v>B48</c:v>
                </c:pt>
                <c:pt idx="14">
                  <c:v>B49</c:v>
                </c:pt>
                <c:pt idx="15">
                  <c:v>B50</c:v>
                </c:pt>
                <c:pt idx="16">
                  <c:v>B51</c:v>
                </c:pt>
                <c:pt idx="17">
                  <c:v>B52</c:v>
                </c:pt>
                <c:pt idx="18">
                  <c:v>B53</c:v>
                </c:pt>
                <c:pt idx="19">
                  <c:v>B54</c:v>
                </c:pt>
                <c:pt idx="20">
                  <c:v>B55</c:v>
                </c:pt>
              </c:strCache>
            </c:strRef>
          </c:cat>
          <c:val>
            <c:numRef>
              <c:f>Total!$M$7:$M$27</c:f>
              <c:numCache>
                <c:formatCode>General</c:formatCode>
                <c:ptCount val="21"/>
                <c:pt idx="0">
                  <c:v>11</c:v>
                </c:pt>
                <c:pt idx="1">
                  <c:v>0</c:v>
                </c:pt>
                <c:pt idx="2">
                  <c:v>2</c:v>
                </c:pt>
                <c:pt idx="3">
                  <c:v>5</c:v>
                </c:pt>
                <c:pt idx="4">
                  <c:v>13</c:v>
                </c:pt>
                <c:pt idx="5">
                  <c:v>3</c:v>
                </c:pt>
                <c:pt idx="6">
                  <c:v>2</c:v>
                </c:pt>
                <c:pt idx="7">
                  <c:v>10</c:v>
                </c:pt>
                <c:pt idx="8">
                  <c:v>10</c:v>
                </c:pt>
                <c:pt idx="9">
                  <c:v>3</c:v>
                </c:pt>
                <c:pt idx="10">
                  <c:v>10</c:v>
                </c:pt>
                <c:pt idx="11">
                  <c:v>18</c:v>
                </c:pt>
                <c:pt idx="12">
                  <c:v>12</c:v>
                </c:pt>
                <c:pt idx="13">
                  <c:v>10</c:v>
                </c:pt>
                <c:pt idx="14">
                  <c:v>9</c:v>
                </c:pt>
                <c:pt idx="15">
                  <c:v>10</c:v>
                </c:pt>
                <c:pt idx="16">
                  <c:v>57</c:v>
                </c:pt>
                <c:pt idx="17">
                  <c:v>2</c:v>
                </c:pt>
                <c:pt idx="18">
                  <c:v>15</c:v>
                </c:pt>
                <c:pt idx="19">
                  <c:v>10</c:v>
                </c:pt>
                <c:pt idx="20">
                  <c:v>80</c:v>
                </c:pt>
              </c:numCache>
            </c:numRef>
          </c:val>
          <c:extLst>
            <c:ext xmlns:c16="http://schemas.microsoft.com/office/drawing/2014/chart" uri="{C3380CC4-5D6E-409C-BE32-E72D297353CC}">
              <c16:uniqueId val="{00000009-3469-4B24-B3AF-E0C09E262815}"/>
            </c:ext>
          </c:extLst>
        </c:ser>
        <c:dLbls>
          <c:showLegendKey val="0"/>
          <c:showVal val="0"/>
          <c:showCatName val="0"/>
          <c:showSerName val="0"/>
          <c:showPercent val="0"/>
          <c:showBubbleSize val="0"/>
        </c:dLbls>
        <c:gapWidth val="150"/>
        <c:overlap val="100"/>
        <c:axId val="500751695"/>
        <c:axId val="500752655"/>
      </c:barChart>
      <c:catAx>
        <c:axId val="500751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500752655"/>
        <c:crosses val="autoZero"/>
        <c:auto val="1"/>
        <c:lblAlgn val="ctr"/>
        <c:lblOffset val="100"/>
        <c:noMultiLvlLbl val="0"/>
      </c:catAx>
      <c:valAx>
        <c:axId val="50075265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500751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Total!$D$55</c:f>
              <c:strCache>
                <c:ptCount val="1"/>
                <c:pt idx="0">
                  <c:v>Correct:</c:v>
                </c:pt>
              </c:strCache>
            </c:strRef>
          </c:tx>
          <c:spPr>
            <a:solidFill>
              <a:schemeClr val="accent6">
                <a:lumMod val="75000"/>
              </a:schemeClr>
            </a:solidFill>
            <a:ln>
              <a:noFill/>
            </a:ln>
            <a:effectLst/>
          </c:spPr>
          <c:invertIfNegative val="0"/>
          <c:cat>
            <c:strRef>
              <c:f>Total!$C$56:$C$73</c:f>
              <c:strCache>
                <c:ptCount val="18"/>
                <c:pt idx="0">
                  <c:v>O15</c:v>
                </c:pt>
                <c:pt idx="1">
                  <c:v>O17</c:v>
                </c:pt>
                <c:pt idx="2">
                  <c:v>O13</c:v>
                </c:pt>
                <c:pt idx="3">
                  <c:v>O14</c:v>
                </c:pt>
                <c:pt idx="4">
                  <c:v>O9</c:v>
                </c:pt>
                <c:pt idx="5">
                  <c:v>O5</c:v>
                </c:pt>
                <c:pt idx="6">
                  <c:v>O2</c:v>
                </c:pt>
                <c:pt idx="7">
                  <c:v>O11</c:v>
                </c:pt>
                <c:pt idx="8">
                  <c:v>O10</c:v>
                </c:pt>
                <c:pt idx="9">
                  <c:v>O4</c:v>
                </c:pt>
                <c:pt idx="10">
                  <c:v>O3</c:v>
                </c:pt>
                <c:pt idx="11">
                  <c:v>O8</c:v>
                </c:pt>
                <c:pt idx="12">
                  <c:v>O16</c:v>
                </c:pt>
                <c:pt idx="13">
                  <c:v>O7</c:v>
                </c:pt>
                <c:pt idx="14">
                  <c:v>O1</c:v>
                </c:pt>
                <c:pt idx="15">
                  <c:v>O12</c:v>
                </c:pt>
                <c:pt idx="16">
                  <c:v>O6</c:v>
                </c:pt>
                <c:pt idx="17">
                  <c:v>O18</c:v>
                </c:pt>
              </c:strCache>
            </c:strRef>
          </c:cat>
          <c:val>
            <c:numRef>
              <c:f>Total!$D$56:$D$73</c:f>
              <c:numCache>
                <c:formatCode>General</c:formatCode>
                <c:ptCount val="18"/>
                <c:pt idx="0">
                  <c:v>13.186813186813188</c:v>
                </c:pt>
                <c:pt idx="1">
                  <c:v>15.789473684210526</c:v>
                </c:pt>
                <c:pt idx="2">
                  <c:v>34.161490683229815</c:v>
                </c:pt>
                <c:pt idx="3">
                  <c:v>42.328042328042329</c:v>
                </c:pt>
                <c:pt idx="4">
                  <c:v>44.785276073619634</c:v>
                </c:pt>
                <c:pt idx="5">
                  <c:v>49.444444444444443</c:v>
                </c:pt>
                <c:pt idx="6">
                  <c:v>55.434782608695656</c:v>
                </c:pt>
                <c:pt idx="7">
                  <c:v>45.5026455026455</c:v>
                </c:pt>
                <c:pt idx="8">
                  <c:v>56.149732620320862</c:v>
                </c:pt>
                <c:pt idx="9">
                  <c:v>64.893617021276597</c:v>
                </c:pt>
                <c:pt idx="10">
                  <c:v>70.588235294117652</c:v>
                </c:pt>
                <c:pt idx="11">
                  <c:v>76.966292134831463</c:v>
                </c:pt>
                <c:pt idx="12">
                  <c:v>70.114942528735639</c:v>
                </c:pt>
                <c:pt idx="13">
                  <c:v>69.005847953216374</c:v>
                </c:pt>
                <c:pt idx="14">
                  <c:v>74.050632911392398</c:v>
                </c:pt>
                <c:pt idx="15">
                  <c:v>83.510638297872347</c:v>
                </c:pt>
                <c:pt idx="16">
                  <c:v>76.041666666666657</c:v>
                </c:pt>
                <c:pt idx="17">
                  <c:v>81.767955801104975</c:v>
                </c:pt>
              </c:numCache>
            </c:numRef>
          </c:val>
          <c:extLst>
            <c:ext xmlns:c16="http://schemas.microsoft.com/office/drawing/2014/chart" uri="{C3380CC4-5D6E-409C-BE32-E72D297353CC}">
              <c16:uniqueId val="{00000000-9E16-499E-9067-2978C581412D}"/>
            </c:ext>
          </c:extLst>
        </c:ser>
        <c:ser>
          <c:idx val="1"/>
          <c:order val="1"/>
          <c:tx>
            <c:strRef>
              <c:f>Total!$E$55</c:f>
              <c:strCache>
                <c:ptCount val="1"/>
                <c:pt idx="0">
                  <c:v>Maybe:</c:v>
                </c:pt>
              </c:strCache>
            </c:strRef>
          </c:tx>
          <c:spPr>
            <a:solidFill>
              <a:schemeClr val="accent2"/>
            </a:solidFill>
            <a:ln>
              <a:noFill/>
            </a:ln>
            <a:effectLst/>
          </c:spPr>
          <c:invertIfNegative val="0"/>
          <c:cat>
            <c:strRef>
              <c:f>Total!$C$56:$C$73</c:f>
              <c:strCache>
                <c:ptCount val="18"/>
                <c:pt idx="0">
                  <c:v>O15</c:v>
                </c:pt>
                <c:pt idx="1">
                  <c:v>O17</c:v>
                </c:pt>
                <c:pt idx="2">
                  <c:v>O13</c:v>
                </c:pt>
                <c:pt idx="3">
                  <c:v>O14</c:v>
                </c:pt>
                <c:pt idx="4">
                  <c:v>O9</c:v>
                </c:pt>
                <c:pt idx="5">
                  <c:v>O5</c:v>
                </c:pt>
                <c:pt idx="6">
                  <c:v>O2</c:v>
                </c:pt>
                <c:pt idx="7">
                  <c:v>O11</c:v>
                </c:pt>
                <c:pt idx="8">
                  <c:v>O10</c:v>
                </c:pt>
                <c:pt idx="9">
                  <c:v>O4</c:v>
                </c:pt>
                <c:pt idx="10">
                  <c:v>O3</c:v>
                </c:pt>
                <c:pt idx="11">
                  <c:v>O8</c:v>
                </c:pt>
                <c:pt idx="12">
                  <c:v>O16</c:v>
                </c:pt>
                <c:pt idx="13">
                  <c:v>O7</c:v>
                </c:pt>
                <c:pt idx="14">
                  <c:v>O1</c:v>
                </c:pt>
                <c:pt idx="15">
                  <c:v>O12</c:v>
                </c:pt>
                <c:pt idx="16">
                  <c:v>O6</c:v>
                </c:pt>
                <c:pt idx="17">
                  <c:v>O18</c:v>
                </c:pt>
              </c:strCache>
            </c:strRef>
          </c:cat>
          <c:val>
            <c:numRef>
              <c:f>Total!$E$56:$E$73</c:f>
              <c:numCache>
                <c:formatCode>General</c:formatCode>
                <c:ptCount val="18"/>
                <c:pt idx="0">
                  <c:v>6.593406593406594</c:v>
                </c:pt>
                <c:pt idx="1">
                  <c:v>18.128654970760234</c:v>
                </c:pt>
                <c:pt idx="2">
                  <c:v>21.118012422360248</c:v>
                </c:pt>
                <c:pt idx="3">
                  <c:v>22.75132275132275</c:v>
                </c:pt>
                <c:pt idx="4">
                  <c:v>22.699386503067483</c:v>
                </c:pt>
                <c:pt idx="5">
                  <c:v>18.888888888888889</c:v>
                </c:pt>
                <c:pt idx="6">
                  <c:v>13.043478260869565</c:v>
                </c:pt>
                <c:pt idx="7">
                  <c:v>23.280423280423278</c:v>
                </c:pt>
                <c:pt idx="8">
                  <c:v>17.112299465240639</c:v>
                </c:pt>
                <c:pt idx="9">
                  <c:v>16.48936170212766</c:v>
                </c:pt>
                <c:pt idx="10">
                  <c:v>12.941176470588237</c:v>
                </c:pt>
                <c:pt idx="11">
                  <c:v>7.3033707865168536</c:v>
                </c:pt>
                <c:pt idx="12">
                  <c:v>14.367816091954023</c:v>
                </c:pt>
                <c:pt idx="13">
                  <c:v>16.374269005847953</c:v>
                </c:pt>
                <c:pt idx="14">
                  <c:v>12.025316455696203</c:v>
                </c:pt>
                <c:pt idx="15">
                  <c:v>6.9148936170212769</c:v>
                </c:pt>
                <c:pt idx="16">
                  <c:v>16.666666666666664</c:v>
                </c:pt>
                <c:pt idx="17">
                  <c:v>12.154696132596685</c:v>
                </c:pt>
              </c:numCache>
            </c:numRef>
          </c:val>
          <c:extLst>
            <c:ext xmlns:c16="http://schemas.microsoft.com/office/drawing/2014/chart" uri="{C3380CC4-5D6E-409C-BE32-E72D297353CC}">
              <c16:uniqueId val="{00000001-9E16-499E-9067-2978C581412D}"/>
            </c:ext>
          </c:extLst>
        </c:ser>
        <c:ser>
          <c:idx val="2"/>
          <c:order val="2"/>
          <c:tx>
            <c:strRef>
              <c:f>Total!$F$55</c:f>
              <c:strCache>
                <c:ptCount val="1"/>
                <c:pt idx="0">
                  <c:v>Incorrect:</c:v>
                </c:pt>
              </c:strCache>
            </c:strRef>
          </c:tx>
          <c:spPr>
            <a:solidFill>
              <a:srgbClr val="C00000"/>
            </a:solidFill>
            <a:ln>
              <a:noFill/>
            </a:ln>
            <a:effectLst/>
          </c:spPr>
          <c:invertIfNegative val="0"/>
          <c:cat>
            <c:strRef>
              <c:f>Total!$C$56:$C$73</c:f>
              <c:strCache>
                <c:ptCount val="18"/>
                <c:pt idx="0">
                  <c:v>O15</c:v>
                </c:pt>
                <c:pt idx="1">
                  <c:v>O17</c:v>
                </c:pt>
                <c:pt idx="2">
                  <c:v>O13</c:v>
                </c:pt>
                <c:pt idx="3">
                  <c:v>O14</c:v>
                </c:pt>
                <c:pt idx="4">
                  <c:v>O9</c:v>
                </c:pt>
                <c:pt idx="5">
                  <c:v>O5</c:v>
                </c:pt>
                <c:pt idx="6">
                  <c:v>O2</c:v>
                </c:pt>
                <c:pt idx="7">
                  <c:v>O11</c:v>
                </c:pt>
                <c:pt idx="8">
                  <c:v>O10</c:v>
                </c:pt>
                <c:pt idx="9">
                  <c:v>O4</c:v>
                </c:pt>
                <c:pt idx="10">
                  <c:v>O3</c:v>
                </c:pt>
                <c:pt idx="11">
                  <c:v>O8</c:v>
                </c:pt>
                <c:pt idx="12">
                  <c:v>O16</c:v>
                </c:pt>
                <c:pt idx="13">
                  <c:v>O7</c:v>
                </c:pt>
                <c:pt idx="14">
                  <c:v>O1</c:v>
                </c:pt>
                <c:pt idx="15">
                  <c:v>O12</c:v>
                </c:pt>
                <c:pt idx="16">
                  <c:v>O6</c:v>
                </c:pt>
                <c:pt idx="17">
                  <c:v>O18</c:v>
                </c:pt>
              </c:strCache>
            </c:strRef>
          </c:cat>
          <c:val>
            <c:numRef>
              <c:f>Total!$F$56:$F$73</c:f>
              <c:numCache>
                <c:formatCode>General</c:formatCode>
                <c:ptCount val="18"/>
                <c:pt idx="0">
                  <c:v>80.219780219780219</c:v>
                </c:pt>
                <c:pt idx="1">
                  <c:v>66.081871345029242</c:v>
                </c:pt>
                <c:pt idx="2">
                  <c:v>44.720496894409941</c:v>
                </c:pt>
                <c:pt idx="3">
                  <c:v>34.920634920634917</c:v>
                </c:pt>
                <c:pt idx="4">
                  <c:v>32.515337423312886</c:v>
                </c:pt>
                <c:pt idx="5">
                  <c:v>31.666666666666664</c:v>
                </c:pt>
                <c:pt idx="6">
                  <c:v>31.521739130434785</c:v>
                </c:pt>
                <c:pt idx="7">
                  <c:v>31.216931216931215</c:v>
                </c:pt>
                <c:pt idx="8">
                  <c:v>26.737967914438503</c:v>
                </c:pt>
                <c:pt idx="9">
                  <c:v>18.617021276595743</c:v>
                </c:pt>
                <c:pt idx="10">
                  <c:v>16.470588235294116</c:v>
                </c:pt>
                <c:pt idx="11">
                  <c:v>15.730337078651685</c:v>
                </c:pt>
                <c:pt idx="12">
                  <c:v>15.517241379310345</c:v>
                </c:pt>
                <c:pt idx="13">
                  <c:v>14.619883040935672</c:v>
                </c:pt>
                <c:pt idx="14">
                  <c:v>13.924050632911392</c:v>
                </c:pt>
                <c:pt idx="15">
                  <c:v>9.5744680851063837</c:v>
                </c:pt>
                <c:pt idx="16">
                  <c:v>7.291666666666667</c:v>
                </c:pt>
                <c:pt idx="17">
                  <c:v>6.0773480662983426</c:v>
                </c:pt>
              </c:numCache>
            </c:numRef>
          </c:val>
          <c:extLst>
            <c:ext xmlns:c16="http://schemas.microsoft.com/office/drawing/2014/chart" uri="{C3380CC4-5D6E-409C-BE32-E72D297353CC}">
              <c16:uniqueId val="{00000002-9E16-499E-9067-2978C581412D}"/>
            </c:ext>
          </c:extLst>
        </c:ser>
        <c:dLbls>
          <c:showLegendKey val="0"/>
          <c:showVal val="0"/>
          <c:showCatName val="0"/>
          <c:showSerName val="0"/>
          <c:showPercent val="0"/>
          <c:showBubbleSize val="0"/>
        </c:dLbls>
        <c:gapWidth val="150"/>
        <c:overlap val="100"/>
        <c:axId val="1503302464"/>
        <c:axId val="1503302944"/>
      </c:barChart>
      <c:catAx>
        <c:axId val="150330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302944"/>
        <c:crosses val="autoZero"/>
        <c:auto val="1"/>
        <c:lblAlgn val="ctr"/>
        <c:lblOffset val="100"/>
        <c:noMultiLvlLbl val="0"/>
      </c:catAx>
      <c:valAx>
        <c:axId val="15033029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302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percentStacked"/>
        <c:varyColors val="0"/>
        <c:ser>
          <c:idx val="0"/>
          <c:order val="0"/>
          <c:tx>
            <c:strRef>
              <c:f>Total!$D$31</c:f>
              <c:strCache>
                <c:ptCount val="1"/>
                <c:pt idx="0">
                  <c:v>High Correct:</c:v>
                </c:pt>
              </c:strCache>
            </c:strRef>
          </c:tx>
          <c:spPr>
            <a:solidFill>
              <a:schemeClr val="accent6">
                <a:lumMod val="75000"/>
              </a:schemeClr>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Total!$D$32:$D$49</c:f>
              <c:numCache>
                <c:formatCode>General</c:formatCode>
                <c:ptCount val="18"/>
                <c:pt idx="0">
                  <c:v>101</c:v>
                </c:pt>
                <c:pt idx="1">
                  <c:v>68</c:v>
                </c:pt>
                <c:pt idx="2">
                  <c:v>96</c:v>
                </c:pt>
                <c:pt idx="3">
                  <c:v>84</c:v>
                </c:pt>
                <c:pt idx="4">
                  <c:v>61</c:v>
                </c:pt>
                <c:pt idx="5">
                  <c:v>52</c:v>
                </c:pt>
                <c:pt idx="6">
                  <c:v>87</c:v>
                </c:pt>
                <c:pt idx="7">
                  <c:v>95</c:v>
                </c:pt>
                <c:pt idx="8">
                  <c:v>47</c:v>
                </c:pt>
                <c:pt idx="9">
                  <c:v>67</c:v>
                </c:pt>
                <c:pt idx="10">
                  <c:v>54</c:v>
                </c:pt>
                <c:pt idx="11">
                  <c:v>120</c:v>
                </c:pt>
                <c:pt idx="12">
                  <c:v>25</c:v>
                </c:pt>
                <c:pt idx="13">
                  <c:v>56</c:v>
                </c:pt>
                <c:pt idx="14">
                  <c:v>14</c:v>
                </c:pt>
                <c:pt idx="15">
                  <c:v>90</c:v>
                </c:pt>
                <c:pt idx="16">
                  <c:v>19</c:v>
                </c:pt>
                <c:pt idx="17">
                  <c:v>75</c:v>
                </c:pt>
              </c:numCache>
            </c:numRef>
          </c:val>
          <c:extLst>
            <c:ext xmlns:c16="http://schemas.microsoft.com/office/drawing/2014/chart" uri="{C3380CC4-5D6E-409C-BE32-E72D297353CC}">
              <c16:uniqueId val="{00000000-0B69-4BE4-BBA2-820E8E4D323F}"/>
            </c:ext>
          </c:extLst>
        </c:ser>
        <c:ser>
          <c:idx val="1"/>
          <c:order val="1"/>
          <c:tx>
            <c:strRef>
              <c:f>Total!$E$31</c:f>
              <c:strCache>
                <c:ptCount val="1"/>
                <c:pt idx="0">
                  <c:v>Medium Correct:</c:v>
                </c:pt>
              </c:strCache>
            </c:strRef>
          </c:tx>
          <c:spPr>
            <a:solidFill>
              <a:schemeClr val="accent6"/>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Total!$E$32:$E$49</c:f>
              <c:numCache>
                <c:formatCode>General</c:formatCode>
                <c:ptCount val="18"/>
                <c:pt idx="0">
                  <c:v>10</c:v>
                </c:pt>
                <c:pt idx="1">
                  <c:v>20</c:v>
                </c:pt>
                <c:pt idx="2">
                  <c:v>12</c:v>
                </c:pt>
                <c:pt idx="3">
                  <c:v>27</c:v>
                </c:pt>
                <c:pt idx="4">
                  <c:v>20</c:v>
                </c:pt>
                <c:pt idx="5">
                  <c:v>13</c:v>
                </c:pt>
                <c:pt idx="6">
                  <c:v>18</c:v>
                </c:pt>
                <c:pt idx="7">
                  <c:v>25</c:v>
                </c:pt>
                <c:pt idx="8">
                  <c:v>14</c:v>
                </c:pt>
                <c:pt idx="9">
                  <c:v>24</c:v>
                </c:pt>
                <c:pt idx="10">
                  <c:v>22</c:v>
                </c:pt>
                <c:pt idx="11">
                  <c:v>23</c:v>
                </c:pt>
                <c:pt idx="12">
                  <c:v>13</c:v>
                </c:pt>
                <c:pt idx="13">
                  <c:v>17</c:v>
                </c:pt>
                <c:pt idx="14">
                  <c:v>6</c:v>
                </c:pt>
                <c:pt idx="15">
                  <c:v>19</c:v>
                </c:pt>
                <c:pt idx="16">
                  <c:v>5</c:v>
                </c:pt>
                <c:pt idx="17">
                  <c:v>12</c:v>
                </c:pt>
              </c:numCache>
            </c:numRef>
          </c:val>
          <c:extLst>
            <c:ext xmlns:c16="http://schemas.microsoft.com/office/drawing/2014/chart" uri="{C3380CC4-5D6E-409C-BE32-E72D297353CC}">
              <c16:uniqueId val="{00000001-0B69-4BE4-BBA2-820E8E4D323F}"/>
            </c:ext>
          </c:extLst>
        </c:ser>
        <c:ser>
          <c:idx val="2"/>
          <c:order val="2"/>
          <c:tx>
            <c:strRef>
              <c:f>Total!$F$31</c:f>
              <c:strCache>
                <c:ptCount val="1"/>
                <c:pt idx="0">
                  <c:v>Low Correct:</c:v>
                </c:pt>
              </c:strCache>
            </c:strRef>
          </c:tx>
          <c:spPr>
            <a:solidFill>
              <a:schemeClr val="accent6">
                <a:lumMod val="40000"/>
                <a:lumOff val="60000"/>
              </a:schemeClr>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Total!$F$32:$F$49</c:f>
              <c:numCache>
                <c:formatCode>General</c:formatCode>
                <c:ptCount val="18"/>
                <c:pt idx="0">
                  <c:v>6</c:v>
                </c:pt>
                <c:pt idx="1">
                  <c:v>14</c:v>
                </c:pt>
                <c:pt idx="2">
                  <c:v>12</c:v>
                </c:pt>
                <c:pt idx="3">
                  <c:v>11</c:v>
                </c:pt>
                <c:pt idx="4">
                  <c:v>8</c:v>
                </c:pt>
                <c:pt idx="5">
                  <c:v>8</c:v>
                </c:pt>
                <c:pt idx="6">
                  <c:v>13</c:v>
                </c:pt>
                <c:pt idx="7">
                  <c:v>17</c:v>
                </c:pt>
                <c:pt idx="8">
                  <c:v>12</c:v>
                </c:pt>
                <c:pt idx="9">
                  <c:v>14</c:v>
                </c:pt>
                <c:pt idx="10">
                  <c:v>10</c:v>
                </c:pt>
                <c:pt idx="11">
                  <c:v>14</c:v>
                </c:pt>
                <c:pt idx="12">
                  <c:v>17</c:v>
                </c:pt>
                <c:pt idx="13">
                  <c:v>7</c:v>
                </c:pt>
                <c:pt idx="14">
                  <c:v>4</c:v>
                </c:pt>
                <c:pt idx="15">
                  <c:v>13</c:v>
                </c:pt>
                <c:pt idx="16">
                  <c:v>3</c:v>
                </c:pt>
                <c:pt idx="17">
                  <c:v>61</c:v>
                </c:pt>
              </c:numCache>
            </c:numRef>
          </c:val>
          <c:extLst>
            <c:ext xmlns:c16="http://schemas.microsoft.com/office/drawing/2014/chart" uri="{C3380CC4-5D6E-409C-BE32-E72D297353CC}">
              <c16:uniqueId val="{00000002-0B69-4BE4-BBA2-820E8E4D323F}"/>
            </c:ext>
          </c:extLst>
        </c:ser>
        <c:ser>
          <c:idx val="3"/>
          <c:order val="3"/>
          <c:tx>
            <c:strRef>
              <c:f>Total!$G$31</c:f>
              <c:strCache>
                <c:ptCount val="1"/>
                <c:pt idx="0">
                  <c:v>High Maybe:</c:v>
                </c:pt>
              </c:strCache>
            </c:strRef>
          </c:tx>
          <c:spPr>
            <a:solidFill>
              <a:schemeClr val="accent2">
                <a:lumMod val="75000"/>
              </a:schemeClr>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Total!$G$32:$G$49</c:f>
              <c:numCache>
                <c:formatCode>General</c:formatCode>
                <c:ptCount val="18"/>
                <c:pt idx="0">
                  <c:v>9</c:v>
                </c:pt>
                <c:pt idx="1">
                  <c:v>11</c:v>
                </c:pt>
                <c:pt idx="2">
                  <c:v>10</c:v>
                </c:pt>
                <c:pt idx="3">
                  <c:v>12</c:v>
                </c:pt>
                <c:pt idx="4">
                  <c:v>14</c:v>
                </c:pt>
                <c:pt idx="5">
                  <c:v>9</c:v>
                </c:pt>
                <c:pt idx="6">
                  <c:v>9</c:v>
                </c:pt>
                <c:pt idx="7">
                  <c:v>7</c:v>
                </c:pt>
                <c:pt idx="8">
                  <c:v>13</c:v>
                </c:pt>
                <c:pt idx="9">
                  <c:v>15</c:v>
                </c:pt>
                <c:pt idx="10">
                  <c:v>19</c:v>
                </c:pt>
                <c:pt idx="11">
                  <c:v>4</c:v>
                </c:pt>
                <c:pt idx="12">
                  <c:v>8</c:v>
                </c:pt>
                <c:pt idx="13">
                  <c:v>18</c:v>
                </c:pt>
                <c:pt idx="14">
                  <c:v>6</c:v>
                </c:pt>
                <c:pt idx="15">
                  <c:v>14</c:v>
                </c:pt>
                <c:pt idx="16">
                  <c:v>11</c:v>
                </c:pt>
                <c:pt idx="17">
                  <c:v>12</c:v>
                </c:pt>
              </c:numCache>
            </c:numRef>
          </c:val>
          <c:extLst>
            <c:ext xmlns:c16="http://schemas.microsoft.com/office/drawing/2014/chart" uri="{C3380CC4-5D6E-409C-BE32-E72D297353CC}">
              <c16:uniqueId val="{00000003-0B69-4BE4-BBA2-820E8E4D323F}"/>
            </c:ext>
          </c:extLst>
        </c:ser>
        <c:ser>
          <c:idx val="4"/>
          <c:order val="4"/>
          <c:tx>
            <c:strRef>
              <c:f>Total!$H$31</c:f>
              <c:strCache>
                <c:ptCount val="1"/>
                <c:pt idx="0">
                  <c:v>Medium Maybe:</c:v>
                </c:pt>
              </c:strCache>
            </c:strRef>
          </c:tx>
          <c:spPr>
            <a:solidFill>
              <a:schemeClr val="accent2"/>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Total!$H$32:$H$49</c:f>
              <c:numCache>
                <c:formatCode>General</c:formatCode>
                <c:ptCount val="18"/>
                <c:pt idx="0">
                  <c:v>5</c:v>
                </c:pt>
                <c:pt idx="1">
                  <c:v>9</c:v>
                </c:pt>
                <c:pt idx="2">
                  <c:v>9</c:v>
                </c:pt>
                <c:pt idx="3">
                  <c:v>9</c:v>
                </c:pt>
                <c:pt idx="4">
                  <c:v>14</c:v>
                </c:pt>
                <c:pt idx="5">
                  <c:v>2</c:v>
                </c:pt>
                <c:pt idx="6">
                  <c:v>9</c:v>
                </c:pt>
                <c:pt idx="7">
                  <c:v>6</c:v>
                </c:pt>
                <c:pt idx="8">
                  <c:v>16</c:v>
                </c:pt>
                <c:pt idx="9">
                  <c:v>9</c:v>
                </c:pt>
                <c:pt idx="10">
                  <c:v>19</c:v>
                </c:pt>
                <c:pt idx="11">
                  <c:v>5</c:v>
                </c:pt>
                <c:pt idx="12">
                  <c:v>18</c:v>
                </c:pt>
                <c:pt idx="13">
                  <c:v>12</c:v>
                </c:pt>
                <c:pt idx="14">
                  <c:v>2</c:v>
                </c:pt>
                <c:pt idx="15">
                  <c:v>7</c:v>
                </c:pt>
                <c:pt idx="16">
                  <c:v>13</c:v>
                </c:pt>
                <c:pt idx="17">
                  <c:v>2</c:v>
                </c:pt>
              </c:numCache>
            </c:numRef>
          </c:val>
          <c:extLst>
            <c:ext xmlns:c16="http://schemas.microsoft.com/office/drawing/2014/chart" uri="{C3380CC4-5D6E-409C-BE32-E72D297353CC}">
              <c16:uniqueId val="{00000004-0B69-4BE4-BBA2-820E8E4D323F}"/>
            </c:ext>
          </c:extLst>
        </c:ser>
        <c:ser>
          <c:idx val="5"/>
          <c:order val="5"/>
          <c:tx>
            <c:strRef>
              <c:f>Total!$I$31</c:f>
              <c:strCache>
                <c:ptCount val="1"/>
                <c:pt idx="0">
                  <c:v>Low Maybe:</c:v>
                </c:pt>
              </c:strCache>
            </c:strRef>
          </c:tx>
          <c:spPr>
            <a:solidFill>
              <a:schemeClr val="accent2">
                <a:lumMod val="40000"/>
                <a:lumOff val="60000"/>
              </a:schemeClr>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Total!$I$32:$I$49</c:f>
              <c:numCache>
                <c:formatCode>General</c:formatCode>
                <c:ptCount val="18"/>
                <c:pt idx="0">
                  <c:v>5</c:v>
                </c:pt>
                <c:pt idx="1">
                  <c:v>4</c:v>
                </c:pt>
                <c:pt idx="2">
                  <c:v>3</c:v>
                </c:pt>
                <c:pt idx="3">
                  <c:v>10</c:v>
                </c:pt>
                <c:pt idx="4">
                  <c:v>6</c:v>
                </c:pt>
                <c:pt idx="5">
                  <c:v>5</c:v>
                </c:pt>
                <c:pt idx="6">
                  <c:v>10</c:v>
                </c:pt>
                <c:pt idx="7">
                  <c:v>0</c:v>
                </c:pt>
                <c:pt idx="8">
                  <c:v>8</c:v>
                </c:pt>
                <c:pt idx="9">
                  <c:v>8</c:v>
                </c:pt>
                <c:pt idx="10">
                  <c:v>6</c:v>
                </c:pt>
                <c:pt idx="11">
                  <c:v>4</c:v>
                </c:pt>
                <c:pt idx="12">
                  <c:v>8</c:v>
                </c:pt>
                <c:pt idx="13">
                  <c:v>13</c:v>
                </c:pt>
                <c:pt idx="14">
                  <c:v>4</c:v>
                </c:pt>
                <c:pt idx="15">
                  <c:v>4</c:v>
                </c:pt>
                <c:pt idx="16">
                  <c:v>7</c:v>
                </c:pt>
                <c:pt idx="17">
                  <c:v>8</c:v>
                </c:pt>
              </c:numCache>
            </c:numRef>
          </c:val>
          <c:extLst>
            <c:ext xmlns:c16="http://schemas.microsoft.com/office/drawing/2014/chart" uri="{C3380CC4-5D6E-409C-BE32-E72D297353CC}">
              <c16:uniqueId val="{00000005-0B69-4BE4-BBA2-820E8E4D323F}"/>
            </c:ext>
          </c:extLst>
        </c:ser>
        <c:ser>
          <c:idx val="6"/>
          <c:order val="6"/>
          <c:tx>
            <c:strRef>
              <c:f>Total!$J$31</c:f>
              <c:strCache>
                <c:ptCount val="1"/>
                <c:pt idx="0">
                  <c:v>Low Incorrect:</c:v>
                </c:pt>
              </c:strCache>
            </c:strRef>
          </c:tx>
          <c:spPr>
            <a:solidFill>
              <a:srgbClr val="F46868"/>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Total!$J$32:$J$49</c:f>
              <c:numCache>
                <c:formatCode>General</c:formatCode>
                <c:ptCount val="18"/>
                <c:pt idx="0">
                  <c:v>9</c:v>
                </c:pt>
                <c:pt idx="1">
                  <c:v>9</c:v>
                </c:pt>
                <c:pt idx="2">
                  <c:v>10</c:v>
                </c:pt>
                <c:pt idx="3">
                  <c:v>11</c:v>
                </c:pt>
                <c:pt idx="4">
                  <c:v>19</c:v>
                </c:pt>
                <c:pt idx="5">
                  <c:v>4</c:v>
                </c:pt>
                <c:pt idx="6">
                  <c:v>6</c:v>
                </c:pt>
                <c:pt idx="7">
                  <c:v>11</c:v>
                </c:pt>
                <c:pt idx="8">
                  <c:v>14</c:v>
                </c:pt>
                <c:pt idx="9">
                  <c:v>16</c:v>
                </c:pt>
                <c:pt idx="10">
                  <c:v>21</c:v>
                </c:pt>
                <c:pt idx="11">
                  <c:v>5</c:v>
                </c:pt>
                <c:pt idx="12">
                  <c:v>25</c:v>
                </c:pt>
                <c:pt idx="13">
                  <c:v>11</c:v>
                </c:pt>
                <c:pt idx="14">
                  <c:v>16</c:v>
                </c:pt>
                <c:pt idx="15">
                  <c:v>11</c:v>
                </c:pt>
                <c:pt idx="16">
                  <c:v>13</c:v>
                </c:pt>
                <c:pt idx="17">
                  <c:v>4</c:v>
                </c:pt>
              </c:numCache>
            </c:numRef>
          </c:val>
          <c:extLst>
            <c:ext xmlns:c16="http://schemas.microsoft.com/office/drawing/2014/chart" uri="{C3380CC4-5D6E-409C-BE32-E72D297353CC}">
              <c16:uniqueId val="{00000006-0B69-4BE4-BBA2-820E8E4D323F}"/>
            </c:ext>
          </c:extLst>
        </c:ser>
        <c:ser>
          <c:idx val="7"/>
          <c:order val="7"/>
          <c:tx>
            <c:strRef>
              <c:f>Total!$K$31</c:f>
              <c:strCache>
                <c:ptCount val="1"/>
                <c:pt idx="0">
                  <c:v>Medium Incorrect:</c:v>
                </c:pt>
              </c:strCache>
            </c:strRef>
          </c:tx>
          <c:spPr>
            <a:solidFill>
              <a:srgbClr val="EC2828"/>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Total!$K$32:$K$49</c:f>
              <c:numCache>
                <c:formatCode>General</c:formatCode>
                <c:ptCount val="18"/>
                <c:pt idx="0">
                  <c:v>9</c:v>
                </c:pt>
                <c:pt idx="1">
                  <c:v>15</c:v>
                </c:pt>
                <c:pt idx="2">
                  <c:v>5</c:v>
                </c:pt>
                <c:pt idx="3">
                  <c:v>12</c:v>
                </c:pt>
                <c:pt idx="4">
                  <c:v>20</c:v>
                </c:pt>
                <c:pt idx="5">
                  <c:v>1</c:v>
                </c:pt>
                <c:pt idx="6">
                  <c:v>4</c:v>
                </c:pt>
                <c:pt idx="7">
                  <c:v>5</c:v>
                </c:pt>
                <c:pt idx="8">
                  <c:v>21</c:v>
                </c:pt>
                <c:pt idx="9">
                  <c:v>21</c:v>
                </c:pt>
                <c:pt idx="10">
                  <c:v>20</c:v>
                </c:pt>
                <c:pt idx="11">
                  <c:v>2</c:v>
                </c:pt>
                <c:pt idx="12">
                  <c:v>13</c:v>
                </c:pt>
                <c:pt idx="13">
                  <c:v>26</c:v>
                </c:pt>
                <c:pt idx="14">
                  <c:v>16</c:v>
                </c:pt>
                <c:pt idx="15">
                  <c:v>6</c:v>
                </c:pt>
                <c:pt idx="16">
                  <c:v>10</c:v>
                </c:pt>
                <c:pt idx="17">
                  <c:v>2</c:v>
                </c:pt>
              </c:numCache>
            </c:numRef>
          </c:val>
          <c:extLst>
            <c:ext xmlns:c16="http://schemas.microsoft.com/office/drawing/2014/chart" uri="{C3380CC4-5D6E-409C-BE32-E72D297353CC}">
              <c16:uniqueId val="{00000007-0B69-4BE4-BBA2-820E8E4D323F}"/>
            </c:ext>
          </c:extLst>
        </c:ser>
        <c:ser>
          <c:idx val="8"/>
          <c:order val="8"/>
          <c:tx>
            <c:strRef>
              <c:f>Total!$L$31</c:f>
              <c:strCache>
                <c:ptCount val="1"/>
                <c:pt idx="0">
                  <c:v>High Incorrect:</c:v>
                </c:pt>
              </c:strCache>
            </c:strRef>
          </c:tx>
          <c:spPr>
            <a:solidFill>
              <a:srgbClr val="C00000"/>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Total!$L$32:$L$49</c:f>
              <c:numCache>
                <c:formatCode>General</c:formatCode>
                <c:ptCount val="18"/>
                <c:pt idx="0">
                  <c:v>4</c:v>
                </c:pt>
                <c:pt idx="1">
                  <c:v>34</c:v>
                </c:pt>
                <c:pt idx="2">
                  <c:v>13</c:v>
                </c:pt>
                <c:pt idx="3">
                  <c:v>12</c:v>
                </c:pt>
                <c:pt idx="4">
                  <c:v>18</c:v>
                </c:pt>
                <c:pt idx="5">
                  <c:v>2</c:v>
                </c:pt>
                <c:pt idx="6">
                  <c:v>15</c:v>
                </c:pt>
                <c:pt idx="7">
                  <c:v>12</c:v>
                </c:pt>
                <c:pt idx="8">
                  <c:v>18</c:v>
                </c:pt>
                <c:pt idx="9">
                  <c:v>13</c:v>
                </c:pt>
                <c:pt idx="10">
                  <c:v>18</c:v>
                </c:pt>
                <c:pt idx="11">
                  <c:v>11</c:v>
                </c:pt>
                <c:pt idx="12">
                  <c:v>34</c:v>
                </c:pt>
                <c:pt idx="13">
                  <c:v>29</c:v>
                </c:pt>
                <c:pt idx="14">
                  <c:v>114</c:v>
                </c:pt>
                <c:pt idx="15">
                  <c:v>10</c:v>
                </c:pt>
                <c:pt idx="16">
                  <c:v>90</c:v>
                </c:pt>
                <c:pt idx="17">
                  <c:v>5</c:v>
                </c:pt>
              </c:numCache>
            </c:numRef>
          </c:val>
          <c:extLst>
            <c:ext xmlns:c16="http://schemas.microsoft.com/office/drawing/2014/chart" uri="{C3380CC4-5D6E-409C-BE32-E72D297353CC}">
              <c16:uniqueId val="{00000008-0B69-4BE4-BBA2-820E8E4D323F}"/>
            </c:ext>
          </c:extLst>
        </c:ser>
        <c:ser>
          <c:idx val="9"/>
          <c:order val="9"/>
          <c:tx>
            <c:strRef>
              <c:f>Total!$M$31</c:f>
              <c:strCache>
                <c:ptCount val="1"/>
                <c:pt idx="0">
                  <c:v>N/A:</c:v>
                </c:pt>
              </c:strCache>
            </c:strRef>
          </c:tx>
          <c:spPr>
            <a:solidFill>
              <a:schemeClr val="bg1">
                <a:lumMod val="75000"/>
              </a:schemeClr>
            </a:solidFill>
            <a:ln>
              <a:noFill/>
            </a:ln>
            <a:effectLst/>
          </c:spPr>
          <c:invertIfNegative val="0"/>
          <c:cat>
            <c:strRef>
              <c:f>Total!$C$32:$C$49</c:f>
              <c:strCache>
                <c:ptCount val="18"/>
                <c:pt idx="0">
                  <c:v>O1</c:v>
                </c:pt>
                <c:pt idx="1">
                  <c:v>O2</c:v>
                </c:pt>
                <c:pt idx="2">
                  <c:v>O3</c:v>
                </c:pt>
                <c:pt idx="3">
                  <c:v>O4</c:v>
                </c:pt>
                <c:pt idx="4">
                  <c:v>O5</c:v>
                </c:pt>
                <c:pt idx="5">
                  <c:v>O6</c:v>
                </c:pt>
                <c:pt idx="6">
                  <c:v>O7</c:v>
                </c:pt>
                <c:pt idx="7">
                  <c:v>O8</c:v>
                </c:pt>
                <c:pt idx="8">
                  <c:v>O9</c:v>
                </c:pt>
                <c:pt idx="9">
                  <c:v>O10</c:v>
                </c:pt>
                <c:pt idx="10">
                  <c:v>O11</c:v>
                </c:pt>
                <c:pt idx="11">
                  <c:v>O12</c:v>
                </c:pt>
                <c:pt idx="12">
                  <c:v>O13</c:v>
                </c:pt>
                <c:pt idx="13">
                  <c:v>O14</c:v>
                </c:pt>
                <c:pt idx="14">
                  <c:v>O15</c:v>
                </c:pt>
                <c:pt idx="15">
                  <c:v>O16</c:v>
                </c:pt>
                <c:pt idx="16">
                  <c:v>O17</c:v>
                </c:pt>
                <c:pt idx="17">
                  <c:v>O18</c:v>
                </c:pt>
              </c:strCache>
            </c:strRef>
          </c:cat>
          <c:val>
            <c:numRef>
              <c:f>Total!$M$32:$M$49</c:f>
              <c:numCache>
                <c:formatCode>General</c:formatCode>
                <c:ptCount val="18"/>
                <c:pt idx="0">
                  <c:v>31</c:v>
                </c:pt>
                <c:pt idx="1">
                  <c:v>5</c:v>
                </c:pt>
                <c:pt idx="2">
                  <c:v>19</c:v>
                </c:pt>
                <c:pt idx="3">
                  <c:v>1</c:v>
                </c:pt>
                <c:pt idx="4">
                  <c:v>9</c:v>
                </c:pt>
                <c:pt idx="5">
                  <c:v>93</c:v>
                </c:pt>
                <c:pt idx="6">
                  <c:v>18</c:v>
                </c:pt>
                <c:pt idx="7">
                  <c:v>11</c:v>
                </c:pt>
                <c:pt idx="8">
                  <c:v>26</c:v>
                </c:pt>
                <c:pt idx="9">
                  <c:v>2</c:v>
                </c:pt>
                <c:pt idx="10">
                  <c:v>0</c:v>
                </c:pt>
                <c:pt idx="11">
                  <c:v>1</c:v>
                </c:pt>
                <c:pt idx="12">
                  <c:v>28</c:v>
                </c:pt>
                <c:pt idx="13">
                  <c:v>0</c:v>
                </c:pt>
                <c:pt idx="14">
                  <c:v>7</c:v>
                </c:pt>
                <c:pt idx="15">
                  <c:v>15</c:v>
                </c:pt>
                <c:pt idx="16">
                  <c:v>18</c:v>
                </c:pt>
                <c:pt idx="17">
                  <c:v>8</c:v>
                </c:pt>
              </c:numCache>
            </c:numRef>
          </c:val>
          <c:extLst>
            <c:ext xmlns:c16="http://schemas.microsoft.com/office/drawing/2014/chart" uri="{C3380CC4-5D6E-409C-BE32-E72D297353CC}">
              <c16:uniqueId val="{00000009-0B69-4BE4-BBA2-820E8E4D323F}"/>
            </c:ext>
          </c:extLst>
        </c:ser>
        <c:dLbls>
          <c:showLegendKey val="0"/>
          <c:showVal val="0"/>
          <c:showCatName val="0"/>
          <c:showSerName val="0"/>
          <c:showPercent val="0"/>
          <c:showBubbleSize val="0"/>
        </c:dLbls>
        <c:gapWidth val="150"/>
        <c:overlap val="100"/>
        <c:axId val="2110501472"/>
        <c:axId val="2110502912"/>
      </c:barChart>
      <c:catAx>
        <c:axId val="211050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110502912"/>
        <c:crosses val="autoZero"/>
        <c:auto val="1"/>
        <c:lblAlgn val="ctr"/>
        <c:lblOffset val="100"/>
        <c:noMultiLvlLbl val="0"/>
      </c:catAx>
      <c:valAx>
        <c:axId val="211050291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110501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Total!$D$113</c:f>
              <c:strCache>
                <c:ptCount val="1"/>
                <c:pt idx="0">
                  <c:v>Correct:</c:v>
                </c:pt>
              </c:strCache>
            </c:strRef>
          </c:tx>
          <c:spPr>
            <a:solidFill>
              <a:schemeClr val="accent6">
                <a:lumMod val="75000"/>
              </a:schemeClr>
            </a:solidFill>
            <a:ln>
              <a:noFill/>
            </a:ln>
            <a:effectLst/>
          </c:spPr>
          <c:invertIfNegative val="0"/>
          <c:cat>
            <c:strRef>
              <c:f>Total!$C$114:$C$134</c:f>
              <c:strCache>
                <c:ptCount val="21"/>
                <c:pt idx="0">
                  <c:v>B55</c:v>
                </c:pt>
                <c:pt idx="1">
                  <c:v>B3</c:v>
                </c:pt>
                <c:pt idx="2">
                  <c:v>B7</c:v>
                </c:pt>
                <c:pt idx="3">
                  <c:v>B52</c:v>
                </c:pt>
                <c:pt idx="4">
                  <c:v>B54</c:v>
                </c:pt>
                <c:pt idx="5">
                  <c:v>B2</c:v>
                </c:pt>
                <c:pt idx="6">
                  <c:v>B1</c:v>
                </c:pt>
                <c:pt idx="7">
                  <c:v>B6</c:v>
                </c:pt>
                <c:pt idx="8">
                  <c:v>B48</c:v>
                </c:pt>
                <c:pt idx="9">
                  <c:v>B8</c:v>
                </c:pt>
                <c:pt idx="10">
                  <c:v>B51</c:v>
                </c:pt>
                <c:pt idx="11">
                  <c:v>B50</c:v>
                </c:pt>
                <c:pt idx="12">
                  <c:v>B5</c:v>
                </c:pt>
                <c:pt idx="13">
                  <c:v>B4</c:v>
                </c:pt>
                <c:pt idx="14">
                  <c:v>B9</c:v>
                </c:pt>
                <c:pt idx="15">
                  <c:v>B46</c:v>
                </c:pt>
                <c:pt idx="16">
                  <c:v>B47</c:v>
                </c:pt>
                <c:pt idx="17">
                  <c:v>B10</c:v>
                </c:pt>
                <c:pt idx="18">
                  <c:v>B53</c:v>
                </c:pt>
                <c:pt idx="19">
                  <c:v>B49</c:v>
                </c:pt>
                <c:pt idx="20">
                  <c:v>B45</c:v>
                </c:pt>
              </c:strCache>
            </c:strRef>
          </c:cat>
          <c:val>
            <c:numRef>
              <c:f>Total!$D$114:$D$134</c:f>
              <c:numCache>
                <c:formatCode>General</c:formatCode>
                <c:ptCount val="21"/>
                <c:pt idx="0">
                  <c:v>30.487804878048781</c:v>
                </c:pt>
                <c:pt idx="1">
                  <c:v>35</c:v>
                </c:pt>
                <c:pt idx="2">
                  <c:v>38.75</c:v>
                </c:pt>
                <c:pt idx="3">
                  <c:v>41.25</c:v>
                </c:pt>
                <c:pt idx="4">
                  <c:v>34.210526315789473</c:v>
                </c:pt>
                <c:pt idx="5">
                  <c:v>53.703703703703709</c:v>
                </c:pt>
                <c:pt idx="6">
                  <c:v>62.913907284768214</c:v>
                </c:pt>
                <c:pt idx="7">
                  <c:v>58.490566037735846</c:v>
                </c:pt>
                <c:pt idx="8">
                  <c:v>57.23684210526315</c:v>
                </c:pt>
                <c:pt idx="9">
                  <c:v>63.815789473684212</c:v>
                </c:pt>
                <c:pt idx="10">
                  <c:v>58.095238095238102</c:v>
                </c:pt>
                <c:pt idx="11">
                  <c:v>67.10526315789474</c:v>
                </c:pt>
                <c:pt idx="12">
                  <c:v>59.731543624161077</c:v>
                </c:pt>
                <c:pt idx="13">
                  <c:v>52.866242038216562</c:v>
                </c:pt>
                <c:pt idx="14">
                  <c:v>61.184210526315788</c:v>
                </c:pt>
                <c:pt idx="15">
                  <c:v>63.194444444444443</c:v>
                </c:pt>
                <c:pt idx="16">
                  <c:v>65.333333333333329</c:v>
                </c:pt>
                <c:pt idx="17">
                  <c:v>66.666666666666657</c:v>
                </c:pt>
                <c:pt idx="18">
                  <c:v>61.224489795918366</c:v>
                </c:pt>
                <c:pt idx="19">
                  <c:v>68.627450980392155</c:v>
                </c:pt>
                <c:pt idx="20">
                  <c:v>76.31578947368422</c:v>
                </c:pt>
              </c:numCache>
            </c:numRef>
          </c:val>
          <c:extLst>
            <c:ext xmlns:c16="http://schemas.microsoft.com/office/drawing/2014/chart" uri="{C3380CC4-5D6E-409C-BE32-E72D297353CC}">
              <c16:uniqueId val="{00000000-7922-498A-975D-26C36EEA5247}"/>
            </c:ext>
          </c:extLst>
        </c:ser>
        <c:ser>
          <c:idx val="1"/>
          <c:order val="1"/>
          <c:tx>
            <c:strRef>
              <c:f>Total!$E$113</c:f>
              <c:strCache>
                <c:ptCount val="1"/>
                <c:pt idx="0">
                  <c:v>Maybe:</c:v>
                </c:pt>
              </c:strCache>
            </c:strRef>
          </c:tx>
          <c:spPr>
            <a:solidFill>
              <a:schemeClr val="accent2"/>
            </a:solidFill>
            <a:ln>
              <a:noFill/>
            </a:ln>
            <a:effectLst/>
          </c:spPr>
          <c:invertIfNegative val="0"/>
          <c:cat>
            <c:strRef>
              <c:f>Total!$C$114:$C$134</c:f>
              <c:strCache>
                <c:ptCount val="21"/>
                <c:pt idx="0">
                  <c:v>B55</c:v>
                </c:pt>
                <c:pt idx="1">
                  <c:v>B3</c:v>
                </c:pt>
                <c:pt idx="2">
                  <c:v>B7</c:v>
                </c:pt>
                <c:pt idx="3">
                  <c:v>B52</c:v>
                </c:pt>
                <c:pt idx="4">
                  <c:v>B54</c:v>
                </c:pt>
                <c:pt idx="5">
                  <c:v>B2</c:v>
                </c:pt>
                <c:pt idx="6">
                  <c:v>B1</c:v>
                </c:pt>
                <c:pt idx="7">
                  <c:v>B6</c:v>
                </c:pt>
                <c:pt idx="8">
                  <c:v>B48</c:v>
                </c:pt>
                <c:pt idx="9">
                  <c:v>B8</c:v>
                </c:pt>
                <c:pt idx="10">
                  <c:v>B51</c:v>
                </c:pt>
                <c:pt idx="11">
                  <c:v>B50</c:v>
                </c:pt>
                <c:pt idx="12">
                  <c:v>B5</c:v>
                </c:pt>
                <c:pt idx="13">
                  <c:v>B4</c:v>
                </c:pt>
                <c:pt idx="14">
                  <c:v>B9</c:v>
                </c:pt>
                <c:pt idx="15">
                  <c:v>B46</c:v>
                </c:pt>
                <c:pt idx="16">
                  <c:v>B47</c:v>
                </c:pt>
                <c:pt idx="17">
                  <c:v>B10</c:v>
                </c:pt>
                <c:pt idx="18">
                  <c:v>B53</c:v>
                </c:pt>
                <c:pt idx="19">
                  <c:v>B49</c:v>
                </c:pt>
                <c:pt idx="20">
                  <c:v>B45</c:v>
                </c:pt>
              </c:strCache>
            </c:strRef>
          </c:cat>
          <c:val>
            <c:numRef>
              <c:f>Total!$E$114:$E$134</c:f>
              <c:numCache>
                <c:formatCode>General</c:formatCode>
                <c:ptCount val="21"/>
                <c:pt idx="0">
                  <c:v>12.195121951219512</c:v>
                </c:pt>
                <c:pt idx="1">
                  <c:v>22.5</c:v>
                </c:pt>
                <c:pt idx="2">
                  <c:v>24.375</c:v>
                </c:pt>
                <c:pt idx="3">
                  <c:v>22.5</c:v>
                </c:pt>
                <c:pt idx="4">
                  <c:v>30.263157894736842</c:v>
                </c:pt>
                <c:pt idx="5">
                  <c:v>17.283950617283949</c:v>
                </c:pt>
                <c:pt idx="6">
                  <c:v>8.6092715231788084</c:v>
                </c:pt>
                <c:pt idx="7">
                  <c:v>13.20754716981132</c:v>
                </c:pt>
                <c:pt idx="8">
                  <c:v>14.473684210526317</c:v>
                </c:pt>
                <c:pt idx="9">
                  <c:v>7.8947368421052628</c:v>
                </c:pt>
                <c:pt idx="10">
                  <c:v>15.238095238095239</c:v>
                </c:pt>
                <c:pt idx="11">
                  <c:v>7.2368421052631584</c:v>
                </c:pt>
                <c:pt idx="12">
                  <c:v>14.76510067114094</c:v>
                </c:pt>
                <c:pt idx="13">
                  <c:v>21.656050955414013</c:v>
                </c:pt>
                <c:pt idx="14">
                  <c:v>13.815789473684212</c:v>
                </c:pt>
                <c:pt idx="15">
                  <c:v>13.194444444444445</c:v>
                </c:pt>
                <c:pt idx="16">
                  <c:v>12</c:v>
                </c:pt>
                <c:pt idx="17">
                  <c:v>10.691823899371069</c:v>
                </c:pt>
                <c:pt idx="18">
                  <c:v>17.006802721088434</c:v>
                </c:pt>
                <c:pt idx="19">
                  <c:v>12.418300653594772</c:v>
                </c:pt>
                <c:pt idx="20">
                  <c:v>9.8684210526315788</c:v>
                </c:pt>
              </c:numCache>
            </c:numRef>
          </c:val>
          <c:extLst>
            <c:ext xmlns:c16="http://schemas.microsoft.com/office/drawing/2014/chart" uri="{C3380CC4-5D6E-409C-BE32-E72D297353CC}">
              <c16:uniqueId val="{00000001-7922-498A-975D-26C36EEA5247}"/>
            </c:ext>
          </c:extLst>
        </c:ser>
        <c:ser>
          <c:idx val="2"/>
          <c:order val="2"/>
          <c:tx>
            <c:strRef>
              <c:f>Total!$F$113</c:f>
              <c:strCache>
                <c:ptCount val="1"/>
                <c:pt idx="0">
                  <c:v>Incorrect:</c:v>
                </c:pt>
              </c:strCache>
            </c:strRef>
          </c:tx>
          <c:spPr>
            <a:solidFill>
              <a:srgbClr val="C00000"/>
            </a:solidFill>
            <a:ln>
              <a:noFill/>
            </a:ln>
            <a:effectLst/>
          </c:spPr>
          <c:invertIfNegative val="0"/>
          <c:cat>
            <c:strRef>
              <c:f>Total!$C$114:$C$134</c:f>
              <c:strCache>
                <c:ptCount val="21"/>
                <c:pt idx="0">
                  <c:v>B55</c:v>
                </c:pt>
                <c:pt idx="1">
                  <c:v>B3</c:v>
                </c:pt>
                <c:pt idx="2">
                  <c:v>B7</c:v>
                </c:pt>
                <c:pt idx="3">
                  <c:v>B52</c:v>
                </c:pt>
                <c:pt idx="4">
                  <c:v>B54</c:v>
                </c:pt>
                <c:pt idx="5">
                  <c:v>B2</c:v>
                </c:pt>
                <c:pt idx="6">
                  <c:v>B1</c:v>
                </c:pt>
                <c:pt idx="7">
                  <c:v>B6</c:v>
                </c:pt>
                <c:pt idx="8">
                  <c:v>B48</c:v>
                </c:pt>
                <c:pt idx="9">
                  <c:v>B8</c:v>
                </c:pt>
                <c:pt idx="10">
                  <c:v>B51</c:v>
                </c:pt>
                <c:pt idx="11">
                  <c:v>B50</c:v>
                </c:pt>
                <c:pt idx="12">
                  <c:v>B5</c:v>
                </c:pt>
                <c:pt idx="13">
                  <c:v>B4</c:v>
                </c:pt>
                <c:pt idx="14">
                  <c:v>B9</c:v>
                </c:pt>
                <c:pt idx="15">
                  <c:v>B46</c:v>
                </c:pt>
                <c:pt idx="16">
                  <c:v>B47</c:v>
                </c:pt>
                <c:pt idx="17">
                  <c:v>B10</c:v>
                </c:pt>
                <c:pt idx="18">
                  <c:v>B53</c:v>
                </c:pt>
                <c:pt idx="19">
                  <c:v>B49</c:v>
                </c:pt>
                <c:pt idx="20">
                  <c:v>B45</c:v>
                </c:pt>
              </c:strCache>
            </c:strRef>
          </c:cat>
          <c:val>
            <c:numRef>
              <c:f>Total!$F$114:$F$134</c:f>
              <c:numCache>
                <c:formatCode>General</c:formatCode>
                <c:ptCount val="21"/>
                <c:pt idx="0">
                  <c:v>57.317073170731703</c:v>
                </c:pt>
                <c:pt idx="1">
                  <c:v>42.5</c:v>
                </c:pt>
                <c:pt idx="2">
                  <c:v>36.875</c:v>
                </c:pt>
                <c:pt idx="3">
                  <c:v>36.25</c:v>
                </c:pt>
                <c:pt idx="4">
                  <c:v>35.526315789473685</c:v>
                </c:pt>
                <c:pt idx="5">
                  <c:v>29.012345679012348</c:v>
                </c:pt>
                <c:pt idx="6">
                  <c:v>28.476821192052981</c:v>
                </c:pt>
                <c:pt idx="7">
                  <c:v>28.30188679245283</c:v>
                </c:pt>
                <c:pt idx="8">
                  <c:v>28.289473684210524</c:v>
                </c:pt>
                <c:pt idx="9">
                  <c:v>28.289473684210524</c:v>
                </c:pt>
                <c:pt idx="10">
                  <c:v>26.666666666666668</c:v>
                </c:pt>
                <c:pt idx="11">
                  <c:v>25.657894736842106</c:v>
                </c:pt>
                <c:pt idx="12">
                  <c:v>25.503355704697988</c:v>
                </c:pt>
                <c:pt idx="13">
                  <c:v>25.477707006369428</c:v>
                </c:pt>
                <c:pt idx="14">
                  <c:v>25</c:v>
                </c:pt>
                <c:pt idx="15">
                  <c:v>23.611111111111111</c:v>
                </c:pt>
                <c:pt idx="16">
                  <c:v>22.666666666666664</c:v>
                </c:pt>
                <c:pt idx="17">
                  <c:v>22.641509433962266</c:v>
                </c:pt>
                <c:pt idx="18">
                  <c:v>21.768707482993197</c:v>
                </c:pt>
                <c:pt idx="19">
                  <c:v>18.954248366013072</c:v>
                </c:pt>
                <c:pt idx="20">
                  <c:v>13.815789473684212</c:v>
                </c:pt>
              </c:numCache>
            </c:numRef>
          </c:val>
          <c:extLst>
            <c:ext xmlns:c16="http://schemas.microsoft.com/office/drawing/2014/chart" uri="{C3380CC4-5D6E-409C-BE32-E72D297353CC}">
              <c16:uniqueId val="{00000002-7922-498A-975D-26C36EEA5247}"/>
            </c:ext>
          </c:extLst>
        </c:ser>
        <c:dLbls>
          <c:showLegendKey val="0"/>
          <c:showVal val="0"/>
          <c:showCatName val="0"/>
          <c:showSerName val="0"/>
          <c:showPercent val="0"/>
          <c:showBubbleSize val="0"/>
        </c:dLbls>
        <c:gapWidth val="150"/>
        <c:overlap val="100"/>
        <c:axId val="1395653247"/>
        <c:axId val="1395650847"/>
      </c:barChart>
      <c:catAx>
        <c:axId val="1395653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95650847"/>
        <c:crosses val="autoZero"/>
        <c:auto val="1"/>
        <c:lblAlgn val="ctr"/>
        <c:lblOffset val="100"/>
        <c:noMultiLvlLbl val="0"/>
      </c:catAx>
      <c:valAx>
        <c:axId val="139565084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95653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Total!$D$31</c:f>
              <c:strCache>
                <c:ptCount val="1"/>
                <c:pt idx="0">
                  <c:v>High Correct:</c:v>
                </c:pt>
              </c:strCache>
            </c:strRef>
          </c:tx>
          <c:spPr>
            <a:solidFill>
              <a:schemeClr val="accent6">
                <a:lumMod val="75000"/>
              </a:schemeClr>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Total!$D$32:$D$49</c15:sqref>
                  </c15:fullRef>
                </c:ext>
              </c:extLst>
              <c:f>(Total!$D$46,Total!$D$48)</c:f>
              <c:numCache>
                <c:formatCode>General</c:formatCode>
                <c:ptCount val="2"/>
                <c:pt idx="0">
                  <c:v>14</c:v>
                </c:pt>
                <c:pt idx="1">
                  <c:v>19</c:v>
                </c:pt>
              </c:numCache>
            </c:numRef>
          </c:val>
          <c:extLst>
            <c:ext xmlns:c16="http://schemas.microsoft.com/office/drawing/2014/chart" uri="{C3380CC4-5D6E-409C-BE32-E72D297353CC}">
              <c16:uniqueId val="{00000000-4AF8-483D-ADA7-3C7137E096D2}"/>
            </c:ext>
          </c:extLst>
        </c:ser>
        <c:ser>
          <c:idx val="1"/>
          <c:order val="1"/>
          <c:tx>
            <c:strRef>
              <c:f>Total!$E$31</c:f>
              <c:strCache>
                <c:ptCount val="1"/>
                <c:pt idx="0">
                  <c:v>Medium Correct:</c:v>
                </c:pt>
              </c:strCache>
            </c:strRef>
          </c:tx>
          <c:spPr>
            <a:solidFill>
              <a:schemeClr val="accent6"/>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Total!$E$32:$E$49</c15:sqref>
                  </c15:fullRef>
                </c:ext>
              </c:extLst>
              <c:f>(Total!$E$46,Total!$E$48)</c:f>
              <c:numCache>
                <c:formatCode>General</c:formatCode>
                <c:ptCount val="2"/>
                <c:pt idx="0">
                  <c:v>6</c:v>
                </c:pt>
                <c:pt idx="1">
                  <c:v>5</c:v>
                </c:pt>
              </c:numCache>
            </c:numRef>
          </c:val>
          <c:extLst>
            <c:ext xmlns:c16="http://schemas.microsoft.com/office/drawing/2014/chart" uri="{C3380CC4-5D6E-409C-BE32-E72D297353CC}">
              <c16:uniqueId val="{00000001-4AF8-483D-ADA7-3C7137E096D2}"/>
            </c:ext>
          </c:extLst>
        </c:ser>
        <c:ser>
          <c:idx val="2"/>
          <c:order val="2"/>
          <c:tx>
            <c:strRef>
              <c:f>Total!$F$31</c:f>
              <c:strCache>
                <c:ptCount val="1"/>
                <c:pt idx="0">
                  <c:v>Low Correct:</c:v>
                </c:pt>
              </c:strCache>
            </c:strRef>
          </c:tx>
          <c:spPr>
            <a:solidFill>
              <a:schemeClr val="accent6">
                <a:lumMod val="60000"/>
                <a:lumOff val="40000"/>
              </a:schemeClr>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Total!$F$32:$F$49</c15:sqref>
                  </c15:fullRef>
                </c:ext>
              </c:extLst>
              <c:f>(Total!$F$46,Total!$F$48)</c:f>
              <c:numCache>
                <c:formatCode>General</c:formatCode>
                <c:ptCount val="2"/>
                <c:pt idx="0">
                  <c:v>4</c:v>
                </c:pt>
                <c:pt idx="1">
                  <c:v>3</c:v>
                </c:pt>
              </c:numCache>
            </c:numRef>
          </c:val>
          <c:extLst>
            <c:ext xmlns:c16="http://schemas.microsoft.com/office/drawing/2014/chart" uri="{C3380CC4-5D6E-409C-BE32-E72D297353CC}">
              <c16:uniqueId val="{00000002-4AF8-483D-ADA7-3C7137E096D2}"/>
            </c:ext>
          </c:extLst>
        </c:ser>
        <c:ser>
          <c:idx val="3"/>
          <c:order val="3"/>
          <c:tx>
            <c:strRef>
              <c:f>Total!$G$31</c:f>
              <c:strCache>
                <c:ptCount val="1"/>
                <c:pt idx="0">
                  <c:v>High Maybe:</c:v>
                </c:pt>
              </c:strCache>
            </c:strRef>
          </c:tx>
          <c:spPr>
            <a:solidFill>
              <a:schemeClr val="accent2">
                <a:lumMod val="75000"/>
              </a:schemeClr>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Total!$G$32:$G$49</c15:sqref>
                  </c15:fullRef>
                </c:ext>
              </c:extLst>
              <c:f>(Total!$G$46,Total!$G$48)</c:f>
              <c:numCache>
                <c:formatCode>General</c:formatCode>
                <c:ptCount val="2"/>
                <c:pt idx="0">
                  <c:v>6</c:v>
                </c:pt>
                <c:pt idx="1">
                  <c:v>11</c:v>
                </c:pt>
              </c:numCache>
            </c:numRef>
          </c:val>
          <c:extLst>
            <c:ext xmlns:c16="http://schemas.microsoft.com/office/drawing/2014/chart" uri="{C3380CC4-5D6E-409C-BE32-E72D297353CC}">
              <c16:uniqueId val="{00000003-4AF8-483D-ADA7-3C7137E096D2}"/>
            </c:ext>
          </c:extLst>
        </c:ser>
        <c:ser>
          <c:idx val="4"/>
          <c:order val="4"/>
          <c:tx>
            <c:strRef>
              <c:f>Total!$H$31</c:f>
              <c:strCache>
                <c:ptCount val="1"/>
                <c:pt idx="0">
                  <c:v>Medium Maybe:</c:v>
                </c:pt>
              </c:strCache>
            </c:strRef>
          </c:tx>
          <c:spPr>
            <a:solidFill>
              <a:schemeClr val="accent2"/>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Total!$H$32:$H$49</c15:sqref>
                  </c15:fullRef>
                </c:ext>
              </c:extLst>
              <c:f>(Total!$H$46,Total!$H$48)</c:f>
              <c:numCache>
                <c:formatCode>General</c:formatCode>
                <c:ptCount val="2"/>
                <c:pt idx="0">
                  <c:v>2</c:v>
                </c:pt>
                <c:pt idx="1">
                  <c:v>13</c:v>
                </c:pt>
              </c:numCache>
            </c:numRef>
          </c:val>
          <c:extLst>
            <c:ext xmlns:c16="http://schemas.microsoft.com/office/drawing/2014/chart" uri="{C3380CC4-5D6E-409C-BE32-E72D297353CC}">
              <c16:uniqueId val="{00000004-4AF8-483D-ADA7-3C7137E096D2}"/>
            </c:ext>
          </c:extLst>
        </c:ser>
        <c:ser>
          <c:idx val="5"/>
          <c:order val="5"/>
          <c:tx>
            <c:strRef>
              <c:f>Total!$I$31</c:f>
              <c:strCache>
                <c:ptCount val="1"/>
                <c:pt idx="0">
                  <c:v>Low Maybe:</c:v>
                </c:pt>
              </c:strCache>
            </c:strRef>
          </c:tx>
          <c:spPr>
            <a:solidFill>
              <a:schemeClr val="accent2">
                <a:lumMod val="60000"/>
                <a:lumOff val="40000"/>
              </a:schemeClr>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Total!$I$32:$I$49</c15:sqref>
                  </c15:fullRef>
                </c:ext>
              </c:extLst>
              <c:f>(Total!$I$46,Total!$I$48)</c:f>
              <c:numCache>
                <c:formatCode>General</c:formatCode>
                <c:ptCount val="2"/>
                <c:pt idx="0">
                  <c:v>4</c:v>
                </c:pt>
                <c:pt idx="1">
                  <c:v>7</c:v>
                </c:pt>
              </c:numCache>
            </c:numRef>
          </c:val>
          <c:extLst>
            <c:ext xmlns:c16="http://schemas.microsoft.com/office/drawing/2014/chart" uri="{C3380CC4-5D6E-409C-BE32-E72D297353CC}">
              <c16:uniqueId val="{00000005-4AF8-483D-ADA7-3C7137E096D2}"/>
            </c:ext>
          </c:extLst>
        </c:ser>
        <c:ser>
          <c:idx val="6"/>
          <c:order val="6"/>
          <c:tx>
            <c:strRef>
              <c:f>Total!$J$31</c:f>
              <c:strCache>
                <c:ptCount val="1"/>
                <c:pt idx="0">
                  <c:v>Low Incorrect:</c:v>
                </c:pt>
              </c:strCache>
            </c:strRef>
          </c:tx>
          <c:spPr>
            <a:solidFill>
              <a:srgbClr val="F46868"/>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Total!$J$32:$J$49</c15:sqref>
                  </c15:fullRef>
                </c:ext>
              </c:extLst>
              <c:f>(Total!$J$46,Total!$J$48)</c:f>
              <c:numCache>
                <c:formatCode>General</c:formatCode>
                <c:ptCount val="2"/>
                <c:pt idx="0">
                  <c:v>16</c:v>
                </c:pt>
                <c:pt idx="1">
                  <c:v>13</c:v>
                </c:pt>
              </c:numCache>
            </c:numRef>
          </c:val>
          <c:extLst>
            <c:ext xmlns:c16="http://schemas.microsoft.com/office/drawing/2014/chart" uri="{C3380CC4-5D6E-409C-BE32-E72D297353CC}">
              <c16:uniqueId val="{00000006-4AF8-483D-ADA7-3C7137E096D2}"/>
            </c:ext>
          </c:extLst>
        </c:ser>
        <c:ser>
          <c:idx val="7"/>
          <c:order val="7"/>
          <c:tx>
            <c:strRef>
              <c:f>Total!$K$31</c:f>
              <c:strCache>
                <c:ptCount val="1"/>
                <c:pt idx="0">
                  <c:v>Medium Incorrect:</c:v>
                </c:pt>
              </c:strCache>
            </c:strRef>
          </c:tx>
          <c:spPr>
            <a:solidFill>
              <a:srgbClr val="EC2828"/>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Total!$K$32:$K$49</c15:sqref>
                  </c15:fullRef>
                </c:ext>
              </c:extLst>
              <c:f>(Total!$K$46,Total!$K$48)</c:f>
              <c:numCache>
                <c:formatCode>General</c:formatCode>
                <c:ptCount val="2"/>
                <c:pt idx="0">
                  <c:v>16</c:v>
                </c:pt>
                <c:pt idx="1">
                  <c:v>10</c:v>
                </c:pt>
              </c:numCache>
            </c:numRef>
          </c:val>
          <c:extLst>
            <c:ext xmlns:c16="http://schemas.microsoft.com/office/drawing/2014/chart" uri="{C3380CC4-5D6E-409C-BE32-E72D297353CC}">
              <c16:uniqueId val="{00000007-4AF8-483D-ADA7-3C7137E096D2}"/>
            </c:ext>
          </c:extLst>
        </c:ser>
        <c:ser>
          <c:idx val="8"/>
          <c:order val="8"/>
          <c:tx>
            <c:strRef>
              <c:f>Total!$L$31</c:f>
              <c:strCache>
                <c:ptCount val="1"/>
                <c:pt idx="0">
                  <c:v>High Incorrect:</c:v>
                </c:pt>
              </c:strCache>
            </c:strRef>
          </c:tx>
          <c:spPr>
            <a:solidFill>
              <a:srgbClr val="C00000"/>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Total!$L$32:$L$49</c15:sqref>
                  </c15:fullRef>
                </c:ext>
              </c:extLst>
              <c:f>(Total!$L$46,Total!$L$48)</c:f>
              <c:numCache>
                <c:formatCode>General</c:formatCode>
                <c:ptCount val="2"/>
                <c:pt idx="0">
                  <c:v>114</c:v>
                </c:pt>
                <c:pt idx="1">
                  <c:v>90</c:v>
                </c:pt>
              </c:numCache>
            </c:numRef>
          </c:val>
          <c:extLst>
            <c:ext xmlns:c16="http://schemas.microsoft.com/office/drawing/2014/chart" uri="{C3380CC4-5D6E-409C-BE32-E72D297353CC}">
              <c16:uniqueId val="{00000008-4AF8-483D-ADA7-3C7137E096D2}"/>
            </c:ext>
          </c:extLst>
        </c:ser>
        <c:ser>
          <c:idx val="9"/>
          <c:order val="9"/>
          <c:tx>
            <c:strRef>
              <c:f>Total!$M$31</c:f>
              <c:strCache>
                <c:ptCount val="1"/>
                <c:pt idx="0">
                  <c:v>N/A:</c:v>
                </c:pt>
              </c:strCache>
            </c:strRef>
          </c:tx>
          <c:spPr>
            <a:solidFill>
              <a:schemeClr val="bg1">
                <a:lumMod val="65000"/>
              </a:schemeClr>
            </a:solidFill>
            <a:ln>
              <a:noFill/>
            </a:ln>
            <a:effectLst/>
          </c:spPr>
          <c:invertIfNegative val="0"/>
          <c:cat>
            <c:strRef>
              <c:extLst>
                <c:ext xmlns:c15="http://schemas.microsoft.com/office/drawing/2012/chart" uri="{02D57815-91ED-43cb-92C2-25804820EDAC}">
                  <c15:fullRef>
                    <c15:sqref>Total!$C$32:$C$49</c15:sqref>
                  </c15:fullRef>
                </c:ext>
              </c:extLst>
              <c:f>(Total!$C$46,Total!$C$48)</c:f>
              <c:strCache>
                <c:ptCount val="2"/>
                <c:pt idx="0">
                  <c:v>O15</c:v>
                </c:pt>
                <c:pt idx="1">
                  <c:v>O17</c:v>
                </c:pt>
              </c:strCache>
            </c:strRef>
          </c:cat>
          <c:val>
            <c:numRef>
              <c:extLst>
                <c:ext xmlns:c15="http://schemas.microsoft.com/office/drawing/2012/chart" uri="{02D57815-91ED-43cb-92C2-25804820EDAC}">
                  <c15:fullRef>
                    <c15:sqref>Total!$M$32:$M$49</c15:sqref>
                  </c15:fullRef>
                </c:ext>
              </c:extLst>
              <c:f>(Total!$M$46,Total!$M$48)</c:f>
              <c:numCache>
                <c:formatCode>General</c:formatCode>
                <c:ptCount val="2"/>
                <c:pt idx="0">
                  <c:v>7</c:v>
                </c:pt>
                <c:pt idx="1">
                  <c:v>18</c:v>
                </c:pt>
              </c:numCache>
            </c:numRef>
          </c:val>
          <c:extLst>
            <c:ext xmlns:c16="http://schemas.microsoft.com/office/drawing/2014/chart" uri="{C3380CC4-5D6E-409C-BE32-E72D297353CC}">
              <c16:uniqueId val="{00000009-4AF8-483D-ADA7-3C7137E096D2}"/>
            </c:ext>
          </c:extLst>
        </c:ser>
        <c:dLbls>
          <c:showLegendKey val="0"/>
          <c:showVal val="0"/>
          <c:showCatName val="0"/>
          <c:showSerName val="0"/>
          <c:showPercent val="0"/>
          <c:showBubbleSize val="0"/>
        </c:dLbls>
        <c:gapWidth val="150"/>
        <c:overlap val="100"/>
        <c:axId val="135776960"/>
        <c:axId val="135772160"/>
        <c:extLst>
          <c:ext xmlns:c15="http://schemas.microsoft.com/office/drawing/2012/chart" uri="{02D57815-91ED-43cb-92C2-25804820EDAC}">
            <c15:filteredBarSeries>
              <c15:ser>
                <c:idx val="10"/>
                <c:order val="10"/>
                <c:tx>
                  <c:strRef>
                    <c:extLst>
                      <c:ext uri="{02D57815-91ED-43cb-92C2-25804820EDAC}">
                        <c15:formulaRef>
                          <c15:sqref>Total!$N$31</c15:sqref>
                        </c15:formulaRef>
                      </c:ext>
                    </c:extLst>
                    <c:strCache>
                      <c:ptCount val="1"/>
                      <c:pt idx="0">
                        <c:v>Total:</c:v>
                      </c:pt>
                    </c:strCache>
                  </c:strRef>
                </c:tx>
                <c:spPr>
                  <a:solidFill>
                    <a:schemeClr val="accent5">
                      <a:lumMod val="60000"/>
                    </a:schemeClr>
                  </a:solidFill>
                  <a:ln>
                    <a:noFill/>
                  </a:ln>
                  <a:effectLst/>
                </c:spPr>
                <c:invertIfNegative val="0"/>
                <c:cat>
                  <c:strRef>
                    <c:extLst>
                      <c:ext uri="{02D57815-91ED-43cb-92C2-25804820EDAC}">
                        <c15:fullRef>
                          <c15:sqref>Total!$C$32:$C$49</c15:sqref>
                        </c15:fullRef>
                        <c15:formulaRef>
                          <c15:sqref>(Total!$C$46,Total!$C$48)</c15:sqref>
                        </c15:formulaRef>
                      </c:ext>
                    </c:extLst>
                    <c:strCache>
                      <c:ptCount val="2"/>
                      <c:pt idx="0">
                        <c:v>O15</c:v>
                      </c:pt>
                      <c:pt idx="1">
                        <c:v>O17</c:v>
                      </c:pt>
                    </c:strCache>
                  </c:strRef>
                </c:cat>
                <c:val>
                  <c:numRef>
                    <c:extLst>
                      <c:ext uri="{02D57815-91ED-43cb-92C2-25804820EDAC}">
                        <c15:fullRef>
                          <c15:sqref>Total!$N$32:$N$49</c15:sqref>
                        </c15:fullRef>
                        <c15:formulaRef>
                          <c15:sqref>(Total!$N$46,Total!$N$48)</c15:sqref>
                        </c15:formulaRef>
                      </c:ext>
                    </c:extLst>
                    <c:numCache>
                      <c:formatCode>General</c:formatCode>
                      <c:ptCount val="2"/>
                      <c:pt idx="0">
                        <c:v>189</c:v>
                      </c:pt>
                      <c:pt idx="1">
                        <c:v>189</c:v>
                      </c:pt>
                    </c:numCache>
                  </c:numRef>
                </c:val>
                <c:extLst>
                  <c:ext xmlns:c16="http://schemas.microsoft.com/office/drawing/2014/chart" uri="{C3380CC4-5D6E-409C-BE32-E72D297353CC}">
                    <c16:uniqueId val="{0000000A-4AF8-483D-ADA7-3C7137E096D2}"/>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Total!$O$31</c15:sqref>
                        </c15:formulaRef>
                      </c:ext>
                    </c:extLst>
                    <c:strCache>
                      <c:ptCount val="1"/>
                      <c:pt idx="0">
                        <c:v>Excluding N/A:</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ullRef>
                          <c15:sqref>Total!$C$32:$C$49</c15:sqref>
                        </c15:fullRef>
                        <c15:formulaRef>
                          <c15:sqref>(Total!$C$46,Total!$C$48)</c15:sqref>
                        </c15:formulaRef>
                      </c:ext>
                    </c:extLst>
                    <c:strCache>
                      <c:ptCount val="2"/>
                      <c:pt idx="0">
                        <c:v>O15</c:v>
                      </c:pt>
                      <c:pt idx="1">
                        <c:v>O17</c:v>
                      </c:pt>
                    </c:strCache>
                  </c:strRef>
                </c:cat>
                <c:val>
                  <c:numRef>
                    <c:extLst>
                      <c:ext xmlns:c15="http://schemas.microsoft.com/office/drawing/2012/chart" uri="{02D57815-91ED-43cb-92C2-25804820EDAC}">
                        <c15:fullRef>
                          <c15:sqref>Total!$O$32:$O$49</c15:sqref>
                        </c15:fullRef>
                        <c15:formulaRef>
                          <c15:sqref>(Total!$O$46,Total!$O$48)</c15:sqref>
                        </c15:formulaRef>
                      </c:ext>
                    </c:extLst>
                    <c:numCache>
                      <c:formatCode>General</c:formatCode>
                      <c:ptCount val="2"/>
                      <c:pt idx="0">
                        <c:v>182</c:v>
                      </c:pt>
                      <c:pt idx="1">
                        <c:v>171</c:v>
                      </c:pt>
                    </c:numCache>
                  </c:numRef>
                </c:val>
                <c:extLst xmlns:c15="http://schemas.microsoft.com/office/drawing/2012/chart">
                  <c:ext xmlns:c16="http://schemas.microsoft.com/office/drawing/2014/chart" uri="{C3380CC4-5D6E-409C-BE32-E72D297353CC}">
                    <c16:uniqueId val="{0000000B-4AF8-483D-ADA7-3C7137E096D2}"/>
                  </c:ext>
                </c:extLst>
              </c15:ser>
            </c15:filteredBarSeries>
          </c:ext>
        </c:extLst>
      </c:barChart>
      <c:catAx>
        <c:axId val="13577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72160"/>
        <c:crosses val="autoZero"/>
        <c:auto val="1"/>
        <c:lblAlgn val="ctr"/>
        <c:lblOffset val="100"/>
        <c:noMultiLvlLbl val="0"/>
      </c:catAx>
      <c:valAx>
        <c:axId val="13577216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76960"/>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'LM v. LM'!$D$4</c:f>
              <c:strCache>
                <c:ptCount val="1"/>
                <c:pt idx="0">
                  <c:v>High Correct:</c:v>
                </c:pt>
              </c:strCache>
            </c:strRef>
          </c:tx>
          <c:spPr>
            <a:solidFill>
              <a:schemeClr val="accent6">
                <a:lumMod val="75000"/>
              </a:schemeClr>
            </a:solidFill>
            <a:ln>
              <a:noFill/>
            </a:ln>
            <a:effectLst/>
          </c:spPr>
          <c:invertIfNegative val="0"/>
          <c:cat>
            <c:strRef>
              <c:f>'LM v. LM'!$C$5:$C$7</c:f>
              <c:strCache>
                <c:ptCount val="3"/>
                <c:pt idx="0">
                  <c:v>ChatGPT</c:v>
                </c:pt>
                <c:pt idx="1">
                  <c:v>Jurassic</c:v>
                </c:pt>
                <c:pt idx="2">
                  <c:v>PaLM</c:v>
                </c:pt>
              </c:strCache>
            </c:strRef>
          </c:cat>
          <c:val>
            <c:numRef>
              <c:f>'LM v. LM'!$D$5:$D$7</c:f>
              <c:numCache>
                <c:formatCode>General</c:formatCode>
                <c:ptCount val="3"/>
                <c:pt idx="0">
                  <c:v>353</c:v>
                </c:pt>
                <c:pt idx="1">
                  <c:v>464</c:v>
                </c:pt>
                <c:pt idx="2">
                  <c:v>393</c:v>
                </c:pt>
              </c:numCache>
            </c:numRef>
          </c:val>
          <c:extLst>
            <c:ext xmlns:c16="http://schemas.microsoft.com/office/drawing/2014/chart" uri="{C3380CC4-5D6E-409C-BE32-E72D297353CC}">
              <c16:uniqueId val="{00000000-4962-40A9-A4E3-6EFC01FA8A64}"/>
            </c:ext>
          </c:extLst>
        </c:ser>
        <c:ser>
          <c:idx val="1"/>
          <c:order val="1"/>
          <c:tx>
            <c:strRef>
              <c:f>'LM v. LM'!$E$4</c:f>
              <c:strCache>
                <c:ptCount val="1"/>
                <c:pt idx="0">
                  <c:v>Medium Correct:</c:v>
                </c:pt>
              </c:strCache>
            </c:strRef>
          </c:tx>
          <c:spPr>
            <a:solidFill>
              <a:schemeClr val="accent6"/>
            </a:solidFill>
            <a:ln>
              <a:noFill/>
            </a:ln>
            <a:effectLst/>
          </c:spPr>
          <c:invertIfNegative val="0"/>
          <c:cat>
            <c:strRef>
              <c:f>'LM v. LM'!$C$5:$C$7</c:f>
              <c:strCache>
                <c:ptCount val="3"/>
                <c:pt idx="0">
                  <c:v>ChatGPT</c:v>
                </c:pt>
                <c:pt idx="1">
                  <c:v>Jurassic</c:v>
                </c:pt>
                <c:pt idx="2">
                  <c:v>PaLM</c:v>
                </c:pt>
              </c:strCache>
            </c:strRef>
          </c:cat>
          <c:val>
            <c:numRef>
              <c:f>'LM v. LM'!$E$5:$E$7</c:f>
              <c:numCache>
                <c:formatCode>General</c:formatCode>
                <c:ptCount val="3"/>
                <c:pt idx="0">
                  <c:v>83</c:v>
                </c:pt>
                <c:pt idx="1">
                  <c:v>131</c:v>
                </c:pt>
                <c:pt idx="2">
                  <c:v>86</c:v>
                </c:pt>
              </c:numCache>
            </c:numRef>
          </c:val>
          <c:extLst>
            <c:ext xmlns:c16="http://schemas.microsoft.com/office/drawing/2014/chart" uri="{C3380CC4-5D6E-409C-BE32-E72D297353CC}">
              <c16:uniqueId val="{00000001-4962-40A9-A4E3-6EFC01FA8A64}"/>
            </c:ext>
          </c:extLst>
        </c:ser>
        <c:ser>
          <c:idx val="2"/>
          <c:order val="2"/>
          <c:tx>
            <c:strRef>
              <c:f>'LM v. LM'!$F$4</c:f>
              <c:strCache>
                <c:ptCount val="1"/>
                <c:pt idx="0">
                  <c:v>Low Correct:</c:v>
                </c:pt>
              </c:strCache>
            </c:strRef>
          </c:tx>
          <c:spPr>
            <a:solidFill>
              <a:schemeClr val="accent6">
                <a:lumMod val="40000"/>
                <a:lumOff val="60000"/>
              </a:schemeClr>
            </a:solidFill>
            <a:ln>
              <a:noFill/>
            </a:ln>
            <a:effectLst/>
          </c:spPr>
          <c:invertIfNegative val="0"/>
          <c:cat>
            <c:strRef>
              <c:f>'LM v. LM'!$C$5:$C$7</c:f>
              <c:strCache>
                <c:ptCount val="3"/>
                <c:pt idx="0">
                  <c:v>ChatGPT</c:v>
                </c:pt>
                <c:pt idx="1">
                  <c:v>Jurassic</c:v>
                </c:pt>
                <c:pt idx="2">
                  <c:v>PaLM</c:v>
                </c:pt>
              </c:strCache>
            </c:strRef>
          </c:cat>
          <c:val>
            <c:numRef>
              <c:f>'LM v. LM'!$F$5:$F$7</c:f>
              <c:numCache>
                <c:formatCode>General</c:formatCode>
                <c:ptCount val="3"/>
                <c:pt idx="0">
                  <c:v>102</c:v>
                </c:pt>
                <c:pt idx="1">
                  <c:v>88</c:v>
                </c:pt>
                <c:pt idx="2">
                  <c:v>54</c:v>
                </c:pt>
              </c:numCache>
            </c:numRef>
          </c:val>
          <c:extLst>
            <c:ext xmlns:c16="http://schemas.microsoft.com/office/drawing/2014/chart" uri="{C3380CC4-5D6E-409C-BE32-E72D297353CC}">
              <c16:uniqueId val="{00000002-4962-40A9-A4E3-6EFC01FA8A64}"/>
            </c:ext>
          </c:extLst>
        </c:ser>
        <c:ser>
          <c:idx val="3"/>
          <c:order val="3"/>
          <c:tx>
            <c:strRef>
              <c:f>'LM v. LM'!$G$4</c:f>
              <c:strCache>
                <c:ptCount val="1"/>
                <c:pt idx="0">
                  <c:v>High Maybe:</c:v>
                </c:pt>
              </c:strCache>
            </c:strRef>
          </c:tx>
          <c:spPr>
            <a:solidFill>
              <a:schemeClr val="accent2">
                <a:lumMod val="75000"/>
              </a:schemeClr>
            </a:solidFill>
            <a:ln>
              <a:noFill/>
            </a:ln>
            <a:effectLst/>
          </c:spPr>
          <c:invertIfNegative val="0"/>
          <c:cat>
            <c:strRef>
              <c:f>'LM v. LM'!$C$5:$C$7</c:f>
              <c:strCache>
                <c:ptCount val="3"/>
                <c:pt idx="0">
                  <c:v>ChatGPT</c:v>
                </c:pt>
                <c:pt idx="1">
                  <c:v>Jurassic</c:v>
                </c:pt>
                <c:pt idx="2">
                  <c:v>PaLM</c:v>
                </c:pt>
              </c:strCache>
            </c:strRef>
          </c:cat>
          <c:val>
            <c:numRef>
              <c:f>'LM v. LM'!$G$5:$G$7</c:f>
              <c:numCache>
                <c:formatCode>General</c:formatCode>
                <c:ptCount val="3"/>
                <c:pt idx="0">
                  <c:v>54</c:v>
                </c:pt>
                <c:pt idx="1">
                  <c:v>59</c:v>
                </c:pt>
                <c:pt idx="2">
                  <c:v>88</c:v>
                </c:pt>
              </c:numCache>
            </c:numRef>
          </c:val>
          <c:extLst>
            <c:ext xmlns:c16="http://schemas.microsoft.com/office/drawing/2014/chart" uri="{C3380CC4-5D6E-409C-BE32-E72D297353CC}">
              <c16:uniqueId val="{00000003-4962-40A9-A4E3-6EFC01FA8A64}"/>
            </c:ext>
          </c:extLst>
        </c:ser>
        <c:ser>
          <c:idx val="4"/>
          <c:order val="4"/>
          <c:tx>
            <c:strRef>
              <c:f>'LM v. LM'!$H$4</c:f>
              <c:strCache>
                <c:ptCount val="1"/>
                <c:pt idx="0">
                  <c:v>Medium Maybe:</c:v>
                </c:pt>
              </c:strCache>
            </c:strRef>
          </c:tx>
          <c:spPr>
            <a:solidFill>
              <a:schemeClr val="accent2"/>
            </a:solidFill>
            <a:ln>
              <a:noFill/>
            </a:ln>
            <a:effectLst/>
          </c:spPr>
          <c:invertIfNegative val="0"/>
          <c:cat>
            <c:strRef>
              <c:f>'LM v. LM'!$C$5:$C$7</c:f>
              <c:strCache>
                <c:ptCount val="3"/>
                <c:pt idx="0">
                  <c:v>ChatGPT</c:v>
                </c:pt>
                <c:pt idx="1">
                  <c:v>Jurassic</c:v>
                </c:pt>
                <c:pt idx="2">
                  <c:v>PaLM</c:v>
                </c:pt>
              </c:strCache>
            </c:strRef>
          </c:cat>
          <c:val>
            <c:numRef>
              <c:f>'LM v. LM'!$H$5:$H$7</c:f>
              <c:numCache>
                <c:formatCode>General</c:formatCode>
                <c:ptCount val="3"/>
                <c:pt idx="0">
                  <c:v>30</c:v>
                </c:pt>
                <c:pt idx="1">
                  <c:v>67</c:v>
                </c:pt>
                <c:pt idx="2">
                  <c:v>69</c:v>
                </c:pt>
              </c:numCache>
            </c:numRef>
          </c:val>
          <c:extLst>
            <c:ext xmlns:c16="http://schemas.microsoft.com/office/drawing/2014/chart" uri="{C3380CC4-5D6E-409C-BE32-E72D297353CC}">
              <c16:uniqueId val="{00000004-4962-40A9-A4E3-6EFC01FA8A64}"/>
            </c:ext>
          </c:extLst>
        </c:ser>
        <c:ser>
          <c:idx val="5"/>
          <c:order val="5"/>
          <c:tx>
            <c:strRef>
              <c:f>'LM v. LM'!$I$4</c:f>
              <c:strCache>
                <c:ptCount val="1"/>
                <c:pt idx="0">
                  <c:v>Low Maybe:</c:v>
                </c:pt>
              </c:strCache>
            </c:strRef>
          </c:tx>
          <c:spPr>
            <a:solidFill>
              <a:schemeClr val="accent2">
                <a:lumMod val="40000"/>
                <a:lumOff val="60000"/>
              </a:schemeClr>
            </a:solidFill>
            <a:ln>
              <a:noFill/>
            </a:ln>
            <a:effectLst/>
          </c:spPr>
          <c:invertIfNegative val="0"/>
          <c:cat>
            <c:strRef>
              <c:f>'LM v. LM'!$C$5:$C$7</c:f>
              <c:strCache>
                <c:ptCount val="3"/>
                <c:pt idx="0">
                  <c:v>ChatGPT</c:v>
                </c:pt>
                <c:pt idx="1">
                  <c:v>Jurassic</c:v>
                </c:pt>
                <c:pt idx="2">
                  <c:v>PaLM</c:v>
                </c:pt>
              </c:strCache>
            </c:strRef>
          </c:cat>
          <c:val>
            <c:numRef>
              <c:f>'LM v. LM'!$I$5:$I$7</c:f>
              <c:numCache>
                <c:formatCode>General</c:formatCode>
                <c:ptCount val="3"/>
                <c:pt idx="0">
                  <c:v>63</c:v>
                </c:pt>
                <c:pt idx="1">
                  <c:v>22</c:v>
                </c:pt>
                <c:pt idx="2">
                  <c:v>28</c:v>
                </c:pt>
              </c:numCache>
            </c:numRef>
          </c:val>
          <c:extLst>
            <c:ext xmlns:c16="http://schemas.microsoft.com/office/drawing/2014/chart" uri="{C3380CC4-5D6E-409C-BE32-E72D297353CC}">
              <c16:uniqueId val="{00000005-4962-40A9-A4E3-6EFC01FA8A64}"/>
            </c:ext>
          </c:extLst>
        </c:ser>
        <c:ser>
          <c:idx val="6"/>
          <c:order val="6"/>
          <c:tx>
            <c:strRef>
              <c:f>'LM v. LM'!$J$4</c:f>
              <c:strCache>
                <c:ptCount val="1"/>
                <c:pt idx="0">
                  <c:v>Low Incorrect:</c:v>
                </c:pt>
              </c:strCache>
            </c:strRef>
          </c:tx>
          <c:spPr>
            <a:solidFill>
              <a:srgbClr val="F46868"/>
            </a:solidFill>
            <a:ln>
              <a:noFill/>
            </a:ln>
            <a:effectLst/>
          </c:spPr>
          <c:invertIfNegative val="0"/>
          <c:cat>
            <c:strRef>
              <c:f>'LM v. LM'!$C$5:$C$7</c:f>
              <c:strCache>
                <c:ptCount val="3"/>
                <c:pt idx="0">
                  <c:v>ChatGPT</c:v>
                </c:pt>
                <c:pt idx="1">
                  <c:v>Jurassic</c:v>
                </c:pt>
                <c:pt idx="2">
                  <c:v>PaLM</c:v>
                </c:pt>
              </c:strCache>
            </c:strRef>
          </c:cat>
          <c:val>
            <c:numRef>
              <c:f>'LM v. LM'!$J$5:$J$7</c:f>
              <c:numCache>
                <c:formatCode>General</c:formatCode>
                <c:ptCount val="3"/>
                <c:pt idx="0">
                  <c:v>151</c:v>
                </c:pt>
                <c:pt idx="1">
                  <c:v>29</c:v>
                </c:pt>
                <c:pt idx="2">
                  <c:v>36</c:v>
                </c:pt>
              </c:numCache>
            </c:numRef>
          </c:val>
          <c:extLst>
            <c:ext xmlns:c16="http://schemas.microsoft.com/office/drawing/2014/chart" uri="{C3380CC4-5D6E-409C-BE32-E72D297353CC}">
              <c16:uniqueId val="{00000006-4962-40A9-A4E3-6EFC01FA8A64}"/>
            </c:ext>
          </c:extLst>
        </c:ser>
        <c:ser>
          <c:idx val="7"/>
          <c:order val="7"/>
          <c:tx>
            <c:strRef>
              <c:f>'LM v. LM'!$K$4</c:f>
              <c:strCache>
                <c:ptCount val="1"/>
                <c:pt idx="0">
                  <c:v>Medium Incorrect:</c:v>
                </c:pt>
              </c:strCache>
            </c:strRef>
          </c:tx>
          <c:spPr>
            <a:solidFill>
              <a:srgbClr val="EC2828"/>
            </a:solidFill>
            <a:ln>
              <a:noFill/>
            </a:ln>
            <a:effectLst/>
          </c:spPr>
          <c:invertIfNegative val="0"/>
          <c:cat>
            <c:strRef>
              <c:f>'LM v. LM'!$C$5:$C$7</c:f>
              <c:strCache>
                <c:ptCount val="3"/>
                <c:pt idx="0">
                  <c:v>ChatGPT</c:v>
                </c:pt>
                <c:pt idx="1">
                  <c:v>Jurassic</c:v>
                </c:pt>
                <c:pt idx="2">
                  <c:v>PaLM</c:v>
                </c:pt>
              </c:strCache>
            </c:strRef>
          </c:cat>
          <c:val>
            <c:numRef>
              <c:f>'LM v. LM'!$K$5:$K$7</c:f>
              <c:numCache>
                <c:formatCode>General</c:formatCode>
                <c:ptCount val="3"/>
                <c:pt idx="0">
                  <c:v>121</c:v>
                </c:pt>
                <c:pt idx="1">
                  <c:v>48</c:v>
                </c:pt>
                <c:pt idx="2">
                  <c:v>39</c:v>
                </c:pt>
              </c:numCache>
            </c:numRef>
          </c:val>
          <c:extLst>
            <c:ext xmlns:c16="http://schemas.microsoft.com/office/drawing/2014/chart" uri="{C3380CC4-5D6E-409C-BE32-E72D297353CC}">
              <c16:uniqueId val="{00000007-4962-40A9-A4E3-6EFC01FA8A64}"/>
            </c:ext>
          </c:extLst>
        </c:ser>
        <c:ser>
          <c:idx val="8"/>
          <c:order val="8"/>
          <c:tx>
            <c:strRef>
              <c:f>'LM v. LM'!$L$4</c:f>
              <c:strCache>
                <c:ptCount val="1"/>
                <c:pt idx="0">
                  <c:v>High Incorrect:</c:v>
                </c:pt>
              </c:strCache>
            </c:strRef>
          </c:tx>
          <c:spPr>
            <a:solidFill>
              <a:srgbClr val="C00000"/>
            </a:solidFill>
            <a:ln>
              <a:noFill/>
            </a:ln>
            <a:effectLst/>
          </c:spPr>
          <c:invertIfNegative val="0"/>
          <c:cat>
            <c:strRef>
              <c:f>'LM v. LM'!$C$5:$C$7</c:f>
              <c:strCache>
                <c:ptCount val="3"/>
                <c:pt idx="0">
                  <c:v>ChatGPT</c:v>
                </c:pt>
                <c:pt idx="1">
                  <c:v>Jurassic</c:v>
                </c:pt>
                <c:pt idx="2">
                  <c:v>PaLM</c:v>
                </c:pt>
              </c:strCache>
            </c:strRef>
          </c:cat>
          <c:val>
            <c:numRef>
              <c:f>'LM v. LM'!$L$5:$L$7</c:f>
              <c:numCache>
                <c:formatCode>General</c:formatCode>
                <c:ptCount val="3"/>
                <c:pt idx="0">
                  <c:v>100</c:v>
                </c:pt>
                <c:pt idx="1">
                  <c:v>145</c:v>
                </c:pt>
                <c:pt idx="2">
                  <c:v>207</c:v>
                </c:pt>
              </c:numCache>
            </c:numRef>
          </c:val>
          <c:extLst>
            <c:ext xmlns:c16="http://schemas.microsoft.com/office/drawing/2014/chart" uri="{C3380CC4-5D6E-409C-BE32-E72D297353CC}">
              <c16:uniqueId val="{00000008-4962-40A9-A4E3-6EFC01FA8A64}"/>
            </c:ext>
          </c:extLst>
        </c:ser>
        <c:ser>
          <c:idx val="9"/>
          <c:order val="9"/>
          <c:tx>
            <c:strRef>
              <c:f>'LM v. LM'!$M$4</c:f>
              <c:strCache>
                <c:ptCount val="1"/>
                <c:pt idx="0">
                  <c:v>N/A:</c:v>
                </c:pt>
              </c:strCache>
            </c:strRef>
          </c:tx>
          <c:spPr>
            <a:solidFill>
              <a:schemeClr val="bg1">
                <a:lumMod val="75000"/>
              </a:schemeClr>
            </a:solidFill>
            <a:ln>
              <a:noFill/>
            </a:ln>
            <a:effectLst/>
          </c:spPr>
          <c:invertIfNegative val="0"/>
          <c:cat>
            <c:strRef>
              <c:f>'LM v. LM'!$C$5:$C$7</c:f>
              <c:strCache>
                <c:ptCount val="3"/>
                <c:pt idx="0">
                  <c:v>ChatGPT</c:v>
                </c:pt>
                <c:pt idx="1">
                  <c:v>Jurassic</c:v>
                </c:pt>
                <c:pt idx="2">
                  <c:v>PaLM</c:v>
                </c:pt>
              </c:strCache>
            </c:strRef>
          </c:cat>
          <c:val>
            <c:numRef>
              <c:f>'LM v. LM'!$M$5:$M$7</c:f>
              <c:numCache>
                <c:formatCode>General</c:formatCode>
                <c:ptCount val="3"/>
                <c:pt idx="0">
                  <c:v>77</c:v>
                </c:pt>
                <c:pt idx="1">
                  <c:v>81</c:v>
                </c:pt>
                <c:pt idx="2">
                  <c:v>134</c:v>
                </c:pt>
              </c:numCache>
            </c:numRef>
          </c:val>
          <c:extLst>
            <c:ext xmlns:c16="http://schemas.microsoft.com/office/drawing/2014/chart" uri="{C3380CC4-5D6E-409C-BE32-E72D297353CC}">
              <c16:uniqueId val="{00000009-4962-40A9-A4E3-6EFC01FA8A64}"/>
            </c:ext>
          </c:extLst>
        </c:ser>
        <c:dLbls>
          <c:showLegendKey val="0"/>
          <c:showVal val="0"/>
          <c:showCatName val="0"/>
          <c:showSerName val="0"/>
          <c:showPercent val="0"/>
          <c:showBubbleSize val="0"/>
        </c:dLbls>
        <c:gapWidth val="150"/>
        <c:overlap val="100"/>
        <c:axId val="554109391"/>
        <c:axId val="554109871"/>
      </c:barChart>
      <c:catAx>
        <c:axId val="55410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09871"/>
        <c:crosses val="autoZero"/>
        <c:auto val="1"/>
        <c:lblAlgn val="ctr"/>
        <c:lblOffset val="100"/>
        <c:noMultiLvlLbl val="0"/>
      </c:catAx>
      <c:valAx>
        <c:axId val="55410987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0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'Q v Q'!$D$4</c:f>
              <c:strCache>
                <c:ptCount val="1"/>
                <c:pt idx="0">
                  <c:v>High Correct:</c:v>
                </c:pt>
              </c:strCache>
            </c:strRef>
          </c:tx>
          <c:spPr>
            <a:solidFill>
              <a:schemeClr val="accent6">
                <a:lumMod val="75000"/>
              </a:schemeClr>
            </a:solidFill>
            <a:ln>
              <a:noFill/>
            </a:ln>
            <a:effectLst/>
          </c:spPr>
          <c:invertIfNegative val="0"/>
          <c:cat>
            <c:strRef>
              <c:f>'Q v Q'!$C$5:$C$7</c:f>
              <c:strCache>
                <c:ptCount val="3"/>
                <c:pt idx="0">
                  <c:v>Q1</c:v>
                </c:pt>
                <c:pt idx="1">
                  <c:v>Q2</c:v>
                </c:pt>
                <c:pt idx="2">
                  <c:v>Q3</c:v>
                </c:pt>
              </c:strCache>
            </c:strRef>
          </c:cat>
          <c:val>
            <c:numRef>
              <c:f>'Q v Q'!$D$5:$D$7</c:f>
              <c:numCache>
                <c:formatCode>General</c:formatCode>
                <c:ptCount val="3"/>
                <c:pt idx="0">
                  <c:v>460</c:v>
                </c:pt>
                <c:pt idx="1">
                  <c:v>406</c:v>
                </c:pt>
                <c:pt idx="2">
                  <c:v>344</c:v>
                </c:pt>
              </c:numCache>
            </c:numRef>
          </c:val>
          <c:extLst>
            <c:ext xmlns:c16="http://schemas.microsoft.com/office/drawing/2014/chart" uri="{C3380CC4-5D6E-409C-BE32-E72D297353CC}">
              <c16:uniqueId val="{00000000-8966-4A5A-B691-32F6CBF11A23}"/>
            </c:ext>
          </c:extLst>
        </c:ser>
        <c:ser>
          <c:idx val="1"/>
          <c:order val="1"/>
          <c:tx>
            <c:strRef>
              <c:f>'Q v Q'!$E$4</c:f>
              <c:strCache>
                <c:ptCount val="1"/>
                <c:pt idx="0">
                  <c:v>Medium Correct:</c:v>
                </c:pt>
              </c:strCache>
            </c:strRef>
          </c:tx>
          <c:spPr>
            <a:solidFill>
              <a:schemeClr val="accent6"/>
            </a:solidFill>
            <a:ln>
              <a:noFill/>
            </a:ln>
            <a:effectLst/>
          </c:spPr>
          <c:invertIfNegative val="0"/>
          <c:cat>
            <c:strRef>
              <c:f>'Q v Q'!$C$5:$C$7</c:f>
              <c:strCache>
                <c:ptCount val="3"/>
                <c:pt idx="0">
                  <c:v>Q1</c:v>
                </c:pt>
                <c:pt idx="1">
                  <c:v>Q2</c:v>
                </c:pt>
                <c:pt idx="2">
                  <c:v>Q3</c:v>
                </c:pt>
              </c:strCache>
            </c:strRef>
          </c:cat>
          <c:val>
            <c:numRef>
              <c:f>'Q v Q'!$E$5:$E$7</c:f>
              <c:numCache>
                <c:formatCode>General</c:formatCode>
                <c:ptCount val="3"/>
                <c:pt idx="0">
                  <c:v>89</c:v>
                </c:pt>
                <c:pt idx="1">
                  <c:v>89</c:v>
                </c:pt>
                <c:pt idx="2">
                  <c:v>122</c:v>
                </c:pt>
              </c:numCache>
            </c:numRef>
          </c:val>
          <c:extLst>
            <c:ext xmlns:c16="http://schemas.microsoft.com/office/drawing/2014/chart" uri="{C3380CC4-5D6E-409C-BE32-E72D297353CC}">
              <c16:uniqueId val="{00000001-8966-4A5A-B691-32F6CBF11A23}"/>
            </c:ext>
          </c:extLst>
        </c:ser>
        <c:ser>
          <c:idx val="2"/>
          <c:order val="2"/>
          <c:tx>
            <c:strRef>
              <c:f>'Q v Q'!$F$4</c:f>
              <c:strCache>
                <c:ptCount val="1"/>
                <c:pt idx="0">
                  <c:v>Low Correct:</c:v>
                </c:pt>
              </c:strCache>
            </c:strRef>
          </c:tx>
          <c:spPr>
            <a:solidFill>
              <a:schemeClr val="accent6">
                <a:lumMod val="40000"/>
                <a:lumOff val="60000"/>
              </a:schemeClr>
            </a:solidFill>
            <a:ln>
              <a:noFill/>
            </a:ln>
            <a:effectLst/>
          </c:spPr>
          <c:invertIfNegative val="0"/>
          <c:cat>
            <c:strRef>
              <c:f>'Q v Q'!$C$5:$C$7</c:f>
              <c:strCache>
                <c:ptCount val="3"/>
                <c:pt idx="0">
                  <c:v>Q1</c:v>
                </c:pt>
                <c:pt idx="1">
                  <c:v>Q2</c:v>
                </c:pt>
                <c:pt idx="2">
                  <c:v>Q3</c:v>
                </c:pt>
              </c:strCache>
            </c:strRef>
          </c:cat>
          <c:val>
            <c:numRef>
              <c:f>'Q v Q'!$F$5:$F$7</c:f>
              <c:numCache>
                <c:formatCode>General</c:formatCode>
                <c:ptCount val="3"/>
                <c:pt idx="0">
                  <c:v>52</c:v>
                </c:pt>
                <c:pt idx="1">
                  <c:v>42</c:v>
                </c:pt>
                <c:pt idx="2">
                  <c:v>150</c:v>
                </c:pt>
              </c:numCache>
            </c:numRef>
          </c:val>
          <c:extLst>
            <c:ext xmlns:c16="http://schemas.microsoft.com/office/drawing/2014/chart" uri="{C3380CC4-5D6E-409C-BE32-E72D297353CC}">
              <c16:uniqueId val="{00000002-8966-4A5A-B691-32F6CBF11A23}"/>
            </c:ext>
          </c:extLst>
        </c:ser>
        <c:ser>
          <c:idx val="3"/>
          <c:order val="3"/>
          <c:tx>
            <c:strRef>
              <c:f>'Q v Q'!$G$4</c:f>
              <c:strCache>
                <c:ptCount val="1"/>
                <c:pt idx="0">
                  <c:v>High Maybe:</c:v>
                </c:pt>
              </c:strCache>
            </c:strRef>
          </c:tx>
          <c:spPr>
            <a:solidFill>
              <a:schemeClr val="accent2">
                <a:lumMod val="75000"/>
              </a:schemeClr>
            </a:solidFill>
            <a:ln>
              <a:noFill/>
            </a:ln>
            <a:effectLst/>
          </c:spPr>
          <c:invertIfNegative val="0"/>
          <c:cat>
            <c:strRef>
              <c:f>'Q v Q'!$C$5:$C$7</c:f>
              <c:strCache>
                <c:ptCount val="3"/>
                <c:pt idx="0">
                  <c:v>Q1</c:v>
                </c:pt>
                <c:pt idx="1">
                  <c:v>Q2</c:v>
                </c:pt>
                <c:pt idx="2">
                  <c:v>Q3</c:v>
                </c:pt>
              </c:strCache>
            </c:strRef>
          </c:cat>
          <c:val>
            <c:numRef>
              <c:f>'Q v Q'!$G$5:$G$7</c:f>
              <c:numCache>
                <c:formatCode>General</c:formatCode>
                <c:ptCount val="3"/>
                <c:pt idx="0">
                  <c:v>52</c:v>
                </c:pt>
                <c:pt idx="1">
                  <c:v>60</c:v>
                </c:pt>
                <c:pt idx="2">
                  <c:v>89</c:v>
                </c:pt>
              </c:numCache>
            </c:numRef>
          </c:val>
          <c:extLst>
            <c:ext xmlns:c16="http://schemas.microsoft.com/office/drawing/2014/chart" uri="{C3380CC4-5D6E-409C-BE32-E72D297353CC}">
              <c16:uniqueId val="{00000003-8966-4A5A-B691-32F6CBF11A23}"/>
            </c:ext>
          </c:extLst>
        </c:ser>
        <c:ser>
          <c:idx val="4"/>
          <c:order val="4"/>
          <c:tx>
            <c:strRef>
              <c:f>'Q v Q'!$H$4</c:f>
              <c:strCache>
                <c:ptCount val="1"/>
                <c:pt idx="0">
                  <c:v>Medium Maybe:</c:v>
                </c:pt>
              </c:strCache>
            </c:strRef>
          </c:tx>
          <c:spPr>
            <a:solidFill>
              <a:schemeClr val="accent2"/>
            </a:solidFill>
            <a:ln>
              <a:noFill/>
            </a:ln>
            <a:effectLst/>
          </c:spPr>
          <c:invertIfNegative val="0"/>
          <c:cat>
            <c:strRef>
              <c:f>'Q v Q'!$C$5:$C$7</c:f>
              <c:strCache>
                <c:ptCount val="3"/>
                <c:pt idx="0">
                  <c:v>Q1</c:v>
                </c:pt>
                <c:pt idx="1">
                  <c:v>Q2</c:v>
                </c:pt>
                <c:pt idx="2">
                  <c:v>Q3</c:v>
                </c:pt>
              </c:strCache>
            </c:strRef>
          </c:cat>
          <c:val>
            <c:numRef>
              <c:f>'Q v Q'!$H$5:$H$7</c:f>
              <c:numCache>
                <c:formatCode>General</c:formatCode>
                <c:ptCount val="3"/>
                <c:pt idx="0">
                  <c:v>52</c:v>
                </c:pt>
                <c:pt idx="1">
                  <c:v>51</c:v>
                </c:pt>
                <c:pt idx="2">
                  <c:v>63</c:v>
                </c:pt>
              </c:numCache>
            </c:numRef>
          </c:val>
          <c:extLst>
            <c:ext xmlns:c16="http://schemas.microsoft.com/office/drawing/2014/chart" uri="{C3380CC4-5D6E-409C-BE32-E72D297353CC}">
              <c16:uniqueId val="{00000004-8966-4A5A-B691-32F6CBF11A23}"/>
            </c:ext>
          </c:extLst>
        </c:ser>
        <c:ser>
          <c:idx val="5"/>
          <c:order val="5"/>
          <c:tx>
            <c:strRef>
              <c:f>'Q v Q'!$I$4</c:f>
              <c:strCache>
                <c:ptCount val="1"/>
                <c:pt idx="0">
                  <c:v>Low Maybe:</c:v>
                </c:pt>
              </c:strCache>
            </c:strRef>
          </c:tx>
          <c:spPr>
            <a:solidFill>
              <a:schemeClr val="accent2">
                <a:lumMod val="40000"/>
                <a:lumOff val="60000"/>
              </a:schemeClr>
            </a:solidFill>
            <a:ln>
              <a:noFill/>
            </a:ln>
            <a:effectLst/>
          </c:spPr>
          <c:invertIfNegative val="0"/>
          <c:cat>
            <c:strRef>
              <c:f>'Q v Q'!$C$5:$C$7</c:f>
              <c:strCache>
                <c:ptCount val="3"/>
                <c:pt idx="0">
                  <c:v>Q1</c:v>
                </c:pt>
                <c:pt idx="1">
                  <c:v>Q2</c:v>
                </c:pt>
                <c:pt idx="2">
                  <c:v>Q3</c:v>
                </c:pt>
              </c:strCache>
            </c:strRef>
          </c:cat>
          <c:val>
            <c:numRef>
              <c:f>'Q v Q'!$I$5:$I$7</c:f>
              <c:numCache>
                <c:formatCode>General</c:formatCode>
                <c:ptCount val="3"/>
                <c:pt idx="0">
                  <c:v>40</c:v>
                </c:pt>
                <c:pt idx="1">
                  <c:v>36</c:v>
                </c:pt>
                <c:pt idx="2">
                  <c:v>37</c:v>
                </c:pt>
              </c:numCache>
            </c:numRef>
          </c:val>
          <c:extLst>
            <c:ext xmlns:c16="http://schemas.microsoft.com/office/drawing/2014/chart" uri="{C3380CC4-5D6E-409C-BE32-E72D297353CC}">
              <c16:uniqueId val="{00000005-8966-4A5A-B691-32F6CBF11A23}"/>
            </c:ext>
          </c:extLst>
        </c:ser>
        <c:ser>
          <c:idx val="6"/>
          <c:order val="6"/>
          <c:tx>
            <c:strRef>
              <c:f>'Q v Q'!$J$4</c:f>
              <c:strCache>
                <c:ptCount val="1"/>
                <c:pt idx="0">
                  <c:v>Low Incorrect:</c:v>
                </c:pt>
              </c:strCache>
            </c:strRef>
          </c:tx>
          <c:spPr>
            <a:solidFill>
              <a:srgbClr val="F46868"/>
            </a:solidFill>
            <a:ln>
              <a:noFill/>
            </a:ln>
            <a:effectLst/>
          </c:spPr>
          <c:invertIfNegative val="0"/>
          <c:cat>
            <c:strRef>
              <c:f>'Q v Q'!$C$5:$C$7</c:f>
              <c:strCache>
                <c:ptCount val="3"/>
                <c:pt idx="0">
                  <c:v>Q1</c:v>
                </c:pt>
                <c:pt idx="1">
                  <c:v>Q2</c:v>
                </c:pt>
                <c:pt idx="2">
                  <c:v>Q3</c:v>
                </c:pt>
              </c:strCache>
            </c:strRef>
          </c:cat>
          <c:val>
            <c:numRef>
              <c:f>'Q v Q'!$J$5:$J$7</c:f>
              <c:numCache>
                <c:formatCode>General</c:formatCode>
                <c:ptCount val="3"/>
                <c:pt idx="0">
                  <c:v>56</c:v>
                </c:pt>
                <c:pt idx="1">
                  <c:v>113</c:v>
                </c:pt>
                <c:pt idx="2">
                  <c:v>47</c:v>
                </c:pt>
              </c:numCache>
            </c:numRef>
          </c:val>
          <c:extLst>
            <c:ext xmlns:c16="http://schemas.microsoft.com/office/drawing/2014/chart" uri="{C3380CC4-5D6E-409C-BE32-E72D297353CC}">
              <c16:uniqueId val="{00000006-8966-4A5A-B691-32F6CBF11A23}"/>
            </c:ext>
          </c:extLst>
        </c:ser>
        <c:ser>
          <c:idx val="7"/>
          <c:order val="7"/>
          <c:tx>
            <c:strRef>
              <c:f>'Q v Q'!$K$4</c:f>
              <c:strCache>
                <c:ptCount val="1"/>
                <c:pt idx="0">
                  <c:v>Medium Incorrect:</c:v>
                </c:pt>
              </c:strCache>
            </c:strRef>
          </c:tx>
          <c:spPr>
            <a:solidFill>
              <a:srgbClr val="EC2828"/>
            </a:solidFill>
            <a:ln>
              <a:noFill/>
            </a:ln>
            <a:effectLst/>
          </c:spPr>
          <c:invertIfNegative val="0"/>
          <c:cat>
            <c:strRef>
              <c:f>'Q v Q'!$C$5:$C$7</c:f>
              <c:strCache>
                <c:ptCount val="3"/>
                <c:pt idx="0">
                  <c:v>Q1</c:v>
                </c:pt>
                <c:pt idx="1">
                  <c:v>Q2</c:v>
                </c:pt>
                <c:pt idx="2">
                  <c:v>Q3</c:v>
                </c:pt>
              </c:strCache>
            </c:strRef>
          </c:cat>
          <c:val>
            <c:numRef>
              <c:f>'Q v Q'!$K$5:$K$7</c:f>
              <c:numCache>
                <c:formatCode>General</c:formatCode>
                <c:ptCount val="3"/>
                <c:pt idx="0">
                  <c:v>93</c:v>
                </c:pt>
                <c:pt idx="1">
                  <c:v>84</c:v>
                </c:pt>
                <c:pt idx="2">
                  <c:v>31</c:v>
                </c:pt>
              </c:numCache>
            </c:numRef>
          </c:val>
          <c:extLst>
            <c:ext xmlns:c16="http://schemas.microsoft.com/office/drawing/2014/chart" uri="{C3380CC4-5D6E-409C-BE32-E72D297353CC}">
              <c16:uniqueId val="{00000007-8966-4A5A-B691-32F6CBF11A23}"/>
            </c:ext>
          </c:extLst>
        </c:ser>
        <c:ser>
          <c:idx val="8"/>
          <c:order val="8"/>
          <c:tx>
            <c:strRef>
              <c:f>'Q v Q'!$L$4</c:f>
              <c:strCache>
                <c:ptCount val="1"/>
                <c:pt idx="0">
                  <c:v>High Incorrect:</c:v>
                </c:pt>
              </c:strCache>
            </c:strRef>
          </c:tx>
          <c:spPr>
            <a:solidFill>
              <a:srgbClr val="C00000"/>
            </a:solidFill>
            <a:ln>
              <a:noFill/>
            </a:ln>
            <a:effectLst/>
          </c:spPr>
          <c:invertIfNegative val="0"/>
          <c:cat>
            <c:strRef>
              <c:f>'Q v Q'!$C$5:$C$7</c:f>
              <c:strCache>
                <c:ptCount val="3"/>
                <c:pt idx="0">
                  <c:v>Q1</c:v>
                </c:pt>
                <c:pt idx="1">
                  <c:v>Q2</c:v>
                </c:pt>
                <c:pt idx="2">
                  <c:v>Q3</c:v>
                </c:pt>
              </c:strCache>
            </c:strRef>
          </c:cat>
          <c:val>
            <c:numRef>
              <c:f>'Q v Q'!$L$5:$L$7</c:f>
              <c:numCache>
                <c:formatCode>General</c:formatCode>
                <c:ptCount val="3"/>
                <c:pt idx="0">
                  <c:v>146</c:v>
                </c:pt>
                <c:pt idx="1">
                  <c:v>164</c:v>
                </c:pt>
                <c:pt idx="2">
                  <c:v>142</c:v>
                </c:pt>
              </c:numCache>
            </c:numRef>
          </c:val>
          <c:extLst>
            <c:ext xmlns:c16="http://schemas.microsoft.com/office/drawing/2014/chart" uri="{C3380CC4-5D6E-409C-BE32-E72D297353CC}">
              <c16:uniqueId val="{00000008-8966-4A5A-B691-32F6CBF11A23}"/>
            </c:ext>
          </c:extLst>
        </c:ser>
        <c:ser>
          <c:idx val="9"/>
          <c:order val="9"/>
          <c:tx>
            <c:strRef>
              <c:f>'Q v Q'!$M$4</c:f>
              <c:strCache>
                <c:ptCount val="1"/>
                <c:pt idx="0">
                  <c:v>N/A:</c:v>
                </c:pt>
              </c:strCache>
            </c:strRef>
          </c:tx>
          <c:spPr>
            <a:solidFill>
              <a:schemeClr val="bg1">
                <a:lumMod val="75000"/>
              </a:schemeClr>
            </a:solidFill>
            <a:ln>
              <a:noFill/>
            </a:ln>
            <a:effectLst/>
          </c:spPr>
          <c:invertIfNegative val="0"/>
          <c:cat>
            <c:strRef>
              <c:f>'Q v Q'!$C$5:$C$7</c:f>
              <c:strCache>
                <c:ptCount val="3"/>
                <c:pt idx="0">
                  <c:v>Q1</c:v>
                </c:pt>
                <c:pt idx="1">
                  <c:v>Q2</c:v>
                </c:pt>
                <c:pt idx="2">
                  <c:v>Q3</c:v>
                </c:pt>
              </c:strCache>
            </c:strRef>
          </c:cat>
          <c:val>
            <c:numRef>
              <c:f>'Q v Q'!$M$5:$M$7</c:f>
              <c:numCache>
                <c:formatCode>General</c:formatCode>
                <c:ptCount val="3"/>
                <c:pt idx="0">
                  <c:v>94</c:v>
                </c:pt>
                <c:pt idx="1">
                  <c:v>89</c:v>
                </c:pt>
                <c:pt idx="2">
                  <c:v>109</c:v>
                </c:pt>
              </c:numCache>
            </c:numRef>
          </c:val>
          <c:extLst>
            <c:ext xmlns:c16="http://schemas.microsoft.com/office/drawing/2014/chart" uri="{C3380CC4-5D6E-409C-BE32-E72D297353CC}">
              <c16:uniqueId val="{00000009-8966-4A5A-B691-32F6CBF11A23}"/>
            </c:ext>
          </c:extLst>
        </c:ser>
        <c:dLbls>
          <c:showLegendKey val="0"/>
          <c:showVal val="0"/>
          <c:showCatName val="0"/>
          <c:showSerName val="0"/>
          <c:showPercent val="0"/>
          <c:showBubbleSize val="0"/>
        </c:dLbls>
        <c:gapWidth val="150"/>
        <c:overlap val="100"/>
        <c:axId val="554109391"/>
        <c:axId val="554109871"/>
      </c:barChart>
      <c:catAx>
        <c:axId val="55410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09871"/>
        <c:crosses val="autoZero"/>
        <c:auto val="1"/>
        <c:lblAlgn val="ctr"/>
        <c:lblOffset val="100"/>
        <c:noMultiLvlLbl val="0"/>
      </c:catAx>
      <c:valAx>
        <c:axId val="55410987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10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withinLinear" id="15">
  <a:schemeClr val="accent2"/>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withinLinear" id="14">
  <a:schemeClr val="accent1"/>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5" Type="http://schemas.openxmlformats.org/officeDocument/2006/relationships/chart" Target="../charts/chart35.xml"/><Relationship Id="rId4" Type="http://schemas.openxmlformats.org/officeDocument/2006/relationships/chart" Target="../charts/chart3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52D2E510-714E-480E-B2AA-C2499AECE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82</xdr:row>
      <xdr:rowOff>24848</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B153C275-A170-4E12-AA23-D35B0B3EE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0F683DE7-3518-4B88-BE4A-11CF094A4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341923</xdr:colOff>
      <xdr:row>88</xdr:row>
      <xdr:rowOff>74246</xdr:rowOff>
    </xdr:from>
    <xdr:to>
      <xdr:col>7</xdr:col>
      <xdr:colOff>732692</xdr:colOff>
      <xdr:row>104</xdr:row>
      <xdr:rowOff>3908</xdr:rowOff>
    </xdr:to>
    <xdr:graphicFrame macro="">
      <xdr:nvGraphicFramePr>
        <xdr:cNvPr id="4" name="Chart 3">
          <a:extLst>
            <a:ext uri="{FF2B5EF4-FFF2-40B4-BE49-F238E27FC236}">
              <a16:creationId xmlns:a16="http://schemas.microsoft.com/office/drawing/2014/main" id="{D3E7BAD9-8E0C-D2B0-C22E-5F8283ABB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E29BCDD0-02C4-4C50-88D8-9DEF632CD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27582755-10E4-45B7-938E-4D7E21102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406237</xdr:colOff>
      <xdr:row>51</xdr:row>
      <xdr:rowOff>163284</xdr:rowOff>
    </xdr:from>
    <xdr:to>
      <xdr:col>36</xdr:col>
      <xdr:colOff>501155</xdr:colOff>
      <xdr:row>111</xdr:row>
      <xdr:rowOff>10884</xdr:rowOff>
    </xdr:to>
    <xdr:graphicFrame macro="">
      <xdr:nvGraphicFramePr>
        <xdr:cNvPr id="2" name="Chart 1">
          <a:extLst>
            <a:ext uri="{FF2B5EF4-FFF2-40B4-BE49-F238E27FC236}">
              <a16:creationId xmlns:a16="http://schemas.microsoft.com/office/drawing/2014/main" id="{6EBAC7C7-171F-6E39-6422-46C8D32D3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518505</xdr:colOff>
      <xdr:row>52</xdr:row>
      <xdr:rowOff>176044</xdr:rowOff>
    </xdr:from>
    <xdr:to>
      <xdr:col>15</xdr:col>
      <xdr:colOff>546179</xdr:colOff>
      <xdr:row>104</xdr:row>
      <xdr:rowOff>54427</xdr:rowOff>
    </xdr:to>
    <xdr:graphicFrame macro="">
      <xdr:nvGraphicFramePr>
        <xdr:cNvPr id="3" name="Chart 2">
          <a:extLst>
            <a:ext uri="{FF2B5EF4-FFF2-40B4-BE49-F238E27FC236}">
              <a16:creationId xmlns:a16="http://schemas.microsoft.com/office/drawing/2014/main" id="{F3C18FDB-BDA7-59AF-AD9C-741A18118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269966</xdr:colOff>
      <xdr:row>85</xdr:row>
      <xdr:rowOff>102868</xdr:rowOff>
    </xdr:from>
    <xdr:to>
      <xdr:col>29</xdr:col>
      <xdr:colOff>15835</xdr:colOff>
      <xdr:row>134</xdr:row>
      <xdr:rowOff>141513</xdr:rowOff>
    </xdr:to>
    <xdr:graphicFrame macro="">
      <xdr:nvGraphicFramePr>
        <xdr:cNvPr id="2" name="Chart 1">
          <a:extLst>
            <a:ext uri="{FF2B5EF4-FFF2-40B4-BE49-F238E27FC236}">
              <a16:creationId xmlns:a16="http://schemas.microsoft.com/office/drawing/2014/main" id="{7C00C7A9-C8AE-0926-FAB6-5B416B4D6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86</xdr:row>
      <xdr:rowOff>0</xdr:rowOff>
    </xdr:from>
    <xdr:to>
      <xdr:col>13</xdr:col>
      <xdr:colOff>685800</xdr:colOff>
      <xdr:row>125</xdr:row>
      <xdr:rowOff>32657</xdr:rowOff>
    </xdr:to>
    <xdr:graphicFrame macro="">
      <xdr:nvGraphicFramePr>
        <xdr:cNvPr id="3" name="Chart 2">
          <a:extLst>
            <a:ext uri="{FF2B5EF4-FFF2-40B4-BE49-F238E27FC236}">
              <a16:creationId xmlns:a16="http://schemas.microsoft.com/office/drawing/2014/main" id="{201F2CC0-EDB3-BA40-946B-019139706E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3F1D261E-4370-437F-8473-A442AB9F9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2A6F4E2D-138D-456B-A4D1-91609DD3C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F5FE5F09-991D-403C-A04D-7854C5607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5FC5ECA4-A8DB-4B07-A1DE-EA445573B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19</xdr:col>
      <xdr:colOff>0</xdr:colOff>
      <xdr:row>14</xdr:row>
      <xdr:rowOff>0</xdr:rowOff>
    </xdr:from>
    <xdr:to>
      <xdr:col>37</xdr:col>
      <xdr:colOff>164070</xdr:colOff>
      <xdr:row>73</xdr:row>
      <xdr:rowOff>4412</xdr:rowOff>
    </xdr:to>
    <xdr:graphicFrame macro="">
      <xdr:nvGraphicFramePr>
        <xdr:cNvPr id="3" name="Chart 2">
          <a:extLst>
            <a:ext uri="{FF2B5EF4-FFF2-40B4-BE49-F238E27FC236}">
              <a16:creationId xmlns:a16="http://schemas.microsoft.com/office/drawing/2014/main" id="{FAE01C68-6F62-4E2E-ADAC-346FD7C6A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61</xdr:row>
      <xdr:rowOff>0</xdr:rowOff>
    </xdr:from>
    <xdr:to>
      <xdr:col>13</xdr:col>
      <xdr:colOff>381515</xdr:colOff>
      <xdr:row>113</xdr:row>
      <xdr:rowOff>115329</xdr:rowOff>
    </xdr:to>
    <xdr:graphicFrame macro="">
      <xdr:nvGraphicFramePr>
        <xdr:cNvPr id="5" name="Chart 4">
          <a:extLst>
            <a:ext uri="{FF2B5EF4-FFF2-40B4-BE49-F238E27FC236}">
              <a16:creationId xmlns:a16="http://schemas.microsoft.com/office/drawing/2014/main" id="{58FAA172-1EDC-40DC-92D6-13210DE89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62543076-6A17-4249-9B8F-FF1546B56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BAA0E41D-493E-4910-BBB0-AF2C71BCC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2D50B49B-CFBC-4FAA-90E6-DF1790F61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B4A70237-CC96-4587-9EAA-BED7EC46B4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3D92F32F-A71A-4540-9F83-F9E0B34164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31A27F39-8E62-449D-9385-6C03F107E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3AA2C015-6AB3-4634-9DE9-B68C09B4D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22D5DD14-633F-4A03-945D-1069199115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18</xdr:col>
      <xdr:colOff>600074</xdr:colOff>
      <xdr:row>13</xdr:row>
      <xdr:rowOff>180974</xdr:rowOff>
    </xdr:from>
    <xdr:to>
      <xdr:col>37</xdr:col>
      <xdr:colOff>171450</xdr:colOff>
      <xdr:row>72</xdr:row>
      <xdr:rowOff>180974</xdr:rowOff>
    </xdr:to>
    <xdr:graphicFrame macro="">
      <xdr:nvGraphicFramePr>
        <xdr:cNvPr id="2" name="Chart 1">
          <a:extLst>
            <a:ext uri="{FF2B5EF4-FFF2-40B4-BE49-F238E27FC236}">
              <a16:creationId xmlns:a16="http://schemas.microsoft.com/office/drawing/2014/main" id="{29C3B629-EB95-8064-5994-3AC0F8375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590550</xdr:colOff>
      <xdr:row>54</xdr:row>
      <xdr:rowOff>161925</xdr:rowOff>
    </xdr:from>
    <xdr:to>
      <xdr:col>13</xdr:col>
      <xdr:colOff>371732</xdr:colOff>
      <xdr:row>108</xdr:row>
      <xdr:rowOff>161411</xdr:rowOff>
    </xdr:to>
    <xdr:graphicFrame macro="">
      <xdr:nvGraphicFramePr>
        <xdr:cNvPr id="4" name="Chart 3">
          <a:extLst>
            <a:ext uri="{FF2B5EF4-FFF2-40B4-BE49-F238E27FC236}">
              <a16:creationId xmlns:a16="http://schemas.microsoft.com/office/drawing/2014/main" id="{597D5151-6CA1-46DA-81CC-E73DCEFE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7573ACCF-E8B5-498E-8CB2-91CA8FACE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3DA35D99-8AF5-4CE6-8E68-3A1B1BEA2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14</xdr:col>
      <xdr:colOff>269966</xdr:colOff>
      <xdr:row>84</xdr:row>
      <xdr:rowOff>102868</xdr:rowOff>
    </xdr:from>
    <xdr:to>
      <xdr:col>29</xdr:col>
      <xdr:colOff>15835</xdr:colOff>
      <xdr:row>133</xdr:row>
      <xdr:rowOff>141513</xdr:rowOff>
    </xdr:to>
    <xdr:graphicFrame macro="">
      <xdr:nvGraphicFramePr>
        <xdr:cNvPr id="2" name="Chart 1">
          <a:extLst>
            <a:ext uri="{FF2B5EF4-FFF2-40B4-BE49-F238E27FC236}">
              <a16:creationId xmlns:a16="http://schemas.microsoft.com/office/drawing/2014/main" id="{6266DF8F-61E6-4986-8AA3-E0E6B3F4D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370114</xdr:colOff>
      <xdr:row>85</xdr:row>
      <xdr:rowOff>0</xdr:rowOff>
    </xdr:from>
    <xdr:to>
      <xdr:col>13</xdr:col>
      <xdr:colOff>685800</xdr:colOff>
      <xdr:row>124</xdr:row>
      <xdr:rowOff>32657</xdr:rowOff>
    </xdr:to>
    <xdr:graphicFrame macro="">
      <xdr:nvGraphicFramePr>
        <xdr:cNvPr id="3" name="Chart 2">
          <a:extLst>
            <a:ext uri="{FF2B5EF4-FFF2-40B4-BE49-F238E27FC236}">
              <a16:creationId xmlns:a16="http://schemas.microsoft.com/office/drawing/2014/main" id="{C7D9BEE3-A4C8-408B-A5A8-35ADA3BEE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19</xdr:col>
      <xdr:colOff>12526</xdr:colOff>
      <xdr:row>13</xdr:row>
      <xdr:rowOff>177764</xdr:rowOff>
    </xdr:from>
    <xdr:to>
      <xdr:col>37</xdr:col>
      <xdr:colOff>187890</xdr:colOff>
      <xdr:row>72</xdr:row>
      <xdr:rowOff>167012</xdr:rowOff>
    </xdr:to>
    <xdr:graphicFrame macro="">
      <xdr:nvGraphicFramePr>
        <xdr:cNvPr id="2" name="Chart 1">
          <a:extLst>
            <a:ext uri="{FF2B5EF4-FFF2-40B4-BE49-F238E27FC236}">
              <a16:creationId xmlns:a16="http://schemas.microsoft.com/office/drawing/2014/main" id="{B5F44690-05AD-2B05-A8E0-257FF6200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803753</xdr:colOff>
      <xdr:row>74</xdr:row>
      <xdr:rowOff>152400</xdr:rowOff>
    </xdr:from>
    <xdr:to>
      <xdr:col>15</xdr:col>
      <xdr:colOff>323589</xdr:colOff>
      <xdr:row>104</xdr:row>
      <xdr:rowOff>93944</xdr:rowOff>
    </xdr:to>
    <xdr:graphicFrame macro="">
      <xdr:nvGraphicFramePr>
        <xdr:cNvPr id="5" name="Chart 4">
          <a:extLst>
            <a:ext uri="{FF2B5EF4-FFF2-40B4-BE49-F238E27FC236}">
              <a16:creationId xmlns:a16="http://schemas.microsoft.com/office/drawing/2014/main" id="{C9050B37-7784-25BD-D243-A84EBA6D3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0</xdr:colOff>
      <xdr:row>76</xdr:row>
      <xdr:rowOff>0</xdr:rowOff>
    </xdr:from>
    <xdr:to>
      <xdr:col>36</xdr:col>
      <xdr:colOff>553755</xdr:colOff>
      <xdr:row>127</xdr:row>
      <xdr:rowOff>171189</xdr:rowOff>
    </xdr:to>
    <xdr:graphicFrame macro="">
      <xdr:nvGraphicFramePr>
        <xdr:cNvPr id="4" name="Chart 3">
          <a:extLst>
            <a:ext uri="{FF2B5EF4-FFF2-40B4-BE49-F238E27FC236}">
              <a16:creationId xmlns:a16="http://schemas.microsoft.com/office/drawing/2014/main" id="{2E7E134E-CECB-444E-A0C6-B8FE725B6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741123</xdr:colOff>
      <xdr:row>111</xdr:row>
      <xdr:rowOff>42796</xdr:rowOff>
    </xdr:from>
    <xdr:to>
      <xdr:col>19</xdr:col>
      <xdr:colOff>334027</xdr:colOff>
      <xdr:row>156</xdr:row>
      <xdr:rowOff>73069</xdr:rowOff>
    </xdr:to>
    <xdr:graphicFrame macro="">
      <xdr:nvGraphicFramePr>
        <xdr:cNvPr id="3" name="Chart 2">
          <a:extLst>
            <a:ext uri="{FF2B5EF4-FFF2-40B4-BE49-F238E27FC236}">
              <a16:creationId xmlns:a16="http://schemas.microsoft.com/office/drawing/2014/main" id="{739463F9-F686-3490-E599-9D2F6D99B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37</xdr:col>
      <xdr:colOff>352926</xdr:colOff>
      <xdr:row>76</xdr:row>
      <xdr:rowOff>37418</xdr:rowOff>
    </xdr:from>
    <xdr:to>
      <xdr:col>46</xdr:col>
      <xdr:colOff>441157</xdr:colOff>
      <xdr:row>92</xdr:row>
      <xdr:rowOff>48126</xdr:rowOff>
    </xdr:to>
    <xdr:graphicFrame macro="">
      <xdr:nvGraphicFramePr>
        <xdr:cNvPr id="6" name="Chart 5">
          <a:extLst>
            <a:ext uri="{FF2B5EF4-FFF2-40B4-BE49-F238E27FC236}">
              <a16:creationId xmlns:a16="http://schemas.microsoft.com/office/drawing/2014/main" id="{B76B946F-2BED-B7D8-BFA2-26BAF4467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5</xdr:col>
      <xdr:colOff>617220</xdr:colOff>
      <xdr:row>11</xdr:row>
      <xdr:rowOff>15240</xdr:rowOff>
    </xdr:from>
    <xdr:to>
      <xdr:col>11</xdr:col>
      <xdr:colOff>22860</xdr:colOff>
      <xdr:row>26</xdr:row>
      <xdr:rowOff>15240</xdr:rowOff>
    </xdr:to>
    <xdr:graphicFrame macro="">
      <xdr:nvGraphicFramePr>
        <xdr:cNvPr id="2" name="Chart 1">
          <a:extLst>
            <a:ext uri="{FF2B5EF4-FFF2-40B4-BE49-F238E27FC236}">
              <a16:creationId xmlns:a16="http://schemas.microsoft.com/office/drawing/2014/main" id="{8C5D814F-3C1C-B161-81AC-A2BEE5CBA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617220</xdr:colOff>
      <xdr:row>11</xdr:row>
      <xdr:rowOff>15240</xdr:rowOff>
    </xdr:from>
    <xdr:to>
      <xdr:col>11</xdr:col>
      <xdr:colOff>22860</xdr:colOff>
      <xdr:row>26</xdr:row>
      <xdr:rowOff>15240</xdr:rowOff>
    </xdr:to>
    <xdr:graphicFrame macro="">
      <xdr:nvGraphicFramePr>
        <xdr:cNvPr id="2" name="Chart 1">
          <a:extLst>
            <a:ext uri="{FF2B5EF4-FFF2-40B4-BE49-F238E27FC236}">
              <a16:creationId xmlns:a16="http://schemas.microsoft.com/office/drawing/2014/main" id="{E4393A11-6FFA-455C-AAA4-362F3FF88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sluedu-my.sharepoint.com/personal/adrian_swindle_slu_edu/Documents/Documents/REU-2023/REU-Project/ObfuscationDatabase/ObfuscationCategorization.xlsx" TargetMode="External"/><Relationship Id="rId1" Type="http://schemas.openxmlformats.org/officeDocument/2006/relationships/externalLinkPath" Target="ObfuscationCategor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B5lE8glxc0-9TpxuKdk2ezvkUKWCQVJHg96OcEtUMYtjXEpbC18kTIewSQZEzQ4N" itemId="01JA2NWQYUSFKJAX3GTRAJGVQIFFB3BIIQ">
      <xxl21:absoluteUrl r:id="rId2"/>
    </xxl21:alternateUrls>
    <sheetNames>
      <sheetName val="Intro"/>
      <sheetName val="List Of Base Programs"/>
      <sheetName val="Obfuscation Categories"/>
      <sheetName val="Questions for ChatGPT"/>
      <sheetName val="Old_Stats"/>
      <sheetName val="Compiled Code notes"/>
      <sheetName val="Automation Notes"/>
      <sheetName val="ChatGPT_Incorrect_Instances"/>
      <sheetName val="Identifier Info"/>
      <sheetName val="Template"/>
      <sheetName val="Sources"/>
      <sheetName val="List_Of_Base_Programs"/>
    </sheetNames>
    <sheetDataSet>
      <sheetData sheetId="0"/>
      <sheetData sheetId="1"/>
      <sheetData sheetId="2"/>
      <sheetData sheetId="3"/>
      <sheetData sheetId="4"/>
      <sheetData sheetId="5"/>
      <sheetData sheetId="6"/>
      <sheetData sheetId="7"/>
      <sheetData sheetId="8">
        <row r="2">
          <cell r="A2" t="str">
            <v>variable-int</v>
          </cell>
        </row>
        <row r="3">
          <cell r="A3" t="str">
            <v>variable-string</v>
          </cell>
        </row>
        <row r="4">
          <cell r="A4" t="str">
            <v>variable-bool</v>
          </cell>
        </row>
        <row r="5">
          <cell r="A5" t="str">
            <v>variable-float</v>
          </cell>
        </row>
        <row r="6">
          <cell r="A6" t="str">
            <v>variable-double</v>
          </cell>
        </row>
        <row r="7">
          <cell r="A7" t="str">
            <v>variabl-char</v>
          </cell>
        </row>
        <row r="8">
          <cell r="A8" t="str">
            <v>cout</v>
          </cell>
        </row>
        <row r="9">
          <cell r="A9" t="str">
            <v>cin</v>
          </cell>
        </row>
        <row r="10">
          <cell r="A10" t="str">
            <v>vector-int</v>
          </cell>
        </row>
        <row r="11">
          <cell r="A11" t="str">
            <v>vector-string</v>
          </cell>
        </row>
        <row r="12">
          <cell r="A12" t="str">
            <v>vector-char</v>
          </cell>
        </row>
        <row r="13">
          <cell r="A13" t="str">
            <v>math-addition</v>
          </cell>
        </row>
        <row r="14">
          <cell r="A14" t="str">
            <v>math-multiplication</v>
          </cell>
        </row>
        <row r="15">
          <cell r="A15" t="str">
            <v>math-modulus</v>
          </cell>
        </row>
        <row r="16">
          <cell r="A16" t="str">
            <v>math-division</v>
          </cell>
        </row>
        <row r="17">
          <cell r="A17" t="str">
            <v>math-subtraction</v>
          </cell>
        </row>
        <row r="18">
          <cell r="A18" t="str">
            <v>math-sqrt</v>
          </cell>
        </row>
        <row r="19">
          <cell r="A19" t="str">
            <v>math-pow</v>
          </cell>
        </row>
        <row r="20">
          <cell r="A20" t="str">
            <v>for-loop</v>
          </cell>
        </row>
        <row r="21">
          <cell r="A21" t="str">
            <v>while-loop</v>
          </cell>
        </row>
        <row r="22">
          <cell r="A22" t="str">
            <v>do-while-loop</v>
          </cell>
        </row>
        <row r="23">
          <cell r="A23" t="str">
            <v>if-statement</v>
          </cell>
        </row>
        <row r="24">
          <cell r="A24" t="str">
            <v>algorithm - find</v>
          </cell>
        </row>
        <row r="25">
          <cell r="A25" t="str">
            <v>string-&gt;int</v>
          </cell>
        </row>
        <row r="26">
          <cell r="A26" t="str">
            <v>int-&gt;char</v>
          </cell>
        </row>
        <row r="27">
          <cell r="A27" t="str">
            <v>user function - bool</v>
          </cell>
        </row>
        <row r="28">
          <cell r="A28" t="str">
            <v>user function - int</v>
          </cell>
        </row>
        <row r="29">
          <cell r="A29" t="str">
            <v>user function - void</v>
          </cell>
        </row>
        <row r="30">
          <cell r="A30" t="str">
            <v>user function - float</v>
          </cell>
        </row>
        <row r="31">
          <cell r="A31" t="str">
            <v>using namespace std</v>
          </cell>
        </row>
        <row r="32">
          <cell r="A32" t="str">
            <v>#include &lt;cmath&gt;</v>
          </cell>
        </row>
        <row r="33">
          <cell r="A33" t="str">
            <v>#include &lt;ctime&gt;</v>
          </cell>
        </row>
        <row r="34">
          <cell r="A34" t="str">
            <v>#include &lt;bits/stdc++.h&gt;</v>
          </cell>
        </row>
        <row r="35">
          <cell r="A35" t="str">
            <v>struct</v>
          </cell>
        </row>
        <row r="36">
          <cell r="A36" t="str">
            <v>array-float</v>
          </cell>
        </row>
        <row r="37">
          <cell r="A37" t="str">
            <v>array-char</v>
          </cell>
        </row>
        <row r="38">
          <cell r="A38" t="str">
            <v>array-int</v>
          </cell>
        </row>
        <row r="39">
          <cell r="A39" t="str">
            <v>pointers</v>
          </cell>
        </row>
        <row r="40">
          <cell r="A40" t="str">
            <v>recursion</v>
          </cell>
        </row>
      </sheetData>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44DE-424A-44D9-B646-3E174F7F6DC3}">
  <dimension ref="C5:Y73"/>
  <sheetViews>
    <sheetView topLeftCell="C1" zoomScale="70" zoomScaleNormal="70"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14.6640625" bestFit="1"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5">
      <c r="C5" t="s">
        <v>0</v>
      </c>
    </row>
    <row r="6" spans="3:15">
      <c r="D6" s="7" t="s">
        <v>1</v>
      </c>
      <c r="E6" s="10" t="s">
        <v>2</v>
      </c>
      <c r="F6" s="12" t="s">
        <v>3</v>
      </c>
      <c r="G6" s="14" t="s">
        <v>4</v>
      </c>
      <c r="H6" s="16" t="s">
        <v>5</v>
      </c>
      <c r="I6" s="18" t="s">
        <v>6</v>
      </c>
      <c r="J6" s="20" t="s">
        <v>7</v>
      </c>
      <c r="K6" s="22" t="s">
        <v>8</v>
      </c>
      <c r="L6" s="24" t="s">
        <v>9</v>
      </c>
      <c r="M6" s="26" t="s">
        <v>10</v>
      </c>
      <c r="N6" s="28" t="s">
        <v>11</v>
      </c>
      <c r="O6" s="28" t="s">
        <v>12</v>
      </c>
    </row>
    <row r="7" spans="3:15">
      <c r="C7" s="5" t="s">
        <v>13</v>
      </c>
      <c r="D7" s="8">
        <f ca="1">COUNTIF(INDIRECT("["&amp;datatable!$C$3&amp;"]"&amp;datatable!$A2&amp;"!"&amp;"I:I"),"High Correct")</f>
        <v>6</v>
      </c>
      <c r="E7" s="11">
        <f ca="1">COUNTIF(INDIRECT("["&amp;datatable!$C$3&amp;"]"&amp;datatable!$A2&amp;"!"&amp;"I:I"),"Medium Correct")</f>
        <v>0</v>
      </c>
      <c r="F7" s="13">
        <f ca="1">COUNTIF(INDIRECT("["&amp;datatable!$C$3&amp;"]"&amp;datatable!$A2&amp;"!"&amp;"I:I"),"Low Correct")</f>
        <v>1</v>
      </c>
      <c r="G7" s="15">
        <f ca="1">COUNTIF(INDIRECT("["&amp;datatable!$C$3&amp;"]"&amp;datatable!$A2&amp;"!"&amp;"I:I"),"High Maybe")</f>
        <v>1</v>
      </c>
      <c r="H7" s="17">
        <f ca="1">COUNTIF(INDIRECT("["&amp;datatable!$C$3&amp;"]"&amp;datatable!$A2&amp;"!"&amp;"I:I"),"Medium Maybe")</f>
        <v>1</v>
      </c>
      <c r="I7" s="19">
        <f ca="1">COUNTIF(INDIRECT("["&amp;datatable!$C$3&amp;"]"&amp;datatable!$A2&amp;"!"&amp;"I:I"),"Low Maybe")</f>
        <v>0</v>
      </c>
      <c r="J7" s="21">
        <f ca="1">COUNTIF(INDIRECT("["&amp;datatable!$C$3&amp;"]"&amp;datatable!$A2&amp;"!"&amp;"I:I"),"Low Incorrect")</f>
        <v>2</v>
      </c>
      <c r="K7" s="23">
        <f ca="1">COUNTIF(INDIRECT("["&amp;datatable!$C$3&amp;"]"&amp;datatable!$A2&amp;"!"&amp;"I:I"),"Medium Incorrect")</f>
        <v>3</v>
      </c>
      <c r="L7" s="25">
        <f ca="1">COUNTIF(INDIRECT("["&amp;datatable!$C$3&amp;"]"&amp;datatable!$A2&amp;"!"&amp;"I:I"),"High Incorrect")</f>
        <v>3</v>
      </c>
      <c r="M7" s="27">
        <f ca="1">COUNTIF(INDIRECT("["&amp;datatable!$C$3&amp;"]"&amp;datatable!$A2&amp;"!"&amp;"I:I"),"N/A")</f>
        <v>1</v>
      </c>
      <c r="N7" s="29">
        <f t="shared" ref="N7:N28" ca="1" si="0">SUM(D7:M7)</f>
        <v>18</v>
      </c>
      <c r="O7" s="29">
        <f t="shared" ref="O7:O28" ca="1" si="1">SUM(D7:L7)</f>
        <v>17</v>
      </c>
    </row>
    <row r="8" spans="3:15">
      <c r="C8" s="5" t="s">
        <v>14</v>
      </c>
      <c r="D8" s="8">
        <f ca="1">COUNTIF(INDIRECT("["&amp;datatable!$C$3&amp;"]"&amp;datatable!$A3&amp;"!"&amp;"I:I"),"High Correct")</f>
        <v>9</v>
      </c>
      <c r="E8" s="11">
        <f ca="1">COUNTIF(INDIRECT("["&amp;datatable!$C$3&amp;"]"&amp;datatable!$A3&amp;"!"&amp;"I:I"),"Medium Correct")</f>
        <v>0</v>
      </c>
      <c r="F8" s="13">
        <f ca="1">COUNTIF(INDIRECT("["&amp;datatable!$C$3&amp;"]"&amp;datatable!$A3&amp;"!"&amp;"I:I"),"Low Correct")</f>
        <v>0</v>
      </c>
      <c r="G8" s="15">
        <f ca="1">COUNTIF(INDIRECT("["&amp;datatable!$C$3&amp;"]"&amp;datatable!$A3&amp;"!"&amp;"I:I"),"High Maybe")</f>
        <v>3</v>
      </c>
      <c r="H8" s="17">
        <f ca="1">COUNTIF(INDIRECT("["&amp;datatable!$C$3&amp;"]"&amp;datatable!$A3&amp;"!"&amp;"I:I"),"Medium Maybe")</f>
        <v>0</v>
      </c>
      <c r="I8" s="19">
        <f ca="1">COUNTIF(INDIRECT("["&amp;datatable!$C$3&amp;"]"&amp;datatable!$A3&amp;"!"&amp;"I:I"),"Low Maybe")</f>
        <v>0</v>
      </c>
      <c r="J8" s="21">
        <f ca="1">COUNTIF(INDIRECT("["&amp;datatable!$C$3&amp;"]"&amp;datatable!$A3&amp;"!"&amp;"I:I"),"Low Incorrect")</f>
        <v>3</v>
      </c>
      <c r="K8" s="23">
        <f ca="1">COUNTIF(INDIRECT("["&amp;datatable!$C$3&amp;"]"&amp;datatable!$A3&amp;"!"&amp;"I:I"),"Medium Incorrect")</f>
        <v>1</v>
      </c>
      <c r="L8" s="25">
        <f ca="1">COUNTIF(INDIRECT("["&amp;datatable!$C$3&amp;"]"&amp;datatable!$A3&amp;"!"&amp;"I:I"),"High Incorrect")</f>
        <v>2</v>
      </c>
      <c r="M8" s="27">
        <f ca="1">COUNTIF(INDIRECT("["&amp;datatable!$C$3&amp;"]"&amp;datatable!$A3&amp;"!"&amp;"I:I"),"N/A")</f>
        <v>0</v>
      </c>
      <c r="N8" s="29">
        <f t="shared" ca="1" si="0"/>
        <v>18</v>
      </c>
      <c r="O8" s="29">
        <f t="shared" ca="1" si="1"/>
        <v>18</v>
      </c>
    </row>
    <row r="9" spans="3:15">
      <c r="C9" s="5" t="s">
        <v>15</v>
      </c>
      <c r="D9" s="8">
        <f ca="1">COUNTIF(INDIRECT("["&amp;datatable!$C$3&amp;"]"&amp;datatable!$A4&amp;"!"&amp;"I:I"),"High Correct")</f>
        <v>6</v>
      </c>
      <c r="E9" s="11">
        <f ca="1">COUNTIF(INDIRECT("["&amp;datatable!$C$3&amp;"]"&amp;datatable!$A4&amp;"!"&amp;"I:I"),"Medium Correct")</f>
        <v>0</v>
      </c>
      <c r="F9" s="13">
        <f ca="1">COUNTIF(INDIRECT("["&amp;datatable!$C$3&amp;"]"&amp;datatable!$A4&amp;"!"&amp;"I:I"),"Low Correct")</f>
        <v>0</v>
      </c>
      <c r="G9" s="15">
        <f ca="1">COUNTIF(INDIRECT("["&amp;datatable!$C$3&amp;"]"&amp;datatable!$A4&amp;"!"&amp;"I:I"),"High Maybe")</f>
        <v>5</v>
      </c>
      <c r="H9" s="17">
        <f ca="1">COUNTIF(INDIRECT("["&amp;datatable!$C$3&amp;"]"&amp;datatable!$A4&amp;"!"&amp;"I:I"),"Medium Maybe")</f>
        <v>1</v>
      </c>
      <c r="I9" s="19">
        <f ca="1">COUNTIF(INDIRECT("["&amp;datatable!$C$3&amp;"]"&amp;datatable!$A4&amp;"!"&amp;"I:I"),"Low Maybe")</f>
        <v>1</v>
      </c>
      <c r="J9" s="21">
        <f ca="1">COUNTIF(INDIRECT("["&amp;datatable!$C$3&amp;"]"&amp;datatable!$A4&amp;"!"&amp;"I:I"),"Low Incorrect")</f>
        <v>0</v>
      </c>
      <c r="K9" s="23">
        <f ca="1">COUNTIF(INDIRECT("["&amp;datatable!$C$3&amp;"]"&amp;datatable!$A4&amp;"!"&amp;"I:I"),"Medium Incorrect")</f>
        <v>2</v>
      </c>
      <c r="L9" s="25">
        <f ca="1">COUNTIF(INDIRECT("["&amp;datatable!$C$3&amp;"]"&amp;datatable!$A4&amp;"!"&amp;"I:I"),"High Incorrect")</f>
        <v>3</v>
      </c>
      <c r="M9" s="27">
        <f ca="1">COUNTIF(INDIRECT("["&amp;datatable!$C$3&amp;"]"&amp;datatable!$A4&amp;"!"&amp;"I:I"),"N/A")</f>
        <v>0</v>
      </c>
      <c r="N9" s="29">
        <f t="shared" ca="1" si="0"/>
        <v>18</v>
      </c>
      <c r="O9" s="29">
        <f t="shared" ca="1" si="1"/>
        <v>18</v>
      </c>
    </row>
    <row r="10" spans="3:15">
      <c r="C10" s="5" t="s">
        <v>16</v>
      </c>
      <c r="D10" s="8">
        <f ca="1">COUNTIF(INDIRECT("["&amp;datatable!$C$3&amp;"]"&amp;datatable!$A5&amp;"!"&amp;"I:I"),"High Correct")</f>
        <v>7</v>
      </c>
      <c r="E10" s="11">
        <f ca="1">COUNTIF(INDIRECT("["&amp;datatable!$C$3&amp;"]"&amp;datatable!$A5&amp;"!"&amp;"I:I"),"Medium Correct")</f>
        <v>0</v>
      </c>
      <c r="F10" s="13">
        <f ca="1">COUNTIF(INDIRECT("["&amp;datatable!$C$3&amp;"]"&amp;datatable!$A5&amp;"!"&amp;"I:I"),"Low Correct")</f>
        <v>0</v>
      </c>
      <c r="G10" s="15">
        <f ca="1">COUNTIF(INDIRECT("["&amp;datatable!$C$3&amp;"]"&amp;datatable!$A5&amp;"!"&amp;"I:I"),"High Maybe")</f>
        <v>5</v>
      </c>
      <c r="H10" s="17">
        <f ca="1">COUNTIF(INDIRECT("["&amp;datatable!$C$3&amp;"]"&amp;datatable!$A5&amp;"!"&amp;"I:I"),"Medium Maybe")</f>
        <v>3</v>
      </c>
      <c r="I10" s="19">
        <f ca="1">COUNTIF(INDIRECT("["&amp;datatable!$C$3&amp;"]"&amp;datatable!$A5&amp;"!"&amp;"I:I"),"Low Maybe")</f>
        <v>0</v>
      </c>
      <c r="J10" s="21">
        <f ca="1">COUNTIF(INDIRECT("["&amp;datatable!$C$3&amp;"]"&amp;datatable!$A5&amp;"!"&amp;"I:I"),"Low Incorrect")</f>
        <v>0</v>
      </c>
      <c r="K10" s="23">
        <f ca="1">COUNTIF(INDIRECT("["&amp;datatable!$C$3&amp;"]"&amp;datatable!$A5&amp;"!"&amp;"I:I"),"Medium Incorrect")</f>
        <v>0</v>
      </c>
      <c r="L10" s="25">
        <f ca="1">COUNTIF(INDIRECT("["&amp;datatable!$C$3&amp;"]"&amp;datatable!$A5&amp;"!"&amp;"I:I"),"High Incorrect")</f>
        <v>3</v>
      </c>
      <c r="M10" s="27">
        <f ca="1">COUNTIF(INDIRECT("["&amp;datatable!$C$3&amp;"]"&amp;datatable!$A5&amp;"!"&amp;"I:I"),"N/A")</f>
        <v>0</v>
      </c>
      <c r="N10" s="29">
        <f t="shared" ca="1" si="0"/>
        <v>18</v>
      </c>
      <c r="O10" s="29">
        <f t="shared" ca="1" si="1"/>
        <v>18</v>
      </c>
    </row>
    <row r="11" spans="3:15">
      <c r="C11" s="5" t="s">
        <v>17</v>
      </c>
      <c r="D11" s="8">
        <f ca="1">COUNTIF(INDIRECT("["&amp;datatable!$C$3&amp;"]"&amp;datatable!$A6&amp;"!"&amp;"I:I"),"High Correct")</f>
        <v>5</v>
      </c>
      <c r="E11" s="11">
        <f ca="1">COUNTIF(INDIRECT("["&amp;datatable!$C$3&amp;"]"&amp;datatable!$A6&amp;"!"&amp;"I:I"),"Medium Correct")</f>
        <v>2</v>
      </c>
      <c r="F11" s="13">
        <f ca="1">COUNTIF(INDIRECT("["&amp;datatable!$C$3&amp;"]"&amp;datatable!$A6&amp;"!"&amp;"I:I"),"Low Correct")</f>
        <v>2</v>
      </c>
      <c r="G11" s="15">
        <f ca="1">COUNTIF(INDIRECT("["&amp;datatable!$C$3&amp;"]"&amp;datatable!$A6&amp;"!"&amp;"I:I"),"High Maybe")</f>
        <v>3</v>
      </c>
      <c r="H11" s="17">
        <f ca="1">COUNTIF(INDIRECT("["&amp;datatable!$C$3&amp;"]"&amp;datatable!$A6&amp;"!"&amp;"I:I"),"Medium Maybe")</f>
        <v>2</v>
      </c>
      <c r="I11" s="19">
        <f ca="1">COUNTIF(INDIRECT("["&amp;datatable!$C$3&amp;"]"&amp;datatable!$A6&amp;"!"&amp;"I:I"),"Low Maybe")</f>
        <v>2</v>
      </c>
      <c r="J11" s="21">
        <f ca="1">COUNTIF(INDIRECT("["&amp;datatable!$C$3&amp;"]"&amp;datatable!$A6&amp;"!"&amp;"I:I"),"Low Incorrect")</f>
        <v>0</v>
      </c>
      <c r="K11" s="23">
        <f ca="1">COUNTIF(INDIRECT("["&amp;datatable!$C$3&amp;"]"&amp;datatable!$A6&amp;"!"&amp;"I:I"),"Medium Incorrect")</f>
        <v>0</v>
      </c>
      <c r="L11" s="25">
        <f ca="1">COUNTIF(INDIRECT("["&amp;datatable!$C$3&amp;"]"&amp;datatable!$A6&amp;"!"&amp;"I:I"),"High Incorrect")</f>
        <v>2</v>
      </c>
      <c r="M11" s="27">
        <f ca="1">COUNTIF(INDIRECT("["&amp;datatable!$C$3&amp;"]"&amp;datatable!$A6&amp;"!"&amp;"I:I"),"N/A")</f>
        <v>0</v>
      </c>
      <c r="N11" s="29">
        <f t="shared" ca="1" si="0"/>
        <v>18</v>
      </c>
      <c r="O11" s="29">
        <f t="shared" ca="1" si="1"/>
        <v>18</v>
      </c>
    </row>
    <row r="12" spans="3:15">
      <c r="C12" s="5" t="s">
        <v>18</v>
      </c>
      <c r="D12" s="8">
        <f ca="1">COUNTIF(INDIRECT("["&amp;datatable!$C$3&amp;"]"&amp;datatable!$A7&amp;"!"&amp;"I:I"),"High Correct")</f>
        <v>9</v>
      </c>
      <c r="E12" s="11">
        <f ca="1">COUNTIF(INDIRECT("["&amp;datatable!$C$3&amp;"]"&amp;datatable!$A7&amp;"!"&amp;"I:I"),"Medium Correct")</f>
        <v>1</v>
      </c>
      <c r="F12" s="13">
        <f ca="1">COUNTIF(INDIRECT("["&amp;datatable!$C$3&amp;"]"&amp;datatable!$A7&amp;"!"&amp;"I:I"),"Low Correct")</f>
        <v>1</v>
      </c>
      <c r="G12" s="15">
        <f ca="1">COUNTIF(INDIRECT("["&amp;datatable!$C$3&amp;"]"&amp;datatable!$A7&amp;"!"&amp;"I:I"),"High Maybe")</f>
        <v>0</v>
      </c>
      <c r="H12" s="17">
        <f ca="1">COUNTIF(INDIRECT("["&amp;datatable!$C$3&amp;"]"&amp;datatable!$A7&amp;"!"&amp;"I:I"),"Medium Maybe")</f>
        <v>0</v>
      </c>
      <c r="I12" s="19">
        <f ca="1">COUNTIF(INDIRECT("["&amp;datatable!$C$3&amp;"]"&amp;datatable!$A7&amp;"!"&amp;"I:I"),"Low Maybe")</f>
        <v>0</v>
      </c>
      <c r="J12" s="21">
        <f ca="1">COUNTIF(INDIRECT("["&amp;datatable!$C$3&amp;"]"&amp;datatable!$A7&amp;"!"&amp;"I:I"),"Low Incorrect")</f>
        <v>1</v>
      </c>
      <c r="K12" s="23">
        <f ca="1">COUNTIF(INDIRECT("["&amp;datatable!$C$3&amp;"]"&amp;datatable!$A7&amp;"!"&amp;"I:I"),"Medium Incorrect")</f>
        <v>3</v>
      </c>
      <c r="L12" s="25">
        <f ca="1">COUNTIF(INDIRECT("["&amp;datatable!$C$3&amp;"]"&amp;datatable!$A7&amp;"!"&amp;"I:I"),"High Incorrect")</f>
        <v>3</v>
      </c>
      <c r="M12" s="27">
        <f ca="1">COUNTIF(INDIRECT("["&amp;datatable!$C$3&amp;"]"&amp;datatable!$A7&amp;"!"&amp;"I:I"),"N/A")</f>
        <v>0</v>
      </c>
      <c r="N12" s="29">
        <f t="shared" ca="1" si="0"/>
        <v>18</v>
      </c>
      <c r="O12" s="29">
        <f t="shared" ca="1" si="1"/>
        <v>18</v>
      </c>
    </row>
    <row r="13" spans="3:15">
      <c r="C13" s="5" t="s">
        <v>19</v>
      </c>
      <c r="D13" s="8">
        <f ca="1">COUNTIF(INDIRECT("["&amp;datatable!$C$3&amp;"]"&amp;datatable!$A8&amp;"!"&amp;"I:I"),"High Correct")</f>
        <v>7</v>
      </c>
      <c r="E13" s="11">
        <f ca="1">COUNTIF(INDIRECT("["&amp;datatable!$C$3&amp;"]"&amp;datatable!$A8&amp;"!"&amp;"I:I"),"Medium Correct")</f>
        <v>0</v>
      </c>
      <c r="F13" s="13">
        <f ca="1">COUNTIF(INDIRECT("["&amp;datatable!$C$3&amp;"]"&amp;datatable!$A8&amp;"!"&amp;"I:I"),"Low Correct")</f>
        <v>1</v>
      </c>
      <c r="G13" s="15">
        <f ca="1">COUNTIF(INDIRECT("["&amp;datatable!$C$3&amp;"]"&amp;datatable!$A8&amp;"!"&amp;"I:I"),"High Maybe")</f>
        <v>0</v>
      </c>
      <c r="H13" s="17">
        <f ca="1">COUNTIF(INDIRECT("["&amp;datatable!$C$3&amp;"]"&amp;datatable!$A8&amp;"!"&amp;"I:I"),"Medium Maybe")</f>
        <v>0</v>
      </c>
      <c r="I13" s="19">
        <f ca="1">COUNTIF(INDIRECT("["&amp;datatable!$C$3&amp;"]"&amp;datatable!$A8&amp;"!"&amp;"I:I"),"Low Maybe")</f>
        <v>2</v>
      </c>
      <c r="J13" s="21">
        <f ca="1">COUNTIF(INDIRECT("["&amp;datatable!$C$3&amp;"]"&amp;datatable!$A8&amp;"!"&amp;"I:I"),"Low Incorrect")</f>
        <v>2</v>
      </c>
      <c r="K13" s="23">
        <f ca="1">COUNTIF(INDIRECT("["&amp;datatable!$C$3&amp;"]"&amp;datatable!$A8&amp;"!"&amp;"I:I"),"Medium Incorrect")</f>
        <v>6</v>
      </c>
      <c r="L13" s="25">
        <f ca="1">COUNTIF(INDIRECT("["&amp;datatable!$C$3&amp;"]"&amp;datatable!$A8&amp;"!"&amp;"I:I"),"High Incorrect")</f>
        <v>0</v>
      </c>
      <c r="M13" s="27">
        <f ca="1">COUNTIF(INDIRECT("["&amp;datatable!$C$3&amp;"]"&amp;datatable!$A8&amp;"!"&amp;"I:I"),"N/A")</f>
        <v>0</v>
      </c>
      <c r="N13" s="29">
        <f t="shared" ca="1" si="0"/>
        <v>18</v>
      </c>
      <c r="O13" s="29">
        <f t="shared" ca="1" si="1"/>
        <v>18</v>
      </c>
    </row>
    <row r="14" spans="3:15">
      <c r="C14" s="5" t="s">
        <v>20</v>
      </c>
      <c r="D14" s="8">
        <f ca="1">COUNTIF(INDIRECT("["&amp;datatable!$C$3&amp;"]"&amp;datatable!$A9&amp;"!"&amp;"I:I"),"High Correct")</f>
        <v>4</v>
      </c>
      <c r="E14" s="11">
        <f ca="1">COUNTIF(INDIRECT("["&amp;datatable!$C$3&amp;"]"&amp;datatable!$A9&amp;"!"&amp;"I:I"),"Medium Correct")</f>
        <v>4</v>
      </c>
      <c r="F14" s="13">
        <f ca="1">COUNTIF(INDIRECT("["&amp;datatable!$C$3&amp;"]"&amp;datatable!$A9&amp;"!"&amp;"I:I"),"Low Correct")</f>
        <v>1</v>
      </c>
      <c r="G14" s="15">
        <f ca="1">COUNTIF(INDIRECT("["&amp;datatable!$C$3&amp;"]"&amp;datatable!$A9&amp;"!"&amp;"I:I"),"High Maybe")</f>
        <v>0</v>
      </c>
      <c r="H14" s="17">
        <f ca="1">COUNTIF(INDIRECT("["&amp;datatable!$C$3&amp;"]"&amp;datatable!$A9&amp;"!"&amp;"I:I"),"Medium Maybe")</f>
        <v>0</v>
      </c>
      <c r="I14" s="19">
        <f ca="1">COUNTIF(INDIRECT("["&amp;datatable!$C$3&amp;"]"&amp;datatable!$A9&amp;"!"&amp;"I:I"),"Low Maybe")</f>
        <v>0</v>
      </c>
      <c r="J14" s="21">
        <f ca="1">COUNTIF(INDIRECT("["&amp;datatable!$C$3&amp;"]"&amp;datatable!$A9&amp;"!"&amp;"I:I"),"Low Incorrect")</f>
        <v>1</v>
      </c>
      <c r="K14" s="23">
        <f ca="1">COUNTIF(INDIRECT("["&amp;datatable!$C$3&amp;"]"&amp;datatable!$A9&amp;"!"&amp;"I:I"),"Medium Incorrect")</f>
        <v>5</v>
      </c>
      <c r="L14" s="25">
        <f ca="1">COUNTIF(INDIRECT("["&amp;datatable!$C$3&amp;"]"&amp;datatable!$A9&amp;"!"&amp;"I:I"),"High Incorrect")</f>
        <v>2</v>
      </c>
      <c r="M14" s="27">
        <f ca="1">COUNTIF(INDIRECT("["&amp;datatable!$C$3&amp;"]"&amp;datatable!$A9&amp;"!"&amp;"I:I"),"N/A")</f>
        <v>1</v>
      </c>
      <c r="N14" s="29">
        <f t="shared" ca="1" si="0"/>
        <v>18</v>
      </c>
      <c r="O14" s="29">
        <f t="shared" ca="1" si="1"/>
        <v>17</v>
      </c>
    </row>
    <row r="15" spans="3:15">
      <c r="C15" s="5" t="s">
        <v>21</v>
      </c>
      <c r="D15" s="8">
        <f ca="1">COUNTIF(INDIRECT("["&amp;datatable!$C$3&amp;"]"&amp;datatable!$A10&amp;"!"&amp;"I:I"),"High Correct")</f>
        <v>4</v>
      </c>
      <c r="E15" s="11">
        <f ca="1">COUNTIF(INDIRECT("["&amp;datatable!$C$3&amp;"]"&amp;datatable!$A10&amp;"!"&amp;"I:I"),"Medium Correct")</f>
        <v>3</v>
      </c>
      <c r="F15" s="13">
        <f ca="1">COUNTIF(INDIRECT("["&amp;datatable!$C$3&amp;"]"&amp;datatable!$A10&amp;"!"&amp;"I:I"),"Low Correct")</f>
        <v>1</v>
      </c>
      <c r="G15" s="15">
        <f ca="1">COUNTIF(INDIRECT("["&amp;datatable!$C$3&amp;"]"&amp;datatable!$A10&amp;"!"&amp;"I:I"),"High Maybe")</f>
        <v>0</v>
      </c>
      <c r="H15" s="17">
        <f ca="1">COUNTIF(INDIRECT("["&amp;datatable!$C$3&amp;"]"&amp;datatable!$A10&amp;"!"&amp;"I:I"),"Medium Maybe")</f>
        <v>0</v>
      </c>
      <c r="I15" s="19">
        <f ca="1">COUNTIF(INDIRECT("["&amp;datatable!$C$3&amp;"]"&amp;datatable!$A10&amp;"!"&amp;"I:I"),"Low Maybe")</f>
        <v>1</v>
      </c>
      <c r="J15" s="21">
        <f ca="1">COUNTIF(INDIRECT("["&amp;datatable!$C$3&amp;"]"&amp;datatable!$A10&amp;"!"&amp;"I:I"),"Low Incorrect")</f>
        <v>3</v>
      </c>
      <c r="K15" s="23">
        <f ca="1">COUNTIF(INDIRECT("["&amp;datatable!$C$3&amp;"]"&amp;datatable!$A10&amp;"!"&amp;"I:I"),"Medium Incorrect")</f>
        <v>5</v>
      </c>
      <c r="L15" s="25">
        <f ca="1">COUNTIF(INDIRECT("["&amp;datatable!$C$3&amp;"]"&amp;datatable!$A10&amp;"!"&amp;"I:I"),"High Incorrect")</f>
        <v>1</v>
      </c>
      <c r="M15" s="27">
        <f ca="1">COUNTIF(INDIRECT("["&amp;datatable!$C$3&amp;"]"&amp;datatable!$A10&amp;"!"&amp;"I:I"),"N/A")</f>
        <v>0</v>
      </c>
      <c r="N15" s="29">
        <f t="shared" ca="1" si="0"/>
        <v>18</v>
      </c>
      <c r="O15" s="29">
        <f t="shared" ca="1" si="1"/>
        <v>18</v>
      </c>
    </row>
    <row r="16" spans="3:15">
      <c r="C16" s="5" t="s">
        <v>22</v>
      </c>
      <c r="D16" s="8">
        <f ca="1">COUNTIF(INDIRECT("["&amp;datatable!$C$3&amp;"]"&amp;datatable!$A11&amp;"!"&amp;"I:I"),"High Correct")</f>
        <v>4</v>
      </c>
      <c r="E16" s="11">
        <f ca="1">COUNTIF(INDIRECT("["&amp;datatable!$C$3&amp;"]"&amp;datatable!$A11&amp;"!"&amp;"I:I"),"Medium Correct")</f>
        <v>3</v>
      </c>
      <c r="F16" s="13">
        <f ca="1">COUNTIF(INDIRECT("["&amp;datatable!$C$3&amp;"]"&amp;datatable!$A11&amp;"!"&amp;"I:I"),"Low Correct")</f>
        <v>1</v>
      </c>
      <c r="G16" s="15">
        <f ca="1">COUNTIF(INDIRECT("["&amp;datatable!$C$3&amp;"]"&amp;datatable!$A11&amp;"!"&amp;"I:I"),"High Maybe")</f>
        <v>1</v>
      </c>
      <c r="H16" s="17">
        <f ca="1">COUNTIF(INDIRECT("["&amp;datatable!$C$3&amp;"]"&amp;datatable!$A11&amp;"!"&amp;"I:I"),"Medium Maybe")</f>
        <v>0</v>
      </c>
      <c r="I16" s="19">
        <f ca="1">COUNTIF(INDIRECT("["&amp;datatable!$C$3&amp;"]"&amp;datatable!$A11&amp;"!"&amp;"I:I"),"Low Maybe")</f>
        <v>1</v>
      </c>
      <c r="J16" s="21">
        <f ca="1">COUNTIF(INDIRECT("["&amp;datatable!$C$3&amp;"]"&amp;datatable!$A11&amp;"!"&amp;"I:I"),"Low Incorrect")</f>
        <v>1</v>
      </c>
      <c r="K16" s="23">
        <f ca="1">COUNTIF(INDIRECT("["&amp;datatable!$C$3&amp;"]"&amp;datatable!$A11&amp;"!"&amp;"I:I"),"Medium Incorrect")</f>
        <v>4</v>
      </c>
      <c r="L16" s="25">
        <f ca="1">COUNTIF(INDIRECT("["&amp;datatable!$C$3&amp;"]"&amp;datatable!$A11&amp;"!"&amp;"I:I"),"High Incorrect")</f>
        <v>3</v>
      </c>
      <c r="M16" s="27">
        <f ca="1">COUNTIF(INDIRECT("["&amp;datatable!$C$3&amp;"]"&amp;datatable!$A11&amp;"!"&amp;"I:I"),"N/A")</f>
        <v>0</v>
      </c>
      <c r="N16" s="29">
        <f t="shared" ca="1" si="0"/>
        <v>18</v>
      </c>
      <c r="O16" s="29">
        <f t="shared" ca="1" si="1"/>
        <v>18</v>
      </c>
    </row>
    <row r="17" spans="3:15">
      <c r="C17" s="5" t="s">
        <v>23</v>
      </c>
      <c r="D17" s="8">
        <f ca="1">COUNTIF(INDIRECT("["&amp;datatable!$C$3&amp;"]"&amp;datatable!$A12&amp;"!"&amp;"I:I"),"High Correct")</f>
        <v>4</v>
      </c>
      <c r="E17" s="11">
        <f ca="1">COUNTIF(INDIRECT("["&amp;datatable!$C$3&amp;"]"&amp;datatable!$A12&amp;"!"&amp;"I:I"),"Medium Correct")</f>
        <v>3</v>
      </c>
      <c r="F17" s="13">
        <f ca="1">COUNTIF(INDIRECT("["&amp;datatable!$C$3&amp;"]"&amp;datatable!$A12&amp;"!"&amp;"I:I"),"Low Correct")</f>
        <v>0</v>
      </c>
      <c r="G17" s="15">
        <f ca="1">COUNTIF(INDIRECT("["&amp;datatable!$C$3&amp;"]"&amp;datatable!$A12&amp;"!"&amp;"I:I"),"High Maybe")</f>
        <v>2</v>
      </c>
      <c r="H17" s="17">
        <f ca="1">COUNTIF(INDIRECT("["&amp;datatable!$C$3&amp;"]"&amp;datatable!$A12&amp;"!"&amp;"I:I"),"Medium Maybe")</f>
        <v>1</v>
      </c>
      <c r="I17" s="19">
        <f ca="1">COUNTIF(INDIRECT("["&amp;datatable!$C$3&amp;"]"&amp;datatable!$A12&amp;"!"&amp;"I:I"),"Low Maybe")</f>
        <v>1</v>
      </c>
      <c r="J17" s="21">
        <f ca="1">COUNTIF(INDIRECT("["&amp;datatable!$C$3&amp;"]"&amp;datatable!$A12&amp;"!"&amp;"I:I"),"Low Incorrect")</f>
        <v>2</v>
      </c>
      <c r="K17" s="23">
        <f ca="1">COUNTIF(INDIRECT("["&amp;datatable!$C$3&amp;"]"&amp;datatable!$A12&amp;"!"&amp;"I:I"),"Medium Incorrect")</f>
        <v>4</v>
      </c>
      <c r="L17" s="25">
        <f ca="1">COUNTIF(INDIRECT("["&amp;datatable!$C$3&amp;"]"&amp;datatable!$A12&amp;"!"&amp;"I:I"),"High Incorrect")</f>
        <v>0</v>
      </c>
      <c r="M17" s="27">
        <f ca="1">COUNTIF(INDIRECT("["&amp;datatable!$C$3&amp;"]"&amp;datatable!$A12&amp;"!"&amp;"I:I"),"N/A")</f>
        <v>1</v>
      </c>
      <c r="N17" s="29">
        <f t="shared" ca="1" si="0"/>
        <v>18</v>
      </c>
      <c r="O17" s="29">
        <f t="shared" ca="1" si="1"/>
        <v>17</v>
      </c>
    </row>
    <row r="18" spans="3:15">
      <c r="C18" s="5" t="s">
        <v>24</v>
      </c>
      <c r="D18" s="8">
        <f ca="1">COUNTIF(INDIRECT("["&amp;datatable!$C$3&amp;"]"&amp;datatable!$A13&amp;"!"&amp;"I:I"),"High Correct")</f>
        <v>6</v>
      </c>
      <c r="E18" s="11">
        <f ca="1">COUNTIF(INDIRECT("["&amp;datatable!$C$3&amp;"]"&amp;datatable!$A13&amp;"!"&amp;"I:I"),"Medium Correct")</f>
        <v>1</v>
      </c>
      <c r="F18" s="13">
        <f ca="1">COUNTIF(INDIRECT("["&amp;datatable!$C$3&amp;"]"&amp;datatable!$A13&amp;"!"&amp;"I:I"),"Low Correct")</f>
        <v>0</v>
      </c>
      <c r="G18" s="15">
        <f ca="1">COUNTIF(INDIRECT("["&amp;datatable!$C$3&amp;"]"&amp;datatable!$A13&amp;"!"&amp;"I:I"),"High Maybe")</f>
        <v>1</v>
      </c>
      <c r="H18" s="17">
        <f ca="1">COUNTIF(INDIRECT("["&amp;datatable!$C$3&amp;"]"&amp;datatable!$A13&amp;"!"&amp;"I:I"),"Medium Maybe")</f>
        <v>0</v>
      </c>
      <c r="I18" s="19">
        <f ca="1">COUNTIF(INDIRECT("["&amp;datatable!$C$3&amp;"]"&amp;datatable!$A13&amp;"!"&amp;"I:I"),"Low Maybe")</f>
        <v>2</v>
      </c>
      <c r="J18" s="21">
        <f ca="1">COUNTIF(INDIRECT("["&amp;datatable!$C$3&amp;"]"&amp;datatable!$A13&amp;"!"&amp;"I:I"),"Low Incorrect")</f>
        <v>4</v>
      </c>
      <c r="K18" s="23">
        <f ca="1">COUNTIF(INDIRECT("["&amp;datatable!$C$3&amp;"]"&amp;datatable!$A13&amp;"!"&amp;"I:I"),"Medium Incorrect")</f>
        <v>1</v>
      </c>
      <c r="L18" s="25">
        <f ca="1">COUNTIF(INDIRECT("["&amp;datatable!$C$3&amp;"]"&amp;datatable!$A13&amp;"!"&amp;"I:I"),"High Incorrect")</f>
        <v>1</v>
      </c>
      <c r="M18" s="27">
        <f ca="1">COUNTIF(INDIRECT("["&amp;datatable!$C$3&amp;"]"&amp;datatable!$A13&amp;"!"&amp;"I:I"),"N/A")</f>
        <v>2</v>
      </c>
      <c r="N18" s="29">
        <f t="shared" ca="1" si="0"/>
        <v>18</v>
      </c>
      <c r="O18" s="29">
        <f t="shared" ca="1" si="1"/>
        <v>16</v>
      </c>
    </row>
    <row r="19" spans="3:15">
      <c r="C19" s="5" t="s">
        <v>25</v>
      </c>
      <c r="D19" s="8">
        <f ca="1">COUNTIF(INDIRECT("["&amp;datatable!$C$3&amp;"]"&amp;datatable!$A14&amp;"!"&amp;"I:I"),"High Correct")</f>
        <v>6</v>
      </c>
      <c r="E19" s="11">
        <f ca="1">COUNTIF(INDIRECT("["&amp;datatable!$C$3&amp;"]"&amp;datatable!$A14&amp;"!"&amp;"I:I"),"Medium Correct")</f>
        <v>0</v>
      </c>
      <c r="F19" s="13">
        <f ca="1">COUNTIF(INDIRECT("["&amp;datatable!$C$3&amp;"]"&amp;datatable!$A14&amp;"!"&amp;"I:I"),"Low Correct")</f>
        <v>0</v>
      </c>
      <c r="G19" s="15">
        <f ca="1">COUNTIF(INDIRECT("["&amp;datatable!$C$3&amp;"]"&amp;datatable!$A14&amp;"!"&amp;"I:I"),"High Maybe")</f>
        <v>0</v>
      </c>
      <c r="H19" s="17">
        <f ca="1">COUNTIF(INDIRECT("["&amp;datatable!$C$3&amp;"]"&amp;datatable!$A14&amp;"!"&amp;"I:I"),"Medium Maybe")</f>
        <v>0</v>
      </c>
      <c r="I19" s="19">
        <f ca="1">COUNTIF(INDIRECT("["&amp;datatable!$C$3&amp;"]"&amp;datatable!$A14&amp;"!"&amp;"I:I"),"Low Maybe")</f>
        <v>3</v>
      </c>
      <c r="J19" s="21">
        <f ca="1">COUNTIF(INDIRECT("["&amp;datatable!$C$3&amp;"]"&amp;datatable!$A14&amp;"!"&amp;"I:I"),"Low Incorrect")</f>
        <v>5</v>
      </c>
      <c r="K19" s="23">
        <f ca="1">COUNTIF(INDIRECT("["&amp;datatable!$C$3&amp;"]"&amp;datatable!$A14&amp;"!"&amp;"I:I"),"Medium Incorrect")</f>
        <v>3</v>
      </c>
      <c r="L19" s="25">
        <f ca="1">COUNTIF(INDIRECT("["&amp;datatable!$C$3&amp;"]"&amp;datatable!$A14&amp;"!"&amp;"I:I"),"High Incorrect")</f>
        <v>0</v>
      </c>
      <c r="M19" s="27">
        <f ca="1">COUNTIF(INDIRECT("["&amp;datatable!$C$3&amp;"]"&amp;datatable!$A14&amp;"!"&amp;"I:I"),"N/A")</f>
        <v>1</v>
      </c>
      <c r="N19" s="29">
        <f t="shared" ca="1" si="0"/>
        <v>18</v>
      </c>
      <c r="O19" s="29">
        <f t="shared" ca="1" si="1"/>
        <v>17</v>
      </c>
    </row>
    <row r="20" spans="3:15">
      <c r="C20" s="5" t="s">
        <v>26</v>
      </c>
      <c r="D20" s="8">
        <f ca="1">COUNTIF(INDIRECT("["&amp;datatable!$C$3&amp;"]"&amp;datatable!$A15&amp;"!"&amp;"I:I"),"High Correct")</f>
        <v>5</v>
      </c>
      <c r="E20" s="11">
        <f ca="1">COUNTIF(INDIRECT("["&amp;datatable!$C$3&amp;"]"&amp;datatable!$A15&amp;"!"&amp;"I:I"),"Medium Correct")</f>
        <v>0</v>
      </c>
      <c r="F20" s="13">
        <f ca="1">COUNTIF(INDIRECT("["&amp;datatable!$C$3&amp;"]"&amp;datatable!$A15&amp;"!"&amp;"I:I"),"Low Correct")</f>
        <v>0</v>
      </c>
      <c r="G20" s="15">
        <f ca="1">COUNTIF(INDIRECT("["&amp;datatable!$C$3&amp;"]"&amp;datatable!$A15&amp;"!"&amp;"I:I"),"High Maybe")</f>
        <v>0</v>
      </c>
      <c r="H20" s="17">
        <f ca="1">COUNTIF(INDIRECT("["&amp;datatable!$C$3&amp;"]"&amp;datatable!$A15&amp;"!"&amp;"I:I"),"Medium Maybe")</f>
        <v>0</v>
      </c>
      <c r="I20" s="19">
        <f ca="1">COUNTIF(INDIRECT("["&amp;datatable!$C$3&amp;"]"&amp;datatable!$A15&amp;"!"&amp;"I:I"),"Low Maybe")</f>
        <v>3</v>
      </c>
      <c r="J20" s="21">
        <f ca="1">COUNTIF(INDIRECT("["&amp;datatable!$C$3&amp;"]"&amp;datatable!$A15&amp;"!"&amp;"I:I"),"Low Incorrect")</f>
        <v>4</v>
      </c>
      <c r="K20" s="23">
        <f ca="1">COUNTIF(INDIRECT("["&amp;datatable!$C$3&amp;"]"&amp;datatable!$A15&amp;"!"&amp;"I:I"),"Medium Incorrect")</f>
        <v>3</v>
      </c>
      <c r="L20" s="25">
        <f ca="1">COUNTIF(INDIRECT("["&amp;datatable!$C$3&amp;"]"&amp;datatable!$A15&amp;"!"&amp;"I:I"),"High Incorrect")</f>
        <v>2</v>
      </c>
      <c r="M20" s="27">
        <f ca="1">COUNTIF(INDIRECT("["&amp;datatable!$C$3&amp;"]"&amp;datatable!$A15&amp;"!"&amp;"I:I"),"N/A")</f>
        <v>1</v>
      </c>
      <c r="N20" s="29">
        <f t="shared" ca="1" si="0"/>
        <v>18</v>
      </c>
      <c r="O20" s="29">
        <f t="shared" ca="1" si="1"/>
        <v>17</v>
      </c>
    </row>
    <row r="21" spans="3:15">
      <c r="C21" s="5" t="s">
        <v>27</v>
      </c>
      <c r="D21" s="8">
        <f ca="1">COUNTIF(INDIRECT("["&amp;datatable!$C$3&amp;"]"&amp;datatable!$A16&amp;"!"&amp;"I:I"),"High Correct")</f>
        <v>7</v>
      </c>
      <c r="E21" s="11">
        <f ca="1">COUNTIF(INDIRECT("["&amp;datatable!$C$3&amp;"]"&amp;datatable!$A16&amp;"!"&amp;"I:I"),"Medium Correct")</f>
        <v>0</v>
      </c>
      <c r="F21" s="13">
        <f ca="1">COUNTIF(INDIRECT("["&amp;datatable!$C$3&amp;"]"&amp;datatable!$A16&amp;"!"&amp;"I:I"),"Low Correct")</f>
        <v>0</v>
      </c>
      <c r="G21" s="15">
        <f ca="1">COUNTIF(INDIRECT("["&amp;datatable!$C$3&amp;"]"&amp;datatable!$A16&amp;"!"&amp;"I:I"),"High Maybe")</f>
        <v>1</v>
      </c>
      <c r="H21" s="17">
        <f ca="1">COUNTIF(INDIRECT("["&amp;datatable!$C$3&amp;"]"&amp;datatable!$A16&amp;"!"&amp;"I:I"),"Medium Maybe")</f>
        <v>1</v>
      </c>
      <c r="I21" s="19">
        <f ca="1">COUNTIF(INDIRECT("["&amp;datatable!$C$3&amp;"]"&amp;datatable!$A16&amp;"!"&amp;"I:I"),"Low Maybe")</f>
        <v>1</v>
      </c>
      <c r="J21" s="21">
        <f ca="1">COUNTIF(INDIRECT("["&amp;datatable!$C$3&amp;"]"&amp;datatable!$A16&amp;"!"&amp;"I:I"),"Low Incorrect")</f>
        <v>1</v>
      </c>
      <c r="K21" s="23">
        <f ca="1">COUNTIF(INDIRECT("["&amp;datatable!$C$3&amp;"]"&amp;datatable!$A16&amp;"!"&amp;"I:I"),"Medium Incorrect")</f>
        <v>3</v>
      </c>
      <c r="L21" s="25">
        <f ca="1">COUNTIF(INDIRECT("["&amp;datatable!$C$3&amp;"]"&amp;datatable!$A16&amp;"!"&amp;"I:I"),"High Incorrect")</f>
        <v>3</v>
      </c>
      <c r="M21" s="27">
        <f ca="1">COUNTIF(INDIRECT("["&amp;datatable!$C$3&amp;"]"&amp;datatable!$A16&amp;"!"&amp;"I:I"),"N/A")</f>
        <v>1</v>
      </c>
      <c r="N21" s="29">
        <f t="shared" ca="1" si="0"/>
        <v>18</v>
      </c>
      <c r="O21" s="29">
        <f t="shared" ca="1" si="1"/>
        <v>17</v>
      </c>
    </row>
    <row r="22" spans="3:15">
      <c r="C22" s="5" t="s">
        <v>28</v>
      </c>
      <c r="D22" s="8">
        <f ca="1">COUNTIF(INDIRECT("["&amp;datatable!$C$3&amp;"]"&amp;datatable!$A17&amp;"!"&amp;"I:I"),"High Correct")</f>
        <v>8</v>
      </c>
      <c r="E22" s="11">
        <f ca="1">COUNTIF(INDIRECT("["&amp;datatable!$C$3&amp;"]"&amp;datatable!$A17&amp;"!"&amp;"I:I"),"Medium Correct")</f>
        <v>0</v>
      </c>
      <c r="F22" s="13">
        <f ca="1">COUNTIF(INDIRECT("["&amp;datatable!$C$3&amp;"]"&amp;datatable!$A17&amp;"!"&amp;"I:I"),"Low Correct")</f>
        <v>0</v>
      </c>
      <c r="G22" s="15">
        <f ca="1">COUNTIF(INDIRECT("["&amp;datatable!$C$3&amp;"]"&amp;datatable!$A17&amp;"!"&amp;"I:I"),"High Maybe")</f>
        <v>0</v>
      </c>
      <c r="H22" s="17">
        <f ca="1">COUNTIF(INDIRECT("["&amp;datatable!$C$3&amp;"]"&amp;datatable!$A17&amp;"!"&amp;"I:I"),"Medium Maybe")</f>
        <v>0</v>
      </c>
      <c r="I22" s="19">
        <f ca="1">COUNTIF(INDIRECT("["&amp;datatable!$C$3&amp;"]"&amp;datatable!$A17&amp;"!"&amp;"I:I"),"Low Maybe")</f>
        <v>1</v>
      </c>
      <c r="J22" s="21">
        <f ca="1">COUNTIF(INDIRECT("["&amp;datatable!$C$3&amp;"]"&amp;datatable!$A17&amp;"!"&amp;"I:I"),"Low Incorrect")</f>
        <v>2</v>
      </c>
      <c r="K22" s="23">
        <f ca="1">COUNTIF(INDIRECT("["&amp;datatable!$C$3&amp;"]"&amp;datatable!$A17&amp;"!"&amp;"I:I"),"Medium Incorrect")</f>
        <v>3</v>
      </c>
      <c r="L22" s="25">
        <f ca="1">COUNTIF(INDIRECT("["&amp;datatable!$C$3&amp;"]"&amp;datatable!$A17&amp;"!"&amp;"I:I"),"High Incorrect")</f>
        <v>3</v>
      </c>
      <c r="M22" s="27">
        <f ca="1">COUNTIF(INDIRECT("["&amp;datatable!$C$3&amp;"]"&amp;datatable!$A17&amp;"!"&amp;"I:I"),"N/A")</f>
        <v>1</v>
      </c>
      <c r="N22" s="29">
        <f t="shared" ca="1" si="0"/>
        <v>18</v>
      </c>
      <c r="O22" s="29">
        <f t="shared" ca="1" si="1"/>
        <v>17</v>
      </c>
    </row>
    <row r="23" spans="3:15">
      <c r="C23" s="5" t="s">
        <v>29</v>
      </c>
      <c r="D23" s="8">
        <f ca="1">COUNTIF(INDIRECT("["&amp;datatable!$C$3&amp;"]"&amp;datatable!$A18&amp;"!"&amp;"I:I"),"High Correct")</f>
        <v>5</v>
      </c>
      <c r="E23" s="11">
        <f ca="1">COUNTIF(INDIRECT("["&amp;datatable!$C$3&amp;"]"&amp;datatable!$A18&amp;"!"&amp;"I:I"),"Medium Correct")</f>
        <v>0</v>
      </c>
      <c r="F23" s="13">
        <f ca="1">COUNTIF(INDIRECT("["&amp;datatable!$C$3&amp;"]"&amp;datatable!$A18&amp;"!"&amp;"I:I"),"Low Correct")</f>
        <v>0</v>
      </c>
      <c r="G23" s="15">
        <f ca="1">COUNTIF(INDIRECT("["&amp;datatable!$C$3&amp;"]"&amp;datatable!$A18&amp;"!"&amp;"I:I"),"High Maybe")</f>
        <v>0</v>
      </c>
      <c r="H23" s="17">
        <f ca="1">COUNTIF(INDIRECT("["&amp;datatable!$C$3&amp;"]"&amp;datatable!$A18&amp;"!"&amp;"I:I"),"Medium Maybe")</f>
        <v>0</v>
      </c>
      <c r="I23" s="19">
        <f ca="1">COUNTIF(INDIRECT("["&amp;datatable!$C$3&amp;"]"&amp;datatable!$A18&amp;"!"&amp;"I:I"),"Low Maybe")</f>
        <v>0</v>
      </c>
      <c r="J23" s="21">
        <f ca="1">COUNTIF(INDIRECT("["&amp;datatable!$C$3&amp;"]"&amp;datatable!$A18&amp;"!"&amp;"I:I"),"Low Incorrect")</f>
        <v>1</v>
      </c>
      <c r="K23" s="23">
        <f ca="1">COUNTIF(INDIRECT("["&amp;datatable!$C$3&amp;"]"&amp;datatable!$A18&amp;"!"&amp;"I:I"),"Medium Incorrect")</f>
        <v>3</v>
      </c>
      <c r="L23" s="25">
        <f ca="1">COUNTIF(INDIRECT("["&amp;datatable!$C$3&amp;"]"&amp;datatable!$A18&amp;"!"&amp;"I:I"),"High Incorrect")</f>
        <v>3</v>
      </c>
      <c r="M23" s="27">
        <f ca="1">COUNTIF(INDIRECT("["&amp;datatable!$C$3&amp;"]"&amp;datatable!$A18&amp;"!"&amp;"I:I"),"N/A")</f>
        <v>6</v>
      </c>
      <c r="N23" s="29">
        <f t="shared" ca="1" si="0"/>
        <v>18</v>
      </c>
      <c r="O23" s="29">
        <f t="shared" ca="1" si="1"/>
        <v>12</v>
      </c>
    </row>
    <row r="24" spans="3:15">
      <c r="C24" s="5" t="s">
        <v>30</v>
      </c>
      <c r="D24" s="8">
        <f ca="1">COUNTIF(INDIRECT("["&amp;datatable!$C$3&amp;"]"&amp;datatable!$A19&amp;"!"&amp;"I:I"),"High Correct")</f>
        <v>8</v>
      </c>
      <c r="E24" s="11">
        <f ca="1">COUNTIF(INDIRECT("["&amp;datatable!$C$3&amp;"]"&amp;datatable!$A19&amp;"!"&amp;"I:I"),"Medium Correct")</f>
        <v>1</v>
      </c>
      <c r="F24" s="13">
        <f ca="1">COUNTIF(INDIRECT("["&amp;datatable!$C$3&amp;"]"&amp;datatable!$A19&amp;"!"&amp;"I:I"),"Low Correct")</f>
        <v>0</v>
      </c>
      <c r="G24" s="15">
        <f ca="1">COUNTIF(INDIRECT("["&amp;datatable!$C$3&amp;"]"&amp;datatable!$A19&amp;"!"&amp;"I:I"),"High Maybe")</f>
        <v>1</v>
      </c>
      <c r="H24" s="17">
        <f ca="1">COUNTIF(INDIRECT("["&amp;datatable!$C$3&amp;"]"&amp;datatable!$A19&amp;"!"&amp;"I:I"),"Medium Maybe")</f>
        <v>1</v>
      </c>
      <c r="I24" s="19">
        <f ca="1">COUNTIF(INDIRECT("["&amp;datatable!$C$3&amp;"]"&amp;datatable!$A19&amp;"!"&amp;"I:I"),"Low Maybe")</f>
        <v>1</v>
      </c>
      <c r="J24" s="21">
        <f ca="1">COUNTIF(INDIRECT("["&amp;datatable!$C$3&amp;"]"&amp;datatable!$A19&amp;"!"&amp;"I:I"),"Low Incorrect")</f>
        <v>1</v>
      </c>
      <c r="K24" s="23">
        <f ca="1">COUNTIF(INDIRECT("["&amp;datatable!$C$3&amp;"]"&amp;datatable!$A19&amp;"!"&amp;"I:I"),"Medium Incorrect")</f>
        <v>4</v>
      </c>
      <c r="L24" s="25">
        <f ca="1">COUNTIF(INDIRECT("["&amp;datatable!$C$3&amp;"]"&amp;datatable!$A19&amp;"!"&amp;"I:I"),"High Incorrect")</f>
        <v>1</v>
      </c>
      <c r="M24" s="27">
        <f ca="1">COUNTIF(INDIRECT("["&amp;datatable!$C$3&amp;"]"&amp;datatable!$A19&amp;"!"&amp;"I:I"),"N/A")</f>
        <v>0</v>
      </c>
      <c r="N24" s="29">
        <f t="shared" ca="1" si="0"/>
        <v>18</v>
      </c>
      <c r="O24" s="29">
        <f t="shared" ca="1" si="1"/>
        <v>18</v>
      </c>
    </row>
    <row r="25" spans="3:15">
      <c r="C25" s="5" t="s">
        <v>31</v>
      </c>
      <c r="D25" s="8">
        <f ca="1">COUNTIF(INDIRECT("["&amp;datatable!$C$3&amp;"]"&amp;datatable!$A20&amp;"!"&amp;"I:I"),"High Correct")</f>
        <v>13</v>
      </c>
      <c r="E25" s="11">
        <f ca="1">COUNTIF(INDIRECT("["&amp;datatable!$C$3&amp;"]"&amp;datatable!$A20&amp;"!"&amp;"I:I"),"Medium Correct")</f>
        <v>0</v>
      </c>
      <c r="F25" s="13">
        <f ca="1">COUNTIF(INDIRECT("["&amp;datatable!$C$3&amp;"]"&amp;datatable!$A20&amp;"!"&amp;"I:I"),"Low Correct")</f>
        <v>0</v>
      </c>
      <c r="G25" s="15">
        <f ca="1">COUNTIF(INDIRECT("["&amp;datatable!$C$3&amp;"]"&amp;datatable!$A20&amp;"!"&amp;"I:I"),"High Maybe")</f>
        <v>0</v>
      </c>
      <c r="H25" s="17">
        <f ca="1">COUNTIF(INDIRECT("["&amp;datatable!$C$3&amp;"]"&amp;datatable!$A20&amp;"!"&amp;"I:I"),"Medium Maybe")</f>
        <v>0</v>
      </c>
      <c r="I25" s="19">
        <f ca="1">COUNTIF(INDIRECT("["&amp;datatable!$C$3&amp;"]"&amp;datatable!$A20&amp;"!"&amp;"I:I"),"Low Maybe")</f>
        <v>1</v>
      </c>
      <c r="J25" s="21">
        <f ca="1">COUNTIF(INDIRECT("["&amp;datatable!$C$3&amp;"]"&amp;datatable!$A20&amp;"!"&amp;"I:I"),"Low Incorrect")</f>
        <v>1</v>
      </c>
      <c r="K25" s="23">
        <f ca="1">COUNTIF(INDIRECT("["&amp;datatable!$C$3&amp;"]"&amp;datatable!$A20&amp;"!"&amp;"I:I"),"Medium Incorrect")</f>
        <v>2</v>
      </c>
      <c r="L25" s="25">
        <f ca="1">COUNTIF(INDIRECT("["&amp;datatable!$C$3&amp;"]"&amp;datatable!$A20&amp;"!"&amp;"I:I"),"High Incorrect")</f>
        <v>1</v>
      </c>
      <c r="M25" s="27">
        <f ca="1">COUNTIF(INDIRECT("["&amp;datatable!$C$3&amp;"]"&amp;datatable!$A20&amp;"!"&amp;"I:I"),"N/A")</f>
        <v>0</v>
      </c>
      <c r="N25" s="29">
        <f t="shared" ca="1" si="0"/>
        <v>18</v>
      </c>
      <c r="O25" s="29">
        <f t="shared" ca="1" si="1"/>
        <v>18</v>
      </c>
    </row>
    <row r="26" spans="3:15">
      <c r="C26" s="5" t="s">
        <v>32</v>
      </c>
      <c r="D26" s="8">
        <f ca="1">COUNTIF(INDIRECT("["&amp;datatable!$C$3&amp;"]"&amp;datatable!$A21&amp;"!"&amp;"I:I"),"High Correct")</f>
        <v>2</v>
      </c>
      <c r="E26" s="11">
        <f ca="1">COUNTIF(INDIRECT("["&amp;datatable!$C$3&amp;"]"&amp;datatable!$A21&amp;"!"&amp;"I:I"),"Medium Correct")</f>
        <v>0</v>
      </c>
      <c r="F26" s="13">
        <f ca="1">COUNTIF(INDIRECT("["&amp;datatable!$C$3&amp;"]"&amp;datatable!$A21&amp;"!"&amp;"I:I"),"Low Correct")</f>
        <v>0</v>
      </c>
      <c r="G26" s="15">
        <f ca="1">COUNTIF(INDIRECT("["&amp;datatable!$C$3&amp;"]"&amp;datatable!$A21&amp;"!"&amp;"I:I"),"High Maybe")</f>
        <v>0</v>
      </c>
      <c r="H26" s="17">
        <f ca="1">COUNTIF(INDIRECT("["&amp;datatable!$C$3&amp;"]"&amp;datatable!$A21&amp;"!"&amp;"I:I"),"Medium Maybe")</f>
        <v>1</v>
      </c>
      <c r="I26" s="19">
        <f ca="1">COUNTIF(INDIRECT("["&amp;datatable!$C$3&amp;"]"&amp;datatable!$A21&amp;"!"&amp;"I:I"),"Low Maybe")</f>
        <v>3</v>
      </c>
      <c r="J26" s="21">
        <f ca="1">COUNTIF(INDIRECT("["&amp;datatable!$C$3&amp;"]"&amp;datatable!$A21&amp;"!"&amp;"I:I"),"Low Incorrect")</f>
        <v>4</v>
      </c>
      <c r="K26" s="23">
        <f ca="1">COUNTIF(INDIRECT("["&amp;datatable!$C$3&amp;"]"&amp;datatable!$A21&amp;"!"&amp;"I:I"),"Medium Incorrect")</f>
        <v>3</v>
      </c>
      <c r="L26" s="25">
        <f ca="1">COUNTIF(INDIRECT("["&amp;datatable!$C$3&amp;"]"&amp;datatable!$A21&amp;"!"&amp;"I:I"),"High Incorrect")</f>
        <v>4</v>
      </c>
      <c r="M26" s="27">
        <f ca="1">COUNTIF(INDIRECT("["&amp;datatable!$C$3&amp;"]"&amp;datatable!$A21&amp;"!"&amp;"I:I"),"N/A")</f>
        <v>1</v>
      </c>
      <c r="N26" s="29">
        <f t="shared" ca="1" si="0"/>
        <v>18</v>
      </c>
      <c r="O26" s="29">
        <f t="shared" ca="1" si="1"/>
        <v>17</v>
      </c>
    </row>
    <row r="27" spans="3:15">
      <c r="C27" s="5" t="s">
        <v>33</v>
      </c>
      <c r="D27" s="8">
        <f ca="1">COUNTIF(INDIRECT("["&amp;datatable!$C$3&amp;"]"&amp;datatable!$A22&amp;"!"&amp;"I:I"),"High Correct")</f>
        <v>4</v>
      </c>
      <c r="E27" s="11">
        <f ca="1">COUNTIF(INDIRECT("["&amp;datatable!$C$3&amp;"]"&amp;datatable!$A22&amp;"!"&amp;"I:I"),"Medium Correct")</f>
        <v>1</v>
      </c>
      <c r="F27" s="13">
        <f ca="1">COUNTIF(INDIRECT("["&amp;datatable!$C$3&amp;"]"&amp;datatable!$A22&amp;"!"&amp;"I:I"),"Low Correct")</f>
        <v>0</v>
      </c>
      <c r="G27" s="15">
        <f ca="1">COUNTIF(INDIRECT("["&amp;datatable!$C$3&amp;"]"&amp;datatable!$A22&amp;"!"&amp;"I:I"),"High Maybe")</f>
        <v>0</v>
      </c>
      <c r="H27" s="17">
        <f ca="1">COUNTIF(INDIRECT("["&amp;datatable!$C$3&amp;"]"&amp;datatable!$A22&amp;"!"&amp;"I:I"),"Medium Maybe")</f>
        <v>0</v>
      </c>
      <c r="I27" s="19">
        <f ca="1">COUNTIF(INDIRECT("["&amp;datatable!$C$3&amp;"]"&amp;datatable!$A22&amp;"!"&amp;"I:I"),"Low Maybe")</f>
        <v>0</v>
      </c>
      <c r="J27" s="21">
        <f ca="1">COUNTIF(INDIRECT("["&amp;datatable!$C$3&amp;"]"&amp;datatable!$A22&amp;"!"&amp;"I:I"),"Low Incorrect")</f>
        <v>1</v>
      </c>
      <c r="K27" s="23">
        <f ca="1">COUNTIF(INDIRECT("["&amp;datatable!$C$3&amp;"]"&amp;datatable!$A22&amp;"!"&amp;"I:I"),"Medium Incorrect")</f>
        <v>2</v>
      </c>
      <c r="L27" s="25">
        <f ca="1">COUNTIF(INDIRECT("["&amp;datatable!$C$3&amp;"]"&amp;datatable!$A22&amp;"!"&amp;"I:I"),"High Incorrect")</f>
        <v>2</v>
      </c>
      <c r="M27" s="27">
        <f ca="1">COUNTIF(INDIRECT("["&amp;datatable!$C$3&amp;"]"&amp;datatable!$A22&amp;"!"&amp;"I:I"),"N/A")</f>
        <v>8</v>
      </c>
      <c r="N27" s="29">
        <f t="shared" ca="1" si="0"/>
        <v>18</v>
      </c>
      <c r="O27" s="29">
        <f t="shared" ca="1" si="1"/>
        <v>10</v>
      </c>
    </row>
    <row r="28" spans="3:15">
      <c r="C28" s="6" t="s">
        <v>34</v>
      </c>
      <c r="D28" s="9">
        <f t="shared" ref="D28:M28" ca="1" si="2">SUM(D7:D27)</f>
        <v>129</v>
      </c>
      <c r="E28" s="9">
        <f t="shared" ca="1" si="2"/>
        <v>19</v>
      </c>
      <c r="F28" s="9">
        <f t="shared" ca="1" si="2"/>
        <v>8</v>
      </c>
      <c r="G28" s="9">
        <f t="shared" ca="1" si="2"/>
        <v>23</v>
      </c>
      <c r="H28" s="9">
        <f t="shared" ca="1" si="2"/>
        <v>11</v>
      </c>
      <c r="I28" s="9">
        <f t="shared" ca="1" si="2"/>
        <v>23</v>
      </c>
      <c r="J28" s="9">
        <f t="shared" ca="1" si="2"/>
        <v>39</v>
      </c>
      <c r="K28" s="9">
        <f t="shared" ca="1" si="2"/>
        <v>60</v>
      </c>
      <c r="L28" s="9">
        <f t="shared" ca="1" si="2"/>
        <v>42</v>
      </c>
      <c r="M28" s="9">
        <f t="shared" ca="1" si="2"/>
        <v>24</v>
      </c>
      <c r="N28" s="29">
        <f t="shared" ca="1" si="0"/>
        <v>378</v>
      </c>
      <c r="O28" s="29">
        <f t="shared" ca="1" si="1"/>
        <v>354</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f ca="1">COUNTIF(INDIRECT("["&amp;datatable!$C$3&amp;"]"&amp;datatable!$B2&amp;"!"&amp;"I:I"),"High Correct")</f>
        <v>9</v>
      </c>
      <c r="E32" s="11">
        <f ca="1">COUNTIF(INDIRECT("["&amp;datatable!$C$3&amp;"]"&amp;datatable!$B2&amp;"!"&amp;"I:I"),"Medium Correct")</f>
        <v>1</v>
      </c>
      <c r="F32" s="13">
        <f ca="1">COUNTIF(INDIRECT("["&amp;datatable!$C$3&amp;"]"&amp;datatable!$B2&amp;"!"&amp;"I:I"),"Low Correct")</f>
        <v>0</v>
      </c>
      <c r="G32" s="15">
        <f ca="1">COUNTIF(INDIRECT("["&amp;datatable!$C$3&amp;"]"&amp;datatable!$B2&amp;"!"&amp;"I:I"),"High Maybe")</f>
        <v>1</v>
      </c>
      <c r="H32" s="17">
        <f ca="1">COUNTIF(INDIRECT("["&amp;datatable!$C$3&amp;"]"&amp;datatable!$B2&amp;"!"&amp;"I:I"),"Medium Maybe")</f>
        <v>1</v>
      </c>
      <c r="I32" s="19">
        <f ca="1">COUNTIF(INDIRECT("["&amp;datatable!$C$3&amp;"]"&amp;datatable!$B2&amp;"!"&amp;"I:I"),"Low Maybe")</f>
        <v>2</v>
      </c>
      <c r="J32" s="21">
        <f ca="1">COUNTIF(INDIRECT("["&amp;datatable!$C$3&amp;"]"&amp;datatable!$B2&amp;"!"&amp;"I:I"),"Low Incorrect")</f>
        <v>2</v>
      </c>
      <c r="K32" s="23">
        <f ca="1">COUNTIF(INDIRECT("["&amp;datatable!$C$3&amp;"]"&amp;datatable!$B2&amp;"!"&amp;"I:I"),"Medium Incorrect")</f>
        <v>2</v>
      </c>
      <c r="L32" s="25">
        <f ca="1">COUNTIF(INDIRECT("["&amp;datatable!$C$3&amp;"]"&amp;datatable!$B2&amp;"!"&amp;"I:I"),"High Incorrect")</f>
        <v>0</v>
      </c>
      <c r="M32" s="27">
        <f ca="1">COUNTIF(INDIRECT("["&amp;datatable!$C$3&amp;"]"&amp;datatable!$B2&amp;"!"&amp;"I:I"),"N/A")</f>
        <v>3</v>
      </c>
      <c r="N32" s="43">
        <f t="shared" ref="N32:N47" ca="1" si="3">SUM(D32:M32)</f>
        <v>21</v>
      </c>
      <c r="O32" s="43">
        <f t="shared" ref="O32:O47" ca="1" si="4">SUM(D32:L32)</f>
        <v>18</v>
      </c>
    </row>
    <row r="33" spans="3:15">
      <c r="C33" s="44" t="s">
        <v>38</v>
      </c>
      <c r="D33" s="8">
        <f ca="1">COUNTIF(INDIRECT("["&amp;datatable!$C$3&amp;"]"&amp;datatable!$B3&amp;"!"&amp;"I:I"),"High Correct")</f>
        <v>9</v>
      </c>
      <c r="E33" s="11">
        <f ca="1">COUNTIF(INDIRECT("["&amp;datatable!$C$3&amp;"]"&amp;datatable!$B3&amp;"!"&amp;"I:I"),"Medium Correct")</f>
        <v>4</v>
      </c>
      <c r="F33" s="13">
        <f ca="1">COUNTIF(INDIRECT("["&amp;datatable!$C$3&amp;"]"&amp;datatable!$B3&amp;"!"&amp;"I:I"),"Low Correct")</f>
        <v>1</v>
      </c>
      <c r="G33" s="15">
        <f ca="1">COUNTIF(INDIRECT("["&amp;datatable!$C$3&amp;"]"&amp;datatable!$B3&amp;"!"&amp;"I:I"),"High Maybe")</f>
        <v>1</v>
      </c>
      <c r="H33" s="17">
        <f ca="1">COUNTIF(INDIRECT("["&amp;datatable!$C$3&amp;"]"&amp;datatable!$B3&amp;"!"&amp;"I:I"),"Medium Maybe")</f>
        <v>0</v>
      </c>
      <c r="I33" s="19">
        <f ca="1">COUNTIF(INDIRECT("["&amp;datatable!$C$3&amp;"]"&amp;datatable!$B3&amp;"!"&amp;"I:I"),"Low Maybe")</f>
        <v>1</v>
      </c>
      <c r="J33" s="21">
        <f ca="1">COUNTIF(INDIRECT("["&amp;datatable!$C$3&amp;"]"&amp;datatable!$B3&amp;"!"&amp;"I:I"),"Low Incorrect")</f>
        <v>1</v>
      </c>
      <c r="K33" s="23">
        <f ca="1">COUNTIF(INDIRECT("["&amp;datatable!$C$3&amp;"]"&amp;datatable!$B3&amp;"!"&amp;"I:I"),"Medium Incorrect")</f>
        <v>4</v>
      </c>
      <c r="L33" s="25">
        <f ca="1">COUNTIF(INDIRECT("["&amp;datatable!$C$3&amp;"]"&amp;datatable!$B3&amp;"!"&amp;"I:I"),"High Incorrect")</f>
        <v>0</v>
      </c>
      <c r="M33" s="27">
        <f ca="1">COUNTIF(INDIRECT("["&amp;datatable!$C$3&amp;"]"&amp;datatable!$B3&amp;"!"&amp;"I:I"),"N/A")</f>
        <v>0</v>
      </c>
      <c r="N33" s="43">
        <f t="shared" ca="1" si="3"/>
        <v>21</v>
      </c>
      <c r="O33" s="43">
        <f t="shared" ca="1" si="4"/>
        <v>21</v>
      </c>
    </row>
    <row r="34" spans="3:15">
      <c r="C34" s="44" t="s">
        <v>39</v>
      </c>
      <c r="D34" s="8">
        <f ca="1">COUNTIF(INDIRECT("["&amp;datatable!$C$3&amp;"]"&amp;datatable!$B4&amp;"!"&amp;"I:I"),"High Correct")</f>
        <v>14</v>
      </c>
      <c r="E34" s="11">
        <f ca="1">COUNTIF(INDIRECT("["&amp;datatable!$C$3&amp;"]"&amp;datatable!$B4&amp;"!"&amp;"I:I"),"Medium Correct")</f>
        <v>1</v>
      </c>
      <c r="F34" s="13">
        <f ca="1">COUNTIF(INDIRECT("["&amp;datatable!$C$3&amp;"]"&amp;datatable!$B4&amp;"!"&amp;"I:I"),"Low Correct")</f>
        <v>0</v>
      </c>
      <c r="G34" s="15">
        <f ca="1">COUNTIF(INDIRECT("["&amp;datatable!$C$3&amp;"]"&amp;datatable!$B4&amp;"!"&amp;"I:I"),"High Maybe")</f>
        <v>0</v>
      </c>
      <c r="H34" s="17">
        <f ca="1">COUNTIF(INDIRECT("["&amp;datatable!$C$3&amp;"]"&amp;datatable!$B4&amp;"!"&amp;"I:I"),"Medium Maybe")</f>
        <v>0</v>
      </c>
      <c r="I34" s="19">
        <f ca="1">COUNTIF(INDIRECT("["&amp;datatable!$C$3&amp;"]"&amp;datatable!$B4&amp;"!"&amp;"I:I"),"Low Maybe")</f>
        <v>1</v>
      </c>
      <c r="J34" s="21">
        <f ca="1">COUNTIF(INDIRECT("["&amp;datatable!$C$3&amp;"]"&amp;datatable!$B4&amp;"!"&amp;"I:I"),"Low Incorrect")</f>
        <v>1</v>
      </c>
      <c r="K34" s="23">
        <f ca="1">COUNTIF(INDIRECT("["&amp;datatable!$C$3&amp;"]"&amp;datatable!$B4&amp;"!"&amp;"I:I"),"Medium Incorrect")</f>
        <v>1</v>
      </c>
      <c r="L34" s="25">
        <f ca="1">COUNTIF(INDIRECT("["&amp;datatable!$C$3&amp;"]"&amp;datatable!$B4&amp;"!"&amp;"I:I"),"High Incorrect")</f>
        <v>1</v>
      </c>
      <c r="M34" s="27">
        <f ca="1">COUNTIF(INDIRECT("["&amp;datatable!$C$3&amp;"]"&amp;datatable!$B4&amp;"!"&amp;"I:I"),"N/A")</f>
        <v>2</v>
      </c>
      <c r="N34" s="43">
        <f t="shared" ca="1" si="3"/>
        <v>21</v>
      </c>
      <c r="O34" s="43">
        <f t="shared" ca="1" si="4"/>
        <v>19</v>
      </c>
    </row>
    <row r="35" spans="3:15">
      <c r="C35" s="44" t="s">
        <v>40</v>
      </c>
      <c r="D35" s="8">
        <f ca="1">COUNTIF(INDIRECT("["&amp;datatable!$C$3&amp;"]"&amp;datatable!$B5&amp;"!"&amp;"I:I"),"High Correct")</f>
        <v>6</v>
      </c>
      <c r="E35" s="11">
        <f ca="1">COUNTIF(INDIRECT("["&amp;datatable!$C$3&amp;"]"&amp;datatable!$B5&amp;"!"&amp;"I:I"),"Medium Correct")</f>
        <v>1</v>
      </c>
      <c r="F35" s="13">
        <f ca="1">COUNTIF(INDIRECT("["&amp;datatable!$C$3&amp;"]"&amp;datatable!$B5&amp;"!"&amp;"I:I"),"Low Correct")</f>
        <v>0</v>
      </c>
      <c r="G35" s="15">
        <f ca="1">COUNTIF(INDIRECT("["&amp;datatable!$C$3&amp;"]"&amp;datatable!$B5&amp;"!"&amp;"I:I"),"High Maybe")</f>
        <v>3</v>
      </c>
      <c r="H35" s="17">
        <f ca="1">COUNTIF(INDIRECT("["&amp;datatable!$C$3&amp;"]"&amp;datatable!$B5&amp;"!"&amp;"I:I"),"Medium Maybe")</f>
        <v>1</v>
      </c>
      <c r="I35" s="19">
        <f ca="1">COUNTIF(INDIRECT("["&amp;datatable!$C$3&amp;"]"&amp;datatable!$B5&amp;"!"&amp;"I:I"),"Low Maybe")</f>
        <v>0</v>
      </c>
      <c r="J35" s="21">
        <f ca="1">COUNTIF(INDIRECT("["&amp;datatable!$C$3&amp;"]"&amp;datatable!$B5&amp;"!"&amp;"I:I"),"Low Incorrect")</f>
        <v>4</v>
      </c>
      <c r="K35" s="23">
        <f ca="1">COUNTIF(INDIRECT("["&amp;datatable!$C$3&amp;"]"&amp;datatable!$B5&amp;"!"&amp;"I:I"),"Medium Incorrect")</f>
        <v>6</v>
      </c>
      <c r="L35" s="25">
        <f ca="1">COUNTIF(INDIRECT("["&amp;datatable!$C$3&amp;"]"&amp;datatable!$B5&amp;"!"&amp;"I:I"),"High Incorrect")</f>
        <v>0</v>
      </c>
      <c r="M35" s="27">
        <f ca="1">COUNTIF(INDIRECT("["&amp;datatable!$C$3&amp;"]"&amp;datatable!$B5&amp;"!"&amp;"I:I"),"N/A")</f>
        <v>0</v>
      </c>
      <c r="N35" s="43">
        <f t="shared" ca="1" si="3"/>
        <v>21</v>
      </c>
      <c r="O35" s="43">
        <f t="shared" ca="1" si="4"/>
        <v>21</v>
      </c>
    </row>
    <row r="36" spans="3:15">
      <c r="C36" s="44" t="s">
        <v>41</v>
      </c>
      <c r="D36" s="8">
        <f ca="1">COUNTIF(INDIRECT("["&amp;datatable!$C$3&amp;"]"&amp;datatable!$B6&amp;"!"&amp;"I:I"),"High Correct")</f>
        <v>2</v>
      </c>
      <c r="E36" s="11">
        <f ca="1">COUNTIF(INDIRECT("["&amp;datatable!$C$3&amp;"]"&amp;datatable!$B6&amp;"!"&amp;"I:I"),"Medium Correct")</f>
        <v>0</v>
      </c>
      <c r="F36" s="13">
        <f ca="1">COUNTIF(INDIRECT("["&amp;datatable!$C$3&amp;"]"&amp;datatable!$B6&amp;"!"&amp;"I:I"),"Low Correct")</f>
        <v>0</v>
      </c>
      <c r="G36" s="15">
        <f ca="1">COUNTIF(INDIRECT("["&amp;datatable!$C$3&amp;"]"&amp;datatable!$B6&amp;"!"&amp;"I:I"),"High Maybe")</f>
        <v>3</v>
      </c>
      <c r="H36" s="17">
        <f ca="1">COUNTIF(INDIRECT("["&amp;datatable!$C$3&amp;"]"&amp;datatable!$B6&amp;"!"&amp;"I:I"),"Medium Maybe")</f>
        <v>1</v>
      </c>
      <c r="I36" s="19">
        <f ca="1">COUNTIF(INDIRECT("["&amp;datatable!$C$3&amp;"]"&amp;datatable!$B6&amp;"!"&amp;"I:I"),"Low Maybe")</f>
        <v>2</v>
      </c>
      <c r="J36" s="21">
        <f ca="1">COUNTIF(INDIRECT("["&amp;datatable!$C$3&amp;"]"&amp;datatable!$B6&amp;"!"&amp;"I:I"),"Low Incorrect")</f>
        <v>3</v>
      </c>
      <c r="K36" s="23">
        <f ca="1">COUNTIF(INDIRECT("["&amp;datatable!$C$3&amp;"]"&amp;datatable!$B6&amp;"!"&amp;"I:I"),"Medium Incorrect")</f>
        <v>5</v>
      </c>
      <c r="L36" s="25">
        <f ca="1">COUNTIF(INDIRECT("["&amp;datatable!$C$3&amp;"]"&amp;datatable!$B6&amp;"!"&amp;"I:I"),"High Incorrect")</f>
        <v>4</v>
      </c>
      <c r="M36" s="27">
        <f ca="1">COUNTIF(INDIRECT("["&amp;datatable!$C$3&amp;"]"&amp;datatable!$B6&amp;"!"&amp;"I:I"),"N/A")</f>
        <v>1</v>
      </c>
      <c r="N36" s="43">
        <f t="shared" ca="1" si="3"/>
        <v>21</v>
      </c>
      <c r="O36" s="43">
        <f t="shared" ca="1" si="4"/>
        <v>20</v>
      </c>
    </row>
    <row r="37" spans="3:15">
      <c r="C37" s="44" t="s">
        <v>42</v>
      </c>
      <c r="D37" s="8">
        <f ca="1">COUNTIF(INDIRECT("["&amp;datatable!$C$3&amp;"]"&amp;datatable!$B7&amp;"!"&amp;"I:I"),"High Correct")</f>
        <v>9</v>
      </c>
      <c r="E37" s="11">
        <f ca="1">COUNTIF(INDIRECT("["&amp;datatable!$C$3&amp;"]"&amp;datatable!$B7&amp;"!"&amp;"I:I"),"Medium Correct")</f>
        <v>2</v>
      </c>
      <c r="F37" s="13">
        <f ca="1">COUNTIF(INDIRECT("["&amp;datatable!$C$3&amp;"]"&amp;datatable!$B7&amp;"!"&amp;"I:I"),"Low Correct")</f>
        <v>0</v>
      </c>
      <c r="G37" s="15">
        <f ca="1">COUNTIF(INDIRECT("["&amp;datatable!$C$3&amp;"]"&amp;datatable!$B7&amp;"!"&amp;"I:I"),"High Maybe")</f>
        <v>0</v>
      </c>
      <c r="H37" s="17">
        <f ca="1">COUNTIF(INDIRECT("["&amp;datatable!$C$3&amp;"]"&amp;datatable!$B7&amp;"!"&amp;"I:I"),"Medium Maybe")</f>
        <v>0</v>
      </c>
      <c r="I37" s="19">
        <f ca="1">COUNTIF(INDIRECT("["&amp;datatable!$C$3&amp;"]"&amp;datatable!$B7&amp;"!"&amp;"I:I"),"Low Maybe")</f>
        <v>1</v>
      </c>
      <c r="J37" s="21">
        <f ca="1">COUNTIF(INDIRECT("["&amp;datatable!$C$3&amp;"]"&amp;datatable!$B7&amp;"!"&amp;"I:I"),"Low Incorrect")</f>
        <v>0</v>
      </c>
      <c r="K37" s="23">
        <f ca="1">COUNTIF(INDIRECT("["&amp;datatable!$C$3&amp;"]"&amp;datatable!$B7&amp;"!"&amp;"I:I"),"Medium Incorrect")</f>
        <v>0</v>
      </c>
      <c r="L37" s="25">
        <f ca="1">COUNTIF(INDIRECT("["&amp;datatable!$C$3&amp;"]"&amp;datatable!$B7&amp;"!"&amp;"I:I"),"High Incorrect")</f>
        <v>0</v>
      </c>
      <c r="M37" s="27">
        <f ca="1">COUNTIF(INDIRECT("["&amp;datatable!$C$3&amp;"]"&amp;datatable!$B7&amp;"!"&amp;"I:I"),"N/A")</f>
        <v>9</v>
      </c>
      <c r="N37" s="43">
        <f t="shared" ca="1" si="3"/>
        <v>21</v>
      </c>
      <c r="O37" s="43">
        <f t="shared" ca="1" si="4"/>
        <v>12</v>
      </c>
    </row>
    <row r="38" spans="3:15">
      <c r="C38" s="44" t="s">
        <v>43</v>
      </c>
      <c r="D38" s="8">
        <f ca="1">COUNTIF(INDIRECT("["&amp;datatable!$C$3&amp;"]"&amp;datatable!$B8&amp;"!"&amp;"I:I"),"High Correct")</f>
        <v>11</v>
      </c>
      <c r="E38" s="11">
        <f ca="1">COUNTIF(INDIRECT("["&amp;datatable!$C$3&amp;"]"&amp;datatable!$B8&amp;"!"&amp;"I:I"),"Medium Correct")</f>
        <v>1</v>
      </c>
      <c r="F38" s="13">
        <f ca="1">COUNTIF(INDIRECT("["&amp;datatable!$C$3&amp;"]"&amp;datatable!$B8&amp;"!"&amp;"I:I"),"Low Correct")</f>
        <v>0</v>
      </c>
      <c r="G38" s="15">
        <f ca="1">COUNTIF(INDIRECT("["&amp;datatable!$C$3&amp;"]"&amp;datatable!$B8&amp;"!"&amp;"I:I"),"High Maybe")</f>
        <v>1</v>
      </c>
      <c r="H38" s="17">
        <f ca="1">COUNTIF(INDIRECT("["&amp;datatable!$C$3&amp;"]"&amp;datatable!$B8&amp;"!"&amp;"I:I"),"Medium Maybe")</f>
        <v>0</v>
      </c>
      <c r="I38" s="19">
        <f ca="1">COUNTIF(INDIRECT("["&amp;datatable!$C$3&amp;"]"&amp;datatable!$B8&amp;"!"&amp;"I:I"),"Low Maybe")</f>
        <v>0</v>
      </c>
      <c r="J38" s="21">
        <f ca="1">COUNTIF(INDIRECT("["&amp;datatable!$C$3&amp;"]"&amp;datatable!$B8&amp;"!"&amp;"I:I"),"Low Incorrect")</f>
        <v>1</v>
      </c>
      <c r="K38" s="23">
        <f ca="1">COUNTIF(INDIRECT("["&amp;datatable!$C$3&amp;"]"&amp;datatable!$B8&amp;"!"&amp;"I:I"),"Medium Incorrect")</f>
        <v>3</v>
      </c>
      <c r="L38" s="25">
        <f ca="1">COUNTIF(INDIRECT("["&amp;datatable!$C$3&amp;"]"&amp;datatable!$B8&amp;"!"&amp;"I:I"),"High Incorrect")</f>
        <v>2</v>
      </c>
      <c r="M38" s="27">
        <f ca="1">COUNTIF(INDIRECT("["&amp;datatable!$C$3&amp;"]"&amp;datatable!$B8&amp;"!"&amp;"I:I"),"N/A")</f>
        <v>2</v>
      </c>
      <c r="N38" s="43">
        <f t="shared" ca="1" si="3"/>
        <v>21</v>
      </c>
      <c r="O38" s="43">
        <f t="shared" ca="1" si="4"/>
        <v>19</v>
      </c>
    </row>
    <row r="39" spans="3:15">
      <c r="C39" s="44" t="s">
        <v>44</v>
      </c>
      <c r="D39" s="8">
        <f ca="1">COUNTIF(INDIRECT("["&amp;datatable!$C$3&amp;"]"&amp;datatable!$B9&amp;"!"&amp;"I:I"),"High Correct")</f>
        <v>15</v>
      </c>
      <c r="E39" s="11">
        <f ca="1">COUNTIF(INDIRECT("["&amp;datatable!$C$3&amp;"]"&amp;datatable!$B9&amp;"!"&amp;"I:I"),"Medium Correct")</f>
        <v>2</v>
      </c>
      <c r="F39" s="13">
        <f ca="1">COUNTIF(INDIRECT("["&amp;datatable!$C$3&amp;"]"&amp;datatable!$B9&amp;"!"&amp;"I:I"),"Low Correct")</f>
        <v>0</v>
      </c>
      <c r="G39" s="15">
        <f ca="1">COUNTIF(INDIRECT("["&amp;datatable!$C$3&amp;"]"&amp;datatable!$B9&amp;"!"&amp;"I:I"),"High Maybe")</f>
        <v>3</v>
      </c>
      <c r="H39" s="17">
        <f ca="1">COUNTIF(INDIRECT("["&amp;datatable!$C$3&amp;"]"&amp;datatable!$B9&amp;"!"&amp;"I:I"),"Medium Maybe")</f>
        <v>0</v>
      </c>
      <c r="I39" s="19">
        <f ca="1">COUNTIF(INDIRECT("["&amp;datatable!$C$3&amp;"]"&amp;datatable!$B9&amp;"!"&amp;"I:I"),"Low Maybe")</f>
        <v>0</v>
      </c>
      <c r="J39" s="21">
        <f ca="1">COUNTIF(INDIRECT("["&amp;datatable!$C$3&amp;"]"&amp;datatable!$B9&amp;"!"&amp;"I:I"),"Low Incorrect")</f>
        <v>0</v>
      </c>
      <c r="K39" s="23">
        <f ca="1">COUNTIF(INDIRECT("["&amp;datatable!$C$3&amp;"]"&amp;datatable!$B9&amp;"!"&amp;"I:I"),"Medium Incorrect")</f>
        <v>0</v>
      </c>
      <c r="L39" s="25">
        <f ca="1">COUNTIF(INDIRECT("["&amp;datatable!$C$3&amp;"]"&amp;datatable!$B9&amp;"!"&amp;"I:I"),"High Incorrect")</f>
        <v>0</v>
      </c>
      <c r="M39" s="27">
        <f ca="1">COUNTIF(INDIRECT("["&amp;datatable!$C$3&amp;"]"&amp;datatable!$B9&amp;"!"&amp;"I:I"),"N/A")</f>
        <v>1</v>
      </c>
      <c r="N39" s="43">
        <f t="shared" ca="1" si="3"/>
        <v>21</v>
      </c>
      <c r="O39" s="43">
        <f t="shared" ca="1" si="4"/>
        <v>20</v>
      </c>
    </row>
    <row r="40" spans="3:15">
      <c r="C40" s="44" t="s">
        <v>45</v>
      </c>
      <c r="D40" s="8">
        <f ca="1">COUNTIF(INDIRECT("["&amp;datatable!$C$3&amp;"]"&amp;datatable!$B10&amp;"!"&amp;"I:I"),"High Correct")</f>
        <v>3</v>
      </c>
      <c r="E40" s="11">
        <f ca="1">COUNTIF(INDIRECT("["&amp;datatable!$C$3&amp;"]"&amp;datatable!$B10&amp;"!"&amp;"I:I"),"Medium Correct")</f>
        <v>1</v>
      </c>
      <c r="F40" s="13">
        <f ca="1">COUNTIF(INDIRECT("["&amp;datatable!$C$3&amp;"]"&amp;datatable!$B10&amp;"!"&amp;"I:I"),"Low Correct")</f>
        <v>0</v>
      </c>
      <c r="G40" s="15">
        <f ca="1">COUNTIF(INDIRECT("["&amp;datatable!$C$3&amp;"]"&amp;datatable!$B10&amp;"!"&amp;"I:I"),"High Maybe")</f>
        <v>0</v>
      </c>
      <c r="H40" s="17">
        <f ca="1">COUNTIF(INDIRECT("["&amp;datatable!$C$3&amp;"]"&amp;datatable!$B10&amp;"!"&amp;"I:I"),"Medium Maybe")</f>
        <v>0</v>
      </c>
      <c r="I40" s="19">
        <f ca="1">COUNTIF(INDIRECT("["&amp;datatable!$C$3&amp;"]"&amp;datatable!$B10&amp;"!"&amp;"I:I"),"Low Maybe")</f>
        <v>4</v>
      </c>
      <c r="J40" s="21">
        <f ca="1">COUNTIF(INDIRECT("["&amp;datatable!$C$3&amp;"]"&amp;datatable!$B10&amp;"!"&amp;"I:I"),"Low Incorrect")</f>
        <v>3</v>
      </c>
      <c r="K40" s="23">
        <f ca="1">COUNTIF(INDIRECT("["&amp;datatable!$C$3&amp;"]"&amp;datatable!$B10&amp;"!"&amp;"I:I"),"Medium Incorrect")</f>
        <v>7</v>
      </c>
      <c r="L40" s="25">
        <f ca="1">COUNTIF(INDIRECT("["&amp;datatable!$C$3&amp;"]"&amp;datatable!$B10&amp;"!"&amp;"I:I"),"High Incorrect")</f>
        <v>1</v>
      </c>
      <c r="M40" s="27">
        <f ca="1">COUNTIF(INDIRECT("["&amp;datatable!$C$3&amp;"]"&amp;datatable!$B10&amp;"!"&amp;"I:I"),"N/A")</f>
        <v>2</v>
      </c>
      <c r="N40" s="43">
        <f t="shared" ca="1" si="3"/>
        <v>21</v>
      </c>
      <c r="O40" s="43">
        <f t="shared" ca="1" si="4"/>
        <v>19</v>
      </c>
    </row>
    <row r="41" spans="3:15">
      <c r="C41" s="44" t="s">
        <v>46</v>
      </c>
      <c r="D41" s="8">
        <f ca="1">COUNTIF(INDIRECT("["&amp;datatable!$C$3&amp;"]"&amp;datatable!$B11&amp;"!"&amp;"I:I"),"High Correct")</f>
        <v>5</v>
      </c>
      <c r="E41" s="11">
        <f ca="1">COUNTIF(INDIRECT("["&amp;datatable!$C$3&amp;"]"&amp;datatable!$B11&amp;"!"&amp;"I:I"),"Medium Correct")</f>
        <v>0</v>
      </c>
      <c r="F41" s="13">
        <f ca="1">COUNTIF(INDIRECT("["&amp;datatable!$C$3&amp;"]"&amp;datatable!$B11&amp;"!"&amp;"I:I"),"Low Correct")</f>
        <v>1</v>
      </c>
      <c r="G41" s="15">
        <f ca="1">COUNTIF(INDIRECT("["&amp;datatable!$C$3&amp;"]"&amp;datatable!$B11&amp;"!"&amp;"I:I"),"High Maybe")</f>
        <v>1</v>
      </c>
      <c r="H41" s="17">
        <f ca="1">COUNTIF(INDIRECT("["&amp;datatable!$C$3&amp;"]"&amp;datatable!$B11&amp;"!"&amp;"I:I"),"Medium Maybe")</f>
        <v>1</v>
      </c>
      <c r="I41" s="19">
        <f ca="1">COUNTIF(INDIRECT("["&amp;datatable!$C$3&amp;"]"&amp;datatable!$B11&amp;"!"&amp;"I:I"),"Low Maybe")</f>
        <v>2</v>
      </c>
      <c r="J41" s="21">
        <f ca="1">COUNTIF(INDIRECT("["&amp;datatable!$C$3&amp;"]"&amp;datatable!$B11&amp;"!"&amp;"I:I"),"Low Incorrect")</f>
        <v>3</v>
      </c>
      <c r="K41" s="23">
        <f ca="1">COUNTIF(INDIRECT("["&amp;datatable!$C$3&amp;"]"&amp;datatable!$B11&amp;"!"&amp;"I:I"),"Medium Incorrect")</f>
        <v>7</v>
      </c>
      <c r="L41" s="25">
        <f ca="1">COUNTIF(INDIRECT("["&amp;datatable!$C$3&amp;"]"&amp;datatable!$B11&amp;"!"&amp;"I:I"),"High Incorrect")</f>
        <v>1</v>
      </c>
      <c r="M41" s="27">
        <f ca="1">COUNTIF(INDIRECT("["&amp;datatable!$C$3&amp;"]"&amp;datatable!$B11&amp;"!"&amp;"I:I"),"N/A")</f>
        <v>0</v>
      </c>
      <c r="N41" s="43">
        <f t="shared" ca="1" si="3"/>
        <v>21</v>
      </c>
      <c r="O41" s="43">
        <f t="shared" ca="1" si="4"/>
        <v>21</v>
      </c>
    </row>
    <row r="42" spans="3:15">
      <c r="C42" s="44" t="s">
        <v>47</v>
      </c>
      <c r="D42" s="8">
        <f ca="1">COUNTIF(INDIRECT("["&amp;datatable!$C$3&amp;"]"&amp;datatable!$B12&amp;"!"&amp;"I:I"),"High Correct")</f>
        <v>4</v>
      </c>
      <c r="E42" s="11">
        <f ca="1">COUNTIF(INDIRECT("["&amp;datatable!$C$3&amp;"]"&amp;datatable!$B12&amp;"!"&amp;"I:I"),"Medium Correct")</f>
        <v>0</v>
      </c>
      <c r="F42" s="13">
        <f ca="1">COUNTIF(INDIRECT("["&amp;datatable!$C$3&amp;"]"&amp;datatable!$B12&amp;"!"&amp;"I:I"),"Low Correct")</f>
        <v>0</v>
      </c>
      <c r="G42" s="15">
        <f ca="1">COUNTIF(INDIRECT("["&amp;datatable!$C$3&amp;"]"&amp;datatable!$B12&amp;"!"&amp;"I:I"),"High Maybe")</f>
        <v>1</v>
      </c>
      <c r="H42" s="17">
        <f ca="1">COUNTIF(INDIRECT("["&amp;datatable!$C$3&amp;"]"&amp;datatable!$B12&amp;"!"&amp;"I:I"),"Medium Maybe")</f>
        <v>1</v>
      </c>
      <c r="I42" s="19">
        <f ca="1">COUNTIF(INDIRECT("["&amp;datatable!$C$3&amp;"]"&amp;datatable!$B12&amp;"!"&amp;"I:I"),"Low Maybe")</f>
        <v>0</v>
      </c>
      <c r="J42" s="21">
        <f ca="1">COUNTIF(INDIRECT("["&amp;datatable!$C$3&amp;"]"&amp;datatable!$B12&amp;"!"&amp;"I:I"),"Low Incorrect")</f>
        <v>3</v>
      </c>
      <c r="K42" s="23">
        <f ca="1">COUNTIF(INDIRECT("["&amp;datatable!$C$3&amp;"]"&amp;datatable!$B12&amp;"!"&amp;"I:I"),"Medium Incorrect")</f>
        <v>9</v>
      </c>
      <c r="L42" s="25">
        <f ca="1">COUNTIF(INDIRECT("["&amp;datatable!$C$3&amp;"]"&amp;datatable!$B12&amp;"!"&amp;"I:I"),"High Incorrect")</f>
        <v>3</v>
      </c>
      <c r="M42" s="27">
        <f ca="1">COUNTIF(INDIRECT("["&amp;datatable!$C$3&amp;"]"&amp;datatable!$B12&amp;"!"&amp;"I:I"),"N/A")</f>
        <v>0</v>
      </c>
      <c r="N42" s="43">
        <f t="shared" ca="1" si="3"/>
        <v>21</v>
      </c>
      <c r="O42" s="43">
        <f t="shared" ca="1" si="4"/>
        <v>21</v>
      </c>
    </row>
    <row r="43" spans="3:15">
      <c r="C43" s="44" t="s">
        <v>48</v>
      </c>
      <c r="D43" s="8">
        <f ca="1">COUNTIF(INDIRECT("["&amp;datatable!$C$3&amp;"]"&amp;datatable!$B13&amp;"!"&amp;"I:I"),"High Correct")</f>
        <v>17</v>
      </c>
      <c r="E43" s="11">
        <f ca="1">COUNTIF(INDIRECT("["&amp;datatable!$C$3&amp;"]"&amp;datatable!$B13&amp;"!"&amp;"I:I"),"Medium Correct")</f>
        <v>2</v>
      </c>
      <c r="F43" s="13">
        <f ca="1">COUNTIF(INDIRECT("["&amp;datatable!$C$3&amp;"]"&amp;datatable!$B13&amp;"!"&amp;"I:I"),"Low Correct")</f>
        <v>1</v>
      </c>
      <c r="G43" s="15">
        <f ca="1">COUNTIF(INDIRECT("["&amp;datatable!$C$3&amp;"]"&amp;datatable!$B13&amp;"!"&amp;"I:I"),"High Maybe")</f>
        <v>0</v>
      </c>
      <c r="H43" s="17">
        <f ca="1">COUNTIF(INDIRECT("["&amp;datatable!$C$3&amp;"]"&amp;datatable!$B13&amp;"!"&amp;"I:I"),"Medium Maybe")</f>
        <v>0</v>
      </c>
      <c r="I43" s="19">
        <f ca="1">COUNTIF(INDIRECT("["&amp;datatable!$C$3&amp;"]"&amp;datatable!$B13&amp;"!"&amp;"I:I"),"Low Maybe")</f>
        <v>0</v>
      </c>
      <c r="J43" s="21">
        <f ca="1">COUNTIF(INDIRECT("["&amp;datatable!$C$3&amp;"]"&amp;datatable!$B13&amp;"!"&amp;"I:I"),"Low Incorrect")</f>
        <v>0</v>
      </c>
      <c r="K43" s="23">
        <f ca="1">COUNTIF(INDIRECT("["&amp;datatable!$C$3&amp;"]"&amp;datatable!$B13&amp;"!"&amp;"I:I"),"Medium Incorrect")</f>
        <v>0</v>
      </c>
      <c r="L43" s="25">
        <f ca="1">COUNTIF(INDIRECT("["&amp;datatable!$C$3&amp;"]"&amp;datatable!$B13&amp;"!"&amp;"I:I"),"High Incorrect")</f>
        <v>1</v>
      </c>
      <c r="M43" s="27">
        <f ca="1">COUNTIF(INDIRECT("["&amp;datatable!$C$3&amp;"]"&amp;datatable!$B13&amp;"!"&amp;"I:I"),"N/A")</f>
        <v>0</v>
      </c>
      <c r="N43" s="43">
        <f t="shared" ca="1" si="3"/>
        <v>21</v>
      </c>
      <c r="O43" s="43">
        <f t="shared" ca="1" si="4"/>
        <v>21</v>
      </c>
    </row>
    <row r="44" spans="3:15">
      <c r="C44" s="44" t="s">
        <v>49</v>
      </c>
      <c r="D44" s="8">
        <f ca="1">COUNTIF(INDIRECT("["&amp;datatable!$C$3&amp;"]"&amp;datatable!$B14&amp;"!"&amp;"I:I"),"High Correct")</f>
        <v>0</v>
      </c>
      <c r="E44" s="11">
        <f ca="1">COUNTIF(INDIRECT("["&amp;datatable!$C$3&amp;"]"&amp;datatable!$B14&amp;"!"&amp;"I:I"),"Medium Correct")</f>
        <v>0</v>
      </c>
      <c r="F44" s="13">
        <f ca="1">COUNTIF(INDIRECT("["&amp;datatable!$C$3&amp;"]"&amp;datatable!$B14&amp;"!"&amp;"I:I"),"Low Correct")</f>
        <v>0</v>
      </c>
      <c r="G44" s="15">
        <f ca="1">COUNTIF(INDIRECT("["&amp;datatable!$C$3&amp;"]"&amp;datatable!$B14&amp;"!"&amp;"I:I"),"High Maybe")</f>
        <v>0</v>
      </c>
      <c r="H44" s="17">
        <f ca="1">COUNTIF(INDIRECT("["&amp;datatable!$C$3&amp;"]"&amp;datatable!$B14&amp;"!"&amp;"I:I"),"Medium Maybe")</f>
        <v>2</v>
      </c>
      <c r="I44" s="19">
        <f ca="1">COUNTIF(INDIRECT("["&amp;datatable!$C$3&amp;"]"&amp;datatable!$B14&amp;"!"&amp;"I:I"),"Low Maybe")</f>
        <v>3</v>
      </c>
      <c r="J44" s="21">
        <f ca="1">COUNTIF(INDIRECT("["&amp;datatable!$C$3&amp;"]"&amp;datatable!$B14&amp;"!"&amp;"I:I"),"Low Incorrect")</f>
        <v>6</v>
      </c>
      <c r="K44" s="23">
        <f ca="1">COUNTIF(INDIRECT("["&amp;datatable!$C$3&amp;"]"&amp;datatable!$B14&amp;"!"&amp;"I:I"),"Medium Incorrect")</f>
        <v>5</v>
      </c>
      <c r="L44" s="25">
        <f ca="1">COUNTIF(INDIRECT("["&amp;datatable!$C$3&amp;"]"&amp;datatable!$B14&amp;"!"&amp;"I:I"),"High Incorrect")</f>
        <v>3</v>
      </c>
      <c r="M44" s="27">
        <f ca="1">COUNTIF(INDIRECT("["&amp;datatable!$C$3&amp;"]"&amp;datatable!$B14&amp;"!"&amp;"I:I"),"N/A")</f>
        <v>2</v>
      </c>
      <c r="N44" s="43">
        <f t="shared" ca="1" si="3"/>
        <v>21</v>
      </c>
      <c r="O44" s="43">
        <f t="shared" ca="1" si="4"/>
        <v>19</v>
      </c>
    </row>
    <row r="45" spans="3:15">
      <c r="C45" s="44" t="s">
        <v>50</v>
      </c>
      <c r="D45" s="8">
        <f ca="1">COUNTIF(INDIRECT("["&amp;datatable!$C$3&amp;"]"&amp;datatable!$B15&amp;"!"&amp;"I:I"),"High Correct")</f>
        <v>6</v>
      </c>
      <c r="E45" s="11">
        <f ca="1">COUNTIF(INDIRECT("["&amp;datatable!$C$3&amp;"]"&amp;datatable!$B15&amp;"!"&amp;"I:I"),"Medium Correct")</f>
        <v>1</v>
      </c>
      <c r="F45" s="13">
        <f ca="1">COUNTIF(INDIRECT("["&amp;datatable!$C$3&amp;"]"&amp;datatable!$B15&amp;"!"&amp;"I:I"),"Low Correct")</f>
        <v>1</v>
      </c>
      <c r="G45" s="15">
        <f ca="1">COUNTIF(INDIRECT("["&amp;datatable!$C$3&amp;"]"&amp;datatable!$B15&amp;"!"&amp;"I:I"),"High Maybe")</f>
        <v>1</v>
      </c>
      <c r="H45" s="17">
        <f ca="1">COUNTIF(INDIRECT("["&amp;datatable!$C$3&amp;"]"&amp;datatable!$B15&amp;"!"&amp;"I:I"),"Medium Maybe")</f>
        <v>1</v>
      </c>
      <c r="I45" s="19">
        <f ca="1">COUNTIF(INDIRECT("["&amp;datatable!$C$3&amp;"]"&amp;datatable!$B15&amp;"!"&amp;"I:I"),"Low Maybe")</f>
        <v>1</v>
      </c>
      <c r="J45" s="21">
        <f ca="1">COUNTIF(INDIRECT("["&amp;datatable!$C$3&amp;"]"&amp;datatable!$B15&amp;"!"&amp;"I:I"),"Low Incorrect")</f>
        <v>3</v>
      </c>
      <c r="K45" s="23">
        <f ca="1">COUNTIF(INDIRECT("["&amp;datatable!$C$3&amp;"]"&amp;datatable!$B15&amp;"!"&amp;"I:I"),"Medium Incorrect")</f>
        <v>5</v>
      </c>
      <c r="L45" s="25">
        <f ca="1">COUNTIF(INDIRECT("["&amp;datatable!$C$3&amp;"]"&amp;datatable!$B15&amp;"!"&amp;"I:I"),"High Incorrect")</f>
        <v>2</v>
      </c>
      <c r="M45" s="27">
        <f ca="1">COUNTIF(INDIRECT("["&amp;datatable!$C$3&amp;"]"&amp;datatable!$B15&amp;"!"&amp;"I:I"),"N/A")</f>
        <v>0</v>
      </c>
      <c r="N45" s="43">
        <f t="shared" ca="1" si="3"/>
        <v>21</v>
      </c>
      <c r="O45" s="43">
        <f t="shared" ca="1" si="4"/>
        <v>21</v>
      </c>
    </row>
    <row r="46" spans="3:15">
      <c r="C46" s="45" t="s">
        <v>51</v>
      </c>
      <c r="D46" s="8">
        <f ca="1">COUNTIF(INDIRECT("["&amp;datatable!$C$3&amp;"]"&amp;datatable!$B16&amp;"!"&amp;"I:I"),"High Correct")</f>
        <v>0</v>
      </c>
      <c r="E46" s="11">
        <f ca="1">COUNTIF(INDIRECT("["&amp;datatable!$C$3&amp;"]"&amp;datatable!$B16&amp;"!"&amp;"I:I"),"Medium Correct")</f>
        <v>0</v>
      </c>
      <c r="F46" s="13">
        <f ca="1">COUNTIF(INDIRECT("["&amp;datatable!$C$3&amp;"]"&amp;datatable!$B16&amp;"!"&amp;"I:I"),"Low Correct")</f>
        <v>1</v>
      </c>
      <c r="G46" s="15">
        <f ca="1">COUNTIF(INDIRECT("["&amp;datatable!$C$3&amp;"]"&amp;datatable!$B16&amp;"!"&amp;"I:I"),"High Maybe")</f>
        <v>2</v>
      </c>
      <c r="H46" s="17">
        <f ca="1">COUNTIF(INDIRECT("["&amp;datatable!$C$3&amp;"]"&amp;datatable!$B16&amp;"!"&amp;"I:I"),"Medium Maybe")</f>
        <v>0</v>
      </c>
      <c r="I46" s="19">
        <f ca="1">COUNTIF(INDIRECT("["&amp;datatable!$C$3&amp;"]"&amp;datatable!$B16&amp;"!"&amp;"I:I"),"Low Maybe")</f>
        <v>2</v>
      </c>
      <c r="J46" s="21">
        <f ca="1">COUNTIF(INDIRECT("["&amp;datatable!$C$3&amp;"]"&amp;datatable!$B16&amp;"!"&amp;"I:I"),"Low Incorrect")</f>
        <v>2</v>
      </c>
      <c r="K46" s="23">
        <f ca="1">COUNTIF(INDIRECT("["&amp;datatable!$C$3&amp;"]"&amp;datatable!$B16&amp;"!"&amp;"I:I"),"Medium Incorrect")</f>
        <v>3</v>
      </c>
      <c r="L46" s="25">
        <f ca="1">COUNTIF(INDIRECT("["&amp;datatable!$C$3&amp;"]"&amp;datatable!$B16&amp;"!"&amp;"I:I"),"High Incorrect")</f>
        <v>11</v>
      </c>
      <c r="M46" s="27">
        <f ca="1">COUNTIF(INDIRECT("["&amp;datatable!$C$3&amp;"]"&amp;datatable!$B16&amp;"!"&amp;"I:I"),"N/A")</f>
        <v>0</v>
      </c>
      <c r="N46" s="43">
        <f t="shared" ca="1" si="3"/>
        <v>21</v>
      </c>
      <c r="O46" s="43">
        <f t="shared" ca="1" si="4"/>
        <v>21</v>
      </c>
    </row>
    <row r="47" spans="3:15">
      <c r="C47" s="44" t="s">
        <v>52</v>
      </c>
      <c r="D47" s="8">
        <f ca="1">COUNTIF(INDIRECT("["&amp;datatable!$C$3&amp;"]"&amp;datatable!$B17&amp;"!"&amp;"I:I"),"High Correct")</f>
        <v>7</v>
      </c>
      <c r="E47" s="11">
        <f ca="1">COUNTIF(INDIRECT("["&amp;datatable!$C$3&amp;"]"&amp;datatable!$B17&amp;"!"&amp;"I:I"),"Medium Correct")</f>
        <v>1</v>
      </c>
      <c r="F47" s="13">
        <f ca="1">COUNTIF(INDIRECT("["&amp;datatable!$C$3&amp;"]"&amp;datatable!$B17&amp;"!"&amp;"I:I"),"Low Correct")</f>
        <v>0</v>
      </c>
      <c r="G47" s="15">
        <f ca="1">COUNTIF(INDIRECT("["&amp;datatable!$C$3&amp;"]"&amp;datatable!$B17&amp;"!"&amp;"I:I"),"High Maybe")</f>
        <v>3</v>
      </c>
      <c r="H47" s="17">
        <f ca="1">COUNTIF(INDIRECT("["&amp;datatable!$C$3&amp;"]"&amp;datatable!$B17&amp;"!"&amp;"I:I"),"Medium Maybe")</f>
        <v>2</v>
      </c>
      <c r="I47" s="19">
        <f ca="1">COUNTIF(INDIRECT("["&amp;datatable!$C$3&amp;"]"&amp;datatable!$B17&amp;"!"&amp;"I:I"),"Low Maybe")</f>
        <v>2</v>
      </c>
      <c r="J47" s="21">
        <f ca="1">COUNTIF(INDIRECT("["&amp;datatable!$C$3&amp;"]"&amp;datatable!$B17&amp;"!"&amp;"I:I"),"Low Incorrect")</f>
        <v>2</v>
      </c>
      <c r="K47" s="23">
        <f ca="1">COUNTIF(INDIRECT("["&amp;datatable!$C$3&amp;"]"&amp;datatable!$B17&amp;"!"&amp;"I:I"),"Medium Incorrect")</f>
        <v>2</v>
      </c>
      <c r="L47" s="25">
        <f ca="1">COUNTIF(INDIRECT("["&amp;datatable!$C$3&amp;"]"&amp;datatable!$B17&amp;"!"&amp;"I:I"),"High Incorrect")</f>
        <v>2</v>
      </c>
      <c r="M47" s="27">
        <f ca="1">COUNTIF(INDIRECT("["&amp;datatable!$C$3&amp;"]"&amp;datatable!$B17&amp;"!"&amp;"I:I"),"N/A")</f>
        <v>0</v>
      </c>
      <c r="N47" s="43">
        <f t="shared" ca="1" si="3"/>
        <v>21</v>
      </c>
      <c r="O47" s="43">
        <f t="shared" ca="1" si="4"/>
        <v>21</v>
      </c>
    </row>
    <row r="48" spans="3:15">
      <c r="C48" s="44" t="s">
        <v>53</v>
      </c>
      <c r="D48" s="8">
        <f ca="1">COUNTIF(INDIRECT("["&amp;datatable!$C$3&amp;"]"&amp;datatable!$B18&amp;"!"&amp;"I:I"),"High Correct")</f>
        <v>1</v>
      </c>
      <c r="E48" s="11">
        <f ca="1">COUNTIF(INDIRECT("["&amp;datatable!$C$3&amp;"]"&amp;datatable!$B18&amp;"!"&amp;"I:I"),"Medium Correct")</f>
        <v>0</v>
      </c>
      <c r="F48" s="13">
        <f ca="1">COUNTIF(INDIRECT("["&amp;datatable!$C$3&amp;"]"&amp;datatable!$B18&amp;"!"&amp;"I:I"),"Low Correct")</f>
        <v>0</v>
      </c>
      <c r="G48" s="15">
        <f ca="1">COUNTIF(INDIRECT("["&amp;datatable!$C$3&amp;"]"&amp;datatable!$B18&amp;"!"&amp;"I:I"),"High Maybe")</f>
        <v>1</v>
      </c>
      <c r="H48" s="17">
        <f ca="1">COUNTIF(INDIRECT("["&amp;datatable!$C$3&amp;"]"&amp;datatable!$B18&amp;"!"&amp;"I:I"),"Medium Maybe")</f>
        <v>0</v>
      </c>
      <c r="I48" s="19">
        <f ca="1">COUNTIF(INDIRECT("["&amp;datatable!$C$3&amp;"]"&amp;datatable!$B18&amp;"!"&amp;"I:I"),"Low Maybe")</f>
        <v>2</v>
      </c>
      <c r="J48" s="21">
        <f ca="1">COUNTIF(INDIRECT("["&amp;datatable!$C$3&amp;"]"&amp;datatable!$B18&amp;"!"&amp;"I:I"),"Low Incorrect")</f>
        <v>5</v>
      </c>
      <c r="K48" s="23">
        <f ca="1">COUNTIF(INDIRECT("["&amp;datatable!$C$3&amp;"]"&amp;datatable!$B18&amp;"!"&amp;"I:I"),"Medium Incorrect")</f>
        <v>1</v>
      </c>
      <c r="L48" s="25">
        <f ca="1">COUNTIF(INDIRECT("["&amp;datatable!$C$3&amp;"]"&amp;datatable!$B18&amp;"!"&amp;"I:I"),"High Incorrect")</f>
        <v>9</v>
      </c>
      <c r="M48" s="27">
        <f ca="1">COUNTIF(INDIRECT("["&amp;datatable!$C$3&amp;"]"&amp;datatable!$B18&amp;"!"&amp;"I:I"),"N/A")</f>
        <v>2</v>
      </c>
      <c r="N48" s="43">
        <f t="shared" ref="N48" ca="1" si="5">SUM(D48:M48)</f>
        <v>21</v>
      </c>
      <c r="O48" s="43">
        <f t="shared" ref="O48" ca="1" si="6">SUM(D48:L48)</f>
        <v>19</v>
      </c>
    </row>
    <row r="49" spans="3:25">
      <c r="C49" s="44" t="s">
        <v>54</v>
      </c>
      <c r="D49" s="8">
        <f ca="1">COUNTIF(INDIRECT("["&amp;datatable!$C$3&amp;"]"&amp;datatable!$B19&amp;"!"&amp;"I:I"),"High Correct")</f>
        <v>11</v>
      </c>
      <c r="E49" s="11">
        <f ca="1">COUNTIF(INDIRECT("["&amp;datatable!$C$3&amp;"]"&amp;datatable!$B19&amp;"!"&amp;"I:I"),"Medium Correct")</f>
        <v>2</v>
      </c>
      <c r="F49" s="13">
        <f ca="1">COUNTIF(INDIRECT("["&amp;datatable!$C$3&amp;"]"&amp;datatable!$B19&amp;"!"&amp;"I:I"),"Low Correct")</f>
        <v>3</v>
      </c>
      <c r="G49" s="15">
        <f ca="1">COUNTIF(INDIRECT("["&amp;datatable!$C$3&amp;"]"&amp;datatable!$B19&amp;"!"&amp;"I:I"),"High Maybe")</f>
        <v>2</v>
      </c>
      <c r="H49" s="17">
        <f ca="1">COUNTIF(INDIRECT("["&amp;datatable!$C$3&amp;"]"&amp;datatable!$B19&amp;"!"&amp;"I:I"),"Medium Maybe")</f>
        <v>1</v>
      </c>
      <c r="I49" s="19">
        <f ca="1">COUNTIF(INDIRECT("["&amp;datatable!$C$3&amp;"]"&amp;datatable!$B19&amp;"!"&amp;"I:I"),"Low Maybe")</f>
        <v>0</v>
      </c>
      <c r="J49" s="21">
        <f ca="1">COUNTIF(INDIRECT("["&amp;datatable!$C$3&amp;"]"&amp;datatable!$B19&amp;"!"&amp;"I:I"),"Low Incorrect")</f>
        <v>0</v>
      </c>
      <c r="K49" s="23">
        <f ca="1">COUNTIF(INDIRECT("["&amp;datatable!$C$3&amp;"]"&amp;datatable!$B19&amp;"!"&amp;"I:I"),"Medium Incorrect")</f>
        <v>0</v>
      </c>
      <c r="L49" s="25">
        <f ca="1">COUNTIF(INDIRECT("["&amp;datatable!$C$3&amp;"]"&amp;datatable!$B19&amp;"!"&amp;"I:I"),"High Incorrect")</f>
        <v>2</v>
      </c>
      <c r="M49" s="27">
        <f ca="1">COUNTIF(INDIRECT("["&amp;datatable!$C$3&amp;"]"&amp;datatable!$B19&amp;"!"&amp;"I:I"),"N/A")</f>
        <v>0</v>
      </c>
      <c r="N49" s="43">
        <f t="shared" ref="N49" ca="1" si="7">SUM(D49:M49)</f>
        <v>21</v>
      </c>
      <c r="O49" s="43">
        <f t="shared" ref="O49" ca="1" si="8">SUM(D49:L49)</f>
        <v>21</v>
      </c>
    </row>
    <row r="50" spans="3:25">
      <c r="C50" s="46" t="s">
        <v>36</v>
      </c>
      <c r="D50" s="47">
        <f ca="1">SUM(D32:D49)</f>
        <v>129</v>
      </c>
      <c r="E50" s="47">
        <f t="shared" ref="E50:M50" ca="1" si="9">SUM(E32:E49)</f>
        <v>19</v>
      </c>
      <c r="F50" s="47">
        <f t="shared" ca="1" si="9"/>
        <v>8</v>
      </c>
      <c r="G50" s="47">
        <f t="shared" ca="1" si="9"/>
        <v>23</v>
      </c>
      <c r="H50" s="47">
        <f t="shared" ca="1" si="9"/>
        <v>11</v>
      </c>
      <c r="I50" s="47">
        <f t="shared" ca="1" si="9"/>
        <v>23</v>
      </c>
      <c r="J50" s="47">
        <f t="shared" ca="1" si="9"/>
        <v>39</v>
      </c>
      <c r="K50" s="47">
        <f t="shared" ca="1" si="9"/>
        <v>60</v>
      </c>
      <c r="L50" s="47">
        <f t="shared" ca="1" si="9"/>
        <v>42</v>
      </c>
      <c r="M50" s="47">
        <f t="shared" ca="1" si="9"/>
        <v>24</v>
      </c>
      <c r="N50" s="43">
        <f ca="1">SUM(D50:M50)</f>
        <v>378</v>
      </c>
      <c r="O50" s="43">
        <f ca="1">SUM(D50:L50)</f>
        <v>354</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INDIRECT("["&amp;datatable!$C$3&amp;"]"&amp;datatable!$B2&amp;"!"&amp;"I2")</f>
        <v>N/A</v>
      </c>
      <c r="E55" s="51" t="str" cm="1">
        <f t="array" aca="1" ref="E55" ca="1">INDIRECT("["&amp;datatable!$C$3&amp;"]"&amp;datatable!$B2&amp;"!"&amp;"I3")</f>
        <v>High Correct</v>
      </c>
      <c r="F55" s="51" t="str" cm="1">
        <f t="array" aca="1" ref="F55" ca="1">INDIRECT("["&amp;datatable!$C$3&amp;"]"&amp;datatable!$B2&amp;"!"&amp;"I4")</f>
        <v>High Correct</v>
      </c>
      <c r="G55" s="51" t="str" cm="1">
        <f t="array" aca="1" ref="G55" ca="1">INDIRECT("["&amp;datatable!$C$3&amp;"]"&amp;datatable!$B2&amp;"!"&amp;"I5")</f>
        <v>Medium Maybe</v>
      </c>
      <c r="H55" s="51" t="str" cm="1">
        <f t="array" aca="1" ref="H55" ca="1">INDIRECT("["&amp;datatable!$C$3&amp;"]"&amp;datatable!$B2&amp;"!"&amp;"I6")</f>
        <v>High Maybe</v>
      </c>
      <c r="I55" s="51" t="str" cm="1">
        <f t="array" aca="1" ref="I55" ca="1">INDIRECT("["&amp;datatable!$C$3&amp;"]"&amp;datatable!$B2&amp;"!"&amp;"I7")</f>
        <v>High Correct</v>
      </c>
      <c r="J55" s="51" t="str" cm="1">
        <f t="array" aca="1" ref="J55" ca="1">INDIRECT("["&amp;datatable!$C$3&amp;"]"&amp;datatable!$B2&amp;"!"&amp;"I8")</f>
        <v>Medium Incorrect</v>
      </c>
      <c r="K55" s="51" t="str" cm="1">
        <f t="array" aca="1" ref="K55" ca="1">INDIRECT("["&amp;datatable!$C$3&amp;"]"&amp;datatable!$B2&amp;"!"&amp;"I9")</f>
        <v>High Correct</v>
      </c>
      <c r="L55" s="51" t="str" cm="1">
        <f t="array" aca="1" ref="L55" ca="1">INDIRECT("["&amp;datatable!$C$3&amp;"]"&amp;datatable!$B2&amp;"!"&amp;"I10")</f>
        <v>Medium Correct</v>
      </c>
      <c r="M55" s="51" t="str" cm="1">
        <f t="array" aca="1" ref="M55" ca="1">INDIRECT("["&amp;datatable!$C$3&amp;"]"&amp;datatable!$B2&amp;"!"&amp;"I11")</f>
        <v>High Correct</v>
      </c>
      <c r="N55" s="51" t="str" cm="1">
        <f t="array" aca="1" ref="N55" ca="1">INDIRECT("["&amp;datatable!$C$3&amp;"]"&amp;datatable!$B2&amp;"!"&amp;"I46")</f>
        <v>High Correct</v>
      </c>
      <c r="O55" s="51" t="str" cm="1">
        <f t="array" aca="1" ref="O55" ca="1">INDIRECT("["&amp;datatable!$C$3&amp;"]"&amp;datatable!$B2&amp;"!"&amp;"I47")</f>
        <v>High Correct</v>
      </c>
      <c r="P55" s="51" t="str" cm="1">
        <f t="array" aca="1" ref="P55" ca="1">INDIRECT("["&amp;datatable!$C$3&amp;"]"&amp;datatable!$B2&amp;"!"&amp;"I48")</f>
        <v>Low Incorrect</v>
      </c>
      <c r="Q55" s="51" t="str" cm="1">
        <f t="array" aca="1" ref="Q55" ca="1">INDIRECT("["&amp;datatable!$C$3&amp;"]"&amp;datatable!$B2&amp;"!"&amp;"I49")</f>
        <v>Low Maybe</v>
      </c>
      <c r="R55" s="51" t="str" cm="1">
        <f t="array" aca="1" ref="R55" ca="1">INDIRECT("["&amp;datatable!$C$3&amp;"]"&amp;datatable!$B2&amp;"!"&amp;"I50")</f>
        <v>Low Maybe</v>
      </c>
      <c r="S55" s="51" t="str" cm="1">
        <f t="array" aca="1" ref="S55" ca="1">INDIRECT("["&amp;datatable!$C$3&amp;"]"&amp;datatable!$B2&amp;"!"&amp;"I51")</f>
        <v>High Correct</v>
      </c>
      <c r="T55" s="51" t="str" cm="1">
        <f t="array" aca="1" ref="T55" ca="1">INDIRECT("["&amp;datatable!$C$3&amp;"]"&amp;datatable!$B2&amp;"!"&amp;"I52")</f>
        <v>N/A</v>
      </c>
      <c r="U55" s="51" t="str" cm="1">
        <f t="array" aca="1" ref="U55" ca="1">INDIRECT("["&amp;datatable!$C$3&amp;"]"&amp;datatable!$B2&amp;"!"&amp;"I53")</f>
        <v>Medium Incorrect</v>
      </c>
      <c r="V55" s="51" t="str" cm="1">
        <f t="array" aca="1" ref="V55" ca="1">INDIRECT("["&amp;datatable!$C$3&amp;"]"&amp;datatable!$B2&amp;"!"&amp;"I54")</f>
        <v>High Correct</v>
      </c>
      <c r="W55" s="51" t="str" cm="1">
        <f t="array" aca="1" ref="W55" ca="1">INDIRECT("["&amp;datatable!$C$3&amp;"]"&amp;datatable!$B2&amp;"!"&amp;"I55")</f>
        <v>Low Incorrect</v>
      </c>
      <c r="X55" s="51" t="str" cm="1">
        <f t="array" aca="1" ref="X55" ca="1">INDIRECT("["&amp;datatable!$C$3&amp;"]"&amp;datatable!$B2&amp;"!"&amp;"I56")</f>
        <v>N/A</v>
      </c>
      <c r="Y55" s="50"/>
    </row>
    <row r="56" spans="3:25">
      <c r="C56" s="30" t="s">
        <v>38</v>
      </c>
      <c r="D56" s="51" t="str" cm="1">
        <f t="array" aca="1" ref="D56" ca="1">INDIRECT("["&amp;datatable!$C$3&amp;"]"&amp;datatable!$B3&amp;"!"&amp;"I2")</f>
        <v>High Correct</v>
      </c>
      <c r="E56" s="51" t="str" cm="1">
        <f t="array" aca="1" ref="E56" ca="1">INDIRECT("["&amp;datatable!$C$3&amp;"]"&amp;datatable!$B3&amp;"!"&amp;"I3")</f>
        <v>High Correct</v>
      </c>
      <c r="F56" s="51" t="str" cm="1">
        <f t="array" aca="1" ref="F56" ca="1">INDIRECT("["&amp;datatable!$C$3&amp;"]"&amp;datatable!$B3&amp;"!"&amp;"I4")</f>
        <v>High Correct</v>
      </c>
      <c r="G56" s="51" t="str" cm="1">
        <f t="array" aca="1" ref="G56" ca="1">INDIRECT("["&amp;datatable!$C$3&amp;"]"&amp;datatable!$B3&amp;"!"&amp;"I5")</f>
        <v>High Maybe</v>
      </c>
      <c r="H56" s="51" t="str" cm="1">
        <f t="array" aca="1" ref="H56" ca="1">INDIRECT("["&amp;datatable!$C$3&amp;"]"&amp;datatable!$B3&amp;"!"&amp;"I6")</f>
        <v>High Correct</v>
      </c>
      <c r="I56" s="51" t="str" cm="1">
        <f t="array" aca="1" ref="I56" ca="1">INDIRECT("["&amp;datatable!$C$3&amp;"]"&amp;datatable!$B3&amp;"!"&amp;"I7")</f>
        <v>Low Correct</v>
      </c>
      <c r="J56" s="51" t="str" cm="1">
        <f t="array" aca="1" ref="J56" ca="1">INDIRECT("["&amp;datatable!$C$3&amp;"]"&amp;datatable!$B3&amp;"!"&amp;"I8")</f>
        <v>Low Incorrect</v>
      </c>
      <c r="K56" s="51" t="str" cm="1">
        <f t="array" aca="1" ref="K56" ca="1">INDIRECT("["&amp;datatable!$C$3&amp;"]"&amp;datatable!$B3&amp;"!"&amp;"I9")</f>
        <v>Medium Correct</v>
      </c>
      <c r="L56" s="51" t="str" cm="1">
        <f t="array" aca="1" ref="L56" ca="1">INDIRECT("["&amp;datatable!$C$3&amp;"]"&amp;datatable!$B3&amp;"!"&amp;"I10")</f>
        <v>Medium Correct</v>
      </c>
      <c r="M56" s="51" t="str" cm="1">
        <f t="array" aca="1" ref="M56" ca="1">INDIRECT("["&amp;datatable!$C$3&amp;"]"&amp;datatable!$B3&amp;"!"&amp;"I11")</f>
        <v>Medium Correct</v>
      </c>
      <c r="N56" s="51" t="str" cm="1">
        <f t="array" aca="1" ref="N56" ca="1">INDIRECT("["&amp;datatable!$C$3&amp;"]"&amp;datatable!$B3&amp;"!"&amp;"I46")</f>
        <v>Medium Correct</v>
      </c>
      <c r="O56" s="51" t="str" cm="1">
        <f t="array" aca="1" ref="O56" ca="1">INDIRECT("["&amp;datatable!$C$3&amp;"]"&amp;datatable!$B3&amp;"!"&amp;"I47")</f>
        <v>Medium Incorrect</v>
      </c>
      <c r="P56" s="51" t="str" cm="1">
        <f t="array" aca="1" ref="P56" ca="1">INDIRECT("["&amp;datatable!$C$3&amp;"]"&amp;datatable!$B3&amp;"!"&amp;"I48")</f>
        <v>High Correct</v>
      </c>
      <c r="Q56" s="51" t="str" cm="1">
        <f t="array" aca="1" ref="Q56" ca="1">INDIRECT("["&amp;datatable!$C$3&amp;"]"&amp;datatable!$B3&amp;"!"&amp;"I49")</f>
        <v>Low Maybe</v>
      </c>
      <c r="R56" s="51" t="str" cm="1">
        <f t="array" aca="1" ref="R56" ca="1">INDIRECT("["&amp;datatable!$C$3&amp;"]"&amp;datatable!$B3&amp;"!"&amp;"I50")</f>
        <v>High Correct</v>
      </c>
      <c r="S56" s="51" t="str" cm="1">
        <f t="array" aca="1" ref="S56" ca="1">INDIRECT("["&amp;datatable!$C$3&amp;"]"&amp;datatable!$B3&amp;"!"&amp;"I51")</f>
        <v>High Correct</v>
      </c>
      <c r="T56" s="51" t="str" cm="1">
        <f t="array" aca="1" ref="T56" ca="1">INDIRECT("["&amp;datatable!$C$3&amp;"]"&amp;datatable!$B3&amp;"!"&amp;"I52")</f>
        <v>Medium Incorrect</v>
      </c>
      <c r="U56" s="51" t="str" cm="1">
        <f t="array" aca="1" ref="U56" ca="1">INDIRECT("["&amp;datatable!$C$3&amp;"]"&amp;datatable!$B3&amp;"!"&amp;"I53")</f>
        <v>Medium Incorrect</v>
      </c>
      <c r="V56" s="51" t="str" cm="1">
        <f t="array" aca="1" ref="V56" ca="1">INDIRECT("["&amp;datatable!$C$3&amp;"]"&amp;datatable!$B3&amp;"!"&amp;"I54")</f>
        <v>High Correct</v>
      </c>
      <c r="W56" s="51" t="str" cm="1">
        <f t="array" aca="1" ref="W56" ca="1">INDIRECT("["&amp;datatable!$C$3&amp;"]"&amp;datatable!$B3&amp;"!"&amp;"I55")</f>
        <v>Medium Incorrect</v>
      </c>
      <c r="X56" s="51" t="str" cm="1">
        <f t="array" aca="1" ref="X56" ca="1">INDIRECT("["&amp;datatable!$C$3&amp;"]"&amp;datatable!$B3&amp;"!"&amp;"I56")</f>
        <v>High Correct</v>
      </c>
      <c r="Y56" s="50"/>
    </row>
    <row r="57" spans="3:25">
      <c r="C57" s="30" t="s">
        <v>39</v>
      </c>
      <c r="D57" s="51" t="str" cm="1">
        <f t="array" aca="1" ref="D57" ca="1">INDIRECT("["&amp;datatable!$C$3&amp;"]"&amp;datatable!$B4&amp;"!"&amp;"I2")</f>
        <v>High Correct</v>
      </c>
      <c r="E57" s="51" t="str" cm="1">
        <f t="array" aca="1" ref="E57" ca="1">INDIRECT("["&amp;datatable!$C$3&amp;"]"&amp;datatable!$B4&amp;"!"&amp;"I3")</f>
        <v>High Correct</v>
      </c>
      <c r="F57" s="51" t="str" cm="1">
        <f t="array" aca="1" ref="F57" ca="1">INDIRECT("["&amp;datatable!$C$3&amp;"]"&amp;datatable!$B4&amp;"!"&amp;"I4")</f>
        <v>High Correct</v>
      </c>
      <c r="G57" s="51" t="str" cm="1">
        <f t="array" aca="1" ref="G57" ca="1">INDIRECT("["&amp;datatable!$C$3&amp;"]"&amp;datatable!$B4&amp;"!"&amp;"I5")</f>
        <v>High Correct</v>
      </c>
      <c r="H57" s="51" t="str" cm="1">
        <f t="array" aca="1" ref="H57" ca="1">INDIRECT("["&amp;datatable!$C$3&amp;"]"&amp;datatable!$B4&amp;"!"&amp;"I6")</f>
        <v>High Correct</v>
      </c>
      <c r="I57" s="51" t="str" cm="1">
        <f t="array" aca="1" ref="I57" ca="1">INDIRECT("["&amp;datatable!$C$3&amp;"]"&amp;datatable!$B4&amp;"!"&amp;"I7")</f>
        <v>High Correct</v>
      </c>
      <c r="J57" s="51" t="str" cm="1">
        <f t="array" aca="1" ref="J57" ca="1">INDIRECT("["&amp;datatable!$C$3&amp;"]"&amp;datatable!$B4&amp;"!"&amp;"I8")</f>
        <v>High Correct</v>
      </c>
      <c r="K57" s="51" t="str" cm="1">
        <f t="array" aca="1" ref="K57" ca="1">INDIRECT("["&amp;datatable!$C$3&amp;"]"&amp;datatable!$B4&amp;"!"&amp;"I9")</f>
        <v>High Correct</v>
      </c>
      <c r="L57" s="51" t="str" cm="1">
        <f t="array" aca="1" ref="L57" ca="1">INDIRECT("["&amp;datatable!$C$3&amp;"]"&amp;datatable!$B4&amp;"!"&amp;"I10")</f>
        <v>High Correct</v>
      </c>
      <c r="M57" s="51" t="str" cm="1">
        <f t="array" aca="1" ref="M57" ca="1">INDIRECT("["&amp;datatable!$C$3&amp;"]"&amp;datatable!$B4&amp;"!"&amp;"I11")</f>
        <v>High Correct</v>
      </c>
      <c r="N57" s="51" t="str" cm="1">
        <f t="array" aca="1" ref="N57" ca="1">INDIRECT("["&amp;datatable!$C$3&amp;"]"&amp;datatable!$B4&amp;"!"&amp;"I46")</f>
        <v>High Correct</v>
      </c>
      <c r="O57" s="51" t="str" cm="1">
        <f t="array" aca="1" ref="O57" ca="1">INDIRECT("["&amp;datatable!$C$3&amp;"]"&amp;datatable!$B4&amp;"!"&amp;"I47")</f>
        <v>Medium Correct</v>
      </c>
      <c r="P57" s="51" t="str" cm="1">
        <f t="array" aca="1" ref="P57" ca="1">INDIRECT("["&amp;datatable!$C$3&amp;"]"&amp;datatable!$B4&amp;"!"&amp;"I48")</f>
        <v>Low Maybe</v>
      </c>
      <c r="Q57" s="51" t="str" cm="1">
        <f t="array" aca="1" ref="Q57" ca="1">INDIRECT("["&amp;datatable!$C$3&amp;"]"&amp;datatable!$B4&amp;"!"&amp;"I49")</f>
        <v>Medium Incorrect</v>
      </c>
      <c r="R57" s="51" t="str" cm="1">
        <f t="array" aca="1" ref="R57" ca="1">INDIRECT("["&amp;datatable!$C$3&amp;"]"&amp;datatable!$B4&amp;"!"&amp;"I50")</f>
        <v>High Correct</v>
      </c>
      <c r="S57" s="51" t="str" cm="1">
        <f t="array" aca="1" ref="S57" ca="1">INDIRECT("["&amp;datatable!$C$3&amp;"]"&amp;datatable!$B4&amp;"!"&amp;"I51")</f>
        <v>High Correct</v>
      </c>
      <c r="T57" s="51" t="str" cm="1">
        <f t="array" aca="1" ref="T57" ca="1">INDIRECT("["&amp;datatable!$C$3&amp;"]"&amp;datatable!$B4&amp;"!"&amp;"I52")</f>
        <v>N/A</v>
      </c>
      <c r="U57" s="51" t="str" cm="1">
        <f t="array" aca="1" ref="U57" ca="1">INDIRECT("["&amp;datatable!$C$3&amp;"]"&amp;datatable!$B4&amp;"!"&amp;"I53")</f>
        <v>High Incorrect</v>
      </c>
      <c r="V57" s="51" t="str" cm="1">
        <f t="array" aca="1" ref="V57" ca="1">INDIRECT("["&amp;datatable!$C$3&amp;"]"&amp;datatable!$B4&amp;"!"&amp;"I54")</f>
        <v>High Correct</v>
      </c>
      <c r="W57" s="51" t="str" cm="1">
        <f t="array" aca="1" ref="W57" ca="1">INDIRECT("["&amp;datatable!$C$3&amp;"]"&amp;datatable!$B4&amp;"!"&amp;"I55")</f>
        <v>Low Incorrect</v>
      </c>
      <c r="X57" s="51" t="str" cm="1">
        <f t="array" aca="1" ref="X57" ca="1">INDIRECT("["&amp;datatable!$C$3&amp;"]"&amp;datatable!$B4&amp;"!"&amp;"I56")</f>
        <v>N/A</v>
      </c>
      <c r="Y57" s="50"/>
    </row>
    <row r="58" spans="3:25">
      <c r="C58" s="30" t="s">
        <v>40</v>
      </c>
      <c r="D58" s="51" t="str" cm="1">
        <f t="array" aca="1" ref="D58" ca="1">INDIRECT("["&amp;datatable!$C$3&amp;"]"&amp;datatable!$B5&amp;"!"&amp;"I2")</f>
        <v>High Correct</v>
      </c>
      <c r="E58" s="51" t="str" cm="1">
        <f t="array" aca="1" ref="E58" ca="1">INDIRECT("["&amp;datatable!$C$3&amp;"]"&amp;datatable!$B5&amp;"!"&amp;"I3")</f>
        <v>High Maybe</v>
      </c>
      <c r="F58" s="51" t="str" cm="1">
        <f t="array" aca="1" ref="F58" ca="1">INDIRECT("["&amp;datatable!$C$3&amp;"]"&amp;datatable!$B5&amp;"!"&amp;"I4")</f>
        <v>Medium Maybe</v>
      </c>
      <c r="G58" s="51" t="str" cm="1">
        <f t="array" aca="1" ref="G58" ca="1">INDIRECT("["&amp;datatable!$C$3&amp;"]"&amp;datatable!$B5&amp;"!"&amp;"I5")</f>
        <v>High Maybe</v>
      </c>
      <c r="H58" s="51" t="str" cm="1">
        <f t="array" aca="1" ref="H58" ca="1">INDIRECT("["&amp;datatable!$C$3&amp;"]"&amp;datatable!$B5&amp;"!"&amp;"I6")</f>
        <v>High Maybe</v>
      </c>
      <c r="I58" s="51" t="str" cm="1">
        <f t="array" aca="1" ref="I58" ca="1">INDIRECT("["&amp;datatable!$C$3&amp;"]"&amp;datatable!$B5&amp;"!"&amp;"I7")</f>
        <v>Medium Incorrect</v>
      </c>
      <c r="J58" s="51" t="str" cm="1">
        <f t="array" aca="1" ref="J58" ca="1">INDIRECT("["&amp;datatable!$C$3&amp;"]"&amp;datatable!$B5&amp;"!"&amp;"I8")</f>
        <v>Medium Incorrect</v>
      </c>
      <c r="K58" s="51" t="str" cm="1">
        <f t="array" aca="1" ref="K58" ca="1">INDIRECT("["&amp;datatable!$C$3&amp;"]"&amp;datatable!$B5&amp;"!"&amp;"I9")</f>
        <v>Medium Incorrect</v>
      </c>
      <c r="L58" s="51" t="str" cm="1">
        <f t="array" aca="1" ref="L58" ca="1">INDIRECT("["&amp;datatable!$C$3&amp;"]"&amp;datatable!$B5&amp;"!"&amp;"I10")</f>
        <v>Medium Incorrect</v>
      </c>
      <c r="M58" s="51" t="str" cm="1">
        <f t="array" aca="1" ref="M58" ca="1">INDIRECT("["&amp;datatable!$C$3&amp;"]"&amp;datatable!$B5&amp;"!"&amp;"I11")</f>
        <v>Medium Incorrect</v>
      </c>
      <c r="N58" s="51" t="str" cm="1">
        <f t="array" aca="1" ref="N58" ca="1">INDIRECT("["&amp;datatable!$C$3&amp;"]"&amp;datatable!$B5&amp;"!"&amp;"I46")</f>
        <v>Medium Incorrect</v>
      </c>
      <c r="O58" s="51" t="str" cm="1">
        <f t="array" aca="1" ref="O58" ca="1">INDIRECT("["&amp;datatable!$C$3&amp;"]"&amp;datatable!$B5&amp;"!"&amp;"I47")</f>
        <v>Low Incorrect</v>
      </c>
      <c r="P58" s="51" t="str" cm="1">
        <f t="array" aca="1" ref="P58" ca="1">INDIRECT("["&amp;datatable!$C$3&amp;"]"&amp;datatable!$B5&amp;"!"&amp;"I48")</f>
        <v>High Correct</v>
      </c>
      <c r="Q58" s="51" t="str" cm="1">
        <f t="array" aca="1" ref="Q58" ca="1">INDIRECT("["&amp;datatable!$C$3&amp;"]"&amp;datatable!$B5&amp;"!"&amp;"I49")</f>
        <v>Low Incorrect</v>
      </c>
      <c r="R58" s="51" t="str" cm="1">
        <f t="array" aca="1" ref="R58" ca="1">INDIRECT("["&amp;datatable!$C$3&amp;"]"&amp;datatable!$B5&amp;"!"&amp;"I50")</f>
        <v>High Correct</v>
      </c>
      <c r="S58" s="51" t="str" cm="1">
        <f t="array" aca="1" ref="S58" ca="1">INDIRECT("["&amp;datatable!$C$3&amp;"]"&amp;datatable!$B5&amp;"!"&amp;"I51")</f>
        <v>High Correct</v>
      </c>
      <c r="T58" s="51" t="str" cm="1">
        <f t="array" aca="1" ref="T58" ca="1">INDIRECT("["&amp;datatable!$C$3&amp;"]"&amp;datatable!$B5&amp;"!"&amp;"I52")</f>
        <v>High Correct</v>
      </c>
      <c r="U58" s="51" t="str" cm="1">
        <f t="array" aca="1" ref="U58" ca="1">INDIRECT("["&amp;datatable!$C$3&amp;"]"&amp;datatable!$B5&amp;"!"&amp;"I53")</f>
        <v>Low Incorrect</v>
      </c>
      <c r="V58" s="51" t="str" cm="1">
        <f t="array" aca="1" ref="V58" ca="1">INDIRECT("["&amp;datatable!$C$3&amp;"]"&amp;datatable!$B5&amp;"!"&amp;"I54")</f>
        <v>High Correct</v>
      </c>
      <c r="W58" s="51" t="str" cm="1">
        <f t="array" aca="1" ref="W58" ca="1">INDIRECT("["&amp;datatable!$C$3&amp;"]"&amp;datatable!$B5&amp;"!"&amp;"I55")</f>
        <v>Low Incorrect</v>
      </c>
      <c r="X58" s="51" t="str" cm="1">
        <f t="array" aca="1" ref="X58" ca="1">INDIRECT("["&amp;datatable!$C$3&amp;"]"&amp;datatable!$B5&amp;"!"&amp;"I56")</f>
        <v>Medium Correct</v>
      </c>
      <c r="Y58" s="50"/>
    </row>
    <row r="59" spans="3:25">
      <c r="C59" s="30" t="s">
        <v>41</v>
      </c>
      <c r="D59" s="51" t="str" cm="1">
        <f t="array" aca="1" ref="D59" ca="1">INDIRECT("["&amp;datatable!$C$3&amp;"]"&amp;datatable!$B6&amp;"!"&amp;"I2")</f>
        <v>High Incorrect</v>
      </c>
      <c r="E59" s="51" t="str" cm="1">
        <f t="array" aca="1" ref="E59" ca="1">INDIRECT("["&amp;datatable!$C$3&amp;"]"&amp;datatable!$B6&amp;"!"&amp;"I3")</f>
        <v>High Maybe</v>
      </c>
      <c r="F59" s="51" t="str" cm="1">
        <f t="array" aca="1" ref="F59" ca="1">INDIRECT("["&amp;datatable!$C$3&amp;"]"&amp;datatable!$B6&amp;"!"&amp;"I4")</f>
        <v>High Maybe</v>
      </c>
      <c r="G59" s="51" t="str" cm="1">
        <f t="array" aca="1" ref="G59" ca="1">INDIRECT("["&amp;datatable!$C$3&amp;"]"&amp;datatable!$B6&amp;"!"&amp;"I5")</f>
        <v>High Maybe</v>
      </c>
      <c r="H59" s="51" t="str" cm="1">
        <f t="array" aca="1" ref="H59" ca="1">INDIRECT("["&amp;datatable!$C$3&amp;"]"&amp;datatable!$B6&amp;"!"&amp;"I6")</f>
        <v>Low Maybe</v>
      </c>
      <c r="I59" s="51" t="str" cm="1">
        <f t="array" aca="1" ref="I59" ca="1">INDIRECT("["&amp;datatable!$C$3&amp;"]"&amp;datatable!$B6&amp;"!"&amp;"I7")</f>
        <v>Medium Incorrect</v>
      </c>
      <c r="J59" s="51" t="str" cm="1">
        <f t="array" aca="1" ref="J59" ca="1">INDIRECT("["&amp;datatable!$C$3&amp;"]"&amp;datatable!$B6&amp;"!"&amp;"I8")</f>
        <v>High Correct</v>
      </c>
      <c r="K59" s="51" t="str" cm="1">
        <f t="array" aca="1" ref="K59" ca="1">INDIRECT("["&amp;datatable!$C$3&amp;"]"&amp;datatable!$B6&amp;"!"&amp;"I9")</f>
        <v>High Incorrect</v>
      </c>
      <c r="L59" s="51" t="str" cm="1">
        <f t="array" aca="1" ref="L59" ca="1">INDIRECT("["&amp;datatable!$C$3&amp;"]"&amp;datatable!$B6&amp;"!"&amp;"I10")</f>
        <v>Low Incorrect</v>
      </c>
      <c r="M59" s="51" t="str" cm="1">
        <f t="array" aca="1" ref="M59" ca="1">INDIRECT("["&amp;datatable!$C$3&amp;"]"&amp;datatable!$B6&amp;"!"&amp;"I11")</f>
        <v>High Incorrect</v>
      </c>
      <c r="N59" s="51" t="str" cm="1">
        <f t="array" aca="1" ref="N59" ca="1">INDIRECT("["&amp;datatable!$C$3&amp;"]"&amp;datatable!$B6&amp;"!"&amp;"I46")</f>
        <v>Medium Incorrect</v>
      </c>
      <c r="O59" s="51" t="str" cm="1">
        <f t="array" aca="1" ref="O59" ca="1">INDIRECT("["&amp;datatable!$C$3&amp;"]"&amp;datatable!$B6&amp;"!"&amp;"I47")</f>
        <v>Low Incorrect</v>
      </c>
      <c r="P59" s="51" t="str" cm="1">
        <f t="array" aca="1" ref="P59" ca="1">INDIRECT("["&amp;datatable!$C$3&amp;"]"&amp;datatable!$B6&amp;"!"&amp;"I48")</f>
        <v>Low Maybe</v>
      </c>
      <c r="Q59" s="51" t="str" cm="1">
        <f t="array" aca="1" ref="Q59" ca="1">INDIRECT("["&amp;datatable!$C$3&amp;"]"&amp;datatable!$B6&amp;"!"&amp;"I49")</f>
        <v>Medium Incorrect</v>
      </c>
      <c r="R59" s="51" t="str" cm="1">
        <f t="array" aca="1" ref="R59" ca="1">INDIRECT("["&amp;datatable!$C$3&amp;"]"&amp;datatable!$B6&amp;"!"&amp;"I50")</f>
        <v>Medium Maybe</v>
      </c>
      <c r="S59" s="51" t="str" cm="1">
        <f t="array" aca="1" ref="S59" ca="1">INDIRECT("["&amp;datatable!$C$3&amp;"]"&amp;datatable!$B6&amp;"!"&amp;"I51")</f>
        <v>Medium Incorrect</v>
      </c>
      <c r="T59" s="51" t="str" cm="1">
        <f t="array" aca="1" ref="T59" ca="1">INDIRECT("["&amp;datatable!$C$3&amp;"]"&amp;datatable!$B6&amp;"!"&amp;"I52")</f>
        <v>Low Incorrect</v>
      </c>
      <c r="U59" s="51" t="str" cm="1">
        <f t="array" aca="1" ref="U59" ca="1">INDIRECT("["&amp;datatable!$C$3&amp;"]"&amp;datatable!$B6&amp;"!"&amp;"I53")</f>
        <v>Medium Incorrect</v>
      </c>
      <c r="V59" s="51" t="str" cm="1">
        <f t="array" aca="1" ref="V59" ca="1">INDIRECT("["&amp;datatable!$C$3&amp;"]"&amp;datatable!$B6&amp;"!"&amp;"I54")</f>
        <v>High Correct</v>
      </c>
      <c r="W59" s="51" t="str" cm="1">
        <f t="array" aca="1" ref="W59" ca="1">INDIRECT("["&amp;datatable!$C$3&amp;"]"&amp;datatable!$B6&amp;"!"&amp;"I55")</f>
        <v>High Incorrect</v>
      </c>
      <c r="X59" s="51" t="str" cm="1">
        <f t="array" aca="1" ref="X59" ca="1">INDIRECT("["&amp;datatable!$C$3&amp;"]"&amp;datatable!$B6&amp;"!"&amp;"I56")</f>
        <v>N/A</v>
      </c>
      <c r="Y59" s="50"/>
    </row>
    <row r="60" spans="3:25">
      <c r="C60" s="30" t="s">
        <v>42</v>
      </c>
      <c r="D60" s="51" t="str" cm="1">
        <f t="array" aca="1" ref="D60" ca="1">INDIRECT("["&amp;datatable!$C$3&amp;"]"&amp;datatable!$B7&amp;"!"&amp;"I2")</f>
        <v>High Correct</v>
      </c>
      <c r="E60" s="51" t="str" cm="1">
        <f t="array" aca="1" ref="E60" ca="1">INDIRECT("["&amp;datatable!$C$3&amp;"]"&amp;datatable!$B7&amp;"!"&amp;"I3")</f>
        <v>High Correct</v>
      </c>
      <c r="F60" s="51" t="str" cm="1">
        <f t="array" aca="1" ref="F60" ca="1">INDIRECT("["&amp;datatable!$C$3&amp;"]"&amp;datatable!$B7&amp;"!"&amp;"I4")</f>
        <v>High Correct</v>
      </c>
      <c r="G60" s="51" t="str" cm="1">
        <f t="array" aca="1" ref="G60" ca="1">INDIRECT("["&amp;datatable!$C$3&amp;"]"&amp;datatable!$B7&amp;"!"&amp;"I5")</f>
        <v>High Correct</v>
      </c>
      <c r="H60" s="51" t="str" cm="1">
        <f t="array" aca="1" ref="H60" ca="1">INDIRECT("["&amp;datatable!$C$3&amp;"]"&amp;datatable!$B7&amp;"!"&amp;"I6")</f>
        <v>Low Maybe</v>
      </c>
      <c r="I60" s="51" t="str" cm="1">
        <f t="array" aca="1" ref="I60" ca="1">INDIRECT("["&amp;datatable!$C$3&amp;"]"&amp;datatable!$B7&amp;"!"&amp;"I7")</f>
        <v>High Correct</v>
      </c>
      <c r="J60" s="51" t="str" cm="1">
        <f t="array" aca="1" ref="J60" ca="1">INDIRECT("["&amp;datatable!$C$3&amp;"]"&amp;datatable!$B7&amp;"!"&amp;"I8")</f>
        <v>High Correct</v>
      </c>
      <c r="K60" s="51" t="str" cm="1">
        <f t="array" aca="1" ref="K60" ca="1">INDIRECT("["&amp;datatable!$C$3&amp;"]"&amp;datatable!$B7&amp;"!"&amp;"I9")</f>
        <v>High Correct</v>
      </c>
      <c r="L60" s="51" t="str" cm="1">
        <f t="array" aca="1" ref="L60" ca="1">INDIRECT("["&amp;datatable!$C$3&amp;"]"&amp;datatable!$B7&amp;"!"&amp;"I10")</f>
        <v>Medium Correct</v>
      </c>
      <c r="M60" s="51" t="str" cm="1">
        <f t="array" aca="1" ref="M60" ca="1">INDIRECT("["&amp;datatable!$C$3&amp;"]"&amp;datatable!$B7&amp;"!"&amp;"I11")</f>
        <v>Medium Correct</v>
      </c>
      <c r="N60" s="51" t="str" cm="1">
        <f t="array" aca="1" ref="N60" ca="1">INDIRECT("["&amp;datatable!$C$3&amp;"]"&amp;datatable!$B7&amp;"!"&amp;"I46")</f>
        <v>N/A</v>
      </c>
      <c r="O60" s="51" t="str" cm="1">
        <f t="array" aca="1" ref="O60" ca="1">INDIRECT("["&amp;datatable!$C$3&amp;"]"&amp;datatable!$B7&amp;"!"&amp;"I47")</f>
        <v>N/A</v>
      </c>
      <c r="P60" s="51" t="str" cm="1">
        <f t="array" aca="1" ref="P60" ca="1">INDIRECT("["&amp;datatable!$C$3&amp;"]"&amp;datatable!$B7&amp;"!"&amp;"I48")</f>
        <v>N/A</v>
      </c>
      <c r="Q60" s="51" t="str" cm="1">
        <f t="array" aca="1" ref="Q60" ca="1">INDIRECT("["&amp;datatable!$C$3&amp;"]"&amp;datatable!$B7&amp;"!"&amp;"I49")</f>
        <v>N/A</v>
      </c>
      <c r="R60" s="51" t="str" cm="1">
        <f t="array" aca="1" ref="R60" ca="1">INDIRECT("["&amp;datatable!$C$3&amp;"]"&amp;datatable!$B7&amp;"!"&amp;"I50")</f>
        <v>N/A</v>
      </c>
      <c r="S60" s="51" t="str" cm="1">
        <f t="array" aca="1" ref="S60" ca="1">INDIRECT("["&amp;datatable!$C$3&amp;"]"&amp;datatable!$B7&amp;"!"&amp;"I51")</f>
        <v>N/A</v>
      </c>
      <c r="T60" s="51" t="str" cm="1">
        <f t="array" aca="1" ref="T60" ca="1">INDIRECT("["&amp;datatable!$C$3&amp;"]"&amp;datatable!$B7&amp;"!"&amp;"I52")</f>
        <v>N/A</v>
      </c>
      <c r="U60" s="51" t="str" cm="1">
        <f t="array" aca="1" ref="U60" ca="1">INDIRECT("["&amp;datatable!$C$3&amp;"]"&amp;datatable!$B7&amp;"!"&amp;"I53")</f>
        <v>High Correct</v>
      </c>
      <c r="V60" s="51" t="str" cm="1">
        <f t="array" aca="1" ref="V60" ca="1">INDIRECT("["&amp;datatable!$C$3&amp;"]"&amp;datatable!$B7&amp;"!"&amp;"I54")</f>
        <v>High Correct</v>
      </c>
      <c r="W60" s="51" t="str" cm="1">
        <f t="array" aca="1" ref="W60" ca="1">INDIRECT("["&amp;datatable!$C$3&amp;"]"&amp;datatable!$B7&amp;"!"&amp;"I55")</f>
        <v>N/A</v>
      </c>
      <c r="X60" s="51" t="str" cm="1">
        <f t="array" aca="1" ref="X60" ca="1">INDIRECT("["&amp;datatable!$C$3&amp;"]"&amp;datatable!$B7&amp;"!"&amp;"I56")</f>
        <v>N/A</v>
      </c>
      <c r="Y60" s="50"/>
    </row>
    <row r="61" spans="3:25">
      <c r="C61" s="30" t="s">
        <v>43</v>
      </c>
      <c r="D61" s="51" t="str" cm="1">
        <f t="array" aca="1" ref="D61" ca="1">INDIRECT("["&amp;datatable!$C$3&amp;"]"&amp;datatable!$B8&amp;"!"&amp;"I2")</f>
        <v>High Correct</v>
      </c>
      <c r="E61" s="51" t="str" cm="1">
        <f t="array" aca="1" ref="E61" ca="1">INDIRECT("["&amp;datatable!$C$3&amp;"]"&amp;datatable!$B8&amp;"!"&amp;"I3")</f>
        <v>High Correct</v>
      </c>
      <c r="F61" s="51" t="str" cm="1">
        <f t="array" aca="1" ref="F61" ca="1">INDIRECT("["&amp;datatable!$C$3&amp;"]"&amp;datatable!$B8&amp;"!"&amp;"I4")</f>
        <v>High Maybe</v>
      </c>
      <c r="G61" s="51" t="str" cm="1">
        <f t="array" aca="1" ref="G61" ca="1">INDIRECT("["&amp;datatable!$C$3&amp;"]"&amp;datatable!$B8&amp;"!"&amp;"I5")</f>
        <v>High Correct</v>
      </c>
      <c r="H61" s="51" t="str" cm="1">
        <f t="array" aca="1" ref="H61" ca="1">INDIRECT("["&amp;datatable!$C$3&amp;"]"&amp;datatable!$B8&amp;"!"&amp;"I6")</f>
        <v>High Correct</v>
      </c>
      <c r="I61" s="51" t="str" cm="1">
        <f t="array" aca="1" ref="I61" ca="1">INDIRECT("["&amp;datatable!$C$3&amp;"]"&amp;datatable!$B8&amp;"!"&amp;"I7")</f>
        <v>High Correct</v>
      </c>
      <c r="J61" s="51" t="str" cm="1">
        <f t="array" aca="1" ref="J61" ca="1">INDIRECT("["&amp;datatable!$C$3&amp;"]"&amp;datatable!$B8&amp;"!"&amp;"I8")</f>
        <v>High Correct</v>
      </c>
      <c r="K61" s="51" t="str" cm="1">
        <f t="array" aca="1" ref="K61" ca="1">INDIRECT("["&amp;datatable!$C$3&amp;"]"&amp;datatable!$B8&amp;"!"&amp;"I9")</f>
        <v>Medium Correct</v>
      </c>
      <c r="L61" s="51" t="str" cm="1">
        <f t="array" aca="1" ref="L61" ca="1">INDIRECT("["&amp;datatable!$C$3&amp;"]"&amp;datatable!$B8&amp;"!"&amp;"I10")</f>
        <v>High Correct</v>
      </c>
      <c r="M61" s="51" t="str" cm="1">
        <f t="array" aca="1" ref="M61" ca="1">INDIRECT("["&amp;datatable!$C$3&amp;"]"&amp;datatable!$B8&amp;"!"&amp;"I11")</f>
        <v>High Correct</v>
      </c>
      <c r="N61" s="51" t="str" cm="1">
        <f t="array" aca="1" ref="N61" ca="1">INDIRECT("["&amp;datatable!$C$3&amp;"]"&amp;datatable!$B8&amp;"!"&amp;"I46")</f>
        <v>High Correct</v>
      </c>
      <c r="O61" s="51" t="str" cm="1">
        <f t="array" aca="1" ref="O61" ca="1">INDIRECT("["&amp;datatable!$C$3&amp;"]"&amp;datatable!$B8&amp;"!"&amp;"I47")</f>
        <v>High Correct</v>
      </c>
      <c r="P61" s="51" t="str" cm="1">
        <f t="array" aca="1" ref="P61" ca="1">INDIRECT("["&amp;datatable!$C$3&amp;"]"&amp;datatable!$B8&amp;"!"&amp;"I48")</f>
        <v>Low Incorrect</v>
      </c>
      <c r="Q61" s="51" t="str" cm="1">
        <f t="array" aca="1" ref="Q61" ca="1">INDIRECT("["&amp;datatable!$C$3&amp;"]"&amp;datatable!$B8&amp;"!"&amp;"I49")</f>
        <v>Medium Incorrect</v>
      </c>
      <c r="R61" s="51" t="str" cm="1">
        <f t="array" aca="1" ref="R61" ca="1">INDIRECT("["&amp;datatable!$C$3&amp;"]"&amp;datatable!$B8&amp;"!"&amp;"I50")</f>
        <v>Medium Incorrect</v>
      </c>
      <c r="S61" s="51" t="str" cm="1">
        <f t="array" aca="1" ref="S61" ca="1">INDIRECT("["&amp;datatable!$C$3&amp;"]"&amp;datatable!$B8&amp;"!"&amp;"I51")</f>
        <v>High Incorrect</v>
      </c>
      <c r="T61" s="51" t="str" cm="1">
        <f t="array" aca="1" ref="T61" ca="1">INDIRECT("["&amp;datatable!$C$3&amp;"]"&amp;datatable!$B8&amp;"!"&amp;"I52")</f>
        <v>N/A</v>
      </c>
      <c r="U61" s="51" t="str" cm="1">
        <f t="array" aca="1" ref="U61" ca="1">INDIRECT("["&amp;datatable!$C$3&amp;"]"&amp;datatable!$B8&amp;"!"&amp;"I53")</f>
        <v>Medium Incorrect</v>
      </c>
      <c r="V61" s="51" t="str" cm="1">
        <f t="array" aca="1" ref="V61" ca="1">INDIRECT("["&amp;datatable!$C$3&amp;"]"&amp;datatable!$B8&amp;"!"&amp;"I54")</f>
        <v>High Correct</v>
      </c>
      <c r="W61" s="51" t="str" cm="1">
        <f t="array" aca="1" ref="W61" ca="1">INDIRECT("["&amp;datatable!$C$3&amp;"]"&amp;datatable!$B8&amp;"!"&amp;"I55")</f>
        <v>High Incorrect</v>
      </c>
      <c r="X61" s="51" t="str" cm="1">
        <f t="array" aca="1" ref="X61" ca="1">INDIRECT("["&amp;datatable!$C$3&amp;"]"&amp;datatable!$B8&amp;"!"&amp;"I56")</f>
        <v>N/A</v>
      </c>
      <c r="Y61" s="50"/>
    </row>
    <row r="62" spans="3:25">
      <c r="C62" s="30" t="s">
        <v>44</v>
      </c>
      <c r="D62" s="51" t="str" cm="1">
        <f t="array" aca="1" ref="D62" ca="1">INDIRECT("["&amp;datatable!$C$3&amp;"]"&amp;datatable!$B9&amp;"!"&amp;"I2")</f>
        <v>High Maybe</v>
      </c>
      <c r="E62" s="51" t="str" cm="1">
        <f t="array" aca="1" ref="E62" ca="1">INDIRECT("["&amp;datatable!$C$3&amp;"]"&amp;datatable!$B9&amp;"!"&amp;"I3")</f>
        <v>High Correct</v>
      </c>
      <c r="F62" s="51" t="str" cm="1">
        <f t="array" aca="1" ref="F62" ca="1">INDIRECT("["&amp;datatable!$C$3&amp;"]"&amp;datatable!$B9&amp;"!"&amp;"I4")</f>
        <v>High Maybe</v>
      </c>
      <c r="G62" s="51" t="str" cm="1">
        <f t="array" aca="1" ref="G62" ca="1">INDIRECT("["&amp;datatable!$C$3&amp;"]"&amp;datatable!$B9&amp;"!"&amp;"I5")</f>
        <v>High Correct</v>
      </c>
      <c r="H62" s="51" t="str" cm="1">
        <f t="array" aca="1" ref="H62" ca="1">INDIRECT("["&amp;datatable!$C$3&amp;"]"&amp;datatable!$B9&amp;"!"&amp;"I6")</f>
        <v>Medium Correct</v>
      </c>
      <c r="I62" s="51" t="str" cm="1">
        <f t="array" aca="1" ref="I62" ca="1">INDIRECT("["&amp;datatable!$C$3&amp;"]"&amp;datatable!$B9&amp;"!"&amp;"I7")</f>
        <v>High Correct</v>
      </c>
      <c r="J62" s="51" t="str" cm="1">
        <f t="array" aca="1" ref="J62" ca="1">INDIRECT("["&amp;datatable!$C$3&amp;"]"&amp;datatable!$B9&amp;"!"&amp;"I8")</f>
        <v>High Correct</v>
      </c>
      <c r="K62" s="51" t="str" cm="1">
        <f t="array" aca="1" ref="K62" ca="1">INDIRECT("["&amp;datatable!$C$3&amp;"]"&amp;datatable!$B9&amp;"!"&amp;"I9")</f>
        <v>Medium Correct</v>
      </c>
      <c r="L62" s="51" t="str" cm="1">
        <f t="array" aca="1" ref="L62" ca="1">INDIRECT("["&amp;datatable!$C$3&amp;"]"&amp;datatable!$B9&amp;"!"&amp;"I10")</f>
        <v>High Correct</v>
      </c>
      <c r="M62" s="51" t="str" cm="1">
        <f t="array" aca="1" ref="M62" ca="1">INDIRECT("["&amp;datatable!$C$3&amp;"]"&amp;datatable!$B9&amp;"!"&amp;"I11")</f>
        <v>High Maybe</v>
      </c>
      <c r="N62" s="51" t="str" cm="1">
        <f t="array" aca="1" ref="N62" ca="1">INDIRECT("["&amp;datatable!$C$3&amp;"]"&amp;datatable!$B9&amp;"!"&amp;"I46")</f>
        <v>High Correct</v>
      </c>
      <c r="O62" s="51" t="str" cm="1">
        <f t="array" aca="1" ref="O62" ca="1">INDIRECT("["&amp;datatable!$C$3&amp;"]"&amp;datatable!$B9&amp;"!"&amp;"I47")</f>
        <v>High Correct</v>
      </c>
      <c r="P62" s="51" t="str" cm="1">
        <f t="array" aca="1" ref="P62" ca="1">INDIRECT("["&amp;datatable!$C$3&amp;"]"&amp;datatable!$B9&amp;"!"&amp;"I48")</f>
        <v>High Correct</v>
      </c>
      <c r="Q62" s="51" t="str" cm="1">
        <f t="array" aca="1" ref="Q62" ca="1">INDIRECT("["&amp;datatable!$C$3&amp;"]"&amp;datatable!$B9&amp;"!"&amp;"I49")</f>
        <v>High Correct</v>
      </c>
      <c r="R62" s="51" t="str" cm="1">
        <f t="array" aca="1" ref="R62" ca="1">INDIRECT("["&amp;datatable!$C$3&amp;"]"&amp;datatable!$B9&amp;"!"&amp;"I50")</f>
        <v>High Correct</v>
      </c>
      <c r="S62" s="51" t="str" cm="1">
        <f t="array" aca="1" ref="S62" ca="1">INDIRECT("["&amp;datatable!$C$3&amp;"]"&amp;datatable!$B9&amp;"!"&amp;"I51")</f>
        <v>High Correct</v>
      </c>
      <c r="T62" s="51" t="str" cm="1">
        <f t="array" aca="1" ref="T62" ca="1">INDIRECT("["&amp;datatable!$C$3&amp;"]"&amp;datatable!$B9&amp;"!"&amp;"I52")</f>
        <v>High Correct</v>
      </c>
      <c r="U62" s="51" t="str" cm="1">
        <f t="array" aca="1" ref="U62" ca="1">INDIRECT("["&amp;datatable!$C$3&amp;"]"&amp;datatable!$B9&amp;"!"&amp;"I53")</f>
        <v>High Correct</v>
      </c>
      <c r="V62" s="51" t="str" cm="1">
        <f t="array" aca="1" ref="V62" ca="1">INDIRECT("["&amp;datatable!$C$3&amp;"]"&amp;datatable!$B9&amp;"!"&amp;"I54")</f>
        <v>High Correct</v>
      </c>
      <c r="W62" s="51" t="str" cm="1">
        <f t="array" aca="1" ref="W62" ca="1">INDIRECT("["&amp;datatable!$C$3&amp;"]"&amp;datatable!$B9&amp;"!"&amp;"I55")</f>
        <v>High Correct</v>
      </c>
      <c r="X62" s="51" t="str" cm="1">
        <f t="array" aca="1" ref="X62" ca="1">INDIRECT("["&amp;datatable!$C$3&amp;"]"&amp;datatable!$B9&amp;"!"&amp;"I56")</f>
        <v>N/A</v>
      </c>
      <c r="Y62" s="50"/>
    </row>
    <row r="63" spans="3:25">
      <c r="C63" s="30" t="s">
        <v>45</v>
      </c>
      <c r="D63" s="51" t="str" cm="1">
        <f t="array" aca="1" ref="D63" ca="1">INDIRECT("["&amp;datatable!$C$3&amp;"]"&amp;datatable!$B10&amp;"!"&amp;"I2")</f>
        <v>Low Incorrect</v>
      </c>
      <c r="E63" s="51" t="str" cm="1">
        <f t="array" aca="1" ref="E63" ca="1">INDIRECT("["&amp;datatable!$C$3&amp;"]"&amp;datatable!$B10&amp;"!"&amp;"I3")</f>
        <v>Low Incorrect</v>
      </c>
      <c r="F63" s="51" t="str" cm="1">
        <f t="array" aca="1" ref="F63" ca="1">INDIRECT("["&amp;datatable!$C$3&amp;"]"&amp;datatable!$B10&amp;"!"&amp;"I4")</f>
        <v>Medium Incorrect</v>
      </c>
      <c r="G63" s="51" t="str" cm="1">
        <f t="array" aca="1" ref="G63" ca="1">INDIRECT("["&amp;datatable!$C$3&amp;"]"&amp;datatable!$B10&amp;"!"&amp;"I5")</f>
        <v>High Correct</v>
      </c>
      <c r="H63" s="51" t="str" cm="1">
        <f t="array" aca="1" ref="H63" ca="1">INDIRECT("["&amp;datatable!$C$3&amp;"]"&amp;datatable!$B10&amp;"!"&amp;"I6")</f>
        <v>Medium Correct</v>
      </c>
      <c r="I63" s="51" t="str" cm="1">
        <f t="array" aca="1" ref="I63" ca="1">INDIRECT("["&amp;datatable!$C$3&amp;"]"&amp;datatable!$B10&amp;"!"&amp;"I7")</f>
        <v>High Correct</v>
      </c>
      <c r="J63" s="51" t="str" cm="1">
        <f t="array" aca="1" ref="J63" ca="1">INDIRECT("["&amp;datatable!$C$3&amp;"]"&amp;datatable!$B10&amp;"!"&amp;"I8")</f>
        <v>Medium Incorrect</v>
      </c>
      <c r="K63" s="51" t="str" cm="1">
        <f t="array" aca="1" ref="K63" ca="1">INDIRECT("["&amp;datatable!$C$3&amp;"]"&amp;datatable!$B10&amp;"!"&amp;"I9")</f>
        <v>Medium Incorrect</v>
      </c>
      <c r="L63" s="51" t="str" cm="1">
        <f t="array" aca="1" ref="L63" ca="1">INDIRECT("["&amp;datatable!$C$3&amp;"]"&amp;datatable!$B10&amp;"!"&amp;"I10")</f>
        <v>Medium Incorrect</v>
      </c>
      <c r="M63" s="51" t="str" cm="1">
        <f t="array" aca="1" ref="M63" ca="1">INDIRECT("["&amp;datatable!$C$3&amp;"]"&amp;datatable!$B10&amp;"!"&amp;"I11")</f>
        <v>Low Maybe</v>
      </c>
      <c r="N63" s="51" t="str" cm="1">
        <f t="array" aca="1" ref="N63" ca="1">INDIRECT("["&amp;datatable!$C$3&amp;"]"&amp;datatable!$B10&amp;"!"&amp;"I46")</f>
        <v>Low Maybe</v>
      </c>
      <c r="O63" s="51" t="str" cm="1">
        <f t="array" aca="1" ref="O63" ca="1">INDIRECT("["&amp;datatable!$C$3&amp;"]"&amp;datatable!$B10&amp;"!"&amp;"I47")</f>
        <v>N/A</v>
      </c>
      <c r="P63" s="51" t="str" cm="1">
        <f t="array" aca="1" ref="P63" ca="1">INDIRECT("["&amp;datatable!$C$3&amp;"]"&amp;datatable!$B10&amp;"!"&amp;"I48")</f>
        <v>Medium Incorrect</v>
      </c>
      <c r="Q63" s="51" t="str" cm="1">
        <f t="array" aca="1" ref="Q63" ca="1">INDIRECT("["&amp;datatable!$C$3&amp;"]"&amp;datatable!$B10&amp;"!"&amp;"I49")</f>
        <v>Low Incorrect</v>
      </c>
      <c r="R63" s="51" t="str" cm="1">
        <f t="array" aca="1" ref="R63" ca="1">INDIRECT("["&amp;datatable!$C$3&amp;"]"&amp;datatable!$B10&amp;"!"&amp;"I50")</f>
        <v>Medium Incorrect</v>
      </c>
      <c r="S63" s="51" t="str" cm="1">
        <f t="array" aca="1" ref="S63" ca="1">INDIRECT("["&amp;datatable!$C$3&amp;"]"&amp;datatable!$B10&amp;"!"&amp;"I51")</f>
        <v>Medium Incorrect</v>
      </c>
      <c r="T63" s="51" t="str" cm="1">
        <f t="array" aca="1" ref="T63" ca="1">INDIRECT("["&amp;datatable!$C$3&amp;"]"&amp;datatable!$B10&amp;"!"&amp;"I52")</f>
        <v>N/A</v>
      </c>
      <c r="U63" s="51" t="str" cm="1">
        <f t="array" aca="1" ref="U63" ca="1">INDIRECT("["&amp;datatable!$C$3&amp;"]"&amp;datatable!$B10&amp;"!"&amp;"I53")</f>
        <v>High Correct</v>
      </c>
      <c r="V63" s="51" t="str" cm="1">
        <f t="array" aca="1" ref="V63" ca="1">INDIRECT("["&amp;datatable!$C$3&amp;"]"&amp;datatable!$B10&amp;"!"&amp;"I54")</f>
        <v>Low Maybe</v>
      </c>
      <c r="W63" s="51" t="str" cm="1">
        <f t="array" aca="1" ref="W63" ca="1">INDIRECT("["&amp;datatable!$C$3&amp;"]"&amp;datatable!$B10&amp;"!"&amp;"I55")</f>
        <v>Low Maybe</v>
      </c>
      <c r="X63" s="51" t="str" cm="1">
        <f t="array" aca="1" ref="X63" ca="1">INDIRECT("["&amp;datatable!$C$3&amp;"]"&amp;datatable!$B10&amp;"!"&amp;"I56")</f>
        <v>High Incorrect</v>
      </c>
      <c r="Y63" s="50"/>
    </row>
    <row r="64" spans="3:25">
      <c r="C64" s="30" t="s">
        <v>46</v>
      </c>
      <c r="D64" s="51" t="str" cm="1">
        <f t="array" aca="1" ref="D64" ca="1">INDIRECT("["&amp;datatable!$C$3&amp;"]"&amp;datatable!$B11&amp;"!"&amp;"I2")</f>
        <v>Medium Incorrect</v>
      </c>
      <c r="E64" s="51" t="str" cm="1">
        <f t="array" aca="1" ref="E64" ca="1">INDIRECT("["&amp;datatable!$C$3&amp;"]"&amp;datatable!$B11&amp;"!"&amp;"I3")</f>
        <v>Low Incorrect</v>
      </c>
      <c r="F64" s="51" t="str" cm="1">
        <f t="array" aca="1" ref="F64" ca="1">INDIRECT("["&amp;datatable!$C$3&amp;"]"&amp;datatable!$B11&amp;"!"&amp;"I4")</f>
        <v>High Incorrect</v>
      </c>
      <c r="G64" s="51" t="str" cm="1">
        <f t="array" aca="1" ref="G64" ca="1">INDIRECT("["&amp;datatable!$C$3&amp;"]"&amp;datatable!$B11&amp;"!"&amp;"I5")</f>
        <v>High Maybe</v>
      </c>
      <c r="H64" s="51" t="str" cm="1">
        <f t="array" aca="1" ref="H64" ca="1">INDIRECT("["&amp;datatable!$C$3&amp;"]"&amp;datatable!$B11&amp;"!"&amp;"I6")</f>
        <v>Low Correct</v>
      </c>
      <c r="I64" s="51" t="str" cm="1">
        <f t="array" aca="1" ref="I64" ca="1">INDIRECT("["&amp;datatable!$C$3&amp;"]"&amp;datatable!$B11&amp;"!"&amp;"I7")</f>
        <v>Medium Incorrect</v>
      </c>
      <c r="J64" s="51" t="str" cm="1">
        <f t="array" aca="1" ref="J64" ca="1">INDIRECT("["&amp;datatable!$C$3&amp;"]"&amp;datatable!$B11&amp;"!"&amp;"I8")</f>
        <v>High Correct</v>
      </c>
      <c r="K64" s="51" t="str" cm="1">
        <f t="array" aca="1" ref="K64" ca="1">INDIRECT("["&amp;datatable!$C$3&amp;"]"&amp;datatable!$B11&amp;"!"&amp;"I9")</f>
        <v>Low Incorrect</v>
      </c>
      <c r="L64" s="51" t="str" cm="1">
        <f t="array" aca="1" ref="L64" ca="1">INDIRECT("["&amp;datatable!$C$3&amp;"]"&amp;datatable!$B11&amp;"!"&amp;"I10")</f>
        <v>Low Incorrect</v>
      </c>
      <c r="M64" s="51" t="str" cm="1">
        <f t="array" aca="1" ref="M64" ca="1">INDIRECT("["&amp;datatable!$C$3&amp;"]"&amp;datatable!$B11&amp;"!"&amp;"I11")</f>
        <v>Medium Incorrect</v>
      </c>
      <c r="N64" s="51" t="str" cm="1">
        <f t="array" aca="1" ref="N64" ca="1">INDIRECT("["&amp;datatable!$C$3&amp;"]"&amp;datatable!$B11&amp;"!"&amp;"I46")</f>
        <v>Medium Maybe</v>
      </c>
      <c r="O64" s="51" t="str" cm="1">
        <f t="array" aca="1" ref="O64" ca="1">INDIRECT("["&amp;datatable!$C$3&amp;"]"&amp;datatable!$B11&amp;"!"&amp;"I47")</f>
        <v>Low Maybe</v>
      </c>
      <c r="P64" s="51" t="str" cm="1">
        <f t="array" aca="1" ref="P64" ca="1">INDIRECT("["&amp;datatable!$C$3&amp;"]"&amp;datatable!$B11&amp;"!"&amp;"I48")</f>
        <v>Medium Incorrect</v>
      </c>
      <c r="Q64" s="51" t="str" cm="1">
        <f t="array" aca="1" ref="Q64" ca="1">INDIRECT("["&amp;datatable!$C$3&amp;"]"&amp;datatable!$B11&amp;"!"&amp;"I49")</f>
        <v>Low Maybe</v>
      </c>
      <c r="R64" s="51" t="str" cm="1">
        <f t="array" aca="1" ref="R64" ca="1">INDIRECT("["&amp;datatable!$C$3&amp;"]"&amp;datatable!$B11&amp;"!"&amp;"I50")</f>
        <v>High Correct</v>
      </c>
      <c r="S64" s="51" t="str" cm="1">
        <f t="array" aca="1" ref="S64" ca="1">INDIRECT("["&amp;datatable!$C$3&amp;"]"&amp;datatable!$B11&amp;"!"&amp;"I51")</f>
        <v>Medium Incorrect</v>
      </c>
      <c r="T64" s="51" t="str" cm="1">
        <f t="array" aca="1" ref="T64" ca="1">INDIRECT("["&amp;datatable!$C$3&amp;"]"&amp;datatable!$B11&amp;"!"&amp;"I52")</f>
        <v>Medium Incorrect</v>
      </c>
      <c r="U64" s="51" t="str" cm="1">
        <f t="array" aca="1" ref="U64" ca="1">INDIRECT("["&amp;datatable!$C$3&amp;"]"&amp;datatable!$B11&amp;"!"&amp;"I53")</f>
        <v>High Correct</v>
      </c>
      <c r="V64" s="51" t="str" cm="1">
        <f t="array" aca="1" ref="V64" ca="1">INDIRECT("["&amp;datatable!$C$3&amp;"]"&amp;datatable!$B11&amp;"!"&amp;"I54")</f>
        <v>High Correct</v>
      </c>
      <c r="W64" s="51" t="str" cm="1">
        <f t="array" aca="1" ref="W64" ca="1">INDIRECT("["&amp;datatable!$C$3&amp;"]"&amp;datatable!$B11&amp;"!"&amp;"I55")</f>
        <v>Medium Incorrect</v>
      </c>
      <c r="X64" s="51" t="str" cm="1">
        <f t="array" aca="1" ref="X64" ca="1">INDIRECT("["&amp;datatable!$C$3&amp;"]"&amp;datatable!$B11&amp;"!"&amp;"I56")</f>
        <v>High Correct</v>
      </c>
      <c r="Y64" s="50"/>
    </row>
    <row r="65" spans="3:25">
      <c r="C65" s="30" t="s">
        <v>47</v>
      </c>
      <c r="D65" s="51" t="str" cm="1">
        <f t="array" aca="1" ref="D65" ca="1">INDIRECT("["&amp;datatable!$C$3&amp;"]"&amp;datatable!$B12&amp;"!"&amp;"I2")</f>
        <v>Medium Incorrect</v>
      </c>
      <c r="E65" s="51" t="str" cm="1">
        <f t="array" aca="1" ref="E65" ca="1">INDIRECT("["&amp;datatable!$C$3&amp;"]"&amp;datatable!$B12&amp;"!"&amp;"I3")</f>
        <v>High Correct</v>
      </c>
      <c r="F65" s="51" t="str" cm="1">
        <f t="array" aca="1" ref="F65" ca="1">INDIRECT("["&amp;datatable!$C$3&amp;"]"&amp;datatable!$B12&amp;"!"&amp;"I4")</f>
        <v>High Correct</v>
      </c>
      <c r="G65" s="51" t="str" cm="1">
        <f t="array" aca="1" ref="G65" ca="1">INDIRECT("["&amp;datatable!$C$3&amp;"]"&amp;datatable!$B12&amp;"!"&amp;"I5")</f>
        <v>High Maybe</v>
      </c>
      <c r="H65" s="51" t="str" cm="1">
        <f t="array" aca="1" ref="H65" ca="1">INDIRECT("["&amp;datatable!$C$3&amp;"]"&amp;datatable!$B12&amp;"!"&amp;"I6")</f>
        <v>High Correct</v>
      </c>
      <c r="I65" s="51" t="str" cm="1">
        <f t="array" aca="1" ref="I65" ca="1">INDIRECT("["&amp;datatable!$C$3&amp;"]"&amp;datatable!$B12&amp;"!"&amp;"I7")</f>
        <v>High Correct</v>
      </c>
      <c r="J65" s="51" t="str" cm="1">
        <f t="array" aca="1" ref="J65" ca="1">INDIRECT("["&amp;datatable!$C$3&amp;"]"&amp;datatable!$B12&amp;"!"&amp;"I8")</f>
        <v>Medium Incorrect</v>
      </c>
      <c r="K65" s="51" t="str" cm="1">
        <f t="array" aca="1" ref="K65" ca="1">INDIRECT("["&amp;datatable!$C$3&amp;"]"&amp;datatable!$B12&amp;"!"&amp;"I9")</f>
        <v>Medium Incorrect</v>
      </c>
      <c r="L65" s="51" t="str" cm="1">
        <f t="array" aca="1" ref="L65" ca="1">INDIRECT("["&amp;datatable!$C$3&amp;"]"&amp;datatable!$B12&amp;"!"&amp;"I10")</f>
        <v>Medium Incorrect</v>
      </c>
      <c r="M65" s="51" t="str" cm="1">
        <f t="array" aca="1" ref="M65" ca="1">INDIRECT("["&amp;datatable!$C$3&amp;"]"&amp;datatable!$B12&amp;"!"&amp;"I11")</f>
        <v>Medium Incorrect</v>
      </c>
      <c r="N65" s="51" t="str" cm="1">
        <f t="array" aca="1" ref="N65" ca="1">INDIRECT("["&amp;datatable!$C$3&amp;"]"&amp;datatable!$B12&amp;"!"&amp;"I46")</f>
        <v>Medium Incorrect</v>
      </c>
      <c r="O65" s="51" t="str" cm="1">
        <f t="array" aca="1" ref="O65" ca="1">INDIRECT("["&amp;datatable!$C$3&amp;"]"&amp;datatable!$B12&amp;"!"&amp;"I47")</f>
        <v>Low Incorrect</v>
      </c>
      <c r="P65" s="51" t="str" cm="1">
        <f t="array" aca="1" ref="P65" ca="1">INDIRECT("["&amp;datatable!$C$3&amp;"]"&amp;datatable!$B12&amp;"!"&amp;"I48")</f>
        <v>Low Incorrect</v>
      </c>
      <c r="Q65" s="51" t="str" cm="1">
        <f t="array" aca="1" ref="Q65" ca="1">INDIRECT("["&amp;datatable!$C$3&amp;"]"&amp;datatable!$B12&amp;"!"&amp;"I49")</f>
        <v>High Incorrect</v>
      </c>
      <c r="R65" s="51" t="str" cm="1">
        <f t="array" aca="1" ref="R65" ca="1">INDIRECT("["&amp;datatable!$C$3&amp;"]"&amp;datatable!$B12&amp;"!"&amp;"I50")</f>
        <v>Medium Incorrect</v>
      </c>
      <c r="S65" s="51" t="str" cm="1">
        <f t="array" aca="1" ref="S65" ca="1">INDIRECT("["&amp;datatable!$C$3&amp;"]"&amp;datatable!$B12&amp;"!"&amp;"I51")</f>
        <v>High Incorrect</v>
      </c>
      <c r="T65" s="51" t="str" cm="1">
        <f t="array" aca="1" ref="T65" ca="1">INDIRECT("["&amp;datatable!$C$3&amp;"]"&amp;datatable!$B12&amp;"!"&amp;"I52")</f>
        <v>High Incorrect</v>
      </c>
      <c r="U65" s="51" t="str" cm="1">
        <f t="array" aca="1" ref="U65" ca="1">INDIRECT("["&amp;datatable!$C$3&amp;"]"&amp;datatable!$B12&amp;"!"&amp;"I53")</f>
        <v>Medium Maybe</v>
      </c>
      <c r="V65" s="51" t="str" cm="1">
        <f t="array" aca="1" ref="V65" ca="1">INDIRECT("["&amp;datatable!$C$3&amp;"]"&amp;datatable!$B12&amp;"!"&amp;"I54")</f>
        <v>Medium Incorrect</v>
      </c>
      <c r="W65" s="51" t="str" cm="1">
        <f t="array" aca="1" ref="W65" ca="1">INDIRECT("["&amp;datatable!$C$3&amp;"]"&amp;datatable!$B12&amp;"!"&amp;"I55")</f>
        <v>Low Incorrect</v>
      </c>
      <c r="X65" s="51" t="str" cm="1">
        <f t="array" aca="1" ref="X65" ca="1">INDIRECT("["&amp;datatable!$C$3&amp;"]"&amp;datatable!$B12&amp;"!"&amp;"I56")</f>
        <v>Medium Incorrect</v>
      </c>
      <c r="Y65" s="50"/>
    </row>
    <row r="66" spans="3:25">
      <c r="C66" s="30" t="s">
        <v>48</v>
      </c>
      <c r="D66" s="51" t="str" cm="1">
        <f t="array" aca="1" ref="D66" ca="1">INDIRECT("["&amp;datatable!$C$3&amp;"]"&amp;datatable!$B13&amp;"!"&amp;"I2")</f>
        <v>High Correct</v>
      </c>
      <c r="E66" s="51" t="str" cm="1">
        <f t="array" aca="1" ref="E66" ca="1">INDIRECT("["&amp;datatable!$C$3&amp;"]"&amp;datatable!$B13&amp;"!"&amp;"I3")</f>
        <v>High Correct</v>
      </c>
      <c r="F66" s="51" t="str" cm="1">
        <f t="array" aca="1" ref="F66" ca="1">INDIRECT("["&amp;datatable!$C$3&amp;"]"&amp;datatable!$B13&amp;"!"&amp;"I4")</f>
        <v>High Correct</v>
      </c>
      <c r="G66" s="51" t="str" cm="1">
        <f t="array" aca="1" ref="G66" ca="1">INDIRECT("["&amp;datatable!$C$3&amp;"]"&amp;datatable!$B13&amp;"!"&amp;"I5")</f>
        <v>High Correct</v>
      </c>
      <c r="H66" s="51" t="str" cm="1">
        <f t="array" aca="1" ref="H66" ca="1">INDIRECT("["&amp;datatable!$C$3&amp;"]"&amp;datatable!$B13&amp;"!"&amp;"I6")</f>
        <v>High Correct</v>
      </c>
      <c r="I66" s="51" t="str" cm="1">
        <f t="array" aca="1" ref="I66" ca="1">INDIRECT("["&amp;datatable!$C$3&amp;"]"&amp;datatable!$B13&amp;"!"&amp;"I7")</f>
        <v>High Correct</v>
      </c>
      <c r="J66" s="51" t="str" cm="1">
        <f t="array" aca="1" ref="J66" ca="1">INDIRECT("["&amp;datatable!$C$3&amp;"]"&amp;datatable!$B13&amp;"!"&amp;"I8")</f>
        <v>High Correct</v>
      </c>
      <c r="K66" s="51" t="str" cm="1">
        <f t="array" aca="1" ref="K66" ca="1">INDIRECT("["&amp;datatable!$C$3&amp;"]"&amp;datatable!$B13&amp;"!"&amp;"I9")</f>
        <v>Medium Correct</v>
      </c>
      <c r="L66" s="51" t="str" cm="1">
        <f t="array" aca="1" ref="L66" ca="1">INDIRECT("["&amp;datatable!$C$3&amp;"]"&amp;datatable!$B13&amp;"!"&amp;"I10")</f>
        <v>High Correct</v>
      </c>
      <c r="M66" s="51" t="str" cm="1">
        <f t="array" aca="1" ref="M66" ca="1">INDIRECT("["&amp;datatable!$C$3&amp;"]"&amp;datatable!$B13&amp;"!"&amp;"I11")</f>
        <v>Low Correct</v>
      </c>
      <c r="N66" s="51" t="str" cm="1">
        <f t="array" aca="1" ref="N66" ca="1">INDIRECT("["&amp;datatable!$C$3&amp;"]"&amp;datatable!$B13&amp;"!"&amp;"I46")</f>
        <v>Medium Correct</v>
      </c>
      <c r="O66" s="51" t="str" cm="1">
        <f t="array" aca="1" ref="O66" ca="1">INDIRECT("["&amp;datatable!$C$3&amp;"]"&amp;datatable!$B13&amp;"!"&amp;"I47")</f>
        <v>High Correct</v>
      </c>
      <c r="P66" s="51" t="str" cm="1">
        <f t="array" aca="1" ref="P66" ca="1">INDIRECT("["&amp;datatable!$C$3&amp;"]"&amp;datatable!$B13&amp;"!"&amp;"I48")</f>
        <v>High Correct</v>
      </c>
      <c r="Q66" s="51" t="str" cm="1">
        <f t="array" aca="1" ref="Q66" ca="1">INDIRECT("["&amp;datatable!$C$3&amp;"]"&amp;datatable!$B13&amp;"!"&amp;"I49")</f>
        <v>High Correct</v>
      </c>
      <c r="R66" s="51" t="str" cm="1">
        <f t="array" aca="1" ref="R66" ca="1">INDIRECT("["&amp;datatable!$C$3&amp;"]"&amp;datatable!$B13&amp;"!"&amp;"I50")</f>
        <v>High Correct</v>
      </c>
      <c r="S66" s="51" t="str" cm="1">
        <f t="array" aca="1" ref="S66" ca="1">INDIRECT("["&amp;datatable!$C$3&amp;"]"&amp;datatable!$B13&amp;"!"&amp;"I51")</f>
        <v>High Incorrect</v>
      </c>
      <c r="T66" s="51" t="str" cm="1">
        <f t="array" aca="1" ref="T66" ca="1">INDIRECT("["&amp;datatable!$C$3&amp;"]"&amp;datatable!$B13&amp;"!"&amp;"I52")</f>
        <v>High Correct</v>
      </c>
      <c r="U66" s="51" t="str" cm="1">
        <f t="array" aca="1" ref="U66" ca="1">INDIRECT("["&amp;datatable!$C$3&amp;"]"&amp;datatable!$B13&amp;"!"&amp;"I53")</f>
        <v>High Correct</v>
      </c>
      <c r="V66" s="51" t="str" cm="1">
        <f t="array" aca="1" ref="V66" ca="1">INDIRECT("["&amp;datatable!$C$3&amp;"]"&amp;datatable!$B13&amp;"!"&amp;"I54")</f>
        <v>High Correct</v>
      </c>
      <c r="W66" s="51" t="str" cm="1">
        <f t="array" aca="1" ref="W66" ca="1">INDIRECT("["&amp;datatable!$C$3&amp;"]"&amp;datatable!$B13&amp;"!"&amp;"I55")</f>
        <v>High Correct</v>
      </c>
      <c r="X66" s="51" t="str" cm="1">
        <f t="array" aca="1" ref="X66" ca="1">INDIRECT("["&amp;datatable!$C$3&amp;"]"&amp;datatable!$B13&amp;"!"&amp;"I56")</f>
        <v>High Correct</v>
      </c>
      <c r="Y66" s="50"/>
    </row>
    <row r="67" spans="3:25">
      <c r="C67" s="30" t="s">
        <v>49</v>
      </c>
      <c r="D67" s="51" t="str" cm="1">
        <f t="array" aca="1" ref="D67" ca="1">INDIRECT("["&amp;datatable!$C$3&amp;"]"&amp;datatable!$B14&amp;"!"&amp;"I2")</f>
        <v>Low Incorrect</v>
      </c>
      <c r="E67" s="51" t="str" cm="1">
        <f t="array" aca="1" ref="E67" ca="1">INDIRECT("["&amp;datatable!$C$3&amp;"]"&amp;datatable!$B14&amp;"!"&amp;"I3")</f>
        <v>High Incorrect</v>
      </c>
      <c r="F67" s="51" t="str" cm="1">
        <f t="array" aca="1" ref="F67" ca="1">INDIRECT("["&amp;datatable!$C$3&amp;"]"&amp;datatable!$B14&amp;"!"&amp;"I4")</f>
        <v>Low Maybe</v>
      </c>
      <c r="G67" s="51" t="str" cm="1">
        <f t="array" aca="1" ref="G67" ca="1">INDIRECT("["&amp;datatable!$C$3&amp;"]"&amp;datatable!$B14&amp;"!"&amp;"I5")</f>
        <v>Medium Maybe</v>
      </c>
      <c r="H67" s="51" t="str" cm="1">
        <f t="array" aca="1" ref="H67" ca="1">INDIRECT("["&amp;datatable!$C$3&amp;"]"&amp;datatable!$B14&amp;"!"&amp;"I6")</f>
        <v>Medium Maybe</v>
      </c>
      <c r="I67" s="51" t="str" cm="1">
        <f t="array" aca="1" ref="I67" ca="1">INDIRECT("["&amp;datatable!$C$3&amp;"]"&amp;datatable!$B14&amp;"!"&amp;"I7")</f>
        <v>Low Incorrect</v>
      </c>
      <c r="J67" s="51" t="str" cm="1">
        <f t="array" aca="1" ref="J67" ca="1">INDIRECT("["&amp;datatable!$C$3&amp;"]"&amp;datatable!$B14&amp;"!"&amp;"I8")</f>
        <v>Medium Incorrect</v>
      </c>
      <c r="K67" s="51" t="str" cm="1">
        <f t="array" aca="1" ref="K67" ca="1">INDIRECT("["&amp;datatable!$C$3&amp;"]"&amp;datatable!$B14&amp;"!"&amp;"I9")</f>
        <v>N/A</v>
      </c>
      <c r="L67" s="51" t="str" cm="1">
        <f t="array" aca="1" ref="L67" ca="1">INDIRECT("["&amp;datatable!$C$3&amp;"]"&amp;datatable!$B14&amp;"!"&amp;"I10")</f>
        <v>Medium Incorrect</v>
      </c>
      <c r="M67" s="51" t="str" cm="1">
        <f t="array" aca="1" ref="M67" ca="1">INDIRECT("["&amp;datatable!$C$3&amp;"]"&amp;datatable!$B14&amp;"!"&amp;"I11")</f>
        <v>Low Incorrect</v>
      </c>
      <c r="N67" s="51" t="str" cm="1">
        <f t="array" aca="1" ref="N67" ca="1">INDIRECT("["&amp;datatable!$C$3&amp;"]"&amp;datatable!$B14&amp;"!"&amp;"I46")</f>
        <v>Medium Incorrect</v>
      </c>
      <c r="O67" s="51" t="str" cm="1">
        <f t="array" aca="1" ref="O67" ca="1">INDIRECT("["&amp;datatable!$C$3&amp;"]"&amp;datatable!$B14&amp;"!"&amp;"I47")</f>
        <v>Low Incorrect</v>
      </c>
      <c r="P67" s="51" t="str" cm="1">
        <f t="array" aca="1" ref="P67" ca="1">INDIRECT("["&amp;datatable!$C$3&amp;"]"&amp;datatable!$B14&amp;"!"&amp;"I48")</f>
        <v>Low Incorrect</v>
      </c>
      <c r="Q67" s="51" t="str" cm="1">
        <f t="array" aca="1" ref="Q67" ca="1">INDIRECT("["&amp;datatable!$C$3&amp;"]"&amp;datatable!$B14&amp;"!"&amp;"I49")</f>
        <v>Low Incorrect</v>
      </c>
      <c r="R67" s="51" t="str" cm="1">
        <f t="array" aca="1" ref="R67" ca="1">INDIRECT("["&amp;datatable!$C$3&amp;"]"&amp;datatable!$B14&amp;"!"&amp;"I50")</f>
        <v>High Incorrect</v>
      </c>
      <c r="S67" s="51" t="str" cm="1">
        <f t="array" aca="1" ref="S67" ca="1">INDIRECT("["&amp;datatable!$C$3&amp;"]"&amp;datatable!$B14&amp;"!"&amp;"I51")</f>
        <v>Low Maybe</v>
      </c>
      <c r="T67" s="51" t="str" cm="1">
        <f t="array" aca="1" ref="T67" ca="1">INDIRECT("["&amp;datatable!$C$3&amp;"]"&amp;datatable!$B14&amp;"!"&amp;"I52")</f>
        <v>High Incorrect</v>
      </c>
      <c r="U67" s="51" t="str" cm="1">
        <f t="array" aca="1" ref="U67" ca="1">INDIRECT("["&amp;datatable!$C$3&amp;"]"&amp;datatable!$B14&amp;"!"&amp;"I53")</f>
        <v>Low Maybe</v>
      </c>
      <c r="V67" s="51" t="str" cm="1">
        <f t="array" aca="1" ref="V67" ca="1">INDIRECT("["&amp;datatable!$C$3&amp;"]"&amp;datatable!$B14&amp;"!"&amp;"I54")</f>
        <v>Medium Incorrect</v>
      </c>
      <c r="W67" s="51" t="str" cm="1">
        <f t="array" aca="1" ref="W67" ca="1">INDIRECT("["&amp;datatable!$C$3&amp;"]"&amp;datatable!$B14&amp;"!"&amp;"I55")</f>
        <v>Medium Incorrect</v>
      </c>
      <c r="X67" s="51" t="str" cm="1">
        <f t="array" aca="1" ref="X67" ca="1">INDIRECT("["&amp;datatable!$C$3&amp;"]"&amp;datatable!$B14&amp;"!"&amp;"I56")</f>
        <v>N/A</v>
      </c>
      <c r="Y67" s="50"/>
    </row>
    <row r="68" spans="3:25">
      <c r="C68" s="30" t="s">
        <v>50</v>
      </c>
      <c r="D68" s="51" t="str" cm="1">
        <f t="array" aca="1" ref="D68" ca="1">INDIRECT("["&amp;datatable!$C$3&amp;"]"&amp;datatable!$B15&amp;"!"&amp;"I2")</f>
        <v>Medium Incorrect</v>
      </c>
      <c r="E68" s="51" t="str" cm="1">
        <f t="array" aca="1" ref="E68" ca="1">INDIRECT("["&amp;datatable!$C$3&amp;"]"&amp;datatable!$B15&amp;"!"&amp;"I3")</f>
        <v>Medium Incorrect</v>
      </c>
      <c r="F68" s="51" t="str" cm="1">
        <f t="array" aca="1" ref="F68" ca="1">INDIRECT("["&amp;datatable!$C$3&amp;"]"&amp;datatable!$B15&amp;"!"&amp;"I4")</f>
        <v>High Maybe</v>
      </c>
      <c r="G68" s="51" t="str" cm="1">
        <f t="array" aca="1" ref="G68" ca="1">INDIRECT("["&amp;datatable!$C$3&amp;"]"&amp;datatable!$B15&amp;"!"&amp;"I5")</f>
        <v>Medium Maybe</v>
      </c>
      <c r="H68" s="51" t="str" cm="1">
        <f t="array" aca="1" ref="H68" ca="1">INDIRECT("["&amp;datatable!$C$3&amp;"]"&amp;datatable!$B15&amp;"!"&amp;"I6")</f>
        <v>Low Correct</v>
      </c>
      <c r="I68" s="51" t="str" cm="1">
        <f t="array" aca="1" ref="I68" ca="1">INDIRECT("["&amp;datatable!$C$3&amp;"]"&amp;datatable!$B15&amp;"!"&amp;"I7")</f>
        <v>High Correct</v>
      </c>
      <c r="J68" s="51" t="str" cm="1">
        <f t="array" aca="1" ref="J68" ca="1">INDIRECT("["&amp;datatable!$C$3&amp;"]"&amp;datatable!$B15&amp;"!"&amp;"I8")</f>
        <v>Low Incorrect</v>
      </c>
      <c r="K68" s="51" t="str" cm="1">
        <f t="array" aca="1" ref="K68" ca="1">INDIRECT("["&amp;datatable!$C$3&amp;"]"&amp;datatable!$B15&amp;"!"&amp;"I9")</f>
        <v>Medium Incorrect</v>
      </c>
      <c r="L68" s="51" t="str" cm="1">
        <f t="array" aca="1" ref="L68" ca="1">INDIRECT("["&amp;datatable!$C$3&amp;"]"&amp;datatable!$B15&amp;"!"&amp;"I10")</f>
        <v>Low Maybe</v>
      </c>
      <c r="M68" s="51" t="str" cm="1">
        <f t="array" aca="1" ref="M68" ca="1">INDIRECT("["&amp;datatable!$C$3&amp;"]"&amp;datatable!$B15&amp;"!"&amp;"I11")</f>
        <v>Medium Correct</v>
      </c>
      <c r="N68" s="51" t="str" cm="1">
        <f t="array" aca="1" ref="N68" ca="1">INDIRECT("["&amp;datatable!$C$3&amp;"]"&amp;datatable!$B15&amp;"!"&amp;"I46")</f>
        <v>Low Incorrect</v>
      </c>
      <c r="O68" s="51" t="str" cm="1">
        <f t="array" aca="1" ref="O68" ca="1">INDIRECT("["&amp;datatable!$C$3&amp;"]"&amp;datatable!$B15&amp;"!"&amp;"I47")</f>
        <v>High Correct</v>
      </c>
      <c r="P68" s="51" t="str" cm="1">
        <f t="array" aca="1" ref="P68" ca="1">INDIRECT("["&amp;datatable!$C$3&amp;"]"&amp;datatable!$B15&amp;"!"&amp;"I48")</f>
        <v>Medium Incorrect</v>
      </c>
      <c r="Q68" s="51" t="str" cm="1">
        <f t="array" aca="1" ref="Q68" ca="1">INDIRECT("["&amp;datatable!$C$3&amp;"]"&amp;datatable!$B15&amp;"!"&amp;"I49")</f>
        <v>High Correct</v>
      </c>
      <c r="R68" s="51" t="str" cm="1">
        <f t="array" aca="1" ref="R68" ca="1">INDIRECT("["&amp;datatable!$C$3&amp;"]"&amp;datatable!$B15&amp;"!"&amp;"I50")</f>
        <v>High Incorrect</v>
      </c>
      <c r="S68" s="51" t="str" cm="1">
        <f t="array" aca="1" ref="S68" ca="1">INDIRECT("["&amp;datatable!$C$3&amp;"]"&amp;datatable!$B15&amp;"!"&amp;"I51")</f>
        <v>High Correct</v>
      </c>
      <c r="T68" s="51" t="str" cm="1">
        <f t="array" aca="1" ref="T68" ca="1">INDIRECT("["&amp;datatable!$C$3&amp;"]"&amp;datatable!$B15&amp;"!"&amp;"I52")</f>
        <v>Medium Incorrect</v>
      </c>
      <c r="U68" s="51" t="str" cm="1">
        <f t="array" aca="1" ref="U68" ca="1">INDIRECT("["&amp;datatable!$C$3&amp;"]"&amp;datatable!$B15&amp;"!"&amp;"I53")</f>
        <v>High Correct</v>
      </c>
      <c r="V68" s="51" t="str" cm="1">
        <f t="array" aca="1" ref="V68" ca="1">INDIRECT("["&amp;datatable!$C$3&amp;"]"&amp;datatable!$B15&amp;"!"&amp;"I54")</f>
        <v>High Correct</v>
      </c>
      <c r="W68" s="51" t="str" cm="1">
        <f t="array" aca="1" ref="W68" ca="1">INDIRECT("["&amp;datatable!$C$3&amp;"]"&amp;datatable!$B15&amp;"!"&amp;"I55")</f>
        <v>High Incorrect</v>
      </c>
      <c r="X68" s="51" t="str" cm="1">
        <f t="array" aca="1" ref="X68" ca="1">INDIRECT("["&amp;datatable!$C$3&amp;"]"&amp;datatable!$B15&amp;"!"&amp;"I56")</f>
        <v>Low Incorrect</v>
      </c>
      <c r="Y68" s="50"/>
    </row>
    <row r="69" spans="3:25">
      <c r="C69" s="30" t="s">
        <v>51</v>
      </c>
      <c r="D69" s="51" t="str" cm="1">
        <f t="array" aca="1" ref="D69" ca="1">INDIRECT("["&amp;datatable!$C$3&amp;"]"&amp;datatable!$B16&amp;"!"&amp;"I2")</f>
        <v>High Incorrect</v>
      </c>
      <c r="E69" s="51" t="str" cm="1">
        <f t="array" aca="1" ref="E69" ca="1">INDIRECT("["&amp;datatable!$C$3&amp;"]"&amp;datatable!$B16&amp;"!"&amp;"I3")</f>
        <v>High Incorrect</v>
      </c>
      <c r="F69" s="51" t="str" cm="1">
        <f t="array" aca="1" ref="F69" ca="1">INDIRECT("["&amp;datatable!$C$3&amp;"]"&amp;datatable!$B16&amp;"!"&amp;"I4")</f>
        <v>High Incorrect</v>
      </c>
      <c r="G69" s="51" t="str" cm="1">
        <f t="array" aca="1" ref="G69" ca="1">INDIRECT("["&amp;datatable!$C$3&amp;"]"&amp;datatable!$B16&amp;"!"&amp;"I5")</f>
        <v>High Incorrect</v>
      </c>
      <c r="H69" s="51" t="str" cm="1">
        <f t="array" aca="1" ref="H69" ca="1">INDIRECT("["&amp;datatable!$C$3&amp;"]"&amp;datatable!$B16&amp;"!"&amp;"I6")</f>
        <v>High Incorrect</v>
      </c>
      <c r="I69" s="51" t="str" cm="1">
        <f t="array" aca="1" ref="I69" ca="1">INDIRECT("["&amp;datatable!$C$3&amp;"]"&amp;datatable!$B16&amp;"!"&amp;"I7")</f>
        <v>High Incorrect</v>
      </c>
      <c r="J69" s="51" t="str" cm="1">
        <f t="array" aca="1" ref="J69" ca="1">INDIRECT("["&amp;datatable!$C$3&amp;"]"&amp;datatable!$B16&amp;"!"&amp;"I8")</f>
        <v>Medium Incorrect</v>
      </c>
      <c r="K69" s="51" t="str" cm="1">
        <f t="array" aca="1" ref="K69" ca="1">INDIRECT("["&amp;datatable!$C$3&amp;"]"&amp;datatable!$B16&amp;"!"&amp;"I9")</f>
        <v>Low Correct</v>
      </c>
      <c r="L69" s="51" t="str" cm="1">
        <f t="array" aca="1" ref="L69" ca="1">INDIRECT("["&amp;datatable!$C$3&amp;"]"&amp;datatable!$B16&amp;"!"&amp;"I10")</f>
        <v>Medium Incorrect</v>
      </c>
      <c r="M69" s="51" t="str" cm="1">
        <f t="array" aca="1" ref="M69" ca="1">INDIRECT("["&amp;datatable!$C$3&amp;"]"&amp;datatable!$B16&amp;"!"&amp;"I11")</f>
        <v>High Incorrect</v>
      </c>
      <c r="N69" s="51" t="str" cm="1">
        <f t="array" aca="1" ref="N69" ca="1">INDIRECT("["&amp;datatable!$C$3&amp;"]"&amp;datatable!$B16&amp;"!"&amp;"I46")</f>
        <v>Low Incorrect</v>
      </c>
      <c r="O69" s="51" t="str" cm="1">
        <f t="array" aca="1" ref="O69" ca="1">INDIRECT("["&amp;datatable!$C$3&amp;"]"&amp;datatable!$B16&amp;"!"&amp;"I47")</f>
        <v>Low Maybe</v>
      </c>
      <c r="P69" s="51" t="str" cm="1">
        <f t="array" aca="1" ref="P69" ca="1">INDIRECT("["&amp;datatable!$C$3&amp;"]"&amp;datatable!$B16&amp;"!"&amp;"I48")</f>
        <v>Low Maybe</v>
      </c>
      <c r="Q69" s="51" t="str" cm="1">
        <f t="array" aca="1" ref="Q69" ca="1">INDIRECT("["&amp;datatable!$C$3&amp;"]"&amp;datatable!$B16&amp;"!"&amp;"I49")</f>
        <v>High Incorrect</v>
      </c>
      <c r="R69" s="51" t="str" cm="1">
        <f t="array" aca="1" ref="R69" ca="1">INDIRECT("["&amp;datatable!$C$3&amp;"]"&amp;datatable!$B16&amp;"!"&amp;"I50")</f>
        <v>High Maybe</v>
      </c>
      <c r="S69" s="51" t="str" cm="1">
        <f t="array" aca="1" ref="S69" ca="1">INDIRECT("["&amp;datatable!$C$3&amp;"]"&amp;datatable!$B16&amp;"!"&amp;"I51")</f>
        <v>Low Incorrect</v>
      </c>
      <c r="T69" s="51" t="str" cm="1">
        <f t="array" aca="1" ref="T69" ca="1">INDIRECT("["&amp;datatable!$C$3&amp;"]"&amp;datatable!$B16&amp;"!"&amp;"I52")</f>
        <v>High Incorrect</v>
      </c>
      <c r="U69" s="51" t="str" cm="1">
        <f t="array" aca="1" ref="U69" ca="1">INDIRECT("["&amp;datatable!$C$3&amp;"]"&amp;datatable!$B16&amp;"!"&amp;"I53")</f>
        <v>High Maybe</v>
      </c>
      <c r="V69" s="51" t="str" cm="1">
        <f t="array" aca="1" ref="V69" ca="1">INDIRECT("["&amp;datatable!$C$3&amp;"]"&amp;datatable!$B16&amp;"!"&amp;"I54")</f>
        <v>High Incorrect</v>
      </c>
      <c r="W69" s="51" t="str" cm="1">
        <f t="array" aca="1" ref="W69" ca="1">INDIRECT("["&amp;datatable!$C$3&amp;"]"&amp;datatable!$B16&amp;"!"&amp;"I55")</f>
        <v>High Incorrect</v>
      </c>
      <c r="X69" s="51" t="str" cm="1">
        <f t="array" aca="1" ref="X69" ca="1">INDIRECT("["&amp;datatable!$C$3&amp;"]"&amp;datatable!$B16&amp;"!"&amp;"I56")</f>
        <v>Medium Incorrect</v>
      </c>
      <c r="Y69" s="50"/>
    </row>
    <row r="70" spans="3:25">
      <c r="C70" s="30" t="s">
        <v>52</v>
      </c>
      <c r="D70" s="51" t="str" cm="1">
        <f t="array" aca="1" ref="D70" ca="1">INDIRECT("["&amp;datatable!$C$3&amp;"]"&amp;datatable!$B17&amp;"!"&amp;"I2")</f>
        <v>Medium Maybe</v>
      </c>
      <c r="E70" s="51" t="str" cm="1">
        <f t="array" aca="1" ref="E70" ca="1">INDIRECT("["&amp;datatable!$C$3&amp;"]"&amp;datatable!$B17&amp;"!"&amp;"I3")</f>
        <v>High Maybe</v>
      </c>
      <c r="F70" s="51" t="str" cm="1">
        <f t="array" aca="1" ref="F70" ca="1">INDIRECT("["&amp;datatable!$C$3&amp;"]"&amp;datatable!$B17&amp;"!"&amp;"I4")</f>
        <v>High Maybe</v>
      </c>
      <c r="G70" s="51" t="str" cm="1">
        <f t="array" aca="1" ref="G70" ca="1">INDIRECT("["&amp;datatable!$C$3&amp;"]"&amp;datatable!$B17&amp;"!"&amp;"I5")</f>
        <v>High Correct</v>
      </c>
      <c r="H70" s="51" t="str" cm="1">
        <f t="array" aca="1" ref="H70" ca="1">INDIRECT("["&amp;datatable!$C$3&amp;"]"&amp;datatable!$B17&amp;"!"&amp;"I6")</f>
        <v>Medium Maybe</v>
      </c>
      <c r="I70" s="51" t="str" cm="1">
        <f t="array" aca="1" ref="I70" ca="1">INDIRECT("["&amp;datatable!$C$3&amp;"]"&amp;datatable!$B17&amp;"!"&amp;"I7")</f>
        <v>High Incorrect</v>
      </c>
      <c r="J70" s="51" t="str" cm="1">
        <f t="array" aca="1" ref="J70" ca="1">INDIRECT("["&amp;datatable!$C$3&amp;"]"&amp;datatable!$B17&amp;"!"&amp;"I8")</f>
        <v>Low Maybe</v>
      </c>
      <c r="K70" s="51" t="str" cm="1">
        <f t="array" aca="1" ref="K70" ca="1">INDIRECT("["&amp;datatable!$C$3&amp;"]"&amp;datatable!$B17&amp;"!"&amp;"I9")</f>
        <v>Medium Incorrect</v>
      </c>
      <c r="L70" s="51" t="str" cm="1">
        <f t="array" aca="1" ref="L70" ca="1">INDIRECT("["&amp;datatable!$C$3&amp;"]"&amp;datatable!$B17&amp;"!"&amp;"I10")</f>
        <v>Low Incorrect</v>
      </c>
      <c r="M70" s="51" t="str" cm="1">
        <f t="array" aca="1" ref="M70" ca="1">INDIRECT("["&amp;datatable!$C$3&amp;"]"&amp;datatable!$B17&amp;"!"&amp;"I11")</f>
        <v>Medium Incorrect</v>
      </c>
      <c r="N70" s="51" t="str" cm="1">
        <f t="array" aca="1" ref="N70" ca="1">INDIRECT("["&amp;datatable!$C$3&amp;"]"&amp;datatable!$B17&amp;"!"&amp;"I46")</f>
        <v>Medium Correct</v>
      </c>
      <c r="O70" s="51" t="str" cm="1">
        <f t="array" aca="1" ref="O70" ca="1">INDIRECT("["&amp;datatable!$C$3&amp;"]"&amp;datatable!$B17&amp;"!"&amp;"I47")</f>
        <v>High Maybe</v>
      </c>
      <c r="P70" s="51" t="str" cm="1">
        <f t="array" aca="1" ref="P70" ca="1">INDIRECT("["&amp;datatable!$C$3&amp;"]"&amp;datatable!$B17&amp;"!"&amp;"I48")</f>
        <v>High Correct</v>
      </c>
      <c r="Q70" s="51" t="str" cm="1">
        <f t="array" aca="1" ref="Q70" ca="1">INDIRECT("["&amp;datatable!$C$3&amp;"]"&amp;datatable!$B17&amp;"!"&amp;"I49")</f>
        <v>High Correct</v>
      </c>
      <c r="R70" s="51" t="str" cm="1">
        <f t="array" aca="1" ref="R70" ca="1">INDIRECT("["&amp;datatable!$C$3&amp;"]"&amp;datatable!$B17&amp;"!"&amp;"I50")</f>
        <v>Low Incorrect</v>
      </c>
      <c r="S70" s="51" t="str" cm="1">
        <f t="array" aca="1" ref="S70" ca="1">INDIRECT("["&amp;datatable!$C$3&amp;"]"&amp;datatable!$B17&amp;"!"&amp;"I51")</f>
        <v>High Correct</v>
      </c>
      <c r="T70" s="51" t="str" cm="1">
        <f t="array" aca="1" ref="T70" ca="1">INDIRECT("["&amp;datatable!$C$3&amp;"]"&amp;datatable!$B17&amp;"!"&amp;"I52")</f>
        <v>High Correct</v>
      </c>
      <c r="U70" s="51" t="str" cm="1">
        <f t="array" aca="1" ref="U70" ca="1">INDIRECT("["&amp;datatable!$C$3&amp;"]"&amp;datatable!$B17&amp;"!"&amp;"I53")</f>
        <v>High Correct</v>
      </c>
      <c r="V70" s="51" t="str" cm="1">
        <f t="array" aca="1" ref="V70" ca="1">INDIRECT("["&amp;datatable!$C$3&amp;"]"&amp;datatable!$B17&amp;"!"&amp;"I54")</f>
        <v>High Correct</v>
      </c>
      <c r="W70" s="51" t="str" cm="1">
        <f t="array" aca="1" ref="W70" ca="1">INDIRECT("["&amp;datatable!$C$3&amp;"]"&amp;datatable!$B17&amp;"!"&amp;"I55")</f>
        <v>Low Maybe</v>
      </c>
      <c r="X70" s="51" t="str" cm="1">
        <f t="array" aca="1" ref="X70" ca="1">INDIRECT("["&amp;datatable!$C$3&amp;"]"&amp;datatable!$B17&amp;"!"&amp;"I56")</f>
        <v>High Incorrect</v>
      </c>
      <c r="Y70" s="50"/>
    </row>
    <row r="71" spans="3:25">
      <c r="C71" s="30" t="s">
        <v>53</v>
      </c>
      <c r="D71" s="51" t="str" cm="1">
        <f t="array" aca="1" ref="D71" ca="1">INDIRECT("["&amp;datatable!$C$3&amp;"]"&amp;datatable!$B18&amp;"!"&amp;"I2")</f>
        <v>High Incorrect</v>
      </c>
      <c r="E71" s="51" t="str" cm="1">
        <f t="array" aca="1" ref="E71" ca="1">INDIRECT("["&amp;datatable!$C$3&amp;"]"&amp;datatable!$B18&amp;"!"&amp;"I3")</f>
        <v>Low Incorrect</v>
      </c>
      <c r="F71" s="51" t="str" cm="1">
        <f t="array" aca="1" ref="F71" ca="1">INDIRECT("["&amp;datatable!$C$3&amp;"]"&amp;datatable!$B18&amp;"!"&amp;"I4")</f>
        <v>Medium Incorrect</v>
      </c>
      <c r="G71" s="51" t="str" cm="1">
        <f t="array" aca="1" ref="G71" ca="1">INDIRECT("["&amp;datatable!$C$3&amp;"]"&amp;datatable!$B18&amp;"!"&amp;"I5")</f>
        <v>High Incorrect</v>
      </c>
      <c r="H71" s="51" t="str" cm="1">
        <f t="array" aca="1" ref="H71" ca="1">INDIRECT("["&amp;datatable!$C$3&amp;"]"&amp;datatable!$B18&amp;"!"&amp;"I6")</f>
        <v>High Incorrect</v>
      </c>
      <c r="I71" s="51" t="str" cm="1">
        <f t="array" aca="1" ref="I71" ca="1">INDIRECT("["&amp;datatable!$C$3&amp;"]"&amp;datatable!$B18&amp;"!"&amp;"I7")</f>
        <v>High Incorrect</v>
      </c>
      <c r="J71" s="51" t="str" cm="1">
        <f t="array" aca="1" ref="J71" ca="1">INDIRECT("["&amp;datatable!$C$3&amp;"]"&amp;datatable!$B18&amp;"!"&amp;"I8")</f>
        <v>Low Maybe</v>
      </c>
      <c r="K71" s="51" t="str" cm="1">
        <f t="array" aca="1" ref="K71" ca="1">INDIRECT("["&amp;datatable!$C$3&amp;"]"&amp;datatable!$B18&amp;"!"&amp;"I9")</f>
        <v>High Incorrect</v>
      </c>
      <c r="L71" s="51" t="str" cm="1">
        <f t="array" aca="1" ref="L71" ca="1">INDIRECT("["&amp;datatable!$C$3&amp;"]"&amp;datatable!$B18&amp;"!"&amp;"I10")</f>
        <v>High Incorrect</v>
      </c>
      <c r="M71" s="51" t="str" cm="1">
        <f t="array" aca="1" ref="M71" ca="1">INDIRECT("["&amp;datatable!$C$3&amp;"]"&amp;datatable!$B18&amp;"!"&amp;"I11")</f>
        <v>High Incorrect</v>
      </c>
      <c r="N71" s="51" t="str" cm="1">
        <f t="array" aca="1" ref="N71" ca="1">INDIRECT("["&amp;datatable!$C$3&amp;"]"&amp;datatable!$B18&amp;"!"&amp;"I46")</f>
        <v>High Maybe</v>
      </c>
      <c r="O71" s="51" t="str" cm="1">
        <f t="array" aca="1" ref="O71" ca="1">INDIRECT("["&amp;datatable!$C$3&amp;"]"&amp;datatable!$B18&amp;"!"&amp;"I47")</f>
        <v>High Incorrect</v>
      </c>
      <c r="P71" s="51" t="str" cm="1">
        <f t="array" aca="1" ref="P71" ca="1">INDIRECT("["&amp;datatable!$C$3&amp;"]"&amp;datatable!$B18&amp;"!"&amp;"I48")</f>
        <v>Low Incorrect</v>
      </c>
      <c r="Q71" s="51" t="str" cm="1">
        <f t="array" aca="1" ref="Q71" ca="1">INDIRECT("["&amp;datatable!$C$3&amp;"]"&amp;datatable!$B18&amp;"!"&amp;"I49")</f>
        <v>Low Incorrect</v>
      </c>
      <c r="R71" s="51" t="str" cm="1">
        <f t="array" aca="1" ref="R71" ca="1">INDIRECT("["&amp;datatable!$C$3&amp;"]"&amp;datatable!$B18&amp;"!"&amp;"I50")</f>
        <v>High Incorrect</v>
      </c>
      <c r="S71" s="51" t="str" cm="1">
        <f t="array" aca="1" ref="S71" ca="1">INDIRECT("["&amp;datatable!$C$3&amp;"]"&amp;datatable!$B18&amp;"!"&amp;"I51")</f>
        <v>Low Incorrect</v>
      </c>
      <c r="T71" s="51" t="str" cm="1">
        <f t="array" aca="1" ref="T71" ca="1">INDIRECT("["&amp;datatable!$C$3&amp;"]"&amp;datatable!$B18&amp;"!"&amp;"I52")</f>
        <v>N/A</v>
      </c>
      <c r="U71" s="51" t="str" cm="1">
        <f t="array" aca="1" ref="U71" ca="1">INDIRECT("["&amp;datatable!$C$3&amp;"]"&amp;datatable!$B18&amp;"!"&amp;"I53")</f>
        <v>High Correct</v>
      </c>
      <c r="V71" s="51" t="str" cm="1">
        <f t="array" aca="1" ref="V71" ca="1">INDIRECT("["&amp;datatable!$C$3&amp;"]"&amp;datatable!$B18&amp;"!"&amp;"I54")</f>
        <v>Low Incorrect</v>
      </c>
      <c r="W71" s="51" t="str" cm="1">
        <f t="array" aca="1" ref="W71" ca="1">INDIRECT("["&amp;datatable!$C$3&amp;"]"&amp;datatable!$B18&amp;"!"&amp;"I55")</f>
        <v>Low Maybe</v>
      </c>
      <c r="X71" s="51" t="str" cm="1">
        <f t="array" aca="1" ref="X71" ca="1">INDIRECT("["&amp;datatable!$C$3&amp;"]"&amp;datatable!$B18&amp;"!"&amp;"I56")</f>
        <v>N/A</v>
      </c>
      <c r="Y71" s="50"/>
    </row>
    <row r="72" spans="3:25">
      <c r="C72" s="30" t="s">
        <v>54</v>
      </c>
      <c r="D72" s="51" t="str" cm="1">
        <f t="array" aca="1" ref="D72" ca="1">INDIRECT("["&amp;datatable!$C$3&amp;"]"&amp;datatable!$B19&amp;"!"&amp;"I2")</f>
        <v>Low Correct</v>
      </c>
      <c r="E72" s="51" t="str" cm="1">
        <f t="array" aca="1" ref="E72" ca="1">INDIRECT("["&amp;datatable!$C$3&amp;"]"&amp;datatable!$B19&amp;"!"&amp;"I3")</f>
        <v>High Correct</v>
      </c>
      <c r="F72" s="51" t="str" cm="1">
        <f t="array" aca="1" ref="F72" ca="1">INDIRECT("["&amp;datatable!$C$3&amp;"]"&amp;datatable!$B19&amp;"!"&amp;"I4")</f>
        <v>High Incorrect</v>
      </c>
      <c r="G72" s="51" t="str" cm="1">
        <f t="array" aca="1" ref="G72" ca="1">INDIRECT("["&amp;datatable!$C$3&amp;"]"&amp;datatable!$B19&amp;"!"&amp;"I5")</f>
        <v>High Incorrect</v>
      </c>
      <c r="H72" s="51" t="str" cm="1">
        <f t="array" aca="1" ref="H72" ca="1">INDIRECT("["&amp;datatable!$C$3&amp;"]"&amp;datatable!$B19&amp;"!"&amp;"I6")</f>
        <v>High Maybe</v>
      </c>
      <c r="I72" s="51" t="str" cm="1">
        <f t="array" aca="1" ref="I72" ca="1">INDIRECT("["&amp;datatable!$C$3&amp;"]"&amp;datatable!$B19&amp;"!"&amp;"I7")</f>
        <v>Medium Correct</v>
      </c>
      <c r="J72" s="51" t="str" cm="1">
        <f t="array" aca="1" ref="J72" ca="1">INDIRECT("["&amp;datatable!$C$3&amp;"]"&amp;datatable!$B19&amp;"!"&amp;"I8")</f>
        <v>Low Correct</v>
      </c>
      <c r="K72" s="51" t="str" cm="1">
        <f t="array" aca="1" ref="K72" ca="1">INDIRECT("["&amp;datatable!$C$3&amp;"]"&amp;datatable!$B19&amp;"!"&amp;"I9")</f>
        <v>High Correct</v>
      </c>
      <c r="L72" s="51" t="str" cm="1">
        <f t="array" aca="1" ref="L72" ca="1">INDIRECT("["&amp;datatable!$C$3&amp;"]"&amp;datatable!$B19&amp;"!"&amp;"I10")</f>
        <v>Low Correct</v>
      </c>
      <c r="M72" s="51" t="str" cm="1">
        <f t="array" aca="1" ref="M72" ca="1">INDIRECT("["&amp;datatable!$C$3&amp;"]"&amp;datatable!$B19&amp;"!"&amp;"I11")</f>
        <v>High Correct</v>
      </c>
      <c r="N72" s="51" t="str" cm="1">
        <f t="array" aca="1" ref="N72" ca="1">INDIRECT("["&amp;datatable!$C$3&amp;"]"&amp;datatable!$B19&amp;"!"&amp;"I46")</f>
        <v>High Maybe</v>
      </c>
      <c r="O72" s="51" t="str" cm="1">
        <f t="array" aca="1" ref="O72" ca="1">INDIRECT("["&amp;datatable!$C$3&amp;"]"&amp;datatable!$B19&amp;"!"&amp;"I47")</f>
        <v>High Correct</v>
      </c>
      <c r="P72" s="51" t="str" cm="1">
        <f t="array" aca="1" ref="P72" ca="1">INDIRECT("["&amp;datatable!$C$3&amp;"]"&amp;datatable!$B19&amp;"!"&amp;"I48")</f>
        <v>High Correct</v>
      </c>
      <c r="Q72" s="51" t="str" cm="1">
        <f t="array" aca="1" ref="Q72" ca="1">INDIRECT("["&amp;datatable!$C$3&amp;"]"&amp;datatable!$B19&amp;"!"&amp;"I49")</f>
        <v>High Correct</v>
      </c>
      <c r="R72" s="51" t="str" cm="1">
        <f t="array" aca="1" ref="R72" ca="1">INDIRECT("["&amp;datatable!$C$3&amp;"]"&amp;datatable!$B19&amp;"!"&amp;"I50")</f>
        <v>High Correct</v>
      </c>
      <c r="S72" s="51" t="str" cm="1">
        <f t="array" aca="1" ref="S72" ca="1">INDIRECT("["&amp;datatable!$C$3&amp;"]"&amp;datatable!$B19&amp;"!"&amp;"I51")</f>
        <v>High Correct</v>
      </c>
      <c r="T72" s="51" t="str" cm="1">
        <f t="array" aca="1" ref="T72" ca="1">INDIRECT("["&amp;datatable!$C$3&amp;"]"&amp;datatable!$B19&amp;"!"&amp;"I52")</f>
        <v>High Correct</v>
      </c>
      <c r="U72" s="51" t="str" cm="1">
        <f t="array" aca="1" ref="U72" ca="1">INDIRECT("["&amp;datatable!$C$3&amp;"]"&amp;datatable!$B19&amp;"!"&amp;"I53")</f>
        <v>Medium Correct</v>
      </c>
      <c r="V72" s="51" t="str" cm="1">
        <f t="array" aca="1" ref="V72" ca="1">INDIRECT("["&amp;datatable!$C$3&amp;"]"&amp;datatable!$B19&amp;"!"&amp;"I54")</f>
        <v>High Correct</v>
      </c>
      <c r="W72" s="51" t="str" cm="1">
        <f t="array" aca="1" ref="W72" ca="1">INDIRECT("["&amp;datatable!$C$3&amp;"]"&amp;datatable!$B19&amp;"!"&amp;"I55")</f>
        <v>Medium Maybe</v>
      </c>
      <c r="X72" s="51" t="str" cm="1">
        <f t="array" aca="1" ref="X72" ca="1">INDIRECT("["&amp;datatable!$C$3&amp;"]"&amp;datatable!$B19&amp;"!"&amp;"I56")</f>
        <v>High Correct</v>
      </c>
      <c r="Y72" s="50"/>
    </row>
    <row r="73" spans="3:25">
      <c r="C73" s="50"/>
      <c r="D73" s="53"/>
      <c r="E73" s="53"/>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119" priority="4" operator="equal">
      <formula>"Medium Correct"</formula>
    </cfRule>
    <cfRule type="cellIs" dxfId="118" priority="5" operator="equal">
      <formula>"Low Correct"</formula>
    </cfRule>
    <cfRule type="cellIs" dxfId="117" priority="6" operator="equal">
      <formula>"Medium Maybe"</formula>
    </cfRule>
    <cfRule type="cellIs" dxfId="116" priority="7" operator="equal">
      <formula>"Low Maybe"</formula>
    </cfRule>
    <cfRule type="cellIs" dxfId="115" priority="8" operator="equal">
      <formula>"Medium Incorrect"</formula>
    </cfRule>
    <cfRule type="cellIs" dxfId="114" priority="9" operator="equal">
      <formula>"Low Incorrect"</formula>
    </cfRule>
    <cfRule type="cellIs" dxfId="113" priority="10" operator="equal">
      <formula>"N/A"</formula>
    </cfRule>
  </conditionalFormatting>
  <conditionalFormatting sqref="D55:X72">
    <cfRule type="cellIs" dxfId="112" priority="1" operator="equal">
      <formula>"High Correct"</formula>
    </cfRule>
    <cfRule type="cellIs" dxfId="111" priority="2" operator="equal">
      <formula>"High Incorrect"</formula>
    </cfRule>
    <cfRule type="cellIs" dxfId="110" priority="3" operator="equal">
      <formula>"High Maybe"</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D0ED5-A7A7-4237-B88A-35B4B76FC321}">
  <dimension ref="C5:Y73"/>
  <sheetViews>
    <sheetView topLeftCell="C40" zoomScale="71" zoomScaleNormal="71"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14.6640625" bestFit="1"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5">
      <c r="C5" t="s">
        <v>0</v>
      </c>
    </row>
    <row r="6" spans="3:15">
      <c r="D6" s="7" t="s">
        <v>1</v>
      </c>
      <c r="E6" s="10" t="s">
        <v>2</v>
      </c>
      <c r="F6" s="12" t="s">
        <v>3</v>
      </c>
      <c r="G6" s="14" t="s">
        <v>4</v>
      </c>
      <c r="H6" s="16" t="s">
        <v>5</v>
      </c>
      <c r="I6" s="18" t="s">
        <v>6</v>
      </c>
      <c r="J6" s="20" t="s">
        <v>7</v>
      </c>
      <c r="K6" s="22" t="s">
        <v>8</v>
      </c>
      <c r="L6" s="24" t="s">
        <v>9</v>
      </c>
      <c r="M6" s="26" t="s">
        <v>10</v>
      </c>
      <c r="N6" s="28" t="s">
        <v>11</v>
      </c>
      <c r="O6" s="28" t="s">
        <v>12</v>
      </c>
    </row>
    <row r="7" spans="3:15">
      <c r="C7" s="5" t="s">
        <v>13</v>
      </c>
      <c r="D7" s="8">
        <f ca="1">COUNTIF(INDIRECT("["&amp;datatable!$C$3&amp;"]"&amp;datatable!$A2&amp;"!"&amp;"Q:Q"),"High Correct")</f>
        <v>4</v>
      </c>
      <c r="E7" s="11">
        <f ca="1">COUNTIF(INDIRECT("["&amp;datatable!$C$3&amp;"]"&amp;datatable!$A2&amp;"!"&amp;"Q:Q"),"Medium Correct")</f>
        <v>1</v>
      </c>
      <c r="F7" s="13">
        <f ca="1">COUNTIF(INDIRECT("["&amp;datatable!$C$3&amp;"]"&amp;datatable!$A2&amp;"!"&amp;"Q:Q"),"Low Correct")</f>
        <v>0</v>
      </c>
      <c r="G7" s="15">
        <f ca="1">COUNTIF(INDIRECT("["&amp;datatable!$C$3&amp;"]"&amp;datatable!$A2&amp;"!"&amp;"Q:Q"),"High Maybe")</f>
        <v>0</v>
      </c>
      <c r="H7" s="17">
        <f ca="1">COUNTIF(INDIRECT("["&amp;datatable!$C$3&amp;"]"&amp;datatable!$A2&amp;"!"&amp;"Q:Q"),"Medium Maybe")</f>
        <v>0</v>
      </c>
      <c r="I7" s="19">
        <f ca="1">COUNTIF(INDIRECT("["&amp;datatable!$C$3&amp;"]"&amp;datatable!$A2&amp;"!"&amp;"Q:Q"),"Low Maybe")</f>
        <v>2</v>
      </c>
      <c r="J7" s="21">
        <f ca="1">COUNTIF(INDIRECT("["&amp;datatable!$C$3&amp;"]"&amp;datatable!$A2&amp;"!"&amp;"Q:Q"),"Low Incorrect")</f>
        <v>3</v>
      </c>
      <c r="K7" s="23">
        <f ca="1">COUNTIF(INDIRECT("["&amp;datatable!$C$3&amp;"]"&amp;datatable!$A2&amp;"!"&amp;"Q:Q"),"Medium Incorrect")</f>
        <v>6</v>
      </c>
      <c r="L7" s="25">
        <f ca="1">COUNTIF(INDIRECT("["&amp;datatable!$C$3&amp;"]"&amp;datatable!$A2&amp;"!"&amp;"Q:Q"),"High Incorrect")</f>
        <v>1</v>
      </c>
      <c r="M7" s="27">
        <f ca="1">COUNTIF(INDIRECT("["&amp;datatable!$C$3&amp;"]"&amp;datatable!$A2&amp;"!"&amp;"Q:Q"),"N/A")</f>
        <v>1</v>
      </c>
      <c r="N7" s="29">
        <f t="shared" ref="N7:N28" ca="1" si="0">SUM(D7:M7)</f>
        <v>18</v>
      </c>
      <c r="O7" s="29">
        <f t="shared" ref="O7:O28" ca="1" si="1">SUM(D7:L7)</f>
        <v>17</v>
      </c>
    </row>
    <row r="8" spans="3:15">
      <c r="C8" s="5" t="s">
        <v>14</v>
      </c>
      <c r="D8" s="8">
        <f ca="1">COUNTIF(INDIRECT("["&amp;datatable!$C$3&amp;"]"&amp;datatable!$A3&amp;"!"&amp;"Q:Q"),"High Correct")</f>
        <v>6</v>
      </c>
      <c r="E8" s="11">
        <f ca="1">COUNTIF(INDIRECT("["&amp;datatable!$C$3&amp;"]"&amp;datatable!$A3&amp;"!"&amp;"Q:Q"),"Medium Correct")</f>
        <v>2</v>
      </c>
      <c r="F8" s="13">
        <f ca="1">COUNTIF(INDIRECT("["&amp;datatable!$C$3&amp;"]"&amp;datatable!$A3&amp;"!"&amp;"Q:Q"),"Low Correct")</f>
        <v>0</v>
      </c>
      <c r="G8" s="15">
        <f ca="1">COUNTIF(INDIRECT("["&amp;datatable!$C$3&amp;"]"&amp;datatable!$A3&amp;"!"&amp;"Q:Q"),"High Maybe")</f>
        <v>0</v>
      </c>
      <c r="H8" s="17">
        <f ca="1">COUNTIF(INDIRECT("["&amp;datatable!$C$3&amp;"]"&amp;datatable!$A3&amp;"!"&amp;"Q:Q"),"Medium Maybe")</f>
        <v>0</v>
      </c>
      <c r="I8" s="19">
        <f ca="1">COUNTIF(INDIRECT("["&amp;datatable!$C$3&amp;"]"&amp;datatable!$A3&amp;"!"&amp;"Q:Q"),"Low Maybe")</f>
        <v>2</v>
      </c>
      <c r="J8" s="21">
        <f ca="1">COUNTIF(INDIRECT("["&amp;datatable!$C$3&amp;"]"&amp;datatable!$A3&amp;"!"&amp;"Q:Q"),"Low Incorrect")</f>
        <v>5</v>
      </c>
      <c r="K8" s="23">
        <f ca="1">COUNTIF(INDIRECT("["&amp;datatable!$C$3&amp;"]"&amp;datatable!$A3&amp;"!"&amp;"Q:Q"),"Medium Incorrect")</f>
        <v>3</v>
      </c>
      <c r="L8" s="25">
        <f ca="1">COUNTIF(INDIRECT("["&amp;datatable!$C$3&amp;"]"&amp;datatable!$A3&amp;"!"&amp;"Q:Q"),"High Incorrect")</f>
        <v>0</v>
      </c>
      <c r="M8" s="27">
        <f ca="1">COUNTIF(INDIRECT("["&amp;datatable!$C$3&amp;"]"&amp;datatable!$A3&amp;"!"&amp;"Q:Q"),"N/A")</f>
        <v>0</v>
      </c>
      <c r="N8" s="29">
        <f t="shared" ca="1" si="0"/>
        <v>18</v>
      </c>
      <c r="O8" s="29">
        <f t="shared" ca="1" si="1"/>
        <v>18</v>
      </c>
    </row>
    <row r="9" spans="3:15">
      <c r="C9" s="5" t="s">
        <v>15</v>
      </c>
      <c r="D9" s="8">
        <f ca="1">COUNTIF(INDIRECT("["&amp;datatable!$C$3&amp;"]"&amp;datatable!$A4&amp;"!"&amp;"Q:Q"),"High Correct")</f>
        <v>7</v>
      </c>
      <c r="E9" s="11">
        <f ca="1">COUNTIF(INDIRECT("["&amp;datatable!$C$3&amp;"]"&amp;datatable!$A4&amp;"!"&amp;"Q:Q"),"Medium Correct")</f>
        <v>0</v>
      </c>
      <c r="F9" s="13">
        <f ca="1">COUNTIF(INDIRECT("["&amp;datatable!$C$3&amp;"]"&amp;datatable!$A4&amp;"!"&amp;"Q:Q"),"Low Correct")</f>
        <v>0</v>
      </c>
      <c r="G9" s="15">
        <f ca="1">COUNTIF(INDIRECT("["&amp;datatable!$C$3&amp;"]"&amp;datatable!$A4&amp;"!"&amp;"Q:Q"),"High Maybe")</f>
        <v>0</v>
      </c>
      <c r="H9" s="17">
        <f ca="1">COUNTIF(INDIRECT("["&amp;datatable!$C$3&amp;"]"&amp;datatable!$A4&amp;"!"&amp;"Q:Q"),"Medium Maybe")</f>
        <v>0</v>
      </c>
      <c r="I9" s="19">
        <f ca="1">COUNTIF(INDIRECT("["&amp;datatable!$C$3&amp;"]"&amp;datatable!$A4&amp;"!"&amp;"Q:Q"),"Low Maybe")</f>
        <v>1</v>
      </c>
      <c r="J9" s="21">
        <f ca="1">COUNTIF(INDIRECT("["&amp;datatable!$C$3&amp;"]"&amp;datatable!$A4&amp;"!"&amp;"Q:Q"),"Low Incorrect")</f>
        <v>7</v>
      </c>
      <c r="K9" s="23">
        <f ca="1">COUNTIF(INDIRECT("["&amp;datatable!$C$3&amp;"]"&amp;datatable!$A4&amp;"!"&amp;"Q:Q"),"Medium Incorrect")</f>
        <v>1</v>
      </c>
      <c r="L9" s="25">
        <f ca="1">COUNTIF(INDIRECT("["&amp;datatable!$C$3&amp;"]"&amp;datatable!$A4&amp;"!"&amp;"Q:Q"),"High Incorrect")</f>
        <v>2</v>
      </c>
      <c r="M9" s="27">
        <f ca="1">COUNTIF(INDIRECT("["&amp;datatable!$C$3&amp;"]"&amp;datatable!$A4&amp;"!"&amp;"Q:Q"),"N/A")</f>
        <v>0</v>
      </c>
      <c r="N9" s="29">
        <f t="shared" ca="1" si="0"/>
        <v>18</v>
      </c>
      <c r="O9" s="29">
        <f t="shared" ca="1" si="1"/>
        <v>18</v>
      </c>
    </row>
    <row r="10" spans="3:15">
      <c r="C10" s="5" t="s">
        <v>16</v>
      </c>
      <c r="D10" s="8">
        <f ca="1">COUNTIF(INDIRECT("["&amp;datatable!$C$3&amp;"]"&amp;datatable!$A5&amp;"!"&amp;"Q:Q"),"High Correct")</f>
        <v>7</v>
      </c>
      <c r="E10" s="11">
        <f ca="1">COUNTIF(INDIRECT("["&amp;datatable!$C$3&amp;"]"&amp;datatable!$A5&amp;"!"&amp;"Q:Q"),"Medium Correct")</f>
        <v>1</v>
      </c>
      <c r="F10" s="13">
        <f ca="1">COUNTIF(INDIRECT("["&amp;datatable!$C$3&amp;"]"&amp;datatable!$A5&amp;"!"&amp;"Q:Q"),"Low Correct")</f>
        <v>0</v>
      </c>
      <c r="G10" s="15">
        <f ca="1">COUNTIF(INDIRECT("["&amp;datatable!$C$3&amp;"]"&amp;datatable!$A5&amp;"!"&amp;"Q:Q"),"High Maybe")</f>
        <v>1</v>
      </c>
      <c r="H10" s="17">
        <f ca="1">COUNTIF(INDIRECT("["&amp;datatable!$C$3&amp;"]"&amp;datatable!$A5&amp;"!"&amp;"Q:Q"),"Medium Maybe")</f>
        <v>0</v>
      </c>
      <c r="I10" s="19">
        <f ca="1">COUNTIF(INDIRECT("["&amp;datatable!$C$3&amp;"]"&amp;datatable!$A5&amp;"!"&amp;"Q:Q"),"Low Maybe")</f>
        <v>0</v>
      </c>
      <c r="J10" s="21">
        <f ca="1">COUNTIF(INDIRECT("["&amp;datatable!$C$3&amp;"]"&amp;datatable!$A5&amp;"!"&amp;"Q:Q"),"Low Incorrect")</f>
        <v>3</v>
      </c>
      <c r="K10" s="23">
        <f ca="1">COUNTIF(INDIRECT("["&amp;datatable!$C$3&amp;"]"&amp;datatable!$A5&amp;"!"&amp;"Q:Q"),"Medium Incorrect")</f>
        <v>4</v>
      </c>
      <c r="L10" s="25">
        <f ca="1">COUNTIF(INDIRECT("["&amp;datatable!$C$3&amp;"]"&amp;datatable!$A5&amp;"!"&amp;"Q:Q"),"High Incorrect")</f>
        <v>2</v>
      </c>
      <c r="M10" s="27">
        <f ca="1">COUNTIF(INDIRECT("["&amp;datatable!$C$3&amp;"]"&amp;datatable!$A5&amp;"!"&amp;"Q:Q"),"N/A")</f>
        <v>0</v>
      </c>
      <c r="N10" s="29">
        <f t="shared" ca="1" si="0"/>
        <v>18</v>
      </c>
      <c r="O10" s="29">
        <f t="shared" ca="1" si="1"/>
        <v>18</v>
      </c>
    </row>
    <row r="11" spans="3:15">
      <c r="C11" s="5" t="s">
        <v>17</v>
      </c>
      <c r="D11" s="8">
        <f ca="1">COUNTIF(INDIRECT("["&amp;datatable!$C$3&amp;"]"&amp;datatable!$A6&amp;"!"&amp;"Q:Q"),"High Correct")</f>
        <v>5</v>
      </c>
      <c r="E11" s="11">
        <f ca="1">COUNTIF(INDIRECT("["&amp;datatable!$C$3&amp;"]"&amp;datatable!$A6&amp;"!"&amp;"Q:Q"),"Medium Correct")</f>
        <v>0</v>
      </c>
      <c r="F11" s="13">
        <f ca="1">COUNTIF(INDIRECT("["&amp;datatable!$C$3&amp;"]"&amp;datatable!$A6&amp;"!"&amp;"Q:Q"),"Low Correct")</f>
        <v>0</v>
      </c>
      <c r="G11" s="15">
        <f ca="1">COUNTIF(INDIRECT("["&amp;datatable!$C$3&amp;"]"&amp;datatable!$A6&amp;"!"&amp;"Q:Q"),"High Maybe")</f>
        <v>0</v>
      </c>
      <c r="H11" s="17">
        <f ca="1">COUNTIF(INDIRECT("["&amp;datatable!$C$3&amp;"]"&amp;datatable!$A6&amp;"!"&amp;"Q:Q"),"Medium Maybe")</f>
        <v>0</v>
      </c>
      <c r="I11" s="19">
        <f ca="1">COUNTIF(INDIRECT("["&amp;datatable!$C$3&amp;"]"&amp;datatable!$A6&amp;"!"&amp;"Q:Q"),"Low Maybe")</f>
        <v>2</v>
      </c>
      <c r="J11" s="21">
        <f ca="1">COUNTIF(INDIRECT("["&amp;datatable!$C$3&amp;"]"&amp;datatable!$A6&amp;"!"&amp;"Q:Q"),"Low Incorrect")</f>
        <v>5</v>
      </c>
      <c r="K11" s="23">
        <f ca="1">COUNTIF(INDIRECT("["&amp;datatable!$C$3&amp;"]"&amp;datatable!$A6&amp;"!"&amp;"Q:Q"),"Medium Incorrect")</f>
        <v>1</v>
      </c>
      <c r="L11" s="25">
        <f ca="1">COUNTIF(INDIRECT("["&amp;datatable!$C$3&amp;"]"&amp;datatable!$A6&amp;"!"&amp;"Q:Q"),"High Incorrect")</f>
        <v>5</v>
      </c>
      <c r="M11" s="27">
        <f ca="1">COUNTIF(INDIRECT("["&amp;datatable!$C$3&amp;"]"&amp;datatable!$A6&amp;"!"&amp;"Q:Q"),"N/A")</f>
        <v>0</v>
      </c>
      <c r="N11" s="29">
        <f t="shared" ca="1" si="0"/>
        <v>18</v>
      </c>
      <c r="O11" s="29">
        <f t="shared" ca="1" si="1"/>
        <v>18</v>
      </c>
    </row>
    <row r="12" spans="3:15">
      <c r="C12" s="5" t="s">
        <v>18</v>
      </c>
      <c r="D12" s="8">
        <f ca="1">COUNTIF(INDIRECT("["&amp;datatable!$C$3&amp;"]"&amp;datatable!$A7&amp;"!"&amp;"Q:Q"),"High Correct")</f>
        <v>8</v>
      </c>
      <c r="E12" s="11">
        <f ca="1">COUNTIF(INDIRECT("["&amp;datatable!$C$3&amp;"]"&amp;datatable!$A7&amp;"!"&amp;"Q:Q"),"Medium Correct")</f>
        <v>1</v>
      </c>
      <c r="F12" s="13">
        <f ca="1">COUNTIF(INDIRECT("["&amp;datatable!$C$3&amp;"]"&amp;datatable!$A7&amp;"!"&amp;"Q:Q"),"Low Correct")</f>
        <v>1</v>
      </c>
      <c r="G12" s="15">
        <f ca="1">COUNTIF(INDIRECT("["&amp;datatable!$C$3&amp;"]"&amp;datatable!$A7&amp;"!"&amp;"Q:Q"),"High Maybe")</f>
        <v>0</v>
      </c>
      <c r="H12" s="17">
        <f ca="1">COUNTIF(INDIRECT("["&amp;datatable!$C$3&amp;"]"&amp;datatable!$A7&amp;"!"&amp;"Q:Q"),"Medium Maybe")</f>
        <v>1</v>
      </c>
      <c r="I12" s="19">
        <f ca="1">COUNTIF(INDIRECT("["&amp;datatable!$C$3&amp;"]"&amp;datatable!$A7&amp;"!"&amp;"Q:Q"),"Low Maybe")</f>
        <v>1</v>
      </c>
      <c r="J12" s="21">
        <f ca="1">COUNTIF(INDIRECT("["&amp;datatable!$C$3&amp;"]"&amp;datatable!$A7&amp;"!"&amp;"Q:Q"),"Low Incorrect")</f>
        <v>4</v>
      </c>
      <c r="K12" s="23">
        <f ca="1">COUNTIF(INDIRECT("["&amp;datatable!$C$3&amp;"]"&amp;datatable!$A7&amp;"!"&amp;"Q:Q"),"Medium Incorrect")</f>
        <v>1</v>
      </c>
      <c r="L12" s="25">
        <f ca="1">COUNTIF(INDIRECT("["&amp;datatable!$C$3&amp;"]"&amp;datatable!$A7&amp;"!"&amp;"Q:Q"),"High Incorrect")</f>
        <v>1</v>
      </c>
      <c r="M12" s="27">
        <f ca="1">COUNTIF(INDIRECT("["&amp;datatable!$C$3&amp;"]"&amp;datatable!$A7&amp;"!"&amp;"Q:Q"),"N/A")</f>
        <v>0</v>
      </c>
      <c r="N12" s="29">
        <f t="shared" ca="1" si="0"/>
        <v>18</v>
      </c>
      <c r="O12" s="29">
        <f t="shared" ca="1" si="1"/>
        <v>18</v>
      </c>
    </row>
    <row r="13" spans="3:15">
      <c r="C13" s="5" t="s">
        <v>19</v>
      </c>
      <c r="D13" s="8">
        <f ca="1">COUNTIF(INDIRECT("["&amp;datatable!$C$3&amp;"]"&amp;datatable!$A8&amp;"!"&amp;"Q:Q"),"High Correct")</f>
        <v>8</v>
      </c>
      <c r="E13" s="11">
        <f ca="1">COUNTIF(INDIRECT("["&amp;datatable!$C$3&amp;"]"&amp;datatable!$A8&amp;"!"&amp;"Q:Q"),"Medium Correct")</f>
        <v>1</v>
      </c>
      <c r="F13" s="13">
        <f ca="1">COUNTIF(INDIRECT("["&amp;datatable!$C$3&amp;"]"&amp;datatable!$A8&amp;"!"&amp;"Q:Q"),"Low Correct")</f>
        <v>0</v>
      </c>
      <c r="G13" s="15">
        <f ca="1">COUNTIF(INDIRECT("["&amp;datatable!$C$3&amp;"]"&amp;datatable!$A8&amp;"!"&amp;"Q:Q"),"High Maybe")</f>
        <v>1</v>
      </c>
      <c r="H13" s="17">
        <f ca="1">COUNTIF(INDIRECT("["&amp;datatable!$C$3&amp;"]"&amp;datatable!$A8&amp;"!"&amp;"Q:Q"),"Medium Maybe")</f>
        <v>1</v>
      </c>
      <c r="I13" s="19">
        <f ca="1">COUNTIF(INDIRECT("["&amp;datatable!$C$3&amp;"]"&amp;datatable!$A8&amp;"!"&amp;"Q:Q"),"Low Maybe")</f>
        <v>1</v>
      </c>
      <c r="J13" s="21">
        <f ca="1">COUNTIF(INDIRECT("["&amp;datatable!$C$3&amp;"]"&amp;datatable!$A8&amp;"!"&amp;"Q:Q"),"Low Incorrect")</f>
        <v>2</v>
      </c>
      <c r="K13" s="23">
        <f ca="1">COUNTIF(INDIRECT("["&amp;datatable!$C$3&amp;"]"&amp;datatable!$A8&amp;"!"&amp;"Q:Q"),"Medium Incorrect")</f>
        <v>1</v>
      </c>
      <c r="L13" s="25">
        <f ca="1">COUNTIF(INDIRECT("["&amp;datatable!$C$3&amp;"]"&amp;datatable!$A8&amp;"!"&amp;"Q:Q"),"High Incorrect")</f>
        <v>3</v>
      </c>
      <c r="M13" s="27">
        <f ca="1">COUNTIF(INDIRECT("["&amp;datatable!$C$3&amp;"]"&amp;datatable!$A8&amp;"!"&amp;"Q:Q"),"N/A")</f>
        <v>0</v>
      </c>
      <c r="N13" s="29">
        <f t="shared" ca="1" si="0"/>
        <v>18</v>
      </c>
      <c r="O13" s="29">
        <f t="shared" ca="1" si="1"/>
        <v>18</v>
      </c>
    </row>
    <row r="14" spans="3:15">
      <c r="C14" s="5" t="s">
        <v>20</v>
      </c>
      <c r="D14" s="8">
        <f ca="1">COUNTIF(INDIRECT("["&amp;datatable!$C$3&amp;"]"&amp;datatable!$A9&amp;"!"&amp;"Q:Q"),"High Correct")</f>
        <v>6</v>
      </c>
      <c r="E14" s="11">
        <f ca="1">COUNTIF(INDIRECT("["&amp;datatable!$C$3&amp;"]"&amp;datatable!$A9&amp;"!"&amp;"Q:Q"),"Medium Correct")</f>
        <v>1</v>
      </c>
      <c r="F14" s="13">
        <f ca="1">COUNTIF(INDIRECT("["&amp;datatable!$C$3&amp;"]"&amp;datatable!$A9&amp;"!"&amp;"Q:Q"),"Low Correct")</f>
        <v>1</v>
      </c>
      <c r="G14" s="15">
        <f ca="1">COUNTIF(INDIRECT("["&amp;datatable!$C$3&amp;"]"&amp;datatable!$A9&amp;"!"&amp;"Q:Q"),"High Maybe")</f>
        <v>0</v>
      </c>
      <c r="H14" s="17">
        <f ca="1">COUNTIF(INDIRECT("["&amp;datatable!$C$3&amp;"]"&amp;datatable!$A9&amp;"!"&amp;"Q:Q"),"Medium Maybe")</f>
        <v>0</v>
      </c>
      <c r="I14" s="19">
        <f ca="1">COUNTIF(INDIRECT("["&amp;datatable!$C$3&amp;"]"&amp;datatable!$A9&amp;"!"&amp;"Q:Q"),"Low Maybe")</f>
        <v>0</v>
      </c>
      <c r="J14" s="21">
        <f ca="1">COUNTIF(INDIRECT("["&amp;datatable!$C$3&amp;"]"&amp;datatable!$A9&amp;"!"&amp;"Q:Q"),"Low Incorrect")</f>
        <v>3</v>
      </c>
      <c r="K14" s="23">
        <f ca="1">COUNTIF(INDIRECT("["&amp;datatable!$C$3&amp;"]"&amp;datatable!$A9&amp;"!"&amp;"Q:Q"),"Medium Incorrect")</f>
        <v>5</v>
      </c>
      <c r="L14" s="25">
        <f ca="1">COUNTIF(INDIRECT("["&amp;datatable!$C$3&amp;"]"&amp;datatable!$A9&amp;"!"&amp;"Q:Q"),"High Incorrect")</f>
        <v>1</v>
      </c>
      <c r="M14" s="27">
        <f ca="1">COUNTIF(INDIRECT("["&amp;datatable!$C$3&amp;"]"&amp;datatable!$A9&amp;"!"&amp;"Q:Q"),"N/A")</f>
        <v>1</v>
      </c>
      <c r="N14" s="29">
        <f t="shared" ca="1" si="0"/>
        <v>18</v>
      </c>
      <c r="O14" s="29">
        <f t="shared" ca="1" si="1"/>
        <v>17</v>
      </c>
    </row>
    <row r="15" spans="3:15">
      <c r="C15" s="5" t="s">
        <v>21</v>
      </c>
      <c r="D15" s="8">
        <f ca="1">COUNTIF(INDIRECT("["&amp;datatable!$C$3&amp;"]"&amp;datatable!$A10&amp;"!"&amp;"Q:Q"),"High Correct")</f>
        <v>5</v>
      </c>
      <c r="E15" s="11">
        <f ca="1">COUNTIF(INDIRECT("["&amp;datatable!$C$3&amp;"]"&amp;datatable!$A10&amp;"!"&amp;"Q:Q"),"Medium Correct")</f>
        <v>3</v>
      </c>
      <c r="F15" s="13">
        <f ca="1">COUNTIF(INDIRECT("["&amp;datatable!$C$3&amp;"]"&amp;datatable!$A10&amp;"!"&amp;"Q:Q"),"Low Correct")</f>
        <v>0</v>
      </c>
      <c r="G15" s="15">
        <f ca="1">COUNTIF(INDIRECT("["&amp;datatable!$C$3&amp;"]"&amp;datatable!$A10&amp;"!"&amp;"Q:Q"),"High Maybe")</f>
        <v>0</v>
      </c>
      <c r="H15" s="17">
        <f ca="1">COUNTIF(INDIRECT("["&amp;datatable!$C$3&amp;"]"&amp;datatable!$A10&amp;"!"&amp;"Q:Q"),"Medium Maybe")</f>
        <v>0</v>
      </c>
      <c r="I15" s="19">
        <f ca="1">COUNTIF(INDIRECT("["&amp;datatable!$C$3&amp;"]"&amp;datatable!$A10&amp;"!"&amp;"Q:Q"),"Low Maybe")</f>
        <v>0</v>
      </c>
      <c r="J15" s="21">
        <f ca="1">COUNTIF(INDIRECT("["&amp;datatable!$C$3&amp;"]"&amp;datatable!$A10&amp;"!"&amp;"Q:Q"),"Low Incorrect")</f>
        <v>2</v>
      </c>
      <c r="K15" s="23">
        <f ca="1">COUNTIF(INDIRECT("["&amp;datatable!$C$3&amp;"]"&amp;datatable!$A10&amp;"!"&amp;"Q:Q"),"Medium Incorrect")</f>
        <v>5</v>
      </c>
      <c r="L15" s="25">
        <f ca="1">COUNTIF(INDIRECT("["&amp;datatable!$C$3&amp;"]"&amp;datatable!$A10&amp;"!"&amp;"Q:Q"),"High Incorrect")</f>
        <v>2</v>
      </c>
      <c r="M15" s="27">
        <f ca="1">COUNTIF(INDIRECT("["&amp;datatable!$C$3&amp;"]"&amp;datatable!$A10&amp;"!"&amp;"Q:Q"),"N/A")</f>
        <v>1</v>
      </c>
      <c r="N15" s="29">
        <f t="shared" ca="1" si="0"/>
        <v>18</v>
      </c>
      <c r="O15" s="29">
        <f t="shared" ca="1" si="1"/>
        <v>17</v>
      </c>
    </row>
    <row r="16" spans="3:15">
      <c r="C16" s="5" t="s">
        <v>22</v>
      </c>
      <c r="D16" s="8">
        <f ca="1">COUNTIF(INDIRECT("["&amp;datatable!$C$3&amp;"]"&amp;datatable!$A11&amp;"!"&amp;"Q:Q"),"High Correct")</f>
        <v>4</v>
      </c>
      <c r="E16" s="11">
        <f ca="1">COUNTIF(INDIRECT("["&amp;datatable!$C$3&amp;"]"&amp;datatable!$A11&amp;"!"&amp;"Q:Q"),"Medium Correct")</f>
        <v>3</v>
      </c>
      <c r="F16" s="13">
        <f ca="1">COUNTIF(INDIRECT("["&amp;datatable!$C$3&amp;"]"&amp;datatable!$A11&amp;"!"&amp;"Q:Q"),"Low Correct")</f>
        <v>1</v>
      </c>
      <c r="G16" s="15">
        <f ca="1">COUNTIF(INDIRECT("["&amp;datatable!$C$3&amp;"]"&amp;datatable!$A11&amp;"!"&amp;"Q:Q"),"High Maybe")</f>
        <v>1</v>
      </c>
      <c r="H16" s="17">
        <f ca="1">COUNTIF(INDIRECT("["&amp;datatable!$C$3&amp;"]"&amp;datatable!$A11&amp;"!"&amp;"Q:Q"),"Medium Maybe")</f>
        <v>0</v>
      </c>
      <c r="I16" s="19">
        <f ca="1">COUNTIF(INDIRECT("["&amp;datatable!$C$3&amp;"]"&amp;datatable!$A11&amp;"!"&amp;"Q:Q"),"Low Maybe")</f>
        <v>0</v>
      </c>
      <c r="J16" s="21">
        <f ca="1">COUNTIF(INDIRECT("["&amp;datatable!$C$3&amp;"]"&amp;datatable!$A11&amp;"!"&amp;"Q:Q"),"Low Incorrect")</f>
        <v>3</v>
      </c>
      <c r="K16" s="23">
        <f ca="1">COUNTIF(INDIRECT("["&amp;datatable!$C$3&amp;"]"&amp;datatable!$A11&amp;"!"&amp;"Q:Q"),"Medium Incorrect")</f>
        <v>5</v>
      </c>
      <c r="L16" s="25">
        <f ca="1">COUNTIF(INDIRECT("["&amp;datatable!$C$3&amp;"]"&amp;datatable!$A11&amp;"!"&amp;"Q:Q"),"High Incorrect")</f>
        <v>1</v>
      </c>
      <c r="M16" s="27">
        <f ca="1">COUNTIF(INDIRECT("["&amp;datatable!$C$3&amp;"]"&amp;datatable!$A11&amp;"!"&amp;"Q:Q"),"N/A")</f>
        <v>0</v>
      </c>
      <c r="N16" s="29">
        <f t="shared" ca="1" si="0"/>
        <v>18</v>
      </c>
      <c r="O16" s="29">
        <f t="shared" ca="1" si="1"/>
        <v>18</v>
      </c>
    </row>
    <row r="17" spans="3:15">
      <c r="C17" s="5" t="s">
        <v>23</v>
      </c>
      <c r="D17" s="8">
        <f ca="1">COUNTIF(INDIRECT("["&amp;datatable!$C$3&amp;"]"&amp;datatable!$A12&amp;"!"&amp;"Q:Q"),"High Correct")</f>
        <v>6</v>
      </c>
      <c r="E17" s="11">
        <f ca="1">COUNTIF(INDIRECT("["&amp;datatable!$C$3&amp;"]"&amp;datatable!$A12&amp;"!"&amp;"Q:Q"),"Medium Correct")</f>
        <v>0</v>
      </c>
      <c r="F17" s="13">
        <f ca="1">COUNTIF(INDIRECT("["&amp;datatable!$C$3&amp;"]"&amp;datatable!$A12&amp;"!"&amp;"Q:Q"),"Low Correct")</f>
        <v>1</v>
      </c>
      <c r="G17" s="15">
        <f ca="1">COUNTIF(INDIRECT("["&amp;datatable!$C$3&amp;"]"&amp;datatable!$A12&amp;"!"&amp;"Q:Q"),"High Maybe")</f>
        <v>1</v>
      </c>
      <c r="H17" s="17">
        <f ca="1">COUNTIF(INDIRECT("["&amp;datatable!$C$3&amp;"]"&amp;datatable!$A12&amp;"!"&amp;"Q:Q"),"Medium Maybe")</f>
        <v>0</v>
      </c>
      <c r="I17" s="19">
        <f ca="1">COUNTIF(INDIRECT("["&amp;datatable!$C$3&amp;"]"&amp;datatable!$A12&amp;"!"&amp;"Q:Q"),"Low Maybe")</f>
        <v>0</v>
      </c>
      <c r="J17" s="21">
        <f ca="1">COUNTIF(INDIRECT("["&amp;datatable!$C$3&amp;"]"&amp;datatable!$A12&amp;"!"&amp;"Q:Q"),"Low Incorrect")</f>
        <v>2</v>
      </c>
      <c r="K17" s="23">
        <f ca="1">COUNTIF(INDIRECT("["&amp;datatable!$C$3&amp;"]"&amp;datatable!$A12&amp;"!"&amp;"Q:Q"),"Medium Incorrect")</f>
        <v>6</v>
      </c>
      <c r="L17" s="25">
        <f ca="1">COUNTIF(INDIRECT("["&amp;datatable!$C$3&amp;"]"&amp;datatable!$A12&amp;"!"&amp;"Q:Q"),"High Incorrect")</f>
        <v>1</v>
      </c>
      <c r="M17" s="27">
        <f ca="1">COUNTIF(INDIRECT("["&amp;datatable!$C$3&amp;"]"&amp;datatable!$A12&amp;"!"&amp;"Q:Q"),"N/A")</f>
        <v>1</v>
      </c>
      <c r="N17" s="29">
        <f t="shared" ca="1" si="0"/>
        <v>18</v>
      </c>
      <c r="O17" s="29">
        <f t="shared" ca="1" si="1"/>
        <v>17</v>
      </c>
    </row>
    <row r="18" spans="3:15">
      <c r="C18" s="5" t="s">
        <v>24</v>
      </c>
      <c r="D18" s="8">
        <f ca="1">COUNTIF(INDIRECT("["&amp;datatable!$C$3&amp;"]"&amp;datatable!$A13&amp;"!"&amp;"Q:Q"),"High Correct")</f>
        <v>7</v>
      </c>
      <c r="E18" s="11">
        <f ca="1">COUNTIF(INDIRECT("["&amp;datatable!$C$3&amp;"]"&amp;datatable!$A13&amp;"!"&amp;"Q:Q"),"Medium Correct")</f>
        <v>0</v>
      </c>
      <c r="F18" s="13">
        <f ca="1">COUNTIF(INDIRECT("["&amp;datatable!$C$3&amp;"]"&amp;datatable!$A13&amp;"!"&amp;"Q:Q"),"Low Correct")</f>
        <v>0</v>
      </c>
      <c r="G18" s="15">
        <f ca="1">COUNTIF(INDIRECT("["&amp;datatable!$C$3&amp;"]"&amp;datatable!$A13&amp;"!"&amp;"Q:Q"),"High Maybe")</f>
        <v>0</v>
      </c>
      <c r="H18" s="17">
        <f ca="1">COUNTIF(INDIRECT("["&amp;datatable!$C$3&amp;"]"&amp;datatable!$A13&amp;"!"&amp;"Q:Q"),"Medium Maybe")</f>
        <v>0</v>
      </c>
      <c r="I18" s="19">
        <f ca="1">COUNTIF(INDIRECT("["&amp;datatable!$C$3&amp;"]"&amp;datatable!$A13&amp;"!"&amp;"Q:Q"),"Low Maybe")</f>
        <v>0</v>
      </c>
      <c r="J18" s="21">
        <f ca="1">COUNTIF(INDIRECT("["&amp;datatable!$C$3&amp;"]"&amp;datatable!$A13&amp;"!"&amp;"Q:Q"),"Low Incorrect")</f>
        <v>4</v>
      </c>
      <c r="K18" s="23">
        <f ca="1">COUNTIF(INDIRECT("["&amp;datatable!$C$3&amp;"]"&amp;datatable!$A13&amp;"!"&amp;"Q:Q"),"Medium Incorrect")</f>
        <v>4</v>
      </c>
      <c r="L18" s="25">
        <f ca="1">COUNTIF(INDIRECT("["&amp;datatable!$C$3&amp;"]"&amp;datatable!$A13&amp;"!"&amp;"Q:Q"),"High Incorrect")</f>
        <v>1</v>
      </c>
      <c r="M18" s="27">
        <f ca="1">COUNTIF(INDIRECT("["&amp;datatable!$C$3&amp;"]"&amp;datatable!$A13&amp;"!"&amp;"Q:Q"),"N/A")</f>
        <v>2</v>
      </c>
      <c r="N18" s="29">
        <f t="shared" ca="1" si="0"/>
        <v>18</v>
      </c>
      <c r="O18" s="29">
        <f t="shared" ca="1" si="1"/>
        <v>16</v>
      </c>
    </row>
    <row r="19" spans="3:15">
      <c r="C19" s="5" t="s">
        <v>25</v>
      </c>
      <c r="D19" s="8">
        <f ca="1">COUNTIF(INDIRECT("["&amp;datatable!$C$3&amp;"]"&amp;datatable!$A14&amp;"!"&amp;"Q:Q"),"High Correct")</f>
        <v>5</v>
      </c>
      <c r="E19" s="11">
        <f ca="1">COUNTIF(INDIRECT("["&amp;datatable!$C$3&amp;"]"&amp;datatable!$A14&amp;"!"&amp;"Q:Q"),"Medium Correct")</f>
        <v>0</v>
      </c>
      <c r="F19" s="13">
        <f ca="1">COUNTIF(INDIRECT("["&amp;datatable!$C$3&amp;"]"&amp;datatable!$A14&amp;"!"&amp;"Q:Q"),"Low Correct")</f>
        <v>0</v>
      </c>
      <c r="G19" s="15">
        <f ca="1">COUNTIF(INDIRECT("["&amp;datatable!$C$3&amp;"]"&amp;datatable!$A14&amp;"!"&amp;"Q:Q"),"High Maybe")</f>
        <v>0</v>
      </c>
      <c r="H19" s="17">
        <f ca="1">COUNTIF(INDIRECT("["&amp;datatable!$C$3&amp;"]"&amp;datatable!$A14&amp;"!"&amp;"Q:Q"),"Medium Maybe")</f>
        <v>0</v>
      </c>
      <c r="I19" s="19">
        <f ca="1">COUNTIF(INDIRECT("["&amp;datatable!$C$3&amp;"]"&amp;datatable!$A14&amp;"!"&amp;"Q:Q"),"Low Maybe")</f>
        <v>1</v>
      </c>
      <c r="J19" s="21">
        <f ca="1">COUNTIF(INDIRECT("["&amp;datatable!$C$3&amp;"]"&amp;datatable!$A14&amp;"!"&amp;"Q:Q"),"Low Incorrect")</f>
        <v>6</v>
      </c>
      <c r="K19" s="23">
        <f ca="1">COUNTIF(INDIRECT("["&amp;datatable!$C$3&amp;"]"&amp;datatable!$A14&amp;"!"&amp;"Q:Q"),"Medium Incorrect")</f>
        <v>2</v>
      </c>
      <c r="L19" s="25">
        <f ca="1">COUNTIF(INDIRECT("["&amp;datatable!$C$3&amp;"]"&amp;datatable!$A14&amp;"!"&amp;"Q:Q"),"High Incorrect")</f>
        <v>3</v>
      </c>
      <c r="M19" s="27">
        <f ca="1">COUNTIF(INDIRECT("["&amp;datatable!$C$3&amp;"]"&amp;datatable!$A14&amp;"!"&amp;"Q:Q"),"N/A")</f>
        <v>1</v>
      </c>
      <c r="N19" s="29">
        <f t="shared" ca="1" si="0"/>
        <v>18</v>
      </c>
      <c r="O19" s="29">
        <f t="shared" ca="1" si="1"/>
        <v>17</v>
      </c>
    </row>
    <row r="20" spans="3:15">
      <c r="C20" s="5" t="s">
        <v>26</v>
      </c>
      <c r="D20" s="8">
        <f ca="1">COUNTIF(INDIRECT("["&amp;datatable!$C$3&amp;"]"&amp;datatable!$A15&amp;"!"&amp;"Q:Q"),"High Correct")</f>
        <v>5</v>
      </c>
      <c r="E20" s="11">
        <f ca="1">COUNTIF(INDIRECT("["&amp;datatable!$C$3&amp;"]"&amp;datatable!$A15&amp;"!"&amp;"Q:Q"),"Medium Correct")</f>
        <v>1</v>
      </c>
      <c r="F20" s="13">
        <f ca="1">COUNTIF(INDIRECT("["&amp;datatable!$C$3&amp;"]"&amp;datatable!$A15&amp;"!"&amp;"Q:Q"),"Low Correct")</f>
        <v>0</v>
      </c>
      <c r="G20" s="15">
        <f ca="1">COUNTIF(INDIRECT("["&amp;datatable!$C$3&amp;"]"&amp;datatable!$A15&amp;"!"&amp;"Q:Q"),"High Maybe")</f>
        <v>0</v>
      </c>
      <c r="H20" s="17">
        <f ca="1">COUNTIF(INDIRECT("["&amp;datatable!$C$3&amp;"]"&amp;datatable!$A15&amp;"!"&amp;"Q:Q"),"Medium Maybe")</f>
        <v>0</v>
      </c>
      <c r="I20" s="19">
        <f ca="1">COUNTIF(INDIRECT("["&amp;datatable!$C$3&amp;"]"&amp;datatable!$A15&amp;"!"&amp;"Q:Q"),"Low Maybe")</f>
        <v>1</v>
      </c>
      <c r="J20" s="21">
        <f ca="1">COUNTIF(INDIRECT("["&amp;datatable!$C$3&amp;"]"&amp;datatable!$A15&amp;"!"&amp;"Q:Q"),"Low Incorrect")</f>
        <v>6</v>
      </c>
      <c r="K20" s="23">
        <f ca="1">COUNTIF(INDIRECT("["&amp;datatable!$C$3&amp;"]"&amp;datatable!$A15&amp;"!"&amp;"Q:Q"),"Medium Incorrect")</f>
        <v>2</v>
      </c>
      <c r="L20" s="25">
        <f ca="1">COUNTIF(INDIRECT("["&amp;datatable!$C$3&amp;"]"&amp;datatable!$A15&amp;"!"&amp;"Q:Q"),"High Incorrect")</f>
        <v>2</v>
      </c>
      <c r="M20" s="27">
        <f ca="1">COUNTIF(INDIRECT("["&amp;datatable!$C$3&amp;"]"&amp;datatable!$A15&amp;"!"&amp;"Q:Q"),"N/A")</f>
        <v>1</v>
      </c>
      <c r="N20" s="29">
        <f t="shared" ca="1" si="0"/>
        <v>18</v>
      </c>
      <c r="O20" s="29">
        <f t="shared" ca="1" si="1"/>
        <v>17</v>
      </c>
    </row>
    <row r="21" spans="3:15">
      <c r="C21" s="5" t="s">
        <v>27</v>
      </c>
      <c r="D21" s="8">
        <f ca="1">COUNTIF(INDIRECT("["&amp;datatable!$C$3&amp;"]"&amp;datatable!$A16&amp;"!"&amp;"Q:Q"),"High Correct")</f>
        <v>6</v>
      </c>
      <c r="E21" s="11">
        <f ca="1">COUNTIF(INDIRECT("["&amp;datatable!$C$3&amp;"]"&amp;datatable!$A16&amp;"!"&amp;"Q:Q"),"Medium Correct")</f>
        <v>0</v>
      </c>
      <c r="F21" s="13">
        <f ca="1">COUNTIF(INDIRECT("["&amp;datatable!$C$3&amp;"]"&amp;datatable!$A16&amp;"!"&amp;"Q:Q"),"Low Correct")</f>
        <v>0</v>
      </c>
      <c r="G21" s="15">
        <f ca="1">COUNTIF(INDIRECT("["&amp;datatable!$C$3&amp;"]"&amp;datatable!$A16&amp;"!"&amp;"Q:Q"),"High Maybe")</f>
        <v>0</v>
      </c>
      <c r="H21" s="17">
        <f ca="1">COUNTIF(INDIRECT("["&amp;datatable!$C$3&amp;"]"&amp;datatable!$A16&amp;"!"&amp;"Q:Q"),"Medium Maybe")</f>
        <v>0</v>
      </c>
      <c r="I21" s="19">
        <f ca="1">COUNTIF(INDIRECT("["&amp;datatable!$C$3&amp;"]"&amp;datatable!$A16&amp;"!"&amp;"Q:Q"),"Low Maybe")</f>
        <v>2</v>
      </c>
      <c r="J21" s="21">
        <f ca="1">COUNTIF(INDIRECT("["&amp;datatable!$C$3&amp;"]"&amp;datatable!$A16&amp;"!"&amp;"Q:Q"),"Low Incorrect")</f>
        <v>5</v>
      </c>
      <c r="K21" s="23">
        <f ca="1">COUNTIF(INDIRECT("["&amp;datatable!$C$3&amp;"]"&amp;datatable!$A16&amp;"!"&amp;"Q:Q"),"Medium Incorrect")</f>
        <v>1</v>
      </c>
      <c r="L21" s="25">
        <f ca="1">COUNTIF(INDIRECT("["&amp;datatable!$C$3&amp;"]"&amp;datatable!$A16&amp;"!"&amp;"Q:Q"),"High Incorrect")</f>
        <v>3</v>
      </c>
      <c r="M21" s="27">
        <f ca="1">COUNTIF(INDIRECT("["&amp;datatable!$C$3&amp;"]"&amp;datatable!$A16&amp;"!"&amp;"Q:Q"),"N/A")</f>
        <v>1</v>
      </c>
      <c r="N21" s="29">
        <f t="shared" ca="1" si="0"/>
        <v>18</v>
      </c>
      <c r="O21" s="29">
        <f t="shared" ca="1" si="1"/>
        <v>17</v>
      </c>
    </row>
    <row r="22" spans="3:15">
      <c r="C22" s="5" t="s">
        <v>28</v>
      </c>
      <c r="D22" s="8">
        <f ca="1">COUNTIF(INDIRECT("["&amp;datatable!$C$3&amp;"]"&amp;datatable!$A17&amp;"!"&amp;"Q:Q"),"High Correct")</f>
        <v>8</v>
      </c>
      <c r="E22" s="11">
        <f ca="1">COUNTIF(INDIRECT("["&amp;datatable!$C$3&amp;"]"&amp;datatable!$A17&amp;"!"&amp;"Q:Q"),"Medium Correct")</f>
        <v>1</v>
      </c>
      <c r="F22" s="13">
        <f ca="1">COUNTIF(INDIRECT("["&amp;datatable!$C$3&amp;"]"&amp;datatable!$A17&amp;"!"&amp;"Q:Q"),"Low Correct")</f>
        <v>0</v>
      </c>
      <c r="G22" s="15">
        <f ca="1">COUNTIF(INDIRECT("["&amp;datatable!$C$3&amp;"]"&amp;datatable!$A17&amp;"!"&amp;"Q:Q"),"High Maybe")</f>
        <v>0</v>
      </c>
      <c r="H22" s="17">
        <f ca="1">COUNTIF(INDIRECT("["&amp;datatable!$C$3&amp;"]"&amp;datatable!$A17&amp;"!"&amp;"Q:Q"),"Medium Maybe")</f>
        <v>0</v>
      </c>
      <c r="I22" s="19">
        <f ca="1">COUNTIF(INDIRECT("["&amp;datatable!$C$3&amp;"]"&amp;datatable!$A17&amp;"!"&amp;"Q:Q"),"Low Maybe")</f>
        <v>0</v>
      </c>
      <c r="J22" s="21">
        <f ca="1">COUNTIF(INDIRECT("["&amp;datatable!$C$3&amp;"]"&amp;datatable!$A17&amp;"!"&amp;"Q:Q"),"Low Incorrect")</f>
        <v>6</v>
      </c>
      <c r="K22" s="23">
        <f ca="1">COUNTIF(INDIRECT("["&amp;datatable!$C$3&amp;"]"&amp;datatable!$A17&amp;"!"&amp;"Q:Q"),"Medium Incorrect")</f>
        <v>0</v>
      </c>
      <c r="L22" s="25">
        <f ca="1">COUNTIF(INDIRECT("["&amp;datatable!$C$3&amp;"]"&amp;datatable!$A17&amp;"!"&amp;"Q:Q"),"High Incorrect")</f>
        <v>2</v>
      </c>
      <c r="M22" s="27">
        <f ca="1">COUNTIF(INDIRECT("["&amp;datatable!$C$3&amp;"]"&amp;datatable!$A17&amp;"!"&amp;"Q:Q"),"N/A")</f>
        <v>1</v>
      </c>
      <c r="N22" s="29">
        <f t="shared" ca="1" si="0"/>
        <v>18</v>
      </c>
      <c r="O22" s="29">
        <f t="shared" ca="1" si="1"/>
        <v>17</v>
      </c>
    </row>
    <row r="23" spans="3:15">
      <c r="C23" s="5" t="s">
        <v>29</v>
      </c>
      <c r="D23" s="8">
        <f ca="1">COUNTIF(INDIRECT("["&amp;datatable!$C$3&amp;"]"&amp;datatable!$A18&amp;"!"&amp;"Q:Q"),"High Correct")</f>
        <v>4</v>
      </c>
      <c r="E23" s="11">
        <f ca="1">COUNTIF(INDIRECT("["&amp;datatable!$C$3&amp;"]"&amp;datatable!$A18&amp;"!"&amp;"Q:Q"),"Medium Correct")</f>
        <v>1</v>
      </c>
      <c r="F23" s="13">
        <f ca="1">COUNTIF(INDIRECT("["&amp;datatable!$C$3&amp;"]"&amp;datatable!$A18&amp;"!"&amp;"Q:Q"),"Low Correct")</f>
        <v>0</v>
      </c>
      <c r="G23" s="15">
        <f ca="1">COUNTIF(INDIRECT("["&amp;datatable!$C$3&amp;"]"&amp;datatable!$A18&amp;"!"&amp;"Q:Q"),"High Maybe")</f>
        <v>0</v>
      </c>
      <c r="H23" s="17">
        <f ca="1">COUNTIF(INDIRECT("["&amp;datatable!$C$3&amp;"]"&amp;datatable!$A18&amp;"!"&amp;"Q:Q"),"Medium Maybe")</f>
        <v>1</v>
      </c>
      <c r="I23" s="19">
        <f ca="1">COUNTIF(INDIRECT("["&amp;datatable!$C$3&amp;"]"&amp;datatable!$A18&amp;"!"&amp;"Q:Q"),"Low Maybe")</f>
        <v>1</v>
      </c>
      <c r="J23" s="21">
        <f ca="1">COUNTIF(INDIRECT("["&amp;datatable!$C$3&amp;"]"&amp;datatable!$A18&amp;"!"&amp;"Q:Q"),"Low Incorrect")</f>
        <v>3</v>
      </c>
      <c r="K23" s="23">
        <f ca="1">COUNTIF(INDIRECT("["&amp;datatable!$C$3&amp;"]"&amp;datatable!$A18&amp;"!"&amp;"Q:Q"),"Medium Incorrect")</f>
        <v>1</v>
      </c>
      <c r="L23" s="25">
        <f ca="1">COUNTIF(INDIRECT("["&amp;datatable!$C$3&amp;"]"&amp;datatable!$A18&amp;"!"&amp;"Q:Q"),"High Incorrect")</f>
        <v>1</v>
      </c>
      <c r="M23" s="27">
        <f ca="1">COUNTIF(INDIRECT("["&amp;datatable!$C$3&amp;"]"&amp;datatable!$A18&amp;"!"&amp;"Q:Q"),"N/A")</f>
        <v>6</v>
      </c>
      <c r="N23" s="29">
        <f t="shared" ca="1" si="0"/>
        <v>18</v>
      </c>
      <c r="O23" s="29">
        <f t="shared" ca="1" si="1"/>
        <v>12</v>
      </c>
    </row>
    <row r="24" spans="3:15">
      <c r="C24" s="5" t="s">
        <v>30</v>
      </c>
      <c r="D24" s="8">
        <f ca="1">COUNTIF(INDIRECT("["&amp;datatable!$C$3&amp;"]"&amp;datatable!$A19&amp;"!"&amp;"Q:Q"),"High Correct")</f>
        <v>8</v>
      </c>
      <c r="E24" s="11">
        <f ca="1">COUNTIF(INDIRECT("["&amp;datatable!$C$3&amp;"]"&amp;datatable!$A19&amp;"!"&amp;"Q:Q"),"Medium Correct")</f>
        <v>1</v>
      </c>
      <c r="F24" s="13">
        <f ca="1">COUNTIF(INDIRECT("["&amp;datatable!$C$3&amp;"]"&amp;datatable!$A19&amp;"!"&amp;"Q:Q"),"Low Correct")</f>
        <v>1</v>
      </c>
      <c r="G24" s="15">
        <f ca="1">COUNTIF(INDIRECT("["&amp;datatable!$C$3&amp;"]"&amp;datatable!$A19&amp;"!"&amp;"Q:Q"),"High Maybe")</f>
        <v>0</v>
      </c>
      <c r="H24" s="17">
        <f ca="1">COUNTIF(INDIRECT("["&amp;datatable!$C$3&amp;"]"&amp;datatable!$A19&amp;"!"&amp;"Q:Q"),"Medium Maybe")</f>
        <v>0</v>
      </c>
      <c r="I24" s="19">
        <f ca="1">COUNTIF(INDIRECT("["&amp;datatable!$C$3&amp;"]"&amp;datatable!$A19&amp;"!"&amp;"Q:Q"),"Low Maybe")</f>
        <v>1</v>
      </c>
      <c r="J24" s="21">
        <f ca="1">COUNTIF(INDIRECT("["&amp;datatable!$C$3&amp;"]"&amp;datatable!$A19&amp;"!"&amp;"Q:Q"),"Low Incorrect")</f>
        <v>5</v>
      </c>
      <c r="K24" s="23">
        <f ca="1">COUNTIF(INDIRECT("["&amp;datatable!$C$3&amp;"]"&amp;datatable!$A19&amp;"!"&amp;"Q:Q"),"Medium Incorrect")</f>
        <v>1</v>
      </c>
      <c r="L24" s="25">
        <f ca="1">COUNTIF(INDIRECT("["&amp;datatable!$C$3&amp;"]"&amp;datatable!$A19&amp;"!"&amp;"Q:Q"),"High Incorrect")</f>
        <v>1</v>
      </c>
      <c r="M24" s="27">
        <f ca="1">COUNTIF(INDIRECT("["&amp;datatable!$C$3&amp;"]"&amp;datatable!$A19&amp;"!"&amp;"Q:Q"),"N/A")</f>
        <v>0</v>
      </c>
      <c r="N24" s="29">
        <f t="shared" ca="1" si="0"/>
        <v>18</v>
      </c>
      <c r="O24" s="29">
        <f t="shared" ca="1" si="1"/>
        <v>18</v>
      </c>
    </row>
    <row r="25" spans="3:15">
      <c r="C25" s="5" t="s">
        <v>31</v>
      </c>
      <c r="D25" s="8">
        <f ca="1">COUNTIF(INDIRECT("["&amp;datatable!$C$3&amp;"]"&amp;datatable!$A20&amp;"!"&amp;"Q:Q"),"High Correct")</f>
        <v>6</v>
      </c>
      <c r="E25" s="11">
        <f ca="1">COUNTIF(INDIRECT("["&amp;datatable!$C$3&amp;"]"&amp;datatable!$A20&amp;"!"&amp;"Q:Q"),"Medium Correct")</f>
        <v>0</v>
      </c>
      <c r="F25" s="13">
        <f ca="1">COUNTIF(INDIRECT("["&amp;datatable!$C$3&amp;"]"&amp;datatable!$A20&amp;"!"&amp;"Q:Q"),"Low Correct")</f>
        <v>0</v>
      </c>
      <c r="G25" s="15">
        <f ca="1">COUNTIF(INDIRECT("["&amp;datatable!$C$3&amp;"]"&amp;datatable!$A20&amp;"!"&amp;"Q:Q"),"High Maybe")</f>
        <v>0</v>
      </c>
      <c r="H25" s="17">
        <f ca="1">COUNTIF(INDIRECT("["&amp;datatable!$C$3&amp;"]"&amp;datatable!$A20&amp;"!"&amp;"Q:Q"),"Medium Maybe")</f>
        <v>1</v>
      </c>
      <c r="I25" s="19">
        <f ca="1">COUNTIF(INDIRECT("["&amp;datatable!$C$3&amp;"]"&amp;datatable!$A20&amp;"!"&amp;"Q:Q"),"Low Maybe")</f>
        <v>2</v>
      </c>
      <c r="J25" s="21">
        <f ca="1">COUNTIF(INDIRECT("["&amp;datatable!$C$3&amp;"]"&amp;datatable!$A20&amp;"!"&amp;"Q:Q"),"Low Incorrect")</f>
        <v>7</v>
      </c>
      <c r="K25" s="23">
        <f ca="1">COUNTIF(INDIRECT("["&amp;datatable!$C$3&amp;"]"&amp;datatable!$A20&amp;"!"&amp;"Q:Q"),"Medium Incorrect")</f>
        <v>2</v>
      </c>
      <c r="L25" s="25">
        <f ca="1">COUNTIF(INDIRECT("["&amp;datatable!$C$3&amp;"]"&amp;datatable!$A20&amp;"!"&amp;"Q:Q"),"High Incorrect")</f>
        <v>0</v>
      </c>
      <c r="M25" s="27">
        <f ca="1">COUNTIF(INDIRECT("["&amp;datatable!$C$3&amp;"]"&amp;datatable!$A20&amp;"!"&amp;"Q:Q"),"N/A")</f>
        <v>0</v>
      </c>
      <c r="N25" s="29">
        <f t="shared" ca="1" si="0"/>
        <v>18</v>
      </c>
      <c r="O25" s="29">
        <f t="shared" ca="1" si="1"/>
        <v>18</v>
      </c>
    </row>
    <row r="26" spans="3:15">
      <c r="C26" s="5" t="s">
        <v>32</v>
      </c>
      <c r="D26" s="8">
        <f ca="1">COUNTIF(INDIRECT("["&amp;datatable!$C$3&amp;"]"&amp;datatable!$A21&amp;"!"&amp;"Q:Q"),"High Correct")</f>
        <v>1</v>
      </c>
      <c r="E26" s="11">
        <f ca="1">COUNTIF(INDIRECT("["&amp;datatable!$C$3&amp;"]"&amp;datatable!$A21&amp;"!"&amp;"Q:Q"),"Medium Correct")</f>
        <v>0</v>
      </c>
      <c r="F26" s="13">
        <f ca="1">COUNTIF(INDIRECT("["&amp;datatable!$C$3&amp;"]"&amp;datatable!$A21&amp;"!"&amp;"Q:Q"),"Low Correct")</f>
        <v>0</v>
      </c>
      <c r="G26" s="15">
        <f ca="1">COUNTIF(INDIRECT("["&amp;datatable!$C$3&amp;"]"&amp;datatable!$A21&amp;"!"&amp;"Q:Q"),"High Maybe")</f>
        <v>0</v>
      </c>
      <c r="H26" s="17">
        <f ca="1">COUNTIF(INDIRECT("["&amp;datatable!$C$3&amp;"]"&amp;datatable!$A21&amp;"!"&amp;"Q:Q"),"Medium Maybe")</f>
        <v>0</v>
      </c>
      <c r="I26" s="19">
        <f ca="1">COUNTIF(INDIRECT("["&amp;datatable!$C$3&amp;"]"&amp;datatable!$A21&amp;"!"&amp;"Q:Q"),"Low Maybe")</f>
        <v>3</v>
      </c>
      <c r="J26" s="21">
        <f ca="1">COUNTIF(INDIRECT("["&amp;datatable!$C$3&amp;"]"&amp;datatable!$A21&amp;"!"&amp;"Q:Q"),"Low Incorrect")</f>
        <v>8</v>
      </c>
      <c r="K26" s="23">
        <f ca="1">COUNTIF(INDIRECT("["&amp;datatable!$C$3&amp;"]"&amp;datatable!$A21&amp;"!"&amp;"Q:Q"),"Medium Incorrect")</f>
        <v>2</v>
      </c>
      <c r="L26" s="25">
        <f ca="1">COUNTIF(INDIRECT("["&amp;datatable!$C$3&amp;"]"&amp;datatable!$A21&amp;"!"&amp;"Q:Q"),"High Incorrect")</f>
        <v>3</v>
      </c>
      <c r="M26" s="27">
        <f ca="1">COUNTIF(INDIRECT("["&amp;datatable!$C$3&amp;"]"&amp;datatable!$A21&amp;"!"&amp;"Q:Q"),"N/A")</f>
        <v>1</v>
      </c>
      <c r="N26" s="29">
        <f t="shared" ca="1" si="0"/>
        <v>18</v>
      </c>
      <c r="O26" s="29">
        <f t="shared" ca="1" si="1"/>
        <v>17</v>
      </c>
    </row>
    <row r="27" spans="3:15">
      <c r="C27" s="5" t="s">
        <v>33</v>
      </c>
      <c r="D27" s="8">
        <f ca="1">COUNTIF(INDIRECT("["&amp;datatable!$C$3&amp;"]"&amp;datatable!$A22&amp;"!"&amp;"Q:Q"),"High Correct")</f>
        <v>4</v>
      </c>
      <c r="E27" s="11">
        <f ca="1">COUNTIF(INDIRECT("["&amp;datatable!$C$3&amp;"]"&amp;datatable!$A22&amp;"!"&amp;"Q:Q"),"Medium Correct")</f>
        <v>1</v>
      </c>
      <c r="F27" s="13">
        <f ca="1">COUNTIF(INDIRECT("["&amp;datatable!$C$3&amp;"]"&amp;datatable!$A22&amp;"!"&amp;"Q:Q"),"Low Correct")</f>
        <v>0</v>
      </c>
      <c r="G27" s="15">
        <f ca="1">COUNTIF(INDIRECT("["&amp;datatable!$C$3&amp;"]"&amp;datatable!$A22&amp;"!"&amp;"Q:Q"),"High Maybe")</f>
        <v>0</v>
      </c>
      <c r="H27" s="17">
        <f ca="1">COUNTIF(INDIRECT("["&amp;datatable!$C$3&amp;"]"&amp;datatable!$A22&amp;"!"&amp;"Q:Q"),"Medium Maybe")</f>
        <v>0</v>
      </c>
      <c r="I27" s="19">
        <f ca="1">COUNTIF(INDIRECT("["&amp;datatable!$C$3&amp;"]"&amp;datatable!$A22&amp;"!"&amp;"Q:Q"),"Low Maybe")</f>
        <v>0</v>
      </c>
      <c r="J27" s="21">
        <f ca="1">COUNTIF(INDIRECT("["&amp;datatable!$C$3&amp;"]"&amp;datatable!$A22&amp;"!"&amp;"Q:Q"),"Low Incorrect")</f>
        <v>3</v>
      </c>
      <c r="K27" s="23">
        <f ca="1">COUNTIF(INDIRECT("["&amp;datatable!$C$3&amp;"]"&amp;datatable!$A22&amp;"!"&amp;"Q:Q"),"Medium Incorrect")</f>
        <v>1</v>
      </c>
      <c r="L27" s="25">
        <f ca="1">COUNTIF(INDIRECT("["&amp;datatable!$C$3&amp;"]"&amp;datatable!$A22&amp;"!"&amp;"Q:Q"),"High Incorrect")</f>
        <v>0</v>
      </c>
      <c r="M27" s="27">
        <f ca="1">COUNTIF(INDIRECT("["&amp;datatable!$C$3&amp;"]"&amp;datatable!$A22&amp;"!"&amp;"Q:Q"),"N/A")</f>
        <v>9</v>
      </c>
      <c r="N27" s="29">
        <f t="shared" ca="1" si="0"/>
        <v>18</v>
      </c>
      <c r="O27" s="29">
        <f t="shared" ca="1" si="1"/>
        <v>9</v>
      </c>
    </row>
    <row r="28" spans="3:15">
      <c r="C28" s="6" t="s">
        <v>34</v>
      </c>
      <c r="D28" s="9">
        <f t="shared" ref="D28:M28" ca="1" si="2">SUM(D7:D27)</f>
        <v>120</v>
      </c>
      <c r="E28" s="9">
        <f t="shared" ca="1" si="2"/>
        <v>18</v>
      </c>
      <c r="F28" s="9">
        <f t="shared" ca="1" si="2"/>
        <v>5</v>
      </c>
      <c r="G28" s="9">
        <f t="shared" ca="1" si="2"/>
        <v>4</v>
      </c>
      <c r="H28" s="9">
        <f t="shared" ca="1" si="2"/>
        <v>4</v>
      </c>
      <c r="I28" s="9">
        <f t="shared" ca="1" si="2"/>
        <v>20</v>
      </c>
      <c r="J28" s="9">
        <f t="shared" ca="1" si="2"/>
        <v>92</v>
      </c>
      <c r="K28" s="9">
        <f t="shared" ca="1" si="2"/>
        <v>54</v>
      </c>
      <c r="L28" s="9">
        <f t="shared" ca="1" si="2"/>
        <v>35</v>
      </c>
      <c r="M28" s="9">
        <f t="shared" ca="1" si="2"/>
        <v>26</v>
      </c>
      <c r="N28" s="29">
        <f t="shared" ca="1" si="0"/>
        <v>378</v>
      </c>
      <c r="O28" s="29">
        <f t="shared" ca="1" si="1"/>
        <v>352</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f ca="1">COUNTIF(INDIRECT("["&amp;datatable!$C$3&amp;"]"&amp;datatable!$B2&amp;"!"&amp;"Q:Q"),"High Correct")</f>
        <v>10</v>
      </c>
      <c r="E32" s="11">
        <f ca="1">COUNTIF(INDIRECT("["&amp;datatable!$C$3&amp;"]"&amp;datatable!$B2&amp;"!"&amp;"Q:Q"),"Medium Correct")</f>
        <v>1</v>
      </c>
      <c r="F32" s="13">
        <f ca="1">COUNTIF(INDIRECT("["&amp;datatable!$C$3&amp;"]"&amp;datatable!$B2&amp;"!"&amp;"Q:Q"),"Low Correct")</f>
        <v>0</v>
      </c>
      <c r="G32" s="15">
        <f ca="1">COUNTIF(INDIRECT("["&amp;datatable!$C$3&amp;"]"&amp;datatable!$B2&amp;"!"&amp;"Q:Q"),"High Maybe")</f>
        <v>0</v>
      </c>
      <c r="H32" s="17">
        <f ca="1">COUNTIF(INDIRECT("["&amp;datatable!$C$3&amp;"]"&amp;datatable!$B2&amp;"!"&amp;"Q:Q"),"Medium Maybe")</f>
        <v>0</v>
      </c>
      <c r="I32" s="19">
        <f ca="1">COUNTIF(INDIRECT("["&amp;datatable!$C$3&amp;"]"&amp;datatable!$B2&amp;"!"&amp;"Q:Q"),"Low Maybe")</f>
        <v>1</v>
      </c>
      <c r="J32" s="21">
        <f ca="1">COUNTIF(INDIRECT("["&amp;datatable!$C$3&amp;"]"&amp;datatable!$B2&amp;"!"&amp;"Q:Q"),"Low Incorrect")</f>
        <v>5</v>
      </c>
      <c r="K32" s="23">
        <f ca="1">COUNTIF(INDIRECT("["&amp;datatable!$C$3&amp;"]"&amp;datatable!$B2&amp;"!"&amp;"Q:Q"),"Medium Incorrect")</f>
        <v>1</v>
      </c>
      <c r="L32" s="25">
        <f ca="1">COUNTIF(INDIRECT("["&amp;datatable!$C$3&amp;"]"&amp;datatable!$B2&amp;"!"&amp;"Q:Q"),"High Incorrect")</f>
        <v>0</v>
      </c>
      <c r="M32" s="27">
        <f ca="1">COUNTIF(INDIRECT("["&amp;datatable!$C$3&amp;"]"&amp;datatable!$B2&amp;"!"&amp;"Q:Q"),"N/A")</f>
        <v>3</v>
      </c>
      <c r="N32" s="43">
        <f t="shared" ref="N32:N47" ca="1" si="3">SUM(D32:M32)</f>
        <v>21</v>
      </c>
      <c r="O32" s="43">
        <f t="shared" ref="O32:O47" ca="1" si="4">SUM(D32:L32)</f>
        <v>18</v>
      </c>
    </row>
    <row r="33" spans="3:15">
      <c r="C33" s="44" t="s">
        <v>38</v>
      </c>
      <c r="D33" s="8">
        <f ca="1">COUNTIF(INDIRECT("["&amp;datatable!$C$3&amp;"]"&amp;datatable!$B3&amp;"!"&amp;"Q:Q"),"High Correct")</f>
        <v>10</v>
      </c>
      <c r="E33" s="11">
        <f ca="1">COUNTIF(INDIRECT("["&amp;datatable!$C$3&amp;"]"&amp;datatable!$B3&amp;"!"&amp;"Q:Q"),"Medium Correct")</f>
        <v>2</v>
      </c>
      <c r="F33" s="13">
        <f ca="1">COUNTIF(INDIRECT("["&amp;datatable!$C$3&amp;"]"&amp;datatable!$B3&amp;"!"&amp;"Q:Q"),"Low Correct")</f>
        <v>0</v>
      </c>
      <c r="G33" s="15">
        <f ca="1">COUNTIF(INDIRECT("["&amp;datatable!$C$3&amp;"]"&amp;datatable!$B3&amp;"!"&amp;"Q:Q"),"High Maybe")</f>
        <v>1</v>
      </c>
      <c r="H33" s="17">
        <f ca="1">COUNTIF(INDIRECT("["&amp;datatable!$C$3&amp;"]"&amp;datatable!$B3&amp;"!"&amp;"Q:Q"),"Medium Maybe")</f>
        <v>0</v>
      </c>
      <c r="I33" s="19">
        <f ca="1">COUNTIF(INDIRECT("["&amp;datatable!$C$3&amp;"]"&amp;datatable!$B3&amp;"!"&amp;"Q:Q"),"Low Maybe")</f>
        <v>0</v>
      </c>
      <c r="J33" s="21">
        <f ca="1">COUNTIF(INDIRECT("["&amp;datatable!$C$3&amp;"]"&amp;datatable!$B3&amp;"!"&amp;"Q:Q"),"Low Incorrect")</f>
        <v>4</v>
      </c>
      <c r="K33" s="23">
        <f ca="1">COUNTIF(INDIRECT("["&amp;datatable!$C$3&amp;"]"&amp;datatable!$B3&amp;"!"&amp;"Q:Q"),"Medium Incorrect")</f>
        <v>3</v>
      </c>
      <c r="L33" s="25">
        <f ca="1">COUNTIF(INDIRECT("["&amp;datatable!$C$3&amp;"]"&amp;datatable!$B3&amp;"!"&amp;"Q:Q"),"High Incorrect")</f>
        <v>1</v>
      </c>
      <c r="M33" s="27">
        <f ca="1">COUNTIF(INDIRECT("["&amp;datatable!$C$3&amp;"]"&amp;datatable!$B3&amp;"!"&amp;"Q:Q"),"N/A")</f>
        <v>0</v>
      </c>
      <c r="N33" s="43">
        <f t="shared" ca="1" si="3"/>
        <v>21</v>
      </c>
      <c r="O33" s="43">
        <f t="shared" ca="1" si="4"/>
        <v>21</v>
      </c>
    </row>
    <row r="34" spans="3:15">
      <c r="C34" s="44" t="s">
        <v>39</v>
      </c>
      <c r="D34" s="8">
        <f ca="1">COUNTIF(INDIRECT("["&amp;datatable!$C$3&amp;"]"&amp;datatable!$B4&amp;"!"&amp;"Q:Q"),"High Correct")</f>
        <v>14</v>
      </c>
      <c r="E34" s="11">
        <f ca="1">COUNTIF(INDIRECT("["&amp;datatable!$C$3&amp;"]"&amp;datatable!$B4&amp;"!"&amp;"Q:Q"),"Medium Correct")</f>
        <v>1</v>
      </c>
      <c r="F34" s="13">
        <f ca="1">COUNTIF(INDIRECT("["&amp;datatable!$C$3&amp;"]"&amp;datatable!$B4&amp;"!"&amp;"Q:Q"),"Low Correct")</f>
        <v>0</v>
      </c>
      <c r="G34" s="15">
        <f ca="1">COUNTIF(INDIRECT("["&amp;datatable!$C$3&amp;"]"&amp;datatable!$B4&amp;"!"&amp;"Q:Q"),"High Maybe")</f>
        <v>0</v>
      </c>
      <c r="H34" s="17">
        <f ca="1">COUNTIF(INDIRECT("["&amp;datatable!$C$3&amp;"]"&amp;datatable!$B4&amp;"!"&amp;"Q:Q"),"Medium Maybe")</f>
        <v>0</v>
      </c>
      <c r="I34" s="19">
        <f ca="1">COUNTIF(INDIRECT("["&amp;datatable!$C$3&amp;"]"&amp;datatable!$B4&amp;"!"&amp;"Q:Q"),"Low Maybe")</f>
        <v>0</v>
      </c>
      <c r="J34" s="21">
        <f ca="1">COUNTIF(INDIRECT("["&amp;datatable!$C$3&amp;"]"&amp;datatable!$B4&amp;"!"&amp;"Q:Q"),"Low Incorrect")</f>
        <v>2</v>
      </c>
      <c r="K34" s="23">
        <f ca="1">COUNTIF(INDIRECT("["&amp;datatable!$C$3&amp;"]"&amp;datatable!$B4&amp;"!"&amp;"Q:Q"),"Medium Incorrect")</f>
        <v>1</v>
      </c>
      <c r="L34" s="25">
        <f ca="1">COUNTIF(INDIRECT("["&amp;datatable!$C$3&amp;"]"&amp;datatable!$B4&amp;"!"&amp;"Q:Q"),"High Incorrect")</f>
        <v>1</v>
      </c>
      <c r="M34" s="27">
        <f ca="1">COUNTIF(INDIRECT("["&amp;datatable!$C$3&amp;"]"&amp;datatable!$B4&amp;"!"&amp;"Q:Q"),"N/A")</f>
        <v>2</v>
      </c>
      <c r="N34" s="43">
        <f t="shared" ca="1" si="3"/>
        <v>21</v>
      </c>
      <c r="O34" s="43">
        <f t="shared" ca="1" si="4"/>
        <v>19</v>
      </c>
    </row>
    <row r="35" spans="3:15">
      <c r="C35" s="44" t="s">
        <v>40</v>
      </c>
      <c r="D35" s="8">
        <f ca="1">COUNTIF(INDIRECT("["&amp;datatable!$C$3&amp;"]"&amp;datatable!$B5&amp;"!"&amp;"Q:Q"),"High Correct")</f>
        <v>8</v>
      </c>
      <c r="E35" s="11">
        <f ca="1">COUNTIF(INDIRECT("["&amp;datatable!$C$3&amp;"]"&amp;datatable!$B5&amp;"!"&amp;"Q:Q"),"Medium Correct")</f>
        <v>1</v>
      </c>
      <c r="F35" s="13">
        <f ca="1">COUNTIF(INDIRECT("["&amp;datatable!$C$3&amp;"]"&amp;datatable!$B5&amp;"!"&amp;"Q:Q"),"Low Correct")</f>
        <v>0</v>
      </c>
      <c r="G35" s="15">
        <f ca="1">COUNTIF(INDIRECT("["&amp;datatable!$C$3&amp;"]"&amp;datatable!$B5&amp;"!"&amp;"Q:Q"),"High Maybe")</f>
        <v>0</v>
      </c>
      <c r="H35" s="17">
        <f ca="1">COUNTIF(INDIRECT("["&amp;datatable!$C$3&amp;"]"&amp;datatable!$B5&amp;"!"&amp;"Q:Q"),"Medium Maybe")</f>
        <v>1</v>
      </c>
      <c r="I35" s="19">
        <f ca="1">COUNTIF(INDIRECT("["&amp;datatable!$C$3&amp;"]"&amp;datatable!$B5&amp;"!"&amp;"Q:Q"),"Low Maybe")</f>
        <v>3</v>
      </c>
      <c r="J35" s="21">
        <f ca="1">COUNTIF(INDIRECT("["&amp;datatable!$C$3&amp;"]"&amp;datatable!$B5&amp;"!"&amp;"Q:Q"),"Low Incorrect")</f>
        <v>4</v>
      </c>
      <c r="K35" s="23">
        <f ca="1">COUNTIF(INDIRECT("["&amp;datatable!$C$3&amp;"]"&amp;datatable!$B5&amp;"!"&amp;"Q:Q"),"Medium Incorrect")</f>
        <v>4</v>
      </c>
      <c r="L35" s="25">
        <f ca="1">COUNTIF(INDIRECT("["&amp;datatable!$C$3&amp;"]"&amp;datatable!$B5&amp;"!"&amp;"Q:Q"),"High Incorrect")</f>
        <v>0</v>
      </c>
      <c r="M35" s="27">
        <f ca="1">COUNTIF(INDIRECT("["&amp;datatable!$C$3&amp;"]"&amp;datatable!$B5&amp;"!"&amp;"Q:Q"),"N/A")</f>
        <v>0</v>
      </c>
      <c r="N35" s="43">
        <f t="shared" ca="1" si="3"/>
        <v>21</v>
      </c>
      <c r="O35" s="43">
        <f t="shared" ca="1" si="4"/>
        <v>21</v>
      </c>
    </row>
    <row r="36" spans="3:15">
      <c r="C36" s="44" t="s">
        <v>41</v>
      </c>
      <c r="D36" s="8">
        <f ca="1">COUNTIF(INDIRECT("["&amp;datatable!$C$3&amp;"]"&amp;datatable!$B6&amp;"!"&amp;"Q:Q"),"High Correct")</f>
        <v>1</v>
      </c>
      <c r="E36" s="11">
        <f ca="1">COUNTIF(INDIRECT("["&amp;datatable!$C$3&amp;"]"&amp;datatable!$B6&amp;"!"&amp;"Q:Q"),"Medium Correct")</f>
        <v>0</v>
      </c>
      <c r="F36" s="13">
        <f ca="1">COUNTIF(INDIRECT("["&amp;datatable!$C$3&amp;"]"&amp;datatable!$B6&amp;"!"&amp;"Q:Q"),"Low Correct")</f>
        <v>0</v>
      </c>
      <c r="G36" s="15">
        <f ca="1">COUNTIF(INDIRECT("["&amp;datatable!$C$3&amp;"]"&amp;datatable!$B6&amp;"!"&amp;"Q:Q"),"High Maybe")</f>
        <v>0</v>
      </c>
      <c r="H36" s="17">
        <f ca="1">COUNTIF(INDIRECT("["&amp;datatable!$C$3&amp;"]"&amp;datatable!$B6&amp;"!"&amp;"Q:Q"),"Medium Maybe")</f>
        <v>0</v>
      </c>
      <c r="I36" s="19">
        <f ca="1">COUNTIF(INDIRECT("["&amp;datatable!$C$3&amp;"]"&amp;datatable!$B6&amp;"!"&amp;"Q:Q"),"Low Maybe")</f>
        <v>2</v>
      </c>
      <c r="J36" s="21">
        <f ca="1">COUNTIF(INDIRECT("["&amp;datatable!$C$3&amp;"]"&amp;datatable!$B6&amp;"!"&amp;"Q:Q"),"Low Incorrect")</f>
        <v>8</v>
      </c>
      <c r="K36" s="23">
        <f ca="1">COUNTIF(INDIRECT("["&amp;datatable!$C$3&amp;"]"&amp;datatable!$B6&amp;"!"&amp;"Q:Q"),"Medium Incorrect")</f>
        <v>8</v>
      </c>
      <c r="L36" s="25">
        <f ca="1">COUNTIF(INDIRECT("["&amp;datatable!$C$3&amp;"]"&amp;datatable!$B6&amp;"!"&amp;"Q:Q"),"High Incorrect")</f>
        <v>1</v>
      </c>
      <c r="M36" s="27">
        <f ca="1">COUNTIF(INDIRECT("["&amp;datatable!$C$3&amp;"]"&amp;datatable!$B6&amp;"!"&amp;"Q:Q"),"N/A")</f>
        <v>1</v>
      </c>
      <c r="N36" s="43">
        <f t="shared" ca="1" si="3"/>
        <v>21</v>
      </c>
      <c r="O36" s="43">
        <f t="shared" ca="1" si="4"/>
        <v>20</v>
      </c>
    </row>
    <row r="37" spans="3:15">
      <c r="C37" s="44" t="s">
        <v>42</v>
      </c>
      <c r="D37" s="8">
        <f ca="1">COUNTIF(INDIRECT("["&amp;datatable!$C$3&amp;"]"&amp;datatable!$B7&amp;"!"&amp;"Q:Q"),"High Correct")</f>
        <v>8</v>
      </c>
      <c r="E37" s="11">
        <f ca="1">COUNTIF(INDIRECT("["&amp;datatable!$C$3&amp;"]"&amp;datatable!$B7&amp;"!"&amp;"Q:Q"),"Medium Correct")</f>
        <v>2</v>
      </c>
      <c r="F37" s="13">
        <f ca="1">COUNTIF(INDIRECT("["&amp;datatable!$C$3&amp;"]"&amp;datatable!$B7&amp;"!"&amp;"Q:Q"),"Low Correct")</f>
        <v>0</v>
      </c>
      <c r="G37" s="15">
        <f ca="1">COUNTIF(INDIRECT("["&amp;datatable!$C$3&amp;"]"&amp;datatable!$B7&amp;"!"&amp;"Q:Q"),"High Maybe")</f>
        <v>0</v>
      </c>
      <c r="H37" s="17">
        <f ca="1">COUNTIF(INDIRECT("["&amp;datatable!$C$3&amp;"]"&amp;datatable!$B7&amp;"!"&amp;"Q:Q"),"Medium Maybe")</f>
        <v>0</v>
      </c>
      <c r="I37" s="19">
        <f ca="1">COUNTIF(INDIRECT("["&amp;datatable!$C$3&amp;"]"&amp;datatable!$B7&amp;"!"&amp;"Q:Q"),"Low Maybe")</f>
        <v>1</v>
      </c>
      <c r="J37" s="21">
        <f ca="1">COUNTIF(INDIRECT("["&amp;datatable!$C$3&amp;"]"&amp;datatable!$B7&amp;"!"&amp;"Q:Q"),"Low Incorrect")</f>
        <v>0</v>
      </c>
      <c r="K37" s="23">
        <f ca="1">COUNTIF(INDIRECT("["&amp;datatable!$C$3&amp;"]"&amp;datatable!$B7&amp;"!"&amp;"Q:Q"),"Medium Incorrect")</f>
        <v>0</v>
      </c>
      <c r="L37" s="25">
        <f ca="1">COUNTIF(INDIRECT("["&amp;datatable!$C$3&amp;"]"&amp;datatable!$B7&amp;"!"&amp;"Q:Q"),"High Incorrect")</f>
        <v>1</v>
      </c>
      <c r="M37" s="27">
        <f ca="1">COUNTIF(INDIRECT("["&amp;datatable!$C$3&amp;"]"&amp;datatable!$B7&amp;"!"&amp;"Q:Q"),"N/A")</f>
        <v>9</v>
      </c>
      <c r="N37" s="43">
        <f t="shared" ca="1" si="3"/>
        <v>21</v>
      </c>
      <c r="O37" s="43">
        <f t="shared" ca="1" si="4"/>
        <v>12</v>
      </c>
    </row>
    <row r="38" spans="3:15">
      <c r="C38" s="44" t="s">
        <v>43</v>
      </c>
      <c r="D38" s="8">
        <f ca="1">COUNTIF(INDIRECT("["&amp;datatable!$C$3&amp;"]"&amp;datatable!$B8&amp;"!"&amp;"Q:Q"),"High Correct")</f>
        <v>13</v>
      </c>
      <c r="E38" s="11">
        <f ca="1">COUNTIF(INDIRECT("["&amp;datatable!$C$3&amp;"]"&amp;datatable!$B8&amp;"!"&amp;"Q:Q"),"Medium Correct")</f>
        <v>2</v>
      </c>
      <c r="F38" s="13">
        <f ca="1">COUNTIF(INDIRECT("["&amp;datatable!$C$3&amp;"]"&amp;datatable!$B8&amp;"!"&amp;"Q:Q"),"Low Correct")</f>
        <v>0</v>
      </c>
      <c r="G38" s="15">
        <f ca="1">COUNTIF(INDIRECT("["&amp;datatable!$C$3&amp;"]"&amp;datatable!$B8&amp;"!"&amp;"Q:Q"),"High Maybe")</f>
        <v>0</v>
      </c>
      <c r="H38" s="17">
        <f ca="1">COUNTIF(INDIRECT("["&amp;datatable!$C$3&amp;"]"&amp;datatable!$B8&amp;"!"&amp;"Q:Q"),"Medium Maybe")</f>
        <v>0</v>
      </c>
      <c r="I38" s="19">
        <f ca="1">COUNTIF(INDIRECT("["&amp;datatable!$C$3&amp;"]"&amp;datatable!$B8&amp;"!"&amp;"Q:Q"),"Low Maybe")</f>
        <v>1</v>
      </c>
      <c r="J38" s="21">
        <f ca="1">COUNTIF(INDIRECT("["&amp;datatable!$C$3&amp;"]"&amp;datatable!$B8&amp;"!"&amp;"Q:Q"),"Low Incorrect")</f>
        <v>2</v>
      </c>
      <c r="K38" s="23">
        <f ca="1">COUNTIF(INDIRECT("["&amp;datatable!$C$3&amp;"]"&amp;datatable!$B8&amp;"!"&amp;"Q:Q"),"Medium Incorrect")</f>
        <v>0</v>
      </c>
      <c r="L38" s="25">
        <f ca="1">COUNTIF(INDIRECT("["&amp;datatable!$C$3&amp;"]"&amp;datatable!$B8&amp;"!"&amp;"Q:Q"),"High Incorrect")</f>
        <v>1</v>
      </c>
      <c r="M38" s="27">
        <f ca="1">COUNTIF(INDIRECT("["&amp;datatable!$C$3&amp;"]"&amp;datatable!$B8&amp;"!"&amp;"Q:Q"),"N/A")</f>
        <v>2</v>
      </c>
      <c r="N38" s="43">
        <f t="shared" ca="1" si="3"/>
        <v>21</v>
      </c>
      <c r="O38" s="43">
        <f t="shared" ca="1" si="4"/>
        <v>19</v>
      </c>
    </row>
    <row r="39" spans="3:15">
      <c r="C39" s="44" t="s">
        <v>44</v>
      </c>
      <c r="D39" s="8">
        <f ca="1">COUNTIF(INDIRECT("["&amp;datatable!$C$3&amp;"]"&amp;datatable!$B9&amp;"!"&amp;"Q:Q"),"High Correct")</f>
        <v>11</v>
      </c>
      <c r="E39" s="11">
        <f ca="1">COUNTIF(INDIRECT("["&amp;datatable!$C$3&amp;"]"&amp;datatable!$B9&amp;"!"&amp;"Q:Q"),"Medium Correct")</f>
        <v>1</v>
      </c>
      <c r="F39" s="13">
        <f ca="1">COUNTIF(INDIRECT("["&amp;datatable!$C$3&amp;"]"&amp;datatable!$B9&amp;"!"&amp;"Q:Q"),"Low Correct")</f>
        <v>0</v>
      </c>
      <c r="G39" s="15">
        <f ca="1">COUNTIF(INDIRECT("["&amp;datatable!$C$3&amp;"]"&amp;datatable!$B9&amp;"!"&amp;"Q:Q"),"High Maybe")</f>
        <v>0</v>
      </c>
      <c r="H39" s="17">
        <f ca="1">COUNTIF(INDIRECT("["&amp;datatable!$C$3&amp;"]"&amp;datatable!$B9&amp;"!"&amp;"Q:Q"),"Medium Maybe")</f>
        <v>1</v>
      </c>
      <c r="I39" s="19">
        <f ca="1">COUNTIF(INDIRECT("["&amp;datatable!$C$3&amp;"]"&amp;datatable!$B9&amp;"!"&amp;"Q:Q"),"Low Maybe")</f>
        <v>0</v>
      </c>
      <c r="J39" s="21">
        <f ca="1">COUNTIF(INDIRECT("["&amp;datatable!$C$3&amp;"]"&amp;datatable!$B9&amp;"!"&amp;"Q:Q"),"Low Incorrect")</f>
        <v>3</v>
      </c>
      <c r="K39" s="23">
        <f ca="1">COUNTIF(INDIRECT("["&amp;datatable!$C$3&amp;"]"&amp;datatable!$B9&amp;"!"&amp;"Q:Q"),"Medium Incorrect")</f>
        <v>3</v>
      </c>
      <c r="L39" s="25">
        <f ca="1">COUNTIF(INDIRECT("["&amp;datatable!$C$3&amp;"]"&amp;datatable!$B9&amp;"!"&amp;"Q:Q"),"High Incorrect")</f>
        <v>1</v>
      </c>
      <c r="M39" s="27">
        <f ca="1">COUNTIF(INDIRECT("["&amp;datatable!$C$3&amp;"]"&amp;datatable!$B9&amp;"!"&amp;"Q:Q"),"N/A")</f>
        <v>1</v>
      </c>
      <c r="N39" s="43">
        <f t="shared" ca="1" si="3"/>
        <v>21</v>
      </c>
      <c r="O39" s="43">
        <f t="shared" ca="1" si="4"/>
        <v>20</v>
      </c>
    </row>
    <row r="40" spans="3:15">
      <c r="C40" s="44" t="s">
        <v>45</v>
      </c>
      <c r="D40" s="8">
        <f ca="1">COUNTIF(INDIRECT("["&amp;datatable!$C$3&amp;"]"&amp;datatable!$B10&amp;"!"&amp;"Q:Q"),"High Correct")</f>
        <v>2</v>
      </c>
      <c r="E40" s="11">
        <f ca="1">COUNTIF(INDIRECT("["&amp;datatable!$C$3&amp;"]"&amp;datatable!$B10&amp;"!"&amp;"Q:Q"),"Medium Correct")</f>
        <v>1</v>
      </c>
      <c r="F40" s="13">
        <f ca="1">COUNTIF(INDIRECT("["&amp;datatable!$C$3&amp;"]"&amp;datatable!$B10&amp;"!"&amp;"Q:Q"),"Low Correct")</f>
        <v>0</v>
      </c>
      <c r="G40" s="15">
        <f ca="1">COUNTIF(INDIRECT("["&amp;datatable!$C$3&amp;"]"&amp;datatable!$B10&amp;"!"&amp;"Q:Q"),"High Maybe")</f>
        <v>0</v>
      </c>
      <c r="H40" s="17">
        <f ca="1">COUNTIF(INDIRECT("["&amp;datatable!$C$3&amp;"]"&amp;datatable!$B10&amp;"!"&amp;"Q:Q"),"Medium Maybe")</f>
        <v>0</v>
      </c>
      <c r="I40" s="19">
        <f ca="1">COUNTIF(INDIRECT("["&amp;datatable!$C$3&amp;"]"&amp;datatable!$B10&amp;"!"&amp;"Q:Q"),"Low Maybe")</f>
        <v>0</v>
      </c>
      <c r="J40" s="21">
        <f ca="1">COUNTIF(INDIRECT("["&amp;datatable!$C$3&amp;"]"&amp;datatable!$B10&amp;"!"&amp;"Q:Q"),"Low Incorrect")</f>
        <v>9</v>
      </c>
      <c r="K40" s="23">
        <f ca="1">COUNTIF(INDIRECT("["&amp;datatable!$C$3&amp;"]"&amp;datatable!$B10&amp;"!"&amp;"Q:Q"),"Medium Incorrect")</f>
        <v>4</v>
      </c>
      <c r="L40" s="25">
        <f ca="1">COUNTIF(INDIRECT("["&amp;datatable!$C$3&amp;"]"&amp;datatable!$B10&amp;"!"&amp;"Q:Q"),"High Incorrect")</f>
        <v>3</v>
      </c>
      <c r="M40" s="27">
        <f ca="1">COUNTIF(INDIRECT("["&amp;datatable!$C$3&amp;"]"&amp;datatable!$B10&amp;"!"&amp;"Q:Q"),"N/A")</f>
        <v>2</v>
      </c>
      <c r="N40" s="43">
        <f t="shared" ca="1" si="3"/>
        <v>21</v>
      </c>
      <c r="O40" s="43">
        <f t="shared" ca="1" si="4"/>
        <v>19</v>
      </c>
    </row>
    <row r="41" spans="3:15">
      <c r="C41" s="44" t="s">
        <v>46</v>
      </c>
      <c r="D41" s="8">
        <f ca="1">COUNTIF(INDIRECT("["&amp;datatable!$C$3&amp;"]"&amp;datatable!$B11&amp;"!"&amp;"Q:Q"),"High Correct")</f>
        <v>4</v>
      </c>
      <c r="E41" s="11">
        <f ca="1">COUNTIF(INDIRECT("["&amp;datatable!$C$3&amp;"]"&amp;datatable!$B11&amp;"!"&amp;"Q:Q"),"Medium Correct")</f>
        <v>0</v>
      </c>
      <c r="F41" s="13">
        <f ca="1">COUNTIF(INDIRECT("["&amp;datatable!$C$3&amp;"]"&amp;datatable!$B11&amp;"!"&amp;"Q:Q"),"Low Correct")</f>
        <v>0</v>
      </c>
      <c r="G41" s="15">
        <f ca="1">COUNTIF(INDIRECT("["&amp;datatable!$C$3&amp;"]"&amp;datatable!$B11&amp;"!"&amp;"Q:Q"),"High Maybe")</f>
        <v>0</v>
      </c>
      <c r="H41" s="17">
        <f ca="1">COUNTIF(INDIRECT("["&amp;datatable!$C$3&amp;"]"&amp;datatable!$B11&amp;"!"&amp;"Q:Q"),"Medium Maybe")</f>
        <v>0</v>
      </c>
      <c r="I41" s="19">
        <f ca="1">COUNTIF(INDIRECT("["&amp;datatable!$C$3&amp;"]"&amp;datatable!$B11&amp;"!"&amp;"Q:Q"),"Low Maybe")</f>
        <v>1</v>
      </c>
      <c r="J41" s="21">
        <f ca="1">COUNTIF(INDIRECT("["&amp;datatable!$C$3&amp;"]"&amp;datatable!$B11&amp;"!"&amp;"Q:Q"),"Low Incorrect")</f>
        <v>6</v>
      </c>
      <c r="K41" s="23">
        <f ca="1">COUNTIF(INDIRECT("["&amp;datatable!$C$3&amp;"]"&amp;datatable!$B11&amp;"!"&amp;"Q:Q"),"Medium Incorrect")</f>
        <v>8</v>
      </c>
      <c r="L41" s="25">
        <f ca="1">COUNTIF(INDIRECT("["&amp;datatable!$C$3&amp;"]"&amp;datatable!$B11&amp;"!"&amp;"Q:Q"),"High Incorrect")</f>
        <v>2</v>
      </c>
      <c r="M41" s="27">
        <f ca="1">COUNTIF(INDIRECT("["&amp;datatable!$C$3&amp;"]"&amp;datatable!$B11&amp;"!"&amp;"Q:Q"),"N/A")</f>
        <v>0</v>
      </c>
      <c r="N41" s="43">
        <f t="shared" ca="1" si="3"/>
        <v>21</v>
      </c>
      <c r="O41" s="43">
        <f t="shared" ca="1" si="4"/>
        <v>21</v>
      </c>
    </row>
    <row r="42" spans="3:15">
      <c r="C42" s="44" t="s">
        <v>47</v>
      </c>
      <c r="D42" s="8">
        <f ca="1">COUNTIF(INDIRECT("["&amp;datatable!$C$3&amp;"]"&amp;datatable!$B12&amp;"!"&amp;"Q:Q"),"High Correct")</f>
        <v>2</v>
      </c>
      <c r="E42" s="11">
        <f ca="1">COUNTIF(INDIRECT("["&amp;datatable!$C$3&amp;"]"&amp;datatable!$B12&amp;"!"&amp;"Q:Q"),"Medium Correct")</f>
        <v>1</v>
      </c>
      <c r="F42" s="13">
        <f ca="1">COUNTIF(INDIRECT("["&amp;datatable!$C$3&amp;"]"&amp;datatable!$B12&amp;"!"&amp;"Q:Q"),"Low Correct")</f>
        <v>0</v>
      </c>
      <c r="G42" s="15">
        <f ca="1">COUNTIF(INDIRECT("["&amp;datatable!$C$3&amp;"]"&amp;datatable!$B12&amp;"!"&amp;"Q:Q"),"High Maybe")</f>
        <v>0</v>
      </c>
      <c r="H42" s="17">
        <f ca="1">COUNTIF(INDIRECT("["&amp;datatable!$C$3&amp;"]"&amp;datatable!$B12&amp;"!"&amp;"Q:Q"),"Medium Maybe")</f>
        <v>0</v>
      </c>
      <c r="I42" s="19">
        <f ca="1">COUNTIF(INDIRECT("["&amp;datatable!$C$3&amp;"]"&amp;datatable!$B12&amp;"!"&amp;"Q:Q"),"Low Maybe")</f>
        <v>2</v>
      </c>
      <c r="J42" s="21">
        <f ca="1">COUNTIF(INDIRECT("["&amp;datatable!$C$3&amp;"]"&amp;datatable!$B12&amp;"!"&amp;"Q:Q"),"Low Incorrect")</f>
        <v>10</v>
      </c>
      <c r="K42" s="23">
        <f ca="1">COUNTIF(INDIRECT("["&amp;datatable!$C$3&amp;"]"&amp;datatable!$B12&amp;"!"&amp;"Q:Q"),"Medium Incorrect")</f>
        <v>5</v>
      </c>
      <c r="L42" s="25">
        <f ca="1">COUNTIF(INDIRECT("["&amp;datatable!$C$3&amp;"]"&amp;datatable!$B12&amp;"!"&amp;"Q:Q"),"High Incorrect")</f>
        <v>1</v>
      </c>
      <c r="M42" s="27">
        <f ca="1">COUNTIF(INDIRECT("["&amp;datatable!$C$3&amp;"]"&amp;datatable!$B12&amp;"!"&amp;"Q:Q"),"N/A")</f>
        <v>0</v>
      </c>
      <c r="N42" s="43">
        <f t="shared" ca="1" si="3"/>
        <v>21</v>
      </c>
      <c r="O42" s="43">
        <f t="shared" ca="1" si="4"/>
        <v>21</v>
      </c>
    </row>
    <row r="43" spans="3:15">
      <c r="C43" s="44" t="s">
        <v>48</v>
      </c>
      <c r="D43" s="8">
        <f ca="1">COUNTIF(INDIRECT("["&amp;datatable!$C$3&amp;"]"&amp;datatable!$B13&amp;"!"&amp;"Q:Q"),"High Correct")</f>
        <v>18</v>
      </c>
      <c r="E43" s="11">
        <f ca="1">COUNTIF(INDIRECT("["&amp;datatable!$C$3&amp;"]"&amp;datatable!$B13&amp;"!"&amp;"Q:Q"),"Medium Correct")</f>
        <v>2</v>
      </c>
      <c r="F43" s="13">
        <f ca="1">COUNTIF(INDIRECT("["&amp;datatable!$C$3&amp;"]"&amp;datatable!$B13&amp;"!"&amp;"Q:Q"),"Low Correct")</f>
        <v>0</v>
      </c>
      <c r="G43" s="15">
        <f ca="1">COUNTIF(INDIRECT("["&amp;datatable!$C$3&amp;"]"&amp;datatable!$B13&amp;"!"&amp;"Q:Q"),"High Maybe")</f>
        <v>0</v>
      </c>
      <c r="H43" s="17">
        <f ca="1">COUNTIF(INDIRECT("["&amp;datatable!$C$3&amp;"]"&amp;datatable!$B13&amp;"!"&amp;"Q:Q"),"Medium Maybe")</f>
        <v>0</v>
      </c>
      <c r="I43" s="19">
        <f ca="1">COUNTIF(INDIRECT("["&amp;datatable!$C$3&amp;"]"&amp;datatable!$B13&amp;"!"&amp;"Q:Q"),"Low Maybe")</f>
        <v>0</v>
      </c>
      <c r="J43" s="21">
        <f ca="1">COUNTIF(INDIRECT("["&amp;datatable!$C$3&amp;"]"&amp;datatable!$B13&amp;"!"&amp;"Q:Q"),"Low Incorrect")</f>
        <v>1</v>
      </c>
      <c r="K43" s="23">
        <f ca="1">COUNTIF(INDIRECT("["&amp;datatable!$C$3&amp;"]"&amp;datatable!$B13&amp;"!"&amp;"Q:Q"),"Medium Incorrect")</f>
        <v>0</v>
      </c>
      <c r="L43" s="25">
        <f ca="1">COUNTIF(INDIRECT("["&amp;datatable!$C$3&amp;"]"&amp;datatable!$B13&amp;"!"&amp;"Q:Q"),"High Incorrect")</f>
        <v>0</v>
      </c>
      <c r="M43" s="27">
        <f ca="1">COUNTIF(INDIRECT("["&amp;datatable!$C$3&amp;"]"&amp;datatable!$B13&amp;"!"&amp;"Q:Q"),"N/A")</f>
        <v>0</v>
      </c>
      <c r="N43" s="43">
        <f t="shared" ca="1" si="3"/>
        <v>21</v>
      </c>
      <c r="O43" s="43">
        <f t="shared" ca="1" si="4"/>
        <v>21</v>
      </c>
    </row>
    <row r="44" spans="3:15">
      <c r="C44" s="44" t="s">
        <v>49</v>
      </c>
      <c r="D44" s="8">
        <f ca="1">COUNTIF(INDIRECT("["&amp;datatable!$C$3&amp;"]"&amp;datatable!$B14&amp;"!"&amp;"Q:Q"),"High Correct")</f>
        <v>0</v>
      </c>
      <c r="E44" s="11">
        <f ca="1">COUNTIF(INDIRECT("["&amp;datatable!$C$3&amp;"]"&amp;datatable!$B14&amp;"!"&amp;"Q:Q"),"Medium Correct")</f>
        <v>0</v>
      </c>
      <c r="F44" s="13">
        <f ca="1">COUNTIF(INDIRECT("["&amp;datatable!$C$3&amp;"]"&amp;datatable!$B14&amp;"!"&amp;"Q:Q"),"Low Correct")</f>
        <v>0</v>
      </c>
      <c r="G44" s="15">
        <f ca="1">COUNTIF(INDIRECT("["&amp;datatable!$C$3&amp;"]"&amp;datatable!$B14&amp;"!"&amp;"Q:Q"),"High Maybe")</f>
        <v>1</v>
      </c>
      <c r="H44" s="17">
        <f ca="1">COUNTIF(INDIRECT("["&amp;datatable!$C$3&amp;"]"&amp;datatable!$B14&amp;"!"&amp;"Q:Q"),"Medium Maybe")</f>
        <v>1</v>
      </c>
      <c r="I44" s="19">
        <f ca="1">COUNTIF(INDIRECT("["&amp;datatable!$C$3&amp;"]"&amp;datatable!$B14&amp;"!"&amp;"Q:Q"),"Low Maybe")</f>
        <v>2</v>
      </c>
      <c r="J44" s="21">
        <f ca="1">COUNTIF(INDIRECT("["&amp;datatable!$C$3&amp;"]"&amp;datatable!$B14&amp;"!"&amp;"Q:Q"),"Low Incorrect")</f>
        <v>11</v>
      </c>
      <c r="K44" s="23">
        <f ca="1">COUNTIF(INDIRECT("["&amp;datatable!$C$3&amp;"]"&amp;datatable!$B14&amp;"!"&amp;"Q:Q"),"Medium Incorrect")</f>
        <v>1</v>
      </c>
      <c r="L44" s="25">
        <f ca="1">COUNTIF(INDIRECT("["&amp;datatable!$C$3&amp;"]"&amp;datatable!$B14&amp;"!"&amp;"Q:Q"),"High Incorrect")</f>
        <v>2</v>
      </c>
      <c r="M44" s="27">
        <f ca="1">COUNTIF(INDIRECT("["&amp;datatable!$C$3&amp;"]"&amp;datatable!$B14&amp;"!"&amp;"Q:Q"),"N/A")</f>
        <v>3</v>
      </c>
      <c r="N44" s="43">
        <f t="shared" ca="1" si="3"/>
        <v>21</v>
      </c>
      <c r="O44" s="43">
        <f t="shared" ca="1" si="4"/>
        <v>18</v>
      </c>
    </row>
    <row r="45" spans="3:15">
      <c r="C45" s="44" t="s">
        <v>50</v>
      </c>
      <c r="D45" s="8">
        <f ca="1">COUNTIF(INDIRECT("["&amp;datatable!$C$3&amp;"]"&amp;datatable!$B15&amp;"!"&amp;"Q:Q"),"High Correct")</f>
        <v>2</v>
      </c>
      <c r="E45" s="11">
        <f ca="1">COUNTIF(INDIRECT("["&amp;datatable!$C$3&amp;"]"&amp;datatable!$B15&amp;"!"&amp;"Q:Q"),"Medium Correct")</f>
        <v>0</v>
      </c>
      <c r="F45" s="13">
        <f ca="1">COUNTIF(INDIRECT("["&amp;datatable!$C$3&amp;"]"&amp;datatable!$B15&amp;"!"&amp;"Q:Q"),"Low Correct")</f>
        <v>0</v>
      </c>
      <c r="G45" s="15">
        <f ca="1">COUNTIF(INDIRECT("["&amp;datatable!$C$3&amp;"]"&amp;datatable!$B15&amp;"!"&amp;"Q:Q"),"High Maybe")</f>
        <v>0</v>
      </c>
      <c r="H45" s="17">
        <f ca="1">COUNTIF(INDIRECT("["&amp;datatable!$C$3&amp;"]"&amp;datatable!$B15&amp;"!"&amp;"Q:Q"),"Medium Maybe")</f>
        <v>0</v>
      </c>
      <c r="I45" s="19">
        <f ca="1">COUNTIF(INDIRECT("["&amp;datatable!$C$3&amp;"]"&amp;datatable!$B15&amp;"!"&amp;"Q:Q"),"Low Maybe")</f>
        <v>3</v>
      </c>
      <c r="J45" s="21">
        <f ca="1">COUNTIF(INDIRECT("["&amp;datatable!$C$3&amp;"]"&amp;datatable!$B15&amp;"!"&amp;"Q:Q"),"Low Incorrect")</f>
        <v>4</v>
      </c>
      <c r="K45" s="23">
        <f ca="1">COUNTIF(INDIRECT("["&amp;datatable!$C$3&amp;"]"&amp;datatable!$B15&amp;"!"&amp;"Q:Q"),"Medium Incorrect")</f>
        <v>8</v>
      </c>
      <c r="L45" s="25">
        <f ca="1">COUNTIF(INDIRECT("["&amp;datatable!$C$3&amp;"]"&amp;datatable!$B15&amp;"!"&amp;"Q:Q"),"High Incorrect")</f>
        <v>4</v>
      </c>
      <c r="M45" s="27">
        <f ca="1">COUNTIF(INDIRECT("["&amp;datatable!$C$3&amp;"]"&amp;datatable!$B15&amp;"!"&amp;"Q:Q"),"N/A")</f>
        <v>0</v>
      </c>
      <c r="N45" s="43">
        <f t="shared" ca="1" si="3"/>
        <v>21</v>
      </c>
      <c r="O45" s="43">
        <f t="shared" ca="1" si="4"/>
        <v>21</v>
      </c>
    </row>
    <row r="46" spans="3:15">
      <c r="C46" s="45" t="s">
        <v>51</v>
      </c>
      <c r="D46" s="8">
        <f ca="1">COUNTIF(INDIRECT("["&amp;datatable!$C$3&amp;"]"&amp;datatable!$B16&amp;"!"&amp;"Q:Q"),"High Correct")</f>
        <v>1</v>
      </c>
      <c r="E46" s="11">
        <f ca="1">COUNTIF(INDIRECT("["&amp;datatable!$C$3&amp;"]"&amp;datatable!$B16&amp;"!"&amp;"Q:Q"),"Medium Correct")</f>
        <v>0</v>
      </c>
      <c r="F46" s="13">
        <f ca="1">COUNTIF(INDIRECT("["&amp;datatable!$C$3&amp;"]"&amp;datatable!$B16&amp;"!"&amp;"Q:Q"),"Low Correct")</f>
        <v>0</v>
      </c>
      <c r="G46" s="15">
        <f ca="1">COUNTIF(INDIRECT("["&amp;datatable!$C$3&amp;"]"&amp;datatable!$B16&amp;"!"&amp;"Q:Q"),"High Maybe")</f>
        <v>0</v>
      </c>
      <c r="H46" s="17">
        <f ca="1">COUNTIF(INDIRECT("["&amp;datatable!$C$3&amp;"]"&amp;datatable!$B16&amp;"!"&amp;"Q:Q"),"Medium Maybe")</f>
        <v>0</v>
      </c>
      <c r="I46" s="19">
        <f ca="1">COUNTIF(INDIRECT("["&amp;datatable!$C$3&amp;"]"&amp;datatable!$B16&amp;"!"&amp;"Q:Q"),"Low Maybe")</f>
        <v>0</v>
      </c>
      <c r="J46" s="21">
        <f ca="1">COUNTIF(INDIRECT("["&amp;datatable!$C$3&amp;"]"&amp;datatable!$B16&amp;"!"&amp;"Q:Q"),"Low Incorrect")</f>
        <v>11</v>
      </c>
      <c r="K46" s="23">
        <f ca="1">COUNTIF(INDIRECT("["&amp;datatable!$C$3&amp;"]"&amp;datatable!$B16&amp;"!"&amp;"Q:Q"),"Medium Incorrect")</f>
        <v>4</v>
      </c>
      <c r="L46" s="25">
        <f ca="1">COUNTIF(INDIRECT("["&amp;datatable!$C$3&amp;"]"&amp;datatable!$B16&amp;"!"&amp;"Q:Q"),"High Incorrect")</f>
        <v>5</v>
      </c>
      <c r="M46" s="27">
        <f ca="1">COUNTIF(INDIRECT("["&amp;datatable!$C$3&amp;"]"&amp;datatable!$B16&amp;"!"&amp;"Q:Q"),"N/A")</f>
        <v>0</v>
      </c>
      <c r="N46" s="43">
        <f t="shared" ca="1" si="3"/>
        <v>21</v>
      </c>
      <c r="O46" s="43">
        <f t="shared" ca="1" si="4"/>
        <v>21</v>
      </c>
    </row>
    <row r="47" spans="3:15">
      <c r="C47" s="44" t="s">
        <v>52</v>
      </c>
      <c r="D47" s="8">
        <f ca="1">COUNTIF(INDIRECT("["&amp;datatable!$C$3&amp;"]"&amp;datatable!$B17&amp;"!"&amp;"Q:Q"),"High Correct")</f>
        <v>8</v>
      </c>
      <c r="E47" s="11">
        <f ca="1">COUNTIF(INDIRECT("["&amp;datatable!$C$3&amp;"]"&amp;datatable!$B17&amp;"!"&amp;"Q:Q"),"Medium Correct")</f>
        <v>0</v>
      </c>
      <c r="F47" s="13">
        <f ca="1">COUNTIF(INDIRECT("["&amp;datatable!$C$3&amp;"]"&amp;datatable!$B17&amp;"!"&amp;"Q:Q"),"Low Correct")</f>
        <v>0</v>
      </c>
      <c r="G47" s="15">
        <f ca="1">COUNTIF(INDIRECT("["&amp;datatable!$C$3&amp;"]"&amp;datatable!$B17&amp;"!"&amp;"Q:Q"),"High Maybe")</f>
        <v>0</v>
      </c>
      <c r="H47" s="17">
        <f ca="1">COUNTIF(INDIRECT("["&amp;datatable!$C$3&amp;"]"&amp;datatable!$B17&amp;"!"&amp;"Q:Q"),"Medium Maybe")</f>
        <v>0</v>
      </c>
      <c r="I47" s="19">
        <f ca="1">COUNTIF(INDIRECT("["&amp;datatable!$C$3&amp;"]"&amp;datatable!$B17&amp;"!"&amp;"Q:Q"),"Low Maybe")</f>
        <v>1</v>
      </c>
      <c r="J47" s="21">
        <f ca="1">COUNTIF(INDIRECT("["&amp;datatable!$C$3&amp;"]"&amp;datatable!$B17&amp;"!"&amp;"Q:Q"),"Low Incorrect")</f>
        <v>6</v>
      </c>
      <c r="K47" s="23">
        <f ca="1">COUNTIF(INDIRECT("["&amp;datatable!$C$3&amp;"]"&amp;datatable!$B17&amp;"!"&amp;"Q:Q"),"Medium Incorrect")</f>
        <v>3</v>
      </c>
      <c r="L47" s="25">
        <f ca="1">COUNTIF(INDIRECT("["&amp;datatable!$C$3&amp;"]"&amp;datatable!$B17&amp;"!"&amp;"Q:Q"),"High Incorrect")</f>
        <v>2</v>
      </c>
      <c r="M47" s="27">
        <f ca="1">COUNTIF(INDIRECT("["&amp;datatable!$C$3&amp;"]"&amp;datatable!$B17&amp;"!"&amp;"Q:Q"),"N/A")</f>
        <v>1</v>
      </c>
      <c r="N47" s="43">
        <f t="shared" ca="1" si="3"/>
        <v>21</v>
      </c>
      <c r="O47" s="43">
        <f t="shared" ca="1" si="4"/>
        <v>20</v>
      </c>
    </row>
    <row r="48" spans="3:15">
      <c r="C48" s="44" t="s">
        <v>53</v>
      </c>
      <c r="D48" s="8">
        <f ca="1">COUNTIF(INDIRECT("["&amp;datatable!$C$3&amp;"]"&amp;datatable!$B18&amp;"!"&amp;"Q:Q"),"High Correct")</f>
        <v>0</v>
      </c>
      <c r="E48" s="11">
        <f ca="1">COUNTIF(INDIRECT("["&amp;datatable!$C$3&amp;"]"&amp;datatable!$B18&amp;"!"&amp;"Q:Q"),"Medium Correct")</f>
        <v>1</v>
      </c>
      <c r="F48" s="13">
        <f ca="1">COUNTIF(INDIRECT("["&amp;datatable!$C$3&amp;"]"&amp;datatable!$B18&amp;"!"&amp;"Q:Q"),"Low Correct")</f>
        <v>0</v>
      </c>
      <c r="G48" s="15">
        <f ca="1">COUNTIF(INDIRECT("["&amp;datatable!$C$3&amp;"]"&amp;datatable!$B18&amp;"!"&amp;"Q:Q"),"High Maybe")</f>
        <v>2</v>
      </c>
      <c r="H48" s="17">
        <f ca="1">COUNTIF(INDIRECT("["&amp;datatable!$C$3&amp;"]"&amp;datatable!$B18&amp;"!"&amp;"Q:Q"),"Medium Maybe")</f>
        <v>1</v>
      </c>
      <c r="I48" s="19">
        <f ca="1">COUNTIF(INDIRECT("["&amp;datatable!$C$3&amp;"]"&amp;datatable!$B18&amp;"!"&amp;"Q:Q"),"Low Maybe")</f>
        <v>1</v>
      </c>
      <c r="J48" s="21">
        <f ca="1">COUNTIF(INDIRECT("["&amp;datatable!$C$3&amp;"]"&amp;datatable!$B18&amp;"!"&amp;"Q:Q"),"Low Incorrect")</f>
        <v>5</v>
      </c>
      <c r="K48" s="23">
        <f ca="1">COUNTIF(INDIRECT("["&amp;datatable!$C$3&amp;"]"&amp;datatable!$B18&amp;"!"&amp;"Q:Q"),"Medium Incorrect")</f>
        <v>0</v>
      </c>
      <c r="L48" s="25">
        <f ca="1">COUNTIF(INDIRECT("["&amp;datatable!$C$3&amp;"]"&amp;datatable!$B18&amp;"!"&amp;"Q:Q"),"High Incorrect")</f>
        <v>9</v>
      </c>
      <c r="M48" s="27">
        <f ca="1">COUNTIF(INDIRECT("["&amp;datatable!$C$3&amp;"]"&amp;datatable!$B18&amp;"!"&amp;"Q:Q"),"N/A")</f>
        <v>2</v>
      </c>
      <c r="N48" s="43">
        <f t="shared" ref="N48:N49" ca="1" si="5">SUM(D48:M48)</f>
        <v>21</v>
      </c>
      <c r="O48" s="43">
        <f t="shared" ref="O48:O49" ca="1" si="6">SUM(D48:L48)</f>
        <v>19</v>
      </c>
    </row>
    <row r="49" spans="3:25">
      <c r="C49" s="44" t="s">
        <v>54</v>
      </c>
      <c r="D49" s="8">
        <f ca="1">COUNTIF(INDIRECT("["&amp;datatable!$C$3&amp;"]"&amp;datatable!$B19&amp;"!"&amp;"Q:Q"),"High Correct")</f>
        <v>8</v>
      </c>
      <c r="E49" s="11">
        <f ca="1">COUNTIF(INDIRECT("["&amp;datatable!$C$3&amp;"]"&amp;datatable!$B19&amp;"!"&amp;"Q:Q"),"Medium Correct")</f>
        <v>3</v>
      </c>
      <c r="F49" s="13">
        <f ca="1">COUNTIF(INDIRECT("["&amp;datatable!$C$3&amp;"]"&amp;datatable!$B19&amp;"!"&amp;"Q:Q"),"Low Correct")</f>
        <v>5</v>
      </c>
      <c r="G49" s="15">
        <f ca="1">COUNTIF(INDIRECT("["&amp;datatable!$C$3&amp;"]"&amp;datatable!$B19&amp;"!"&amp;"Q:Q"),"High Maybe")</f>
        <v>0</v>
      </c>
      <c r="H49" s="17">
        <f ca="1">COUNTIF(INDIRECT("["&amp;datatable!$C$3&amp;"]"&amp;datatable!$B19&amp;"!"&amp;"Q:Q"),"Medium Maybe")</f>
        <v>0</v>
      </c>
      <c r="I49" s="19">
        <f ca="1">COUNTIF(INDIRECT("["&amp;datatable!$C$3&amp;"]"&amp;datatable!$B19&amp;"!"&amp;"Q:Q"),"Low Maybe")</f>
        <v>2</v>
      </c>
      <c r="J49" s="21">
        <f ca="1">COUNTIF(INDIRECT("["&amp;datatable!$C$3&amp;"]"&amp;datatable!$B19&amp;"!"&amp;"Q:Q"),"Low Incorrect")</f>
        <v>1</v>
      </c>
      <c r="K49" s="23">
        <f ca="1">COUNTIF(INDIRECT("["&amp;datatable!$C$3&amp;"]"&amp;datatable!$B19&amp;"!"&amp;"Q:Q"),"Medium Incorrect")</f>
        <v>1</v>
      </c>
      <c r="L49" s="25">
        <f ca="1">COUNTIF(INDIRECT("["&amp;datatable!$C$3&amp;"]"&amp;datatable!$B19&amp;"!"&amp;"Q:Q"),"High Incorrect")</f>
        <v>1</v>
      </c>
      <c r="M49" s="27">
        <f ca="1">COUNTIF(INDIRECT("["&amp;datatable!$C$3&amp;"]"&amp;datatable!$B19&amp;"!"&amp;"Q:Q"),"N/A")</f>
        <v>0</v>
      </c>
      <c r="N49" s="43">
        <f t="shared" ca="1" si="5"/>
        <v>21</v>
      </c>
      <c r="O49" s="43">
        <f t="shared" ca="1" si="6"/>
        <v>21</v>
      </c>
    </row>
    <row r="50" spans="3:25">
      <c r="C50" s="46" t="s">
        <v>36</v>
      </c>
      <c r="D50" s="47">
        <f ca="1">SUM(D32:D49)</f>
        <v>120</v>
      </c>
      <c r="E50" s="47">
        <f t="shared" ref="E50:M50" ca="1" si="7">SUM(E32:E49)</f>
        <v>18</v>
      </c>
      <c r="F50" s="47">
        <f t="shared" ca="1" si="7"/>
        <v>5</v>
      </c>
      <c r="G50" s="47">
        <f t="shared" ca="1" si="7"/>
        <v>4</v>
      </c>
      <c r="H50" s="47">
        <f t="shared" ca="1" si="7"/>
        <v>4</v>
      </c>
      <c r="I50" s="47">
        <f t="shared" ca="1" si="7"/>
        <v>20</v>
      </c>
      <c r="J50" s="47">
        <f t="shared" ca="1" si="7"/>
        <v>92</v>
      </c>
      <c r="K50" s="47">
        <f t="shared" ca="1" si="7"/>
        <v>54</v>
      </c>
      <c r="L50" s="47">
        <f t="shared" ca="1" si="7"/>
        <v>35</v>
      </c>
      <c r="M50" s="47">
        <f t="shared" ca="1" si="7"/>
        <v>26</v>
      </c>
      <c r="N50" s="43">
        <f ca="1">SUM(D50:M50)</f>
        <v>378</v>
      </c>
      <c r="O50" s="43">
        <f ca="1">SUM(D50:L50)</f>
        <v>352</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INDIRECT("["&amp;datatable!$C$3&amp;"]"&amp;datatable!$B2&amp;"!"&amp;"Q2")</f>
        <v>N/A</v>
      </c>
      <c r="E55" s="51" t="str" cm="1">
        <f t="array" aca="1" ref="E55" ca="1">INDIRECT("["&amp;datatable!$C$3&amp;"]"&amp;datatable!$B2&amp;"!"&amp;"Q3")</f>
        <v>High Correct</v>
      </c>
      <c r="F55" s="51" t="str" cm="1">
        <f t="array" aca="1" ref="F55" ca="1">INDIRECT("["&amp;datatable!$C$3&amp;"]"&amp;datatable!$B2&amp;"!"&amp;"Q4")</f>
        <v>High Correct</v>
      </c>
      <c r="G55" s="51" t="str" cm="1">
        <f t="array" aca="1" ref="G55" ca="1">INDIRECT("["&amp;datatable!$C$3&amp;"]"&amp;datatable!$B2&amp;"!"&amp;"Q5")</f>
        <v>High Correct</v>
      </c>
      <c r="H55" s="51" t="str" cm="1">
        <f t="array" aca="1" ref="H55" ca="1">INDIRECT("["&amp;datatable!$C$3&amp;"]"&amp;datatable!$B2&amp;"!"&amp;"Q6")</f>
        <v>High Correct</v>
      </c>
      <c r="I55" s="51" t="str" cm="1">
        <f t="array" aca="1" ref="I55" ca="1">INDIRECT("["&amp;datatable!$C$3&amp;"]"&amp;datatable!$B2&amp;"!"&amp;"Q7")</f>
        <v>High Correct</v>
      </c>
      <c r="J55" s="51" t="str" cm="1">
        <f t="array" aca="1" ref="J55" ca="1">INDIRECT("["&amp;datatable!$C$3&amp;"]"&amp;datatable!$B2&amp;"!"&amp;"Q8")</f>
        <v>Low Incorrect</v>
      </c>
      <c r="K55" s="51" t="str" cm="1">
        <f t="array" aca="1" ref="K55" ca="1">INDIRECT("["&amp;datatable!$C$3&amp;"]"&amp;datatable!$B2&amp;"!"&amp;"Q9")</f>
        <v>High Correct</v>
      </c>
      <c r="L55" s="51" t="str" cm="1">
        <f t="array" aca="1" ref="L55" ca="1">INDIRECT("["&amp;datatable!$C$3&amp;"]"&amp;datatable!$B2&amp;"!"&amp;"Q10")</f>
        <v>High Correct</v>
      </c>
      <c r="M55" s="51" t="str" cm="1">
        <f t="array" aca="1" ref="M55" ca="1">INDIRECT("["&amp;datatable!$C$3&amp;"]"&amp;datatable!$B2&amp;"!"&amp;"Q11")</f>
        <v>Medium Correct</v>
      </c>
      <c r="N55" s="51" t="str" cm="1">
        <f t="array" aca="1" ref="N55" ca="1">INDIRECT("["&amp;datatable!$C$3&amp;"]"&amp;datatable!$B2&amp;"!"&amp;"Q46")</f>
        <v>High Correct</v>
      </c>
      <c r="O55" s="51" t="str" cm="1">
        <f t="array" aca="1" ref="O55" ca="1">INDIRECT("["&amp;datatable!$C$3&amp;"]"&amp;datatable!$B2&amp;"!"&amp;"Q47")</f>
        <v>High Correct</v>
      </c>
      <c r="P55" s="51" t="str" cm="1">
        <f t="array" aca="1" ref="P55" ca="1">INDIRECT("["&amp;datatable!$C$3&amp;"]"&amp;datatable!$B2&amp;"!"&amp;"Q48")</f>
        <v>Medium Incorrect</v>
      </c>
      <c r="Q55" s="51" t="str" cm="1">
        <f t="array" aca="1" ref="Q55" ca="1">INDIRECT("["&amp;datatable!$C$3&amp;"]"&amp;datatable!$B2&amp;"!"&amp;"Q49")</f>
        <v>Low Incorrect</v>
      </c>
      <c r="R55" s="51" t="str" cm="1">
        <f t="array" aca="1" ref="R55" ca="1">INDIRECT("["&amp;datatable!$C$3&amp;"]"&amp;datatable!$B2&amp;"!"&amp;"Q50")</f>
        <v>Low Maybe</v>
      </c>
      <c r="S55" s="51" t="str" cm="1">
        <f t="array" aca="1" ref="S55" ca="1">INDIRECT("["&amp;datatable!$C$3&amp;"]"&amp;datatable!$B2&amp;"!"&amp;"Q51")</f>
        <v>High Correct</v>
      </c>
      <c r="T55" s="51" t="str" cm="1">
        <f t="array" aca="1" ref="T55" ca="1">INDIRECT("["&amp;datatable!$C$3&amp;"]"&amp;datatable!$B2&amp;"!"&amp;"Q52")</f>
        <v>N/A</v>
      </c>
      <c r="U55" s="51" t="str" cm="1">
        <f t="array" aca="1" ref="U55" ca="1">INDIRECT("["&amp;datatable!$C$3&amp;"]"&amp;datatable!$B2&amp;"!"&amp;"Q53")</f>
        <v>Low Incorrect</v>
      </c>
      <c r="V55" s="51" t="str" cm="1">
        <f t="array" aca="1" ref="V55" ca="1">INDIRECT("["&amp;datatable!$C$3&amp;"]"&amp;datatable!$B2&amp;"!"&amp;"Q54")</f>
        <v>Low Incorrect</v>
      </c>
      <c r="W55" s="51" t="str" cm="1">
        <f t="array" aca="1" ref="W55" ca="1">INDIRECT("["&amp;datatable!$C$3&amp;"]"&amp;datatable!$B2&amp;"!"&amp;"Q55")</f>
        <v>Low Incorrect</v>
      </c>
      <c r="X55" s="51" t="str" cm="1">
        <f t="array" aca="1" ref="X55" ca="1">INDIRECT("["&amp;datatable!$C$3&amp;"]"&amp;datatable!$B2&amp;"!"&amp;"Q56")</f>
        <v>N/A</v>
      </c>
      <c r="Y55" s="50"/>
    </row>
    <row r="56" spans="3:25">
      <c r="C56" s="30" t="s">
        <v>38</v>
      </c>
      <c r="D56" s="51" t="str" cm="1">
        <f t="array" aca="1" ref="D56" ca="1">INDIRECT("["&amp;datatable!$C$3&amp;"]"&amp;datatable!$B3&amp;"!"&amp;"Q2")</f>
        <v>Low Incorrect</v>
      </c>
      <c r="E56" s="51" t="str" cm="1">
        <f t="array" aca="1" ref="E56" ca="1">INDIRECT("["&amp;datatable!$C$3&amp;"]"&amp;datatable!$B3&amp;"!"&amp;"Q3")</f>
        <v>Medium Correct</v>
      </c>
      <c r="F56" s="51" t="str" cm="1">
        <f t="array" aca="1" ref="F56" ca="1">INDIRECT("["&amp;datatable!$C$3&amp;"]"&amp;datatable!$B3&amp;"!"&amp;"Q4")</f>
        <v>High Correct</v>
      </c>
      <c r="G56" s="51" t="str" cm="1">
        <f t="array" aca="1" ref="G56" ca="1">INDIRECT("["&amp;datatable!$C$3&amp;"]"&amp;datatable!$B3&amp;"!"&amp;"Q5")</f>
        <v>High Correct</v>
      </c>
      <c r="H56" s="51" t="str" cm="1">
        <f t="array" aca="1" ref="H56" ca="1">INDIRECT("["&amp;datatable!$C$3&amp;"]"&amp;datatable!$B3&amp;"!"&amp;"Q6")</f>
        <v>Low Incorrect</v>
      </c>
      <c r="I56" s="51" t="str" cm="1">
        <f t="array" aca="1" ref="I56" ca="1">INDIRECT("["&amp;datatable!$C$3&amp;"]"&amp;datatable!$B3&amp;"!"&amp;"Q7")</f>
        <v>Low Incorrect</v>
      </c>
      <c r="J56" s="51" t="str" cm="1">
        <f t="array" aca="1" ref="J56" ca="1">INDIRECT("["&amp;datatable!$C$3&amp;"]"&amp;datatable!$B3&amp;"!"&amp;"Q8")</f>
        <v>High Maybe</v>
      </c>
      <c r="K56" s="51" t="str" cm="1">
        <f t="array" aca="1" ref="K56" ca="1">INDIRECT("["&amp;datatable!$C$3&amp;"]"&amp;datatable!$B3&amp;"!"&amp;"Q9")</f>
        <v>High Correct</v>
      </c>
      <c r="L56" s="51" t="str" cm="1">
        <f t="array" aca="1" ref="L56" ca="1">INDIRECT("["&amp;datatable!$C$3&amp;"]"&amp;datatable!$B3&amp;"!"&amp;"Q10")</f>
        <v>Medium Correct</v>
      </c>
      <c r="M56" s="51" t="str" cm="1">
        <f t="array" aca="1" ref="M56" ca="1">INDIRECT("["&amp;datatable!$C$3&amp;"]"&amp;datatable!$B3&amp;"!"&amp;"Q11")</f>
        <v>High Correct</v>
      </c>
      <c r="N56" s="51" t="str" cm="1">
        <f t="array" aca="1" ref="N56" ca="1">INDIRECT("["&amp;datatable!$C$3&amp;"]"&amp;datatable!$B3&amp;"!"&amp;"Q46")</f>
        <v>High Correct</v>
      </c>
      <c r="O56" s="51" t="str" cm="1">
        <f t="array" aca="1" ref="O56" ca="1">INDIRECT("["&amp;datatable!$C$3&amp;"]"&amp;datatable!$B3&amp;"!"&amp;"Q47")</f>
        <v>Medium Incorrect</v>
      </c>
      <c r="P56" s="51" t="str" cm="1">
        <f t="array" aca="1" ref="P56" ca="1">INDIRECT("["&amp;datatable!$C$3&amp;"]"&amp;datatable!$B3&amp;"!"&amp;"Q48")</f>
        <v>High Correct</v>
      </c>
      <c r="Q56" s="51" t="str" cm="1">
        <f t="array" aca="1" ref="Q56" ca="1">INDIRECT("["&amp;datatable!$C$3&amp;"]"&amp;datatable!$B3&amp;"!"&amp;"Q49")</f>
        <v>Medium Incorrect</v>
      </c>
      <c r="R56" s="51" t="str" cm="1">
        <f t="array" aca="1" ref="R56" ca="1">INDIRECT("["&amp;datatable!$C$3&amp;"]"&amp;datatable!$B3&amp;"!"&amp;"Q50")</f>
        <v>High Correct</v>
      </c>
      <c r="S56" s="51" t="str" cm="1">
        <f t="array" aca="1" ref="S56" ca="1">INDIRECT("["&amp;datatable!$C$3&amp;"]"&amp;datatable!$B3&amp;"!"&amp;"Q51")</f>
        <v>High Correct</v>
      </c>
      <c r="T56" s="51" t="str" cm="1">
        <f t="array" aca="1" ref="T56" ca="1">INDIRECT("["&amp;datatable!$C$3&amp;"]"&amp;datatable!$B3&amp;"!"&amp;"Q52")</f>
        <v>High Incorrect</v>
      </c>
      <c r="U56" s="51" t="str" cm="1">
        <f t="array" aca="1" ref="U56" ca="1">INDIRECT("["&amp;datatable!$C$3&amp;"]"&amp;datatable!$B3&amp;"!"&amp;"Q53")</f>
        <v>Medium Incorrect</v>
      </c>
      <c r="V56" s="51" t="str" cm="1">
        <f t="array" aca="1" ref="V56" ca="1">INDIRECT("["&amp;datatable!$C$3&amp;"]"&amp;datatable!$B3&amp;"!"&amp;"Q54")</f>
        <v>High Correct</v>
      </c>
      <c r="W56" s="51" t="str" cm="1">
        <f t="array" aca="1" ref="W56" ca="1">INDIRECT("["&amp;datatable!$C$3&amp;"]"&amp;datatable!$B3&amp;"!"&amp;"Q55")</f>
        <v>Low Incorrect</v>
      </c>
      <c r="X56" s="51" t="str" cm="1">
        <f t="array" aca="1" ref="X56" ca="1">INDIRECT("["&amp;datatable!$C$3&amp;"]"&amp;datatable!$B3&amp;"!"&amp;"Q56")</f>
        <v>High Correct</v>
      </c>
      <c r="Y56" s="50"/>
    </row>
    <row r="57" spans="3:25">
      <c r="C57" s="30" t="s">
        <v>39</v>
      </c>
      <c r="D57" s="51" t="str" cm="1">
        <f t="array" aca="1" ref="D57" ca="1">INDIRECT("["&amp;datatable!$C$3&amp;"]"&amp;datatable!$B4&amp;"!"&amp;"Q2")</f>
        <v>High Correct</v>
      </c>
      <c r="E57" s="51" t="str" cm="1">
        <f t="array" aca="1" ref="E57" ca="1">INDIRECT("["&amp;datatable!$C$3&amp;"]"&amp;datatable!$B4&amp;"!"&amp;"Q3")</f>
        <v>High Correct</v>
      </c>
      <c r="F57" s="51" t="str" cm="1">
        <f t="array" aca="1" ref="F57" ca="1">INDIRECT("["&amp;datatable!$C$3&amp;"]"&amp;datatable!$B4&amp;"!"&amp;"Q4")</f>
        <v>High Correct</v>
      </c>
      <c r="G57" s="51" t="str" cm="1">
        <f t="array" aca="1" ref="G57" ca="1">INDIRECT("["&amp;datatable!$C$3&amp;"]"&amp;datatable!$B4&amp;"!"&amp;"Q5")</f>
        <v>High Correct</v>
      </c>
      <c r="H57" s="51" t="str" cm="1">
        <f t="array" aca="1" ref="H57" ca="1">INDIRECT("["&amp;datatable!$C$3&amp;"]"&amp;datatable!$B4&amp;"!"&amp;"Q6")</f>
        <v>High Correct</v>
      </c>
      <c r="I57" s="51" t="str" cm="1">
        <f t="array" aca="1" ref="I57" ca="1">INDIRECT("["&amp;datatable!$C$3&amp;"]"&amp;datatable!$B4&amp;"!"&amp;"Q7")</f>
        <v>High Correct</v>
      </c>
      <c r="J57" s="51" t="str" cm="1">
        <f t="array" aca="1" ref="J57" ca="1">INDIRECT("["&amp;datatable!$C$3&amp;"]"&amp;datatable!$B4&amp;"!"&amp;"Q8")</f>
        <v>High Correct</v>
      </c>
      <c r="K57" s="51" t="str" cm="1">
        <f t="array" aca="1" ref="K57" ca="1">INDIRECT("["&amp;datatable!$C$3&amp;"]"&amp;datatable!$B4&amp;"!"&amp;"Q9")</f>
        <v>High Correct</v>
      </c>
      <c r="L57" s="51" t="str" cm="1">
        <f t="array" aca="1" ref="L57" ca="1">INDIRECT("["&amp;datatable!$C$3&amp;"]"&amp;datatable!$B4&amp;"!"&amp;"Q10")</f>
        <v>Medium Correct</v>
      </c>
      <c r="M57" s="51" t="str" cm="1">
        <f t="array" aca="1" ref="M57" ca="1">INDIRECT("["&amp;datatable!$C$3&amp;"]"&amp;datatable!$B4&amp;"!"&amp;"Q11")</f>
        <v>High Correct</v>
      </c>
      <c r="N57" s="51" t="str" cm="1">
        <f t="array" aca="1" ref="N57" ca="1">INDIRECT("["&amp;datatable!$C$3&amp;"]"&amp;datatable!$B4&amp;"!"&amp;"Q46")</f>
        <v>High Correct</v>
      </c>
      <c r="O57" s="51" t="str" cm="1">
        <f t="array" aca="1" ref="O57" ca="1">INDIRECT("["&amp;datatable!$C$3&amp;"]"&amp;datatable!$B4&amp;"!"&amp;"Q47")</f>
        <v>Low Incorrect</v>
      </c>
      <c r="P57" s="51" t="str" cm="1">
        <f t="array" aca="1" ref="P57" ca="1">INDIRECT("["&amp;datatable!$C$3&amp;"]"&amp;datatable!$B4&amp;"!"&amp;"Q48")</f>
        <v>High Incorrect</v>
      </c>
      <c r="Q57" s="51" t="str" cm="1">
        <f t="array" aca="1" ref="Q57" ca="1">INDIRECT("["&amp;datatable!$C$3&amp;"]"&amp;datatable!$B4&amp;"!"&amp;"Q49")</f>
        <v>High Correct</v>
      </c>
      <c r="R57" s="51" t="str" cm="1">
        <f t="array" aca="1" ref="R57" ca="1">INDIRECT("["&amp;datatable!$C$3&amp;"]"&amp;datatable!$B4&amp;"!"&amp;"Q50")</f>
        <v>High Correct</v>
      </c>
      <c r="S57" s="51" t="str" cm="1">
        <f t="array" aca="1" ref="S57" ca="1">INDIRECT("["&amp;datatable!$C$3&amp;"]"&amp;datatable!$B4&amp;"!"&amp;"Q51")</f>
        <v>High Correct</v>
      </c>
      <c r="T57" s="51" t="str" cm="1">
        <f t="array" aca="1" ref="T57" ca="1">INDIRECT("["&amp;datatable!$C$3&amp;"]"&amp;datatable!$B4&amp;"!"&amp;"Q52")</f>
        <v>N/A</v>
      </c>
      <c r="U57" s="51" t="str" cm="1">
        <f t="array" aca="1" ref="U57" ca="1">INDIRECT("["&amp;datatable!$C$3&amp;"]"&amp;datatable!$B4&amp;"!"&amp;"Q53")</f>
        <v>Low Incorrect</v>
      </c>
      <c r="V57" s="51" t="str" cm="1">
        <f t="array" aca="1" ref="V57" ca="1">INDIRECT("["&amp;datatable!$C$3&amp;"]"&amp;datatable!$B4&amp;"!"&amp;"Q54")</f>
        <v>High Correct</v>
      </c>
      <c r="W57" s="51" t="str" cm="1">
        <f t="array" aca="1" ref="W57" ca="1">INDIRECT("["&amp;datatable!$C$3&amp;"]"&amp;datatable!$B4&amp;"!"&amp;"Q55")</f>
        <v>Medium Incorrect</v>
      </c>
      <c r="X57" s="51" t="str" cm="1">
        <f t="array" aca="1" ref="X57" ca="1">INDIRECT("["&amp;datatable!$C$3&amp;"]"&amp;datatable!$B4&amp;"!"&amp;"Q56")</f>
        <v>N/A</v>
      </c>
      <c r="Y57" s="50"/>
    </row>
    <row r="58" spans="3:25">
      <c r="C58" s="30" t="s">
        <v>40</v>
      </c>
      <c r="D58" s="51" t="str" cm="1">
        <f t="array" aca="1" ref="D58" ca="1">INDIRECT("["&amp;datatable!$C$3&amp;"]"&amp;datatable!$B5&amp;"!"&amp;"Q2")</f>
        <v>Medium Correct</v>
      </c>
      <c r="E58" s="51" t="str" cm="1">
        <f t="array" aca="1" ref="E58" ca="1">INDIRECT("["&amp;datatable!$C$3&amp;"]"&amp;datatable!$B5&amp;"!"&amp;"Q3")</f>
        <v>Low Maybe</v>
      </c>
      <c r="F58" s="51" t="str" cm="1">
        <f t="array" aca="1" ref="F58" ca="1">INDIRECT("["&amp;datatable!$C$3&amp;"]"&amp;datatable!$B5&amp;"!"&amp;"Q4")</f>
        <v>Low Incorrect</v>
      </c>
      <c r="G58" s="51" t="str" cm="1">
        <f t="array" aca="1" ref="G58" ca="1">INDIRECT("["&amp;datatable!$C$3&amp;"]"&amp;datatable!$B5&amp;"!"&amp;"Q5")</f>
        <v>Medium Incorrect</v>
      </c>
      <c r="H58" s="51" t="str" cm="1">
        <f t="array" aca="1" ref="H58" ca="1">INDIRECT("["&amp;datatable!$C$3&amp;"]"&amp;datatable!$B5&amp;"!"&amp;"Q6")</f>
        <v>Low Incorrect</v>
      </c>
      <c r="I58" s="51" t="str" cm="1">
        <f t="array" aca="1" ref="I58" ca="1">INDIRECT("["&amp;datatable!$C$3&amp;"]"&amp;datatable!$B5&amp;"!"&amp;"Q7")</f>
        <v>Low Maybe</v>
      </c>
      <c r="J58" s="51" t="str" cm="1">
        <f t="array" aca="1" ref="J58" ca="1">INDIRECT("["&amp;datatable!$C$3&amp;"]"&amp;datatable!$B5&amp;"!"&amp;"Q8")</f>
        <v>High Correct</v>
      </c>
      <c r="K58" s="51" t="str" cm="1">
        <f t="array" aca="1" ref="K58" ca="1">INDIRECT("["&amp;datatable!$C$3&amp;"]"&amp;datatable!$B5&amp;"!"&amp;"Q9")</f>
        <v>Low Incorrect</v>
      </c>
      <c r="L58" s="51" t="str" cm="1">
        <f t="array" aca="1" ref="L58" ca="1">INDIRECT("["&amp;datatable!$C$3&amp;"]"&amp;datatable!$B5&amp;"!"&amp;"Q10")</f>
        <v>Medium Incorrect</v>
      </c>
      <c r="M58" s="51" t="str" cm="1">
        <f t="array" aca="1" ref="M58" ca="1">INDIRECT("["&amp;datatable!$C$3&amp;"]"&amp;datatable!$B5&amp;"!"&amp;"Q11")</f>
        <v>Medium Incorrect</v>
      </c>
      <c r="N58" s="51" t="str" cm="1">
        <f t="array" aca="1" ref="N58" ca="1">INDIRECT("["&amp;datatable!$C$3&amp;"]"&amp;datatable!$B5&amp;"!"&amp;"Q46")</f>
        <v>Medium Incorrect</v>
      </c>
      <c r="O58" s="51" t="str" cm="1">
        <f t="array" aca="1" ref="O58" ca="1">INDIRECT("["&amp;datatable!$C$3&amp;"]"&amp;datatable!$B5&amp;"!"&amp;"Q47")</f>
        <v>High Correct</v>
      </c>
      <c r="P58" s="51" t="str" cm="1">
        <f t="array" aca="1" ref="P58" ca="1">INDIRECT("["&amp;datatable!$C$3&amp;"]"&amp;datatable!$B5&amp;"!"&amp;"Q48")</f>
        <v>High Correct</v>
      </c>
      <c r="Q58" s="51" t="str" cm="1">
        <f t="array" aca="1" ref="Q58" ca="1">INDIRECT("["&amp;datatable!$C$3&amp;"]"&amp;datatable!$B5&amp;"!"&amp;"Q49")</f>
        <v>High Correct</v>
      </c>
      <c r="R58" s="51" t="str" cm="1">
        <f t="array" aca="1" ref="R58" ca="1">INDIRECT("["&amp;datatable!$C$3&amp;"]"&amp;datatable!$B5&amp;"!"&amp;"Q50")</f>
        <v>High Correct</v>
      </c>
      <c r="S58" s="51" t="str" cm="1">
        <f t="array" aca="1" ref="S58" ca="1">INDIRECT("["&amp;datatable!$C$3&amp;"]"&amp;datatable!$B5&amp;"!"&amp;"Q51")</f>
        <v>High Correct</v>
      </c>
      <c r="T58" s="51" t="str" cm="1">
        <f t="array" aca="1" ref="T58" ca="1">INDIRECT("["&amp;datatable!$C$3&amp;"]"&amp;datatable!$B5&amp;"!"&amp;"Q52")</f>
        <v>Medium Maybe</v>
      </c>
      <c r="U58" s="51" t="str" cm="1">
        <f t="array" aca="1" ref="U58" ca="1">INDIRECT("["&amp;datatable!$C$3&amp;"]"&amp;datatable!$B5&amp;"!"&amp;"Q53")</f>
        <v>High Correct</v>
      </c>
      <c r="V58" s="51" t="str" cm="1">
        <f t="array" aca="1" ref="V58" ca="1">INDIRECT("["&amp;datatable!$C$3&amp;"]"&amp;datatable!$B5&amp;"!"&amp;"Q54")</f>
        <v>Low Maybe</v>
      </c>
      <c r="W58" s="51" t="str" cm="1">
        <f t="array" aca="1" ref="W58" ca="1">INDIRECT("["&amp;datatable!$C$3&amp;"]"&amp;datatable!$B5&amp;"!"&amp;"Q55")</f>
        <v>Low Incorrect</v>
      </c>
      <c r="X58" s="51" t="str" cm="1">
        <f t="array" aca="1" ref="X58" ca="1">INDIRECT("["&amp;datatable!$C$3&amp;"]"&amp;datatable!$B5&amp;"!"&amp;"Q56")</f>
        <v>High Correct</v>
      </c>
      <c r="Y58" s="50"/>
    </row>
    <row r="59" spans="3:25">
      <c r="C59" s="30" t="s">
        <v>41</v>
      </c>
      <c r="D59" s="51" t="str" cm="1">
        <f t="array" aca="1" ref="D59" ca="1">INDIRECT("["&amp;datatable!$C$3&amp;"]"&amp;datatable!$B6&amp;"!"&amp;"Q2")</f>
        <v>Medium Incorrect</v>
      </c>
      <c r="E59" s="51" t="str" cm="1">
        <f t="array" aca="1" ref="E59" ca="1">INDIRECT("["&amp;datatable!$C$3&amp;"]"&amp;datatable!$B6&amp;"!"&amp;"Q3")</f>
        <v>High Correct</v>
      </c>
      <c r="F59" s="51" t="str" cm="1">
        <f t="array" aca="1" ref="F59" ca="1">INDIRECT("["&amp;datatable!$C$3&amp;"]"&amp;datatable!$B6&amp;"!"&amp;"Q4")</f>
        <v>Low Maybe</v>
      </c>
      <c r="G59" s="51" t="str" cm="1">
        <f t="array" aca="1" ref="G59" ca="1">INDIRECT("["&amp;datatable!$C$3&amp;"]"&amp;datatable!$B6&amp;"!"&amp;"Q5")</f>
        <v>Low Incorrect</v>
      </c>
      <c r="H59" s="51" t="str" cm="1">
        <f t="array" aca="1" ref="H59" ca="1">INDIRECT("["&amp;datatable!$C$3&amp;"]"&amp;datatable!$B6&amp;"!"&amp;"Q6")</f>
        <v>High Incorrect</v>
      </c>
      <c r="I59" s="51" t="str" cm="1">
        <f t="array" aca="1" ref="I59" ca="1">INDIRECT("["&amp;datatable!$C$3&amp;"]"&amp;datatable!$B6&amp;"!"&amp;"Q7")</f>
        <v>Medium Incorrect</v>
      </c>
      <c r="J59" s="51" t="str" cm="1">
        <f t="array" aca="1" ref="J59" ca="1">INDIRECT("["&amp;datatable!$C$3&amp;"]"&amp;datatable!$B6&amp;"!"&amp;"Q8")</f>
        <v>Low Maybe</v>
      </c>
      <c r="K59" s="51" t="str" cm="1">
        <f t="array" aca="1" ref="K59" ca="1">INDIRECT("["&amp;datatable!$C$3&amp;"]"&amp;datatable!$B6&amp;"!"&amp;"Q9")</f>
        <v>Medium Incorrect</v>
      </c>
      <c r="L59" s="51" t="str" cm="1">
        <f t="array" aca="1" ref="L59" ca="1">INDIRECT("["&amp;datatable!$C$3&amp;"]"&amp;datatable!$B6&amp;"!"&amp;"Q10")</f>
        <v>Medium Incorrect</v>
      </c>
      <c r="M59" s="51" t="str" cm="1">
        <f t="array" aca="1" ref="M59" ca="1">INDIRECT("["&amp;datatable!$C$3&amp;"]"&amp;datatable!$B6&amp;"!"&amp;"Q11")</f>
        <v>Low Incorrect</v>
      </c>
      <c r="N59" s="51" t="str" cm="1">
        <f t="array" aca="1" ref="N59" ca="1">INDIRECT("["&amp;datatable!$C$3&amp;"]"&amp;datatable!$B6&amp;"!"&amp;"Q46")</f>
        <v>Medium Incorrect</v>
      </c>
      <c r="O59" s="51" t="str" cm="1">
        <f t="array" aca="1" ref="O59" ca="1">INDIRECT("["&amp;datatable!$C$3&amp;"]"&amp;datatable!$B6&amp;"!"&amp;"Q47")</f>
        <v>Medium Incorrect</v>
      </c>
      <c r="P59" s="51" t="str" cm="1">
        <f t="array" aca="1" ref="P59" ca="1">INDIRECT("["&amp;datatable!$C$3&amp;"]"&amp;datatable!$B6&amp;"!"&amp;"Q48")</f>
        <v>Medium Incorrect</v>
      </c>
      <c r="Q59" s="51" t="str" cm="1">
        <f t="array" aca="1" ref="Q59" ca="1">INDIRECT("["&amp;datatable!$C$3&amp;"]"&amp;datatable!$B6&amp;"!"&amp;"Q49")</f>
        <v>Low Incorrect</v>
      </c>
      <c r="R59" s="51" t="str" cm="1">
        <f t="array" aca="1" ref="R59" ca="1">INDIRECT("["&amp;datatable!$C$3&amp;"]"&amp;datatable!$B6&amp;"!"&amp;"Q50")</f>
        <v>Low Incorrect</v>
      </c>
      <c r="S59" s="51" t="str" cm="1">
        <f t="array" aca="1" ref="S59" ca="1">INDIRECT("["&amp;datatable!$C$3&amp;"]"&amp;datatable!$B6&amp;"!"&amp;"Q51")</f>
        <v>Low Incorrect</v>
      </c>
      <c r="T59" s="51" t="str" cm="1">
        <f t="array" aca="1" ref="T59" ca="1">INDIRECT("["&amp;datatable!$C$3&amp;"]"&amp;datatable!$B6&amp;"!"&amp;"Q52")</f>
        <v>Low Incorrect</v>
      </c>
      <c r="U59" s="51" t="str" cm="1">
        <f t="array" aca="1" ref="U59" ca="1">INDIRECT("["&amp;datatable!$C$3&amp;"]"&amp;datatable!$B6&amp;"!"&amp;"Q53")</f>
        <v>Low Incorrect</v>
      </c>
      <c r="V59" s="51" t="str" cm="1">
        <f t="array" aca="1" ref="V59" ca="1">INDIRECT("["&amp;datatable!$C$3&amp;"]"&amp;datatable!$B6&amp;"!"&amp;"Q54")</f>
        <v>Medium Incorrect</v>
      </c>
      <c r="W59" s="51" t="str" cm="1">
        <f t="array" aca="1" ref="W59" ca="1">INDIRECT("["&amp;datatable!$C$3&amp;"]"&amp;datatable!$B6&amp;"!"&amp;"Q55")</f>
        <v>Low Incorrect</v>
      </c>
      <c r="X59" s="51" t="str" cm="1">
        <f t="array" aca="1" ref="X59" ca="1">INDIRECT("["&amp;datatable!$C$3&amp;"]"&amp;datatable!$B6&amp;"!"&amp;"Q56")</f>
        <v>N/A</v>
      </c>
      <c r="Y59" s="50"/>
    </row>
    <row r="60" spans="3:25">
      <c r="C60" s="30" t="s">
        <v>42</v>
      </c>
      <c r="D60" s="51" t="str" cm="1">
        <f t="array" aca="1" ref="D60" ca="1">INDIRECT("["&amp;datatable!$C$3&amp;"]"&amp;datatable!$B7&amp;"!"&amp;"Q2")</f>
        <v>Low Maybe</v>
      </c>
      <c r="E60" s="51" t="str" cm="1">
        <f t="array" aca="1" ref="E60" ca="1">INDIRECT("["&amp;datatable!$C$3&amp;"]"&amp;datatable!$B7&amp;"!"&amp;"Q3")</f>
        <v>Medium Correct</v>
      </c>
      <c r="F60" s="51" t="str" cm="1">
        <f t="array" aca="1" ref="F60" ca="1">INDIRECT("["&amp;datatable!$C$3&amp;"]"&amp;datatable!$B7&amp;"!"&amp;"Q4")</f>
        <v>High Correct</v>
      </c>
      <c r="G60" s="51" t="str" cm="1">
        <f t="array" aca="1" ref="G60" ca="1">INDIRECT("["&amp;datatable!$C$3&amp;"]"&amp;datatable!$B7&amp;"!"&amp;"Q5")</f>
        <v>Medium Correct</v>
      </c>
      <c r="H60" s="51" t="str" cm="1">
        <f t="array" aca="1" ref="H60" ca="1">INDIRECT("["&amp;datatable!$C$3&amp;"]"&amp;datatable!$B7&amp;"!"&amp;"Q6")</f>
        <v>High Incorrect</v>
      </c>
      <c r="I60" s="51" t="str" cm="1">
        <f t="array" aca="1" ref="I60" ca="1">INDIRECT("["&amp;datatable!$C$3&amp;"]"&amp;datatable!$B7&amp;"!"&amp;"Q7")</f>
        <v>High Correct</v>
      </c>
      <c r="J60" s="51" t="str" cm="1">
        <f t="array" aca="1" ref="J60" ca="1">INDIRECT("["&amp;datatable!$C$3&amp;"]"&amp;datatable!$B7&amp;"!"&amp;"Q8")</f>
        <v>High Correct</v>
      </c>
      <c r="K60" s="51" t="str" cm="1">
        <f t="array" aca="1" ref="K60" ca="1">INDIRECT("["&amp;datatable!$C$3&amp;"]"&amp;datatable!$B7&amp;"!"&amp;"Q9")</f>
        <v>High Correct</v>
      </c>
      <c r="L60" s="51" t="str" cm="1">
        <f t="array" aca="1" ref="L60" ca="1">INDIRECT("["&amp;datatable!$C$3&amp;"]"&amp;datatable!$B7&amp;"!"&amp;"Q10")</f>
        <v>High Correct</v>
      </c>
      <c r="M60" s="51" t="str" cm="1">
        <f t="array" aca="1" ref="M60" ca="1">INDIRECT("["&amp;datatable!$C$3&amp;"]"&amp;datatable!$B7&amp;"!"&amp;"Q11")</f>
        <v>High Correct</v>
      </c>
      <c r="N60" s="51" t="str" cm="1">
        <f t="array" aca="1" ref="N60" ca="1">INDIRECT("["&amp;datatable!$C$3&amp;"]"&amp;datatable!$B7&amp;"!"&amp;"Q46")</f>
        <v>N/A</v>
      </c>
      <c r="O60" s="51" t="str" cm="1">
        <f t="array" aca="1" ref="O60" ca="1">INDIRECT("["&amp;datatable!$C$3&amp;"]"&amp;datatable!$B7&amp;"!"&amp;"Q47")</f>
        <v>N/A</v>
      </c>
      <c r="P60" s="51" t="str" cm="1">
        <f t="array" aca="1" ref="P60" ca="1">INDIRECT("["&amp;datatable!$C$3&amp;"]"&amp;datatable!$B7&amp;"!"&amp;"Q48")</f>
        <v>N/A</v>
      </c>
      <c r="Q60" s="51" t="str" cm="1">
        <f t="array" aca="1" ref="Q60" ca="1">INDIRECT("["&amp;datatable!$C$3&amp;"]"&amp;datatable!$B7&amp;"!"&amp;"Q49")</f>
        <v>N/A</v>
      </c>
      <c r="R60" s="51" t="str" cm="1">
        <f t="array" aca="1" ref="R60" ca="1">INDIRECT("["&amp;datatable!$C$3&amp;"]"&amp;datatable!$B7&amp;"!"&amp;"Q50")</f>
        <v>N/A</v>
      </c>
      <c r="S60" s="51" t="str" cm="1">
        <f t="array" aca="1" ref="S60" ca="1">INDIRECT("["&amp;datatable!$C$3&amp;"]"&amp;datatable!$B7&amp;"!"&amp;"Q51")</f>
        <v>N/A</v>
      </c>
      <c r="T60" s="51" t="str" cm="1">
        <f t="array" aca="1" ref="T60" ca="1">INDIRECT("["&amp;datatable!$C$3&amp;"]"&amp;datatable!$B7&amp;"!"&amp;"Q52")</f>
        <v>N/A</v>
      </c>
      <c r="U60" s="51" t="str" cm="1">
        <f t="array" aca="1" ref="U60" ca="1">INDIRECT("["&amp;datatable!$C$3&amp;"]"&amp;datatable!$B7&amp;"!"&amp;"Q53")</f>
        <v>High Correct</v>
      </c>
      <c r="V60" s="51" t="str" cm="1">
        <f t="array" aca="1" ref="V60" ca="1">INDIRECT("["&amp;datatable!$C$3&amp;"]"&amp;datatable!$B7&amp;"!"&amp;"Q54")</f>
        <v>High Correct</v>
      </c>
      <c r="W60" s="51" t="str" cm="1">
        <f t="array" aca="1" ref="W60" ca="1">INDIRECT("["&amp;datatable!$C$3&amp;"]"&amp;datatable!$B7&amp;"!"&amp;"Q55")</f>
        <v>N/A</v>
      </c>
      <c r="X60" s="51" t="str" cm="1">
        <f t="array" aca="1" ref="X60" ca="1">INDIRECT("["&amp;datatable!$C$3&amp;"]"&amp;datatable!$B7&amp;"!"&amp;"Q56")</f>
        <v>N/A</v>
      </c>
      <c r="Y60" s="50"/>
    </row>
    <row r="61" spans="3:25">
      <c r="C61" s="30" t="s">
        <v>43</v>
      </c>
      <c r="D61" s="51" t="str" cm="1">
        <f t="array" aca="1" ref="D61" ca="1">INDIRECT("["&amp;datatable!$C$3&amp;"]"&amp;datatable!$B8&amp;"!"&amp;"Q2")</f>
        <v>High Correct</v>
      </c>
      <c r="E61" s="51" t="str" cm="1">
        <f t="array" aca="1" ref="E61" ca="1">INDIRECT("["&amp;datatable!$C$3&amp;"]"&amp;datatable!$B8&amp;"!"&amp;"Q3")</f>
        <v>High Correct</v>
      </c>
      <c r="F61" s="51" t="str" cm="1">
        <f t="array" aca="1" ref="F61" ca="1">INDIRECT("["&amp;datatable!$C$3&amp;"]"&amp;datatable!$B8&amp;"!"&amp;"Q4")</f>
        <v>High Correct</v>
      </c>
      <c r="G61" s="51" t="str" cm="1">
        <f t="array" aca="1" ref="G61" ca="1">INDIRECT("["&amp;datatable!$C$3&amp;"]"&amp;datatable!$B8&amp;"!"&amp;"Q5")</f>
        <v>High Correct</v>
      </c>
      <c r="H61" s="51" t="str" cm="1">
        <f t="array" aca="1" ref="H61" ca="1">INDIRECT("["&amp;datatable!$C$3&amp;"]"&amp;datatable!$B8&amp;"!"&amp;"Q6")</f>
        <v>High Correct</v>
      </c>
      <c r="I61" s="51" t="str" cm="1">
        <f t="array" aca="1" ref="I61" ca="1">INDIRECT("["&amp;datatable!$C$3&amp;"]"&amp;datatable!$B8&amp;"!"&amp;"Q7")</f>
        <v>High Correct</v>
      </c>
      <c r="J61" s="51" t="str" cm="1">
        <f t="array" aca="1" ref="J61" ca="1">INDIRECT("["&amp;datatable!$C$3&amp;"]"&amp;datatable!$B8&amp;"!"&amp;"Q8")</f>
        <v>High Correct</v>
      </c>
      <c r="K61" s="51" t="str" cm="1">
        <f t="array" aca="1" ref="K61" ca="1">INDIRECT("["&amp;datatable!$C$3&amp;"]"&amp;datatable!$B8&amp;"!"&amp;"Q9")</f>
        <v>Medium Correct</v>
      </c>
      <c r="L61" s="51" t="str" cm="1">
        <f t="array" aca="1" ref="L61" ca="1">INDIRECT("["&amp;datatable!$C$3&amp;"]"&amp;datatable!$B8&amp;"!"&amp;"Q10")</f>
        <v>High Correct</v>
      </c>
      <c r="M61" s="51" t="str" cm="1">
        <f t="array" aca="1" ref="M61" ca="1">INDIRECT("["&amp;datatable!$C$3&amp;"]"&amp;datatable!$B8&amp;"!"&amp;"Q11")</f>
        <v>Medium Correct</v>
      </c>
      <c r="N61" s="51" t="str" cm="1">
        <f t="array" aca="1" ref="N61" ca="1">INDIRECT("["&amp;datatable!$C$3&amp;"]"&amp;datatable!$B8&amp;"!"&amp;"Q46")</f>
        <v>High Correct</v>
      </c>
      <c r="O61" s="51" t="str" cm="1">
        <f t="array" aca="1" ref="O61" ca="1">INDIRECT("["&amp;datatable!$C$3&amp;"]"&amp;datatable!$B8&amp;"!"&amp;"Q47")</f>
        <v>High Correct</v>
      </c>
      <c r="P61" s="51" t="str" cm="1">
        <f t="array" aca="1" ref="P61" ca="1">INDIRECT("["&amp;datatable!$C$3&amp;"]"&amp;datatable!$B8&amp;"!"&amp;"Q48")</f>
        <v>Low Incorrect</v>
      </c>
      <c r="Q61" s="51" t="str" cm="1">
        <f t="array" aca="1" ref="Q61" ca="1">INDIRECT("["&amp;datatable!$C$3&amp;"]"&amp;datatable!$B8&amp;"!"&amp;"Q49")</f>
        <v>Low Maybe</v>
      </c>
      <c r="R61" s="51" t="str" cm="1">
        <f t="array" aca="1" ref="R61" ca="1">INDIRECT("["&amp;datatable!$C$3&amp;"]"&amp;datatable!$B8&amp;"!"&amp;"Q50")</f>
        <v>Low Incorrect</v>
      </c>
      <c r="S61" s="51" t="str" cm="1">
        <f t="array" aca="1" ref="S61" ca="1">INDIRECT("["&amp;datatable!$C$3&amp;"]"&amp;datatable!$B8&amp;"!"&amp;"Q51")</f>
        <v>High Correct</v>
      </c>
      <c r="T61" s="51" t="str" cm="1">
        <f t="array" aca="1" ref="T61" ca="1">INDIRECT("["&amp;datatable!$C$3&amp;"]"&amp;datatable!$B8&amp;"!"&amp;"Q52")</f>
        <v>N/A</v>
      </c>
      <c r="U61" s="51" t="str" cm="1">
        <f t="array" aca="1" ref="U61" ca="1">INDIRECT("["&amp;datatable!$C$3&amp;"]"&amp;datatable!$B8&amp;"!"&amp;"Q53")</f>
        <v>High Correct</v>
      </c>
      <c r="V61" s="51" t="str" cm="1">
        <f t="array" aca="1" ref="V61" ca="1">INDIRECT("["&amp;datatable!$C$3&amp;"]"&amp;datatable!$B8&amp;"!"&amp;"Q54")</f>
        <v>High Correct</v>
      </c>
      <c r="W61" s="51" t="str" cm="1">
        <f t="array" aca="1" ref="W61" ca="1">INDIRECT("["&amp;datatable!$C$3&amp;"]"&amp;datatable!$B8&amp;"!"&amp;"Q55")</f>
        <v>High Incorrect</v>
      </c>
      <c r="X61" s="51" t="str" cm="1">
        <f t="array" aca="1" ref="X61" ca="1">INDIRECT("["&amp;datatable!$C$3&amp;"]"&amp;datatable!$B8&amp;"!"&amp;"Q56")</f>
        <v>N/A</v>
      </c>
      <c r="Y61" s="50"/>
    </row>
    <row r="62" spans="3:25">
      <c r="C62" s="30" t="s">
        <v>44</v>
      </c>
      <c r="D62" s="51" t="str" cm="1">
        <f t="array" aca="1" ref="D62" ca="1">INDIRECT("["&amp;datatable!$C$3&amp;"]"&amp;datatable!$B9&amp;"!"&amp;"Q2")</f>
        <v>Low Incorrect</v>
      </c>
      <c r="E62" s="51" t="str" cm="1">
        <f t="array" aca="1" ref="E62" ca="1">INDIRECT("["&amp;datatable!$C$3&amp;"]"&amp;datatable!$B9&amp;"!"&amp;"Q3")</f>
        <v>Low Incorrect</v>
      </c>
      <c r="F62" s="51" t="str" cm="1">
        <f t="array" aca="1" ref="F62" ca="1">INDIRECT("["&amp;datatable!$C$3&amp;"]"&amp;datatable!$B9&amp;"!"&amp;"Q4")</f>
        <v>Low Incorrect</v>
      </c>
      <c r="G62" s="51" t="str" cm="1">
        <f t="array" aca="1" ref="G62" ca="1">INDIRECT("["&amp;datatable!$C$3&amp;"]"&amp;datatable!$B9&amp;"!"&amp;"Q5")</f>
        <v>Medium Incorrect</v>
      </c>
      <c r="H62" s="51" t="str" cm="1">
        <f t="array" aca="1" ref="H62" ca="1">INDIRECT("["&amp;datatable!$C$3&amp;"]"&amp;datatable!$B9&amp;"!"&amp;"Q6")</f>
        <v>High Correct</v>
      </c>
      <c r="I62" s="51" t="str" cm="1">
        <f t="array" aca="1" ref="I62" ca="1">INDIRECT("["&amp;datatable!$C$3&amp;"]"&amp;datatable!$B9&amp;"!"&amp;"Q7")</f>
        <v>High Correct</v>
      </c>
      <c r="J62" s="51" t="str" cm="1">
        <f t="array" aca="1" ref="J62" ca="1">INDIRECT("["&amp;datatable!$C$3&amp;"]"&amp;datatable!$B9&amp;"!"&amp;"Q8")</f>
        <v>High Correct</v>
      </c>
      <c r="K62" s="51" t="str" cm="1">
        <f t="array" aca="1" ref="K62" ca="1">INDIRECT("["&amp;datatable!$C$3&amp;"]"&amp;datatable!$B9&amp;"!"&amp;"Q9")</f>
        <v>High Correct</v>
      </c>
      <c r="L62" s="51" t="str" cm="1">
        <f t="array" aca="1" ref="L62" ca="1">INDIRECT("["&amp;datatable!$C$3&amp;"]"&amp;datatable!$B9&amp;"!"&amp;"Q10")</f>
        <v>High Correct</v>
      </c>
      <c r="M62" s="51" t="str" cm="1">
        <f t="array" aca="1" ref="M62" ca="1">INDIRECT("["&amp;datatable!$C$3&amp;"]"&amp;datatable!$B9&amp;"!"&amp;"Q11")</f>
        <v>High Correct</v>
      </c>
      <c r="N62" s="51" t="str" cm="1">
        <f t="array" aca="1" ref="N62" ca="1">INDIRECT("["&amp;datatable!$C$3&amp;"]"&amp;datatable!$B9&amp;"!"&amp;"Q46")</f>
        <v>Medium Incorrect</v>
      </c>
      <c r="O62" s="51" t="str" cm="1">
        <f t="array" aca="1" ref="O62" ca="1">INDIRECT("["&amp;datatable!$C$3&amp;"]"&amp;datatable!$B9&amp;"!"&amp;"Q47")</f>
        <v>High Correct</v>
      </c>
      <c r="P62" s="51" t="str" cm="1">
        <f t="array" aca="1" ref="P62" ca="1">INDIRECT("["&amp;datatable!$C$3&amp;"]"&amp;datatable!$B9&amp;"!"&amp;"Q48")</f>
        <v>High Incorrect</v>
      </c>
      <c r="Q62" s="51" t="str" cm="1">
        <f t="array" aca="1" ref="Q62" ca="1">INDIRECT("["&amp;datatable!$C$3&amp;"]"&amp;datatable!$B9&amp;"!"&amp;"Q49")</f>
        <v>Medium Correct</v>
      </c>
      <c r="R62" s="51" t="str" cm="1">
        <f t="array" aca="1" ref="R62" ca="1">INDIRECT("["&amp;datatable!$C$3&amp;"]"&amp;datatable!$B9&amp;"!"&amp;"Q50")</f>
        <v>High Correct</v>
      </c>
      <c r="S62" s="51" t="str" cm="1">
        <f t="array" aca="1" ref="S62" ca="1">INDIRECT("["&amp;datatable!$C$3&amp;"]"&amp;datatable!$B9&amp;"!"&amp;"Q51")</f>
        <v>High Correct</v>
      </c>
      <c r="T62" s="51" t="str" cm="1">
        <f t="array" aca="1" ref="T62" ca="1">INDIRECT("["&amp;datatable!$C$3&amp;"]"&amp;datatable!$B9&amp;"!"&amp;"Q52")</f>
        <v>High Correct</v>
      </c>
      <c r="U62" s="51" t="str" cm="1">
        <f t="array" aca="1" ref="U62" ca="1">INDIRECT("["&amp;datatable!$C$3&amp;"]"&amp;datatable!$B9&amp;"!"&amp;"Q53")</f>
        <v>High Correct</v>
      </c>
      <c r="V62" s="51" t="str" cm="1">
        <f t="array" aca="1" ref="V62" ca="1">INDIRECT("["&amp;datatable!$C$3&amp;"]"&amp;datatable!$B9&amp;"!"&amp;"Q54")</f>
        <v>Medium Maybe</v>
      </c>
      <c r="W62" s="51" t="str" cm="1">
        <f t="array" aca="1" ref="W62" ca="1">INDIRECT("["&amp;datatable!$C$3&amp;"]"&amp;datatable!$B9&amp;"!"&amp;"Q55")</f>
        <v>Medium Incorrect</v>
      </c>
      <c r="X62" s="51" t="str" cm="1">
        <f t="array" aca="1" ref="X62" ca="1">INDIRECT("["&amp;datatable!$C$3&amp;"]"&amp;datatable!$B9&amp;"!"&amp;"Q56")</f>
        <v>N/A</v>
      </c>
      <c r="Y62" s="50"/>
    </row>
    <row r="63" spans="3:25">
      <c r="C63" s="30" t="s">
        <v>45</v>
      </c>
      <c r="D63" s="51" t="str" cm="1">
        <f t="array" aca="1" ref="D63" ca="1">INDIRECT("["&amp;datatable!$C$3&amp;"]"&amp;datatable!$B10&amp;"!"&amp;"Q2")</f>
        <v>Medium Incorrect</v>
      </c>
      <c r="E63" s="51" t="str" cm="1">
        <f t="array" aca="1" ref="E63" ca="1">INDIRECT("["&amp;datatable!$C$3&amp;"]"&amp;datatable!$B10&amp;"!"&amp;"Q3")</f>
        <v>Medium Incorrect</v>
      </c>
      <c r="F63" s="51" t="str" cm="1">
        <f t="array" aca="1" ref="F63" ca="1">INDIRECT("["&amp;datatable!$C$3&amp;"]"&amp;datatable!$B10&amp;"!"&amp;"Q4")</f>
        <v>Low Incorrect</v>
      </c>
      <c r="G63" s="51" t="str" cm="1">
        <f t="array" aca="1" ref="G63" ca="1">INDIRECT("["&amp;datatable!$C$3&amp;"]"&amp;datatable!$B10&amp;"!"&amp;"Q5")</f>
        <v>High Correct</v>
      </c>
      <c r="H63" s="51" t="str" cm="1">
        <f t="array" aca="1" ref="H63" ca="1">INDIRECT("["&amp;datatable!$C$3&amp;"]"&amp;datatable!$B10&amp;"!"&amp;"Q6")</f>
        <v>High Incorrect</v>
      </c>
      <c r="I63" s="51" t="str" cm="1">
        <f t="array" aca="1" ref="I63" ca="1">INDIRECT("["&amp;datatable!$C$3&amp;"]"&amp;datatable!$B10&amp;"!"&amp;"Q7")</f>
        <v>High Correct</v>
      </c>
      <c r="J63" s="51" t="str" cm="1">
        <f t="array" aca="1" ref="J63" ca="1">INDIRECT("["&amp;datatable!$C$3&amp;"]"&amp;datatable!$B10&amp;"!"&amp;"Q8")</f>
        <v>Medium Correct</v>
      </c>
      <c r="K63" s="51" t="str" cm="1">
        <f t="array" aca="1" ref="K63" ca="1">INDIRECT("["&amp;datatable!$C$3&amp;"]"&amp;datatable!$B10&amp;"!"&amp;"Q9")</f>
        <v>Medium Incorrect</v>
      </c>
      <c r="L63" s="51" t="str" cm="1">
        <f t="array" aca="1" ref="L63" ca="1">INDIRECT("["&amp;datatable!$C$3&amp;"]"&amp;datatable!$B10&amp;"!"&amp;"Q10")</f>
        <v>Low Incorrect</v>
      </c>
      <c r="M63" s="51" t="str" cm="1">
        <f t="array" aca="1" ref="M63" ca="1">INDIRECT("["&amp;datatable!$C$3&amp;"]"&amp;datatable!$B10&amp;"!"&amp;"Q11")</f>
        <v>Medium Incorrect</v>
      </c>
      <c r="N63" s="51" t="str" cm="1">
        <f t="array" aca="1" ref="N63" ca="1">INDIRECT("["&amp;datatable!$C$3&amp;"]"&amp;datatable!$B10&amp;"!"&amp;"Q46")</f>
        <v>Low Incorrect</v>
      </c>
      <c r="O63" s="51" t="str" cm="1">
        <f t="array" aca="1" ref="O63" ca="1">INDIRECT("["&amp;datatable!$C$3&amp;"]"&amp;datatable!$B10&amp;"!"&amp;"Q47")</f>
        <v>N/A</v>
      </c>
      <c r="P63" s="51" t="str" cm="1">
        <f t="array" aca="1" ref="P63" ca="1">INDIRECT("["&amp;datatable!$C$3&amp;"]"&amp;datatable!$B10&amp;"!"&amp;"Q48")</f>
        <v>Low Incorrect</v>
      </c>
      <c r="Q63" s="51" t="str" cm="1">
        <f t="array" aca="1" ref="Q63" ca="1">INDIRECT("["&amp;datatable!$C$3&amp;"]"&amp;datatable!$B10&amp;"!"&amp;"Q49")</f>
        <v>Low Incorrect</v>
      </c>
      <c r="R63" s="51" t="str" cm="1">
        <f t="array" aca="1" ref="R63" ca="1">INDIRECT("["&amp;datatable!$C$3&amp;"]"&amp;datatable!$B10&amp;"!"&amp;"Q50")</f>
        <v>High Incorrect</v>
      </c>
      <c r="S63" s="51" t="str" cm="1">
        <f t="array" aca="1" ref="S63" ca="1">INDIRECT("["&amp;datatable!$C$3&amp;"]"&amp;datatable!$B10&amp;"!"&amp;"Q51")</f>
        <v>Low Incorrect</v>
      </c>
      <c r="T63" s="51" t="str" cm="1">
        <f t="array" aca="1" ref="T63" ca="1">INDIRECT("["&amp;datatable!$C$3&amp;"]"&amp;datatable!$B10&amp;"!"&amp;"Q52")</f>
        <v>N/A</v>
      </c>
      <c r="U63" s="51" t="str" cm="1">
        <f t="array" aca="1" ref="U63" ca="1">INDIRECT("["&amp;datatable!$C$3&amp;"]"&amp;datatable!$B10&amp;"!"&amp;"Q53")</f>
        <v>Low Incorrect</v>
      </c>
      <c r="V63" s="51" t="str" cm="1">
        <f t="array" aca="1" ref="V63" ca="1">INDIRECT("["&amp;datatable!$C$3&amp;"]"&amp;datatable!$B10&amp;"!"&amp;"Q54")</f>
        <v>Low Incorrect</v>
      </c>
      <c r="W63" s="51" t="str" cm="1">
        <f t="array" aca="1" ref="W63" ca="1">INDIRECT("["&amp;datatable!$C$3&amp;"]"&amp;datatable!$B10&amp;"!"&amp;"Q55")</f>
        <v>High Incorrect</v>
      </c>
      <c r="X63" s="51" t="str" cm="1">
        <f t="array" aca="1" ref="X63" ca="1">INDIRECT("["&amp;datatable!$C$3&amp;"]"&amp;datatable!$B10&amp;"!"&amp;"Q56")</f>
        <v>Low Incorrect</v>
      </c>
      <c r="Y63" s="50"/>
    </row>
    <row r="64" spans="3:25">
      <c r="C64" s="30" t="s">
        <v>46</v>
      </c>
      <c r="D64" s="51" t="str" cm="1">
        <f t="array" aca="1" ref="D64" ca="1">INDIRECT("["&amp;datatable!$C$3&amp;"]"&amp;datatable!$B11&amp;"!"&amp;"Q2")</f>
        <v>Low Incorrect</v>
      </c>
      <c r="E64" s="51" t="str" cm="1">
        <f t="array" aca="1" ref="E64" ca="1">INDIRECT("["&amp;datatable!$C$3&amp;"]"&amp;datatable!$B11&amp;"!"&amp;"Q3")</f>
        <v>Medium Incorrect</v>
      </c>
      <c r="F64" s="51" t="str" cm="1">
        <f t="array" aca="1" ref="F64" ca="1">INDIRECT("["&amp;datatable!$C$3&amp;"]"&amp;datatable!$B11&amp;"!"&amp;"Q4")</f>
        <v>Low Incorrect</v>
      </c>
      <c r="G64" s="51" t="str" cm="1">
        <f t="array" aca="1" ref="G64" ca="1">INDIRECT("["&amp;datatable!$C$3&amp;"]"&amp;datatable!$B11&amp;"!"&amp;"Q5")</f>
        <v>Medium Incorrect</v>
      </c>
      <c r="H64" s="51" t="str" cm="1">
        <f t="array" aca="1" ref="H64" ca="1">INDIRECT("["&amp;datatable!$C$3&amp;"]"&amp;datatable!$B11&amp;"!"&amp;"Q6")</f>
        <v>Low Incorrect</v>
      </c>
      <c r="I64" s="51" t="str" cm="1">
        <f t="array" aca="1" ref="I64" ca="1">INDIRECT("["&amp;datatable!$C$3&amp;"]"&amp;datatable!$B11&amp;"!"&amp;"Q7")</f>
        <v>High Correct</v>
      </c>
      <c r="J64" s="51" t="str" cm="1">
        <f t="array" aca="1" ref="J64" ca="1">INDIRECT("["&amp;datatable!$C$3&amp;"]"&amp;datatable!$B11&amp;"!"&amp;"Q8")</f>
        <v>High Correct</v>
      </c>
      <c r="K64" s="51" t="str" cm="1">
        <f t="array" aca="1" ref="K64" ca="1">INDIRECT("["&amp;datatable!$C$3&amp;"]"&amp;datatable!$B11&amp;"!"&amp;"Q9")</f>
        <v>Medium Incorrect</v>
      </c>
      <c r="L64" s="51" t="str" cm="1">
        <f t="array" aca="1" ref="L64" ca="1">INDIRECT("["&amp;datatable!$C$3&amp;"]"&amp;datatable!$B11&amp;"!"&amp;"Q10")</f>
        <v>Medium Incorrect</v>
      </c>
      <c r="M64" s="51" t="str" cm="1">
        <f t="array" aca="1" ref="M64" ca="1">INDIRECT("["&amp;datatable!$C$3&amp;"]"&amp;datatable!$B11&amp;"!"&amp;"Q11")</f>
        <v>Low Incorrect</v>
      </c>
      <c r="N64" s="51" t="str" cm="1">
        <f t="array" aca="1" ref="N64" ca="1">INDIRECT("["&amp;datatable!$C$3&amp;"]"&amp;datatable!$B11&amp;"!"&amp;"Q46")</f>
        <v>Medium Incorrect</v>
      </c>
      <c r="O64" s="51" t="str" cm="1">
        <f t="array" aca="1" ref="O64" ca="1">INDIRECT("["&amp;datatable!$C$3&amp;"]"&amp;datatable!$B11&amp;"!"&amp;"Q47")</f>
        <v>Medium Incorrect</v>
      </c>
      <c r="P64" s="51" t="str" cm="1">
        <f t="array" aca="1" ref="P64" ca="1">INDIRECT("["&amp;datatable!$C$3&amp;"]"&amp;datatable!$B11&amp;"!"&amp;"Q48")</f>
        <v>Low Maybe</v>
      </c>
      <c r="Q64" s="51" t="str" cm="1">
        <f t="array" aca="1" ref="Q64" ca="1">INDIRECT("["&amp;datatable!$C$3&amp;"]"&amp;datatable!$B11&amp;"!"&amp;"Q49")</f>
        <v>Medium Incorrect</v>
      </c>
      <c r="R64" s="51" t="str" cm="1">
        <f t="array" aca="1" ref="R64" ca="1">INDIRECT("["&amp;datatable!$C$3&amp;"]"&amp;datatable!$B11&amp;"!"&amp;"Q50")</f>
        <v>Low Incorrect</v>
      </c>
      <c r="S64" s="51" t="str" cm="1">
        <f t="array" aca="1" ref="S64" ca="1">INDIRECT("["&amp;datatable!$C$3&amp;"]"&amp;datatable!$B11&amp;"!"&amp;"Q51")</f>
        <v>High Incorrect</v>
      </c>
      <c r="T64" s="51" t="str" cm="1">
        <f t="array" aca="1" ref="T64" ca="1">INDIRECT("["&amp;datatable!$C$3&amp;"]"&amp;datatable!$B11&amp;"!"&amp;"Q52")</f>
        <v>High Correct</v>
      </c>
      <c r="U64" s="51" t="str" cm="1">
        <f t="array" aca="1" ref="U64" ca="1">INDIRECT("["&amp;datatable!$C$3&amp;"]"&amp;datatable!$B11&amp;"!"&amp;"Q53")</f>
        <v>High Correct</v>
      </c>
      <c r="V64" s="51" t="str" cm="1">
        <f t="array" aca="1" ref="V64" ca="1">INDIRECT("["&amp;datatable!$C$3&amp;"]"&amp;datatable!$B11&amp;"!"&amp;"Q54")</f>
        <v>Low Incorrect</v>
      </c>
      <c r="W64" s="51" t="str" cm="1">
        <f t="array" aca="1" ref="W64" ca="1">INDIRECT("["&amp;datatable!$C$3&amp;"]"&amp;datatable!$B11&amp;"!"&amp;"Q55")</f>
        <v>High Incorrect</v>
      </c>
      <c r="X64" s="51" t="str" cm="1">
        <f t="array" aca="1" ref="X64" ca="1">INDIRECT("["&amp;datatable!$C$3&amp;"]"&amp;datatable!$B11&amp;"!"&amp;"Q56")</f>
        <v>Medium Incorrect</v>
      </c>
      <c r="Y64" s="50"/>
    </row>
    <row r="65" spans="3:25">
      <c r="C65" s="30" t="s">
        <v>47</v>
      </c>
      <c r="D65" s="51" t="str" cm="1">
        <f t="array" aca="1" ref="D65" ca="1">INDIRECT("["&amp;datatable!$C$3&amp;"]"&amp;datatable!$B12&amp;"!"&amp;"Q2")</f>
        <v>Medium Incorrect</v>
      </c>
      <c r="E65" s="51" t="str" cm="1">
        <f t="array" aca="1" ref="E65" ca="1">INDIRECT("["&amp;datatable!$C$3&amp;"]"&amp;datatable!$B12&amp;"!"&amp;"Q3")</f>
        <v>Low Incorrect</v>
      </c>
      <c r="F65" s="51" t="str" cm="1">
        <f t="array" aca="1" ref="F65" ca="1">INDIRECT("["&amp;datatable!$C$3&amp;"]"&amp;datatable!$B12&amp;"!"&amp;"Q4")</f>
        <v>High Correct</v>
      </c>
      <c r="G65" s="51" t="str" cm="1">
        <f t="array" aca="1" ref="G65" ca="1">INDIRECT("["&amp;datatable!$C$3&amp;"]"&amp;datatable!$B12&amp;"!"&amp;"Q5")</f>
        <v>Low Incorrect</v>
      </c>
      <c r="H65" s="51" t="str" cm="1">
        <f t="array" aca="1" ref="H65" ca="1">INDIRECT("["&amp;datatable!$C$3&amp;"]"&amp;datatable!$B12&amp;"!"&amp;"Q6")</f>
        <v>Low Incorrect</v>
      </c>
      <c r="I65" s="51" t="str" cm="1">
        <f t="array" aca="1" ref="I65" ca="1">INDIRECT("["&amp;datatable!$C$3&amp;"]"&amp;datatable!$B12&amp;"!"&amp;"Q7")</f>
        <v>Medium Correct</v>
      </c>
      <c r="J65" s="51" t="str" cm="1">
        <f t="array" aca="1" ref="J65" ca="1">INDIRECT("["&amp;datatable!$C$3&amp;"]"&amp;datatable!$B12&amp;"!"&amp;"Q8")</f>
        <v>Medium Incorrect</v>
      </c>
      <c r="K65" s="51" t="str" cm="1">
        <f t="array" aca="1" ref="K65" ca="1">INDIRECT("["&amp;datatable!$C$3&amp;"]"&amp;datatable!$B12&amp;"!"&amp;"Q9")</f>
        <v>Medium Incorrect</v>
      </c>
      <c r="L65" s="51" t="str" cm="1">
        <f t="array" aca="1" ref="L65" ca="1">INDIRECT("["&amp;datatable!$C$3&amp;"]"&amp;datatable!$B12&amp;"!"&amp;"Q10")</f>
        <v>Medium Incorrect</v>
      </c>
      <c r="M65" s="51" t="str" cm="1">
        <f t="array" aca="1" ref="M65" ca="1">INDIRECT("["&amp;datatable!$C$3&amp;"]"&amp;datatable!$B12&amp;"!"&amp;"Q11")</f>
        <v>Medium Incorrect</v>
      </c>
      <c r="N65" s="51" t="str" cm="1">
        <f t="array" aca="1" ref="N65" ca="1">INDIRECT("["&amp;datatable!$C$3&amp;"]"&amp;datatable!$B12&amp;"!"&amp;"Q46")</f>
        <v>High Incorrect</v>
      </c>
      <c r="O65" s="51" t="str" cm="1">
        <f t="array" aca="1" ref="O65" ca="1">INDIRECT("["&amp;datatable!$C$3&amp;"]"&amp;datatable!$B12&amp;"!"&amp;"Q47")</f>
        <v>Low Incorrect</v>
      </c>
      <c r="P65" s="51" t="str" cm="1">
        <f t="array" aca="1" ref="P65" ca="1">INDIRECT("["&amp;datatable!$C$3&amp;"]"&amp;datatable!$B12&amp;"!"&amp;"Q48")</f>
        <v>Low Incorrect</v>
      </c>
      <c r="Q65" s="51" t="str" cm="1">
        <f t="array" aca="1" ref="Q65" ca="1">INDIRECT("["&amp;datatable!$C$3&amp;"]"&amp;datatable!$B12&amp;"!"&amp;"Q49")</f>
        <v>Low Incorrect</v>
      </c>
      <c r="R65" s="51" t="str" cm="1">
        <f t="array" aca="1" ref="R65" ca="1">INDIRECT("["&amp;datatable!$C$3&amp;"]"&amp;datatable!$B12&amp;"!"&amp;"Q50")</f>
        <v>Low Maybe</v>
      </c>
      <c r="S65" s="51" t="str" cm="1">
        <f t="array" aca="1" ref="S65" ca="1">INDIRECT("["&amp;datatable!$C$3&amp;"]"&amp;datatable!$B12&amp;"!"&amp;"Q51")</f>
        <v>Low Incorrect</v>
      </c>
      <c r="T65" s="51" t="str" cm="1">
        <f t="array" aca="1" ref="T65" ca="1">INDIRECT("["&amp;datatable!$C$3&amp;"]"&amp;datatable!$B12&amp;"!"&amp;"Q52")</f>
        <v>Low Incorrect</v>
      </c>
      <c r="U65" s="51" t="str" cm="1">
        <f t="array" aca="1" ref="U65" ca="1">INDIRECT("["&amp;datatable!$C$3&amp;"]"&amp;datatable!$B12&amp;"!"&amp;"Q53")</f>
        <v>Low Maybe</v>
      </c>
      <c r="V65" s="51" t="str" cm="1">
        <f t="array" aca="1" ref="V65" ca="1">INDIRECT("["&amp;datatable!$C$3&amp;"]"&amp;datatable!$B12&amp;"!"&amp;"Q54")</f>
        <v>Low Incorrect</v>
      </c>
      <c r="W65" s="51" t="str" cm="1">
        <f t="array" aca="1" ref="W65" ca="1">INDIRECT("["&amp;datatable!$C$3&amp;"]"&amp;datatable!$B12&amp;"!"&amp;"Q55")</f>
        <v>Low Incorrect</v>
      </c>
      <c r="X65" s="51" t="str" cm="1">
        <f t="array" aca="1" ref="X65" ca="1">INDIRECT("["&amp;datatable!$C$3&amp;"]"&amp;datatable!$B12&amp;"!"&amp;"Q56")</f>
        <v>High Correct</v>
      </c>
      <c r="Y65" s="50"/>
    </row>
    <row r="66" spans="3:25">
      <c r="C66" s="30" t="s">
        <v>48</v>
      </c>
      <c r="D66" s="51" t="str" cm="1">
        <f t="array" aca="1" ref="D66" ca="1">INDIRECT("["&amp;datatable!$C$3&amp;"]"&amp;datatable!$B13&amp;"!"&amp;"Q2")</f>
        <v>High Correct</v>
      </c>
      <c r="E66" s="51" t="str" cm="1">
        <f t="array" aca="1" ref="E66" ca="1">INDIRECT("["&amp;datatable!$C$3&amp;"]"&amp;datatable!$B13&amp;"!"&amp;"Q3")</f>
        <v>High Correct</v>
      </c>
      <c r="F66" s="51" t="str" cm="1">
        <f t="array" aca="1" ref="F66" ca="1">INDIRECT("["&amp;datatable!$C$3&amp;"]"&amp;datatable!$B13&amp;"!"&amp;"Q4")</f>
        <v>High Correct</v>
      </c>
      <c r="G66" s="51" t="str" cm="1">
        <f t="array" aca="1" ref="G66" ca="1">INDIRECT("["&amp;datatable!$C$3&amp;"]"&amp;datatable!$B13&amp;"!"&amp;"Q5")</f>
        <v>High Correct</v>
      </c>
      <c r="H66" s="51" t="str" cm="1">
        <f t="array" aca="1" ref="H66" ca="1">INDIRECT("["&amp;datatable!$C$3&amp;"]"&amp;datatable!$B13&amp;"!"&amp;"Q6")</f>
        <v>High Correct</v>
      </c>
      <c r="I66" s="51" t="str" cm="1">
        <f t="array" aca="1" ref="I66" ca="1">INDIRECT("["&amp;datatable!$C$3&amp;"]"&amp;datatable!$B13&amp;"!"&amp;"Q7")</f>
        <v>High Correct</v>
      </c>
      <c r="J66" s="51" t="str" cm="1">
        <f t="array" aca="1" ref="J66" ca="1">INDIRECT("["&amp;datatable!$C$3&amp;"]"&amp;datatable!$B13&amp;"!"&amp;"Q8")</f>
        <v>High Correct</v>
      </c>
      <c r="K66" s="51" t="str" cm="1">
        <f t="array" aca="1" ref="K66" ca="1">INDIRECT("["&amp;datatable!$C$3&amp;"]"&amp;datatable!$B13&amp;"!"&amp;"Q9")</f>
        <v>High Correct</v>
      </c>
      <c r="L66" s="51" t="str" cm="1">
        <f t="array" aca="1" ref="L66" ca="1">INDIRECT("["&amp;datatable!$C$3&amp;"]"&amp;datatable!$B13&amp;"!"&amp;"Q10")</f>
        <v>Medium Correct</v>
      </c>
      <c r="M66" s="51" t="str" cm="1">
        <f t="array" aca="1" ref="M66" ca="1">INDIRECT("["&amp;datatable!$C$3&amp;"]"&amp;datatable!$B13&amp;"!"&amp;"Q11")</f>
        <v>Medium Correct</v>
      </c>
      <c r="N66" s="51" t="str" cm="1">
        <f t="array" aca="1" ref="N66" ca="1">INDIRECT("["&amp;datatable!$C$3&amp;"]"&amp;datatable!$B13&amp;"!"&amp;"Q46")</f>
        <v>High Correct</v>
      </c>
      <c r="O66" s="51" t="str" cm="1">
        <f t="array" aca="1" ref="O66" ca="1">INDIRECT("["&amp;datatable!$C$3&amp;"]"&amp;datatable!$B13&amp;"!"&amp;"Q47")</f>
        <v>High Correct</v>
      </c>
      <c r="P66" s="51" t="str" cm="1">
        <f t="array" aca="1" ref="P66" ca="1">INDIRECT("["&amp;datatable!$C$3&amp;"]"&amp;datatable!$B13&amp;"!"&amp;"Q48")</f>
        <v>High Correct</v>
      </c>
      <c r="Q66" s="51" t="str" cm="1">
        <f t="array" aca="1" ref="Q66" ca="1">INDIRECT("["&amp;datatable!$C$3&amp;"]"&amp;datatable!$B13&amp;"!"&amp;"Q49")</f>
        <v>High Correct</v>
      </c>
      <c r="R66" s="51" t="str" cm="1">
        <f t="array" aca="1" ref="R66" ca="1">INDIRECT("["&amp;datatable!$C$3&amp;"]"&amp;datatable!$B13&amp;"!"&amp;"Q50")</f>
        <v>High Correct</v>
      </c>
      <c r="S66" s="51" t="str" cm="1">
        <f t="array" aca="1" ref="S66" ca="1">INDIRECT("["&amp;datatable!$C$3&amp;"]"&amp;datatable!$B13&amp;"!"&amp;"Q51")</f>
        <v>High Correct</v>
      </c>
      <c r="T66" s="51" t="str" cm="1">
        <f t="array" aca="1" ref="T66" ca="1">INDIRECT("["&amp;datatable!$C$3&amp;"]"&amp;datatable!$B13&amp;"!"&amp;"Q52")</f>
        <v>High Correct</v>
      </c>
      <c r="U66" s="51" t="str" cm="1">
        <f t="array" aca="1" ref="U66" ca="1">INDIRECT("["&amp;datatable!$C$3&amp;"]"&amp;datatable!$B13&amp;"!"&amp;"Q53")</f>
        <v>High Correct</v>
      </c>
      <c r="V66" s="51" t="str" cm="1">
        <f t="array" aca="1" ref="V66" ca="1">INDIRECT("["&amp;datatable!$C$3&amp;"]"&amp;datatable!$B13&amp;"!"&amp;"Q54")</f>
        <v>Low Incorrect</v>
      </c>
      <c r="W66" s="51" t="str" cm="1">
        <f t="array" aca="1" ref="W66" ca="1">INDIRECT("["&amp;datatable!$C$3&amp;"]"&amp;datatable!$B13&amp;"!"&amp;"Q55")</f>
        <v>High Correct</v>
      </c>
      <c r="X66" s="51" t="str" cm="1">
        <f t="array" aca="1" ref="X66" ca="1">INDIRECT("["&amp;datatable!$C$3&amp;"]"&amp;datatable!$B13&amp;"!"&amp;"Q56")</f>
        <v>High Correct</v>
      </c>
      <c r="Y66" s="50"/>
    </row>
    <row r="67" spans="3:25">
      <c r="C67" s="30" t="s">
        <v>49</v>
      </c>
      <c r="D67" s="51" t="str" cm="1">
        <f t="array" aca="1" ref="D67" ca="1">INDIRECT("["&amp;datatable!$C$3&amp;"]"&amp;datatable!$B14&amp;"!"&amp;"Q2")</f>
        <v>Medium Incorrect</v>
      </c>
      <c r="E67" s="51" t="str" cm="1">
        <f t="array" aca="1" ref="E67" ca="1">INDIRECT("["&amp;datatable!$C$3&amp;"]"&amp;datatable!$B14&amp;"!"&amp;"Q3")</f>
        <v>Low Incorrect</v>
      </c>
      <c r="F67" s="51" t="str" cm="1">
        <f t="array" aca="1" ref="F67" ca="1">INDIRECT("["&amp;datatable!$C$3&amp;"]"&amp;datatable!$B14&amp;"!"&amp;"Q4")</f>
        <v>Low Incorrect</v>
      </c>
      <c r="G67" s="51" t="str" cm="1">
        <f t="array" aca="1" ref="G67" ca="1">INDIRECT("["&amp;datatable!$C$3&amp;"]"&amp;datatable!$B14&amp;"!"&amp;"Q5")</f>
        <v>High Maybe</v>
      </c>
      <c r="H67" s="51" t="str" cm="1">
        <f t="array" aca="1" ref="H67" ca="1">INDIRECT("["&amp;datatable!$C$3&amp;"]"&amp;datatable!$B14&amp;"!"&amp;"Q6")</f>
        <v>Low Maybe</v>
      </c>
      <c r="I67" s="51" t="str" cm="1">
        <f t="array" aca="1" ref="I67" ca="1">INDIRECT("["&amp;datatable!$C$3&amp;"]"&amp;datatable!$B14&amp;"!"&amp;"Q7")</f>
        <v>Medium Maybe</v>
      </c>
      <c r="J67" s="51" t="str" cm="1">
        <f t="array" aca="1" ref="J67" ca="1">INDIRECT("["&amp;datatable!$C$3&amp;"]"&amp;datatable!$B14&amp;"!"&amp;"Q8")</f>
        <v>High Incorrect</v>
      </c>
      <c r="K67" s="51" t="str" cm="1">
        <f t="array" aca="1" ref="K67" ca="1">INDIRECT("["&amp;datatable!$C$3&amp;"]"&amp;datatable!$B14&amp;"!"&amp;"Q9")</f>
        <v>N/A</v>
      </c>
      <c r="L67" s="51" t="str" cm="1">
        <f t="array" aca="1" ref="L67" ca="1">INDIRECT("["&amp;datatable!$C$3&amp;"]"&amp;datatable!$B14&amp;"!"&amp;"Q10")</f>
        <v>N/A</v>
      </c>
      <c r="M67" s="51" t="str" cm="1">
        <f t="array" aca="1" ref="M67" ca="1">INDIRECT("["&amp;datatable!$C$3&amp;"]"&amp;datatable!$B14&amp;"!"&amp;"Q11")</f>
        <v>Low Incorrect</v>
      </c>
      <c r="N67" s="51" t="str" cm="1">
        <f t="array" aca="1" ref="N67" ca="1">INDIRECT("["&amp;datatable!$C$3&amp;"]"&amp;datatable!$B14&amp;"!"&amp;"Q46")</f>
        <v>Low Incorrect</v>
      </c>
      <c r="O67" s="51" t="str" cm="1">
        <f t="array" aca="1" ref="O67" ca="1">INDIRECT("["&amp;datatable!$C$3&amp;"]"&amp;datatable!$B14&amp;"!"&amp;"Q47")</f>
        <v>Low Incorrect</v>
      </c>
      <c r="P67" s="51" t="str" cm="1">
        <f t="array" aca="1" ref="P67" ca="1">INDIRECT("["&amp;datatable!$C$3&amp;"]"&amp;datatable!$B14&amp;"!"&amp;"Q48")</f>
        <v>Low Incorrect</v>
      </c>
      <c r="Q67" s="51" t="str" cm="1">
        <f t="array" aca="1" ref="Q67" ca="1">INDIRECT("["&amp;datatable!$C$3&amp;"]"&amp;datatable!$B14&amp;"!"&amp;"Q49")</f>
        <v>Low Incorrect</v>
      </c>
      <c r="R67" s="51" t="str" cm="1">
        <f t="array" aca="1" ref="R67" ca="1">INDIRECT("["&amp;datatable!$C$3&amp;"]"&amp;datatable!$B14&amp;"!"&amp;"Q50")</f>
        <v>High Incorrect</v>
      </c>
      <c r="S67" s="51" t="str" cm="1">
        <f t="array" aca="1" ref="S67" ca="1">INDIRECT("["&amp;datatable!$C$3&amp;"]"&amp;datatable!$B14&amp;"!"&amp;"Q51")</f>
        <v>Low Incorrect</v>
      </c>
      <c r="T67" s="51" t="str" cm="1">
        <f t="array" aca="1" ref="T67" ca="1">INDIRECT("["&amp;datatable!$C$3&amp;"]"&amp;datatable!$B14&amp;"!"&amp;"Q52")</f>
        <v>Low Incorrect</v>
      </c>
      <c r="U67" s="51" t="str" cm="1">
        <f t="array" aca="1" ref="U67" ca="1">INDIRECT("["&amp;datatable!$C$3&amp;"]"&amp;datatable!$B14&amp;"!"&amp;"Q53")</f>
        <v>Low Incorrect</v>
      </c>
      <c r="V67" s="51" t="str" cm="1">
        <f t="array" aca="1" ref="V67" ca="1">INDIRECT("["&amp;datatable!$C$3&amp;"]"&amp;datatable!$B14&amp;"!"&amp;"Q54")</f>
        <v>Low Maybe</v>
      </c>
      <c r="W67" s="51" t="str" cm="1">
        <f t="array" aca="1" ref="W67" ca="1">INDIRECT("["&amp;datatable!$C$3&amp;"]"&amp;datatable!$B14&amp;"!"&amp;"Q55")</f>
        <v>Low Incorrect</v>
      </c>
      <c r="X67" s="51" t="str" cm="1">
        <f t="array" aca="1" ref="X67" ca="1">INDIRECT("["&amp;datatable!$C$3&amp;"]"&amp;datatable!$B14&amp;"!"&amp;"Q56")</f>
        <v>N/A</v>
      </c>
      <c r="Y67" s="50"/>
    </row>
    <row r="68" spans="3:25">
      <c r="C68" s="30" t="s">
        <v>50</v>
      </c>
      <c r="D68" s="51" t="str" cm="1">
        <f t="array" aca="1" ref="D68" ca="1">INDIRECT("["&amp;datatable!$C$3&amp;"]"&amp;datatable!$B15&amp;"!"&amp;"Q2")</f>
        <v>Medium Incorrect</v>
      </c>
      <c r="E68" s="51" t="str" cm="1">
        <f t="array" aca="1" ref="E68" ca="1">INDIRECT("["&amp;datatable!$C$3&amp;"]"&amp;datatable!$B15&amp;"!"&amp;"Q3")</f>
        <v>Low Maybe</v>
      </c>
      <c r="F68" s="51" t="str" cm="1">
        <f t="array" aca="1" ref="F68" ca="1">INDIRECT("["&amp;datatable!$C$3&amp;"]"&amp;datatable!$B15&amp;"!"&amp;"Q4")</f>
        <v>Medium Incorrect</v>
      </c>
      <c r="G68" s="51" t="str" cm="1">
        <f t="array" aca="1" ref="G68" ca="1">INDIRECT("["&amp;datatable!$C$3&amp;"]"&amp;datatable!$B15&amp;"!"&amp;"Q5")</f>
        <v>Medium Incorrect</v>
      </c>
      <c r="H68" s="51" t="str" cm="1">
        <f t="array" aca="1" ref="H68" ca="1">INDIRECT("["&amp;datatable!$C$3&amp;"]"&amp;datatable!$B15&amp;"!"&amp;"Q6")</f>
        <v>Medium Incorrect</v>
      </c>
      <c r="I68" s="51" t="str" cm="1">
        <f t="array" aca="1" ref="I68" ca="1">INDIRECT("["&amp;datatable!$C$3&amp;"]"&amp;datatable!$B15&amp;"!"&amp;"Q7")</f>
        <v>Low Incorrect</v>
      </c>
      <c r="J68" s="51" t="str" cm="1">
        <f t="array" aca="1" ref="J68" ca="1">INDIRECT("["&amp;datatable!$C$3&amp;"]"&amp;datatable!$B15&amp;"!"&amp;"Q8")</f>
        <v>Low Incorrect</v>
      </c>
      <c r="K68" s="51" t="str" cm="1">
        <f t="array" aca="1" ref="K68" ca="1">INDIRECT("["&amp;datatable!$C$3&amp;"]"&amp;datatable!$B15&amp;"!"&amp;"Q9")</f>
        <v>Medium Incorrect</v>
      </c>
      <c r="L68" s="51" t="str" cm="1">
        <f t="array" aca="1" ref="L68" ca="1">INDIRECT("["&amp;datatable!$C$3&amp;"]"&amp;datatable!$B15&amp;"!"&amp;"Q10")</f>
        <v>Medium Incorrect</v>
      </c>
      <c r="M68" s="51" t="str" cm="1">
        <f t="array" aca="1" ref="M68" ca="1">INDIRECT("["&amp;datatable!$C$3&amp;"]"&amp;datatable!$B15&amp;"!"&amp;"Q11")</f>
        <v>High Incorrect</v>
      </c>
      <c r="N68" s="51" t="str" cm="1">
        <f t="array" aca="1" ref="N68" ca="1">INDIRECT("["&amp;datatable!$C$3&amp;"]"&amp;datatable!$B15&amp;"!"&amp;"Q46")</f>
        <v>Medium Incorrect</v>
      </c>
      <c r="O68" s="51" t="str" cm="1">
        <f t="array" aca="1" ref="O68" ca="1">INDIRECT("["&amp;datatable!$C$3&amp;"]"&amp;datatable!$B15&amp;"!"&amp;"Q47")</f>
        <v>Medium Incorrect</v>
      </c>
      <c r="P68" s="51" t="str" cm="1">
        <f t="array" aca="1" ref="P68" ca="1">INDIRECT("["&amp;datatable!$C$3&amp;"]"&amp;datatable!$B15&amp;"!"&amp;"Q48")</f>
        <v>High Incorrect</v>
      </c>
      <c r="Q68" s="51" t="str" cm="1">
        <f t="array" aca="1" ref="Q68" ca="1">INDIRECT("["&amp;datatable!$C$3&amp;"]"&amp;datatable!$B15&amp;"!"&amp;"Q49")</f>
        <v>High Incorrect</v>
      </c>
      <c r="R68" s="51" t="str" cm="1">
        <f t="array" aca="1" ref="R68" ca="1">INDIRECT("["&amp;datatable!$C$3&amp;"]"&amp;datatable!$B15&amp;"!"&amp;"Q50")</f>
        <v>Low Incorrect</v>
      </c>
      <c r="S68" s="51" t="str" cm="1">
        <f t="array" aca="1" ref="S68" ca="1">INDIRECT("["&amp;datatable!$C$3&amp;"]"&amp;datatable!$B15&amp;"!"&amp;"Q51")</f>
        <v>High Incorrect</v>
      </c>
      <c r="T68" s="51" t="str" cm="1">
        <f t="array" aca="1" ref="T68" ca="1">INDIRECT("["&amp;datatable!$C$3&amp;"]"&amp;datatable!$B15&amp;"!"&amp;"Q52")</f>
        <v>Low Maybe</v>
      </c>
      <c r="U68" s="51" t="str" cm="1">
        <f t="array" aca="1" ref="U68" ca="1">INDIRECT("["&amp;datatable!$C$3&amp;"]"&amp;datatable!$B15&amp;"!"&amp;"Q53")</f>
        <v>High Correct</v>
      </c>
      <c r="V68" s="51" t="str" cm="1">
        <f t="array" aca="1" ref="V68" ca="1">INDIRECT("["&amp;datatable!$C$3&amp;"]"&amp;datatable!$B15&amp;"!"&amp;"Q54")</f>
        <v>High Correct</v>
      </c>
      <c r="W68" s="51" t="str" cm="1">
        <f t="array" aca="1" ref="W68" ca="1">INDIRECT("["&amp;datatable!$C$3&amp;"]"&amp;datatable!$B15&amp;"!"&amp;"Q55")</f>
        <v>Low Maybe</v>
      </c>
      <c r="X68" s="51" t="str" cm="1">
        <f t="array" aca="1" ref="X68" ca="1">INDIRECT("["&amp;datatable!$C$3&amp;"]"&amp;datatable!$B15&amp;"!"&amp;"Q56")</f>
        <v>Low Incorrect</v>
      </c>
      <c r="Y68" s="50"/>
    </row>
    <row r="69" spans="3:25">
      <c r="C69" s="30" t="s">
        <v>51</v>
      </c>
      <c r="D69" s="51" t="str" cm="1">
        <f t="array" aca="1" ref="D69" ca="1">INDIRECT("["&amp;datatable!$C$3&amp;"]"&amp;datatable!$B16&amp;"!"&amp;"Q2")</f>
        <v>Medium Incorrect</v>
      </c>
      <c r="E69" s="51" t="str" cm="1">
        <f t="array" aca="1" ref="E69" ca="1">INDIRECT("["&amp;datatable!$C$3&amp;"]"&amp;datatable!$B16&amp;"!"&amp;"Q3")</f>
        <v>Low Incorrect</v>
      </c>
      <c r="F69" s="51" t="str" cm="1">
        <f t="array" aca="1" ref="F69" ca="1">INDIRECT("["&amp;datatable!$C$3&amp;"]"&amp;datatable!$B16&amp;"!"&amp;"Q4")</f>
        <v>Low Incorrect</v>
      </c>
      <c r="G69" s="51" t="str" cm="1">
        <f t="array" aca="1" ref="G69" ca="1">INDIRECT("["&amp;datatable!$C$3&amp;"]"&amp;datatable!$B16&amp;"!"&amp;"Q5")</f>
        <v>High Correct</v>
      </c>
      <c r="H69" s="51" t="str" cm="1">
        <f t="array" aca="1" ref="H69" ca="1">INDIRECT("["&amp;datatable!$C$3&amp;"]"&amp;datatable!$B16&amp;"!"&amp;"Q6")</f>
        <v>High Incorrect</v>
      </c>
      <c r="I69" s="51" t="str" cm="1">
        <f t="array" aca="1" ref="I69" ca="1">INDIRECT("["&amp;datatable!$C$3&amp;"]"&amp;datatable!$B16&amp;"!"&amp;"Q7")</f>
        <v>Low Incorrect</v>
      </c>
      <c r="J69" s="51" t="str" cm="1">
        <f t="array" aca="1" ref="J69" ca="1">INDIRECT("["&amp;datatable!$C$3&amp;"]"&amp;datatable!$B16&amp;"!"&amp;"Q8")</f>
        <v>High Incorrect</v>
      </c>
      <c r="K69" s="51" t="str" cm="1">
        <f t="array" aca="1" ref="K69" ca="1">INDIRECT("["&amp;datatable!$C$3&amp;"]"&amp;datatable!$B16&amp;"!"&amp;"Q9")</f>
        <v>Low Incorrect</v>
      </c>
      <c r="L69" s="51" t="str" cm="1">
        <f t="array" aca="1" ref="L69" ca="1">INDIRECT("["&amp;datatable!$C$3&amp;"]"&amp;datatable!$B16&amp;"!"&amp;"Q10")</f>
        <v>High Incorrect</v>
      </c>
      <c r="M69" s="51" t="str" cm="1">
        <f t="array" aca="1" ref="M69" ca="1">INDIRECT("["&amp;datatable!$C$3&amp;"]"&amp;datatable!$B16&amp;"!"&amp;"Q11")</f>
        <v>Medium Incorrect</v>
      </c>
      <c r="N69" s="51" t="str" cm="1">
        <f t="array" aca="1" ref="N69" ca="1">INDIRECT("["&amp;datatable!$C$3&amp;"]"&amp;datatable!$B16&amp;"!"&amp;"Q46")</f>
        <v>Medium Incorrect</v>
      </c>
      <c r="O69" s="51" t="str" cm="1">
        <f t="array" aca="1" ref="O69" ca="1">INDIRECT("["&amp;datatable!$C$3&amp;"]"&amp;datatable!$B16&amp;"!"&amp;"Q47")</f>
        <v>Low Incorrect</v>
      </c>
      <c r="P69" s="51" t="str" cm="1">
        <f t="array" aca="1" ref="P69" ca="1">INDIRECT("["&amp;datatable!$C$3&amp;"]"&amp;datatable!$B16&amp;"!"&amp;"Q48")</f>
        <v>Low Incorrect</v>
      </c>
      <c r="Q69" s="51" t="str" cm="1">
        <f t="array" aca="1" ref="Q69" ca="1">INDIRECT("["&amp;datatable!$C$3&amp;"]"&amp;datatable!$B16&amp;"!"&amp;"Q49")</f>
        <v>High Incorrect</v>
      </c>
      <c r="R69" s="51" t="str" cm="1">
        <f t="array" aca="1" ref="R69" ca="1">INDIRECT("["&amp;datatable!$C$3&amp;"]"&amp;datatable!$B16&amp;"!"&amp;"Q50")</f>
        <v>Low Incorrect</v>
      </c>
      <c r="S69" s="51" t="str" cm="1">
        <f t="array" aca="1" ref="S69" ca="1">INDIRECT("["&amp;datatable!$C$3&amp;"]"&amp;datatable!$B16&amp;"!"&amp;"Q51")</f>
        <v>Low Incorrect</v>
      </c>
      <c r="T69" s="51" t="str" cm="1">
        <f t="array" aca="1" ref="T69" ca="1">INDIRECT("["&amp;datatable!$C$3&amp;"]"&amp;datatable!$B16&amp;"!"&amp;"Q52")</f>
        <v>Medium Incorrect</v>
      </c>
      <c r="U69" s="51" t="str" cm="1">
        <f t="array" aca="1" ref="U69" ca="1">INDIRECT("["&amp;datatable!$C$3&amp;"]"&amp;datatable!$B16&amp;"!"&amp;"Q53")</f>
        <v>High Incorrect</v>
      </c>
      <c r="V69" s="51" t="str" cm="1">
        <f t="array" aca="1" ref="V69" ca="1">INDIRECT("["&amp;datatable!$C$3&amp;"]"&amp;datatable!$B16&amp;"!"&amp;"Q54")</f>
        <v>Low Incorrect</v>
      </c>
      <c r="W69" s="51" t="str" cm="1">
        <f t="array" aca="1" ref="W69" ca="1">INDIRECT("["&amp;datatable!$C$3&amp;"]"&amp;datatable!$B16&amp;"!"&amp;"Q55")</f>
        <v>Low Incorrect</v>
      </c>
      <c r="X69" s="51" t="str" cm="1">
        <f t="array" aca="1" ref="X69" ca="1">INDIRECT("["&amp;datatable!$C$3&amp;"]"&amp;datatable!$B16&amp;"!"&amp;"Q56")</f>
        <v>Low Incorrect</v>
      </c>
      <c r="Y69" s="50"/>
    </row>
    <row r="70" spans="3:25">
      <c r="C70" s="30" t="s">
        <v>52</v>
      </c>
      <c r="D70" s="51" t="str" cm="1">
        <f t="array" aca="1" ref="D70" ca="1">INDIRECT("["&amp;datatable!$C$3&amp;"]"&amp;datatable!$B17&amp;"!"&amp;"Q2")</f>
        <v>Low Maybe</v>
      </c>
      <c r="E70" s="51" t="str" cm="1">
        <f t="array" aca="1" ref="E70" ca="1">INDIRECT("["&amp;datatable!$C$3&amp;"]"&amp;datatable!$B17&amp;"!"&amp;"Q3")</f>
        <v>Medium Incorrect</v>
      </c>
      <c r="F70" s="51" t="str" cm="1">
        <f t="array" aca="1" ref="F70" ca="1">INDIRECT("["&amp;datatable!$C$3&amp;"]"&amp;datatable!$B17&amp;"!"&amp;"Q4")</f>
        <v>Low Incorrect</v>
      </c>
      <c r="G70" s="51" t="str" cm="1">
        <f t="array" aca="1" ref="G70" ca="1">INDIRECT("["&amp;datatable!$C$3&amp;"]"&amp;datatable!$B17&amp;"!"&amp;"Q5")</f>
        <v>High Incorrect</v>
      </c>
      <c r="H70" s="51" t="str" cm="1">
        <f t="array" aca="1" ref="H70" ca="1">INDIRECT("["&amp;datatable!$C$3&amp;"]"&amp;datatable!$B17&amp;"!"&amp;"Q6")</f>
        <v>Low Incorrect</v>
      </c>
      <c r="I70" s="51" t="str" cm="1">
        <f t="array" aca="1" ref="I70" ca="1">INDIRECT("["&amp;datatable!$C$3&amp;"]"&amp;datatable!$B17&amp;"!"&amp;"Q7")</f>
        <v>Low Incorrect</v>
      </c>
      <c r="J70" s="51" t="str" cm="1">
        <f t="array" aca="1" ref="J70" ca="1">INDIRECT("["&amp;datatable!$C$3&amp;"]"&amp;datatable!$B17&amp;"!"&amp;"Q8")</f>
        <v>High Incorrect</v>
      </c>
      <c r="K70" s="51" t="str" cm="1">
        <f t="array" aca="1" ref="K70" ca="1">INDIRECT("["&amp;datatable!$C$3&amp;"]"&amp;datatable!$B17&amp;"!"&amp;"Q9")</f>
        <v>Low Incorrect</v>
      </c>
      <c r="L70" s="51" t="str" cm="1">
        <f t="array" aca="1" ref="L70" ca="1">INDIRECT("["&amp;datatable!$C$3&amp;"]"&amp;datatable!$B17&amp;"!"&amp;"Q10")</f>
        <v>Low Incorrect</v>
      </c>
      <c r="M70" s="51" t="str" cm="1">
        <f t="array" aca="1" ref="M70" ca="1">INDIRECT("["&amp;datatable!$C$3&amp;"]"&amp;datatable!$B17&amp;"!"&amp;"Q11")</f>
        <v>Medium Incorrect</v>
      </c>
      <c r="N70" s="51" t="str" cm="1">
        <f t="array" aca="1" ref="N70" ca="1">INDIRECT("["&amp;datatable!$C$3&amp;"]"&amp;datatable!$B17&amp;"!"&amp;"Q46")</f>
        <v>High Correct</v>
      </c>
      <c r="O70" s="51" t="str" cm="1">
        <f t="array" aca="1" ref="O70" ca="1">INDIRECT("["&amp;datatable!$C$3&amp;"]"&amp;datatable!$B17&amp;"!"&amp;"Q47")</f>
        <v>High Correct</v>
      </c>
      <c r="P70" s="51" t="str" cm="1">
        <f t="array" aca="1" ref="P70" ca="1">INDIRECT("["&amp;datatable!$C$3&amp;"]"&amp;datatable!$B17&amp;"!"&amp;"Q48")</f>
        <v>High Correct</v>
      </c>
      <c r="Q70" s="51" t="str" cm="1">
        <f t="array" aca="1" ref="Q70" ca="1">INDIRECT("["&amp;datatable!$C$3&amp;"]"&amp;datatable!$B17&amp;"!"&amp;"Q49")</f>
        <v>High Correct</v>
      </c>
      <c r="R70" s="51" t="str" cm="1">
        <f t="array" aca="1" ref="R70" ca="1">INDIRECT("["&amp;datatable!$C$3&amp;"]"&amp;datatable!$B17&amp;"!"&amp;"Q50")</f>
        <v>Medium Incorrect</v>
      </c>
      <c r="S70" s="51" t="str" cm="1">
        <f t="array" aca="1" ref="S70" ca="1">INDIRECT("["&amp;datatable!$C$3&amp;"]"&amp;datatable!$B17&amp;"!"&amp;"Q51")</f>
        <v>High Correct</v>
      </c>
      <c r="T70" s="51" t="str" cm="1">
        <f t="array" aca="1" ref="T70" ca="1">INDIRECT("["&amp;datatable!$C$3&amp;"]"&amp;datatable!$B17&amp;"!"&amp;"Q52")</f>
        <v>High Correct</v>
      </c>
      <c r="U70" s="51" t="str" cm="1">
        <f t="array" aca="1" ref="U70" ca="1">INDIRECT("["&amp;datatable!$C$3&amp;"]"&amp;datatable!$B17&amp;"!"&amp;"Q53")</f>
        <v>High Correct</v>
      </c>
      <c r="V70" s="51" t="str" cm="1">
        <f t="array" aca="1" ref="V70" ca="1">INDIRECT("["&amp;datatable!$C$3&amp;"]"&amp;datatable!$B17&amp;"!"&amp;"Q54")</f>
        <v>High Correct</v>
      </c>
      <c r="W70" s="51" t="str" cm="1">
        <f t="array" aca="1" ref="W70" ca="1">INDIRECT("["&amp;datatable!$C$3&amp;"]"&amp;datatable!$B17&amp;"!"&amp;"Q55")</f>
        <v>Low Incorrect</v>
      </c>
      <c r="X70" s="51" t="str" cm="1">
        <f t="array" aca="1" ref="X70" ca="1">INDIRECT("["&amp;datatable!$C$3&amp;"]"&amp;datatable!$B17&amp;"!"&amp;"Q56")</f>
        <v>N/A</v>
      </c>
      <c r="Y70" s="50"/>
    </row>
    <row r="71" spans="3:25">
      <c r="C71" s="30" t="s">
        <v>53</v>
      </c>
      <c r="D71" s="51" t="str" cm="1">
        <f t="array" aca="1" ref="D71" ca="1">INDIRECT("["&amp;datatable!$C$3&amp;"]"&amp;datatable!$B18&amp;"!"&amp;"Q2")</f>
        <v>High Incorrect</v>
      </c>
      <c r="E71" s="51" t="str" cm="1">
        <f t="array" aca="1" ref="E71" ca="1">INDIRECT("["&amp;datatable!$C$3&amp;"]"&amp;datatable!$B18&amp;"!"&amp;"Q3")</f>
        <v>Low Incorrect</v>
      </c>
      <c r="F71" s="51" t="str" cm="1">
        <f t="array" aca="1" ref="F71" ca="1">INDIRECT("["&amp;datatable!$C$3&amp;"]"&amp;datatable!$B18&amp;"!"&amp;"Q4")</f>
        <v>High Incorrect</v>
      </c>
      <c r="G71" s="51" t="str" cm="1">
        <f t="array" aca="1" ref="G71" ca="1">INDIRECT("["&amp;datatable!$C$3&amp;"]"&amp;datatable!$B18&amp;"!"&amp;"Q5")</f>
        <v>High Incorrect</v>
      </c>
      <c r="H71" s="51" t="str" cm="1">
        <f t="array" aca="1" ref="H71" ca="1">INDIRECT("["&amp;datatable!$C$3&amp;"]"&amp;datatable!$B18&amp;"!"&amp;"Q6")</f>
        <v>High Incorrect</v>
      </c>
      <c r="I71" s="51" t="str" cm="1">
        <f t="array" aca="1" ref="I71" ca="1">INDIRECT("["&amp;datatable!$C$3&amp;"]"&amp;datatable!$B18&amp;"!"&amp;"Q7")</f>
        <v>High Incorrect</v>
      </c>
      <c r="J71" s="51" t="str" cm="1">
        <f t="array" aca="1" ref="J71" ca="1">INDIRECT("["&amp;datatable!$C$3&amp;"]"&amp;datatable!$B18&amp;"!"&amp;"Q8")</f>
        <v>Medium Maybe</v>
      </c>
      <c r="K71" s="51" t="str" cm="1">
        <f t="array" aca="1" ref="K71" ca="1">INDIRECT("["&amp;datatable!$C$3&amp;"]"&amp;datatable!$B18&amp;"!"&amp;"Q9")</f>
        <v>High Incorrect</v>
      </c>
      <c r="L71" s="51" t="str" cm="1">
        <f t="array" aca="1" ref="L71" ca="1">INDIRECT("["&amp;datatable!$C$3&amp;"]"&amp;datatable!$B18&amp;"!"&amp;"Q10")</f>
        <v>High Incorrect</v>
      </c>
      <c r="M71" s="51" t="str" cm="1">
        <f t="array" aca="1" ref="M71" ca="1">INDIRECT("["&amp;datatable!$C$3&amp;"]"&amp;datatable!$B18&amp;"!"&amp;"Q11")</f>
        <v>High Maybe</v>
      </c>
      <c r="N71" s="51" t="str" cm="1">
        <f t="array" aca="1" ref="N71" ca="1">INDIRECT("["&amp;datatable!$C$3&amp;"]"&amp;datatable!$B18&amp;"!"&amp;"Q46")</f>
        <v>High Maybe</v>
      </c>
      <c r="O71" s="51" t="str" cm="1">
        <f t="array" aca="1" ref="O71" ca="1">INDIRECT("["&amp;datatable!$C$3&amp;"]"&amp;datatable!$B18&amp;"!"&amp;"Q47")</f>
        <v>High Incorrect</v>
      </c>
      <c r="P71" s="51" t="str" cm="1">
        <f t="array" aca="1" ref="P71" ca="1">INDIRECT("["&amp;datatable!$C$3&amp;"]"&amp;datatable!$B18&amp;"!"&amp;"Q48")</f>
        <v>Low Incorrect</v>
      </c>
      <c r="Q71" s="51" t="str" cm="1">
        <f t="array" aca="1" ref="Q71" ca="1">INDIRECT("["&amp;datatable!$C$3&amp;"]"&amp;datatable!$B18&amp;"!"&amp;"Q49")</f>
        <v>Low Incorrect</v>
      </c>
      <c r="R71" s="51" t="str" cm="1">
        <f t="array" aca="1" ref="R71" ca="1">INDIRECT("["&amp;datatable!$C$3&amp;"]"&amp;datatable!$B18&amp;"!"&amp;"Q50")</f>
        <v>High Incorrect</v>
      </c>
      <c r="S71" s="51" t="str" cm="1">
        <f t="array" aca="1" ref="S71" ca="1">INDIRECT("["&amp;datatable!$C$3&amp;"]"&amp;datatable!$B18&amp;"!"&amp;"Q51")</f>
        <v>Low Incorrect</v>
      </c>
      <c r="T71" s="51" t="str" cm="1">
        <f t="array" aca="1" ref="T71" ca="1">INDIRECT("["&amp;datatable!$C$3&amp;"]"&amp;datatable!$B18&amp;"!"&amp;"Q52")</f>
        <v>N/A</v>
      </c>
      <c r="U71" s="51" t="str" cm="1">
        <f t="array" aca="1" ref="U71" ca="1">INDIRECT("["&amp;datatable!$C$3&amp;"]"&amp;datatable!$B18&amp;"!"&amp;"Q53")</f>
        <v>Medium Correct</v>
      </c>
      <c r="V71" s="51" t="str" cm="1">
        <f t="array" aca="1" ref="V71" ca="1">INDIRECT("["&amp;datatable!$C$3&amp;"]"&amp;datatable!$B18&amp;"!"&amp;"Q54")</f>
        <v>Low Incorrect</v>
      </c>
      <c r="W71" s="51" t="str" cm="1">
        <f t="array" aca="1" ref="W71" ca="1">INDIRECT("["&amp;datatable!$C$3&amp;"]"&amp;datatable!$B18&amp;"!"&amp;"Q55")</f>
        <v>Low Maybe</v>
      </c>
      <c r="X71" s="51" t="str" cm="1">
        <f t="array" aca="1" ref="X71" ca="1">INDIRECT("["&amp;datatable!$C$3&amp;"]"&amp;datatable!$B18&amp;"!"&amp;"Q56")</f>
        <v>N/A</v>
      </c>
      <c r="Y71" s="50"/>
    </row>
    <row r="72" spans="3:25">
      <c r="C72" s="30" t="s">
        <v>54</v>
      </c>
      <c r="D72" s="51" t="str" cm="1">
        <f t="array" aca="1" ref="D72" ca="1">INDIRECT("["&amp;datatable!$C$3&amp;"]"&amp;datatable!$B19&amp;"!"&amp;"Q2")</f>
        <v>High Correct</v>
      </c>
      <c r="E72" s="51" t="str" cm="1">
        <f t="array" aca="1" ref="E72" ca="1">INDIRECT("["&amp;datatable!$C$3&amp;"]"&amp;datatable!$B19&amp;"!"&amp;"Q3")</f>
        <v>High Correct</v>
      </c>
      <c r="F72" s="51" t="str" cm="1">
        <f t="array" aca="1" ref="F72" ca="1">INDIRECT("["&amp;datatable!$C$3&amp;"]"&amp;datatable!$B19&amp;"!"&amp;"Q4")</f>
        <v>High Incorrect</v>
      </c>
      <c r="G72" s="51" t="str" cm="1">
        <f t="array" aca="1" ref="G72" ca="1">INDIRECT("["&amp;datatable!$C$3&amp;"]"&amp;datatable!$B19&amp;"!"&amp;"Q5")</f>
        <v>Low Incorrect</v>
      </c>
      <c r="H72" s="51" t="str" cm="1">
        <f t="array" aca="1" ref="H72" ca="1">INDIRECT("["&amp;datatable!$C$3&amp;"]"&amp;datatable!$B19&amp;"!"&amp;"Q6")</f>
        <v>Low Maybe</v>
      </c>
      <c r="I72" s="51" t="str" cm="1">
        <f t="array" aca="1" ref="I72" ca="1">INDIRECT("["&amp;datatable!$C$3&amp;"]"&amp;datatable!$B19&amp;"!"&amp;"Q7")</f>
        <v>Low Correct</v>
      </c>
      <c r="J72" s="51" t="str" cm="1">
        <f t="array" aca="1" ref="J72" ca="1">INDIRECT("["&amp;datatable!$C$3&amp;"]"&amp;datatable!$B19&amp;"!"&amp;"Q8")</f>
        <v>High Correct</v>
      </c>
      <c r="K72" s="51" t="str" cm="1">
        <f t="array" aca="1" ref="K72" ca="1">INDIRECT("["&amp;datatable!$C$3&amp;"]"&amp;datatable!$B19&amp;"!"&amp;"Q9")</f>
        <v>Low Correct</v>
      </c>
      <c r="L72" s="51" t="str" cm="1">
        <f t="array" aca="1" ref="L72" ca="1">INDIRECT("["&amp;datatable!$C$3&amp;"]"&amp;datatable!$B19&amp;"!"&amp;"Q10")</f>
        <v>High Correct</v>
      </c>
      <c r="M72" s="51" t="str" cm="1">
        <f t="array" aca="1" ref="M72" ca="1">INDIRECT("["&amp;datatable!$C$3&amp;"]"&amp;datatable!$B19&amp;"!"&amp;"Q11")</f>
        <v>Low Correct</v>
      </c>
      <c r="N72" s="51" t="str" cm="1">
        <f t="array" aca="1" ref="N72" ca="1">INDIRECT("["&amp;datatable!$C$3&amp;"]"&amp;datatable!$B19&amp;"!"&amp;"Q46")</f>
        <v>Low Correct</v>
      </c>
      <c r="O72" s="51" t="str" cm="1">
        <f t="array" aca="1" ref="O72" ca="1">INDIRECT("["&amp;datatable!$C$3&amp;"]"&amp;datatable!$B19&amp;"!"&amp;"Q47")</f>
        <v>High Correct</v>
      </c>
      <c r="P72" s="51" t="str" cm="1">
        <f t="array" aca="1" ref="P72" ca="1">INDIRECT("["&amp;datatable!$C$3&amp;"]"&amp;datatable!$B19&amp;"!"&amp;"Q48")</f>
        <v>High Correct</v>
      </c>
      <c r="Q72" s="51" t="str" cm="1">
        <f t="array" aca="1" ref="Q72" ca="1">INDIRECT("["&amp;datatable!$C$3&amp;"]"&amp;datatable!$B19&amp;"!"&amp;"Q49")</f>
        <v>High Correct</v>
      </c>
      <c r="R72" s="51" t="str" cm="1">
        <f t="array" aca="1" ref="R72" ca="1">INDIRECT("["&amp;datatable!$C$3&amp;"]"&amp;datatable!$B19&amp;"!"&amp;"Q50")</f>
        <v>High Correct</v>
      </c>
      <c r="S72" s="51" t="str" cm="1">
        <f t="array" aca="1" ref="S72" ca="1">INDIRECT("["&amp;datatable!$C$3&amp;"]"&amp;datatable!$B19&amp;"!"&amp;"Q51")</f>
        <v>Medium Correct</v>
      </c>
      <c r="T72" s="51" t="str" cm="1">
        <f t="array" aca="1" ref="T72" ca="1">INDIRECT("["&amp;datatable!$C$3&amp;"]"&amp;datatable!$B19&amp;"!"&amp;"Q52")</f>
        <v>Medium Correct</v>
      </c>
      <c r="U72" s="51" t="str" cm="1">
        <f t="array" aca="1" ref="U72" ca="1">INDIRECT("["&amp;datatable!$C$3&amp;"]"&amp;datatable!$B19&amp;"!"&amp;"Q53")</f>
        <v>Low Correct</v>
      </c>
      <c r="V72" s="51" t="str" cm="1">
        <f t="array" aca="1" ref="V72" ca="1">INDIRECT("["&amp;datatable!$C$3&amp;"]"&amp;datatable!$B19&amp;"!"&amp;"Q54")</f>
        <v>Medium Incorrect</v>
      </c>
      <c r="W72" s="51" t="str" cm="1">
        <f t="array" aca="1" ref="W72" ca="1">INDIRECT("["&amp;datatable!$C$3&amp;"]"&amp;datatable!$B19&amp;"!"&amp;"Q55")</f>
        <v>Low Maybe</v>
      </c>
      <c r="X72" s="51" t="str" cm="1">
        <f t="array" aca="1" ref="X72" ca="1">INDIRECT("["&amp;datatable!$C$3&amp;"]"&amp;datatable!$B19&amp;"!"&amp;"Q56")</f>
        <v>Medium Correct</v>
      </c>
      <c r="Y72" s="50"/>
    </row>
    <row r="73" spans="3:25">
      <c r="C73" s="50"/>
      <c r="D73" s="53"/>
      <c r="E73" s="53"/>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109" priority="4" operator="equal">
      <formula>"Medium Correct"</formula>
    </cfRule>
    <cfRule type="cellIs" dxfId="108" priority="5" operator="equal">
      <formula>"Low Correct"</formula>
    </cfRule>
    <cfRule type="cellIs" dxfId="107" priority="6" operator="equal">
      <formula>"Medium Maybe"</formula>
    </cfRule>
    <cfRule type="cellIs" dxfId="106" priority="7" operator="equal">
      <formula>"Low Maybe"</formula>
    </cfRule>
    <cfRule type="cellIs" dxfId="105" priority="8" operator="equal">
      <formula>"Medium Incorrect"</formula>
    </cfRule>
    <cfRule type="cellIs" dxfId="104" priority="9" operator="equal">
      <formula>"Low Incorrect"</formula>
    </cfRule>
    <cfRule type="cellIs" dxfId="103" priority="10" operator="equal">
      <formula>"N/A"</formula>
    </cfRule>
  </conditionalFormatting>
  <conditionalFormatting sqref="D55:X72">
    <cfRule type="cellIs" dxfId="102" priority="1" operator="equal">
      <formula>"High Correct"</formula>
    </cfRule>
    <cfRule type="cellIs" dxfId="101" priority="2" operator="equal">
      <formula>"High Incorrect"</formula>
    </cfRule>
    <cfRule type="cellIs" dxfId="100" priority="3" operator="equal">
      <formula>"High Maybe"</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A06E-94F2-4057-A943-24F0C3AE64C7}">
  <dimension ref="C5:Y73"/>
  <sheetViews>
    <sheetView topLeftCell="B45" zoomScale="80" zoomScaleNormal="80"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7.5546875"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5">
      <c r="C5" t="s">
        <v>0</v>
      </c>
    </row>
    <row r="6" spans="3:15">
      <c r="D6" s="7" t="s">
        <v>1</v>
      </c>
      <c r="E6" s="10" t="s">
        <v>2</v>
      </c>
      <c r="F6" s="12" t="s">
        <v>3</v>
      </c>
      <c r="G6" s="14" t="s">
        <v>4</v>
      </c>
      <c r="H6" s="16" t="s">
        <v>5</v>
      </c>
      <c r="I6" s="18" t="s">
        <v>6</v>
      </c>
      <c r="J6" s="20" t="s">
        <v>7</v>
      </c>
      <c r="K6" s="22" t="s">
        <v>8</v>
      </c>
      <c r="L6" s="24" t="s">
        <v>9</v>
      </c>
      <c r="M6" s="26" t="s">
        <v>10</v>
      </c>
      <c r="N6" s="28" t="s">
        <v>11</v>
      </c>
      <c r="O6" s="28" t="s">
        <v>12</v>
      </c>
    </row>
    <row r="7" spans="3:15">
      <c r="C7" s="5" t="s">
        <v>13</v>
      </c>
      <c r="D7" s="8">
        <f ca="1">COUNTIF(INDIRECT("["&amp;datatable!$C$3&amp;"]"&amp;datatable!$A2&amp;"!"&amp;"Y:Y"),"High Correct")</f>
        <v>7</v>
      </c>
      <c r="E7" s="11">
        <f ca="1">COUNTIF(INDIRECT("["&amp;datatable!$C$3&amp;"]"&amp;datatable!$A2&amp;"!"&amp;"Y:Y"),"Medium Correct")</f>
        <v>6</v>
      </c>
      <c r="F7" s="13">
        <f ca="1">COUNTIF(INDIRECT("["&amp;datatable!$C$3&amp;"]"&amp;datatable!$A2&amp;"!"&amp;"Y:Y"),"Low Correct")</f>
        <v>2</v>
      </c>
      <c r="G7" s="15">
        <f ca="1">COUNTIF(INDIRECT("["&amp;datatable!$C$3&amp;"]"&amp;datatable!$A2&amp;"!"&amp;"Y:Y"),"High Maybe")</f>
        <v>1</v>
      </c>
      <c r="H7" s="17">
        <f ca="1">COUNTIF(INDIRECT("["&amp;datatable!$C$3&amp;"]"&amp;datatable!$A2&amp;"!"&amp;"Y:Y"),"Medium Maybe")</f>
        <v>0</v>
      </c>
      <c r="I7" s="19">
        <f ca="1">COUNTIF(INDIRECT("["&amp;datatable!$C$3&amp;"]"&amp;datatable!$A2&amp;"!"&amp;"Y:Y"),"Low Maybe")</f>
        <v>0</v>
      </c>
      <c r="J7" s="21">
        <f ca="1">COUNTIF(INDIRECT("["&amp;datatable!$C$3&amp;"]"&amp;datatable!$A2&amp;"!"&amp;"Y:Y"),"Low Incorrect")</f>
        <v>0</v>
      </c>
      <c r="K7" s="23">
        <f ca="1">COUNTIF(INDIRECT("["&amp;datatable!$C$3&amp;"]"&amp;datatable!$A2&amp;"!"&amp;"Y:Y"),"Medium Incorrect")</f>
        <v>0</v>
      </c>
      <c r="L7" s="25">
        <f ca="1">COUNTIF(INDIRECT("["&amp;datatable!$C$3&amp;"]"&amp;datatable!$A2&amp;"!"&amp;"Y:Y"),"High Incorrect")</f>
        <v>1</v>
      </c>
      <c r="M7" s="27">
        <f ca="1">COUNTIF(INDIRECT("["&amp;datatable!$C$3&amp;"]"&amp;datatable!$A2&amp;"!"&amp;"Y:Y"),"N/A")</f>
        <v>1</v>
      </c>
      <c r="N7" s="29">
        <f t="shared" ref="N7:N28" ca="1" si="0">SUM(D7:M7)</f>
        <v>18</v>
      </c>
      <c r="O7" s="29">
        <f t="shared" ref="O7:O28" ca="1" si="1">SUM(D7:L7)</f>
        <v>17</v>
      </c>
    </row>
    <row r="8" spans="3:15">
      <c r="C8" s="5" t="s">
        <v>14</v>
      </c>
      <c r="D8" s="8">
        <f ca="1">COUNTIF(INDIRECT("["&amp;datatable!$C$3&amp;"]"&amp;datatable!$A3&amp;"!"&amp;"Y:Y"),"High Correct")</f>
        <v>4</v>
      </c>
      <c r="E8" s="11">
        <f ca="1">COUNTIF(INDIRECT("["&amp;datatable!$C$3&amp;"]"&amp;datatable!$A3&amp;"!"&amp;"Y:Y"),"Medium Correct")</f>
        <v>5</v>
      </c>
      <c r="F8" s="13">
        <f ca="1">COUNTIF(INDIRECT("["&amp;datatable!$C$3&amp;"]"&amp;datatable!$A3&amp;"!"&amp;"Y:Y"),"Low Correct")</f>
        <v>1</v>
      </c>
      <c r="G8" s="15">
        <f ca="1">COUNTIF(INDIRECT("["&amp;datatable!$C$3&amp;"]"&amp;datatable!$A3&amp;"!"&amp;"Y:Y"),"High Maybe")</f>
        <v>5</v>
      </c>
      <c r="H8" s="17">
        <f ca="1">COUNTIF(INDIRECT("["&amp;datatable!$C$3&amp;"]"&amp;datatable!$A3&amp;"!"&amp;"Y:Y"),"Medium Maybe")</f>
        <v>1</v>
      </c>
      <c r="I8" s="19">
        <f ca="1">COUNTIF(INDIRECT("["&amp;datatable!$C$3&amp;"]"&amp;datatable!$A3&amp;"!"&amp;"Y:Y"),"Low Maybe")</f>
        <v>0</v>
      </c>
      <c r="J8" s="21">
        <f ca="1">COUNTIF(INDIRECT("["&amp;datatable!$C$3&amp;"]"&amp;datatable!$A3&amp;"!"&amp;"Y:Y"),"Low Incorrect")</f>
        <v>1</v>
      </c>
      <c r="K8" s="23">
        <f ca="1">COUNTIF(INDIRECT("["&amp;datatable!$C$3&amp;"]"&amp;datatable!$A3&amp;"!"&amp;"Y:Y"),"Medium Incorrect")</f>
        <v>0</v>
      </c>
      <c r="L8" s="25">
        <f ca="1">COUNTIF(INDIRECT("["&amp;datatable!$C$3&amp;"]"&amp;datatable!$A3&amp;"!"&amp;"Y:Y"),"High Incorrect")</f>
        <v>1</v>
      </c>
      <c r="M8" s="27">
        <f ca="1">COUNTIF(INDIRECT("["&amp;datatable!$C$3&amp;"]"&amp;datatable!$A3&amp;"!"&amp;"Y:Y"),"N/A")</f>
        <v>0</v>
      </c>
      <c r="N8" s="29">
        <f t="shared" ca="1" si="0"/>
        <v>18</v>
      </c>
      <c r="O8" s="29">
        <f t="shared" ca="1" si="1"/>
        <v>18</v>
      </c>
    </row>
    <row r="9" spans="3:15">
      <c r="C9" s="5" t="s">
        <v>15</v>
      </c>
      <c r="D9" s="8">
        <f ca="1">COUNTIF(INDIRECT("["&amp;datatable!$C$3&amp;"]"&amp;datatable!$A4&amp;"!"&amp;"Y:Y"),"High Correct")</f>
        <v>12</v>
      </c>
      <c r="E9" s="11">
        <f ca="1">COUNTIF(INDIRECT("["&amp;datatable!$C$3&amp;"]"&amp;datatable!$A4&amp;"!"&amp;"Y:Y"),"Medium Correct")</f>
        <v>0</v>
      </c>
      <c r="F9" s="13">
        <f ca="1">COUNTIF(INDIRECT("["&amp;datatable!$C$3&amp;"]"&amp;datatable!$A4&amp;"!"&amp;"Y:Y"),"Low Correct")</f>
        <v>3</v>
      </c>
      <c r="G9" s="15">
        <f ca="1">COUNTIF(INDIRECT("["&amp;datatable!$C$3&amp;"]"&amp;datatable!$A4&amp;"!"&amp;"Y:Y"),"High Maybe")</f>
        <v>1</v>
      </c>
      <c r="H9" s="17">
        <f ca="1">COUNTIF(INDIRECT("["&amp;datatable!$C$3&amp;"]"&amp;datatable!$A4&amp;"!"&amp;"Y:Y"),"Medium Maybe")</f>
        <v>0</v>
      </c>
      <c r="I9" s="19">
        <f ca="1">COUNTIF(INDIRECT("["&amp;datatable!$C$3&amp;"]"&amp;datatable!$A4&amp;"!"&amp;"Y:Y"),"Low Maybe")</f>
        <v>0</v>
      </c>
      <c r="J9" s="21">
        <f ca="1">COUNTIF(INDIRECT("["&amp;datatable!$C$3&amp;"]"&amp;datatable!$A4&amp;"!"&amp;"Y:Y"),"Low Incorrect")</f>
        <v>0</v>
      </c>
      <c r="K9" s="23">
        <f ca="1">COUNTIF(INDIRECT("["&amp;datatable!$C$3&amp;"]"&amp;datatable!$A4&amp;"!"&amp;"Y:Y"),"Medium Incorrect")</f>
        <v>0</v>
      </c>
      <c r="L9" s="25">
        <f ca="1">COUNTIF(INDIRECT("["&amp;datatable!$C$3&amp;"]"&amp;datatable!$A4&amp;"!"&amp;"Y:Y"),"High Incorrect")</f>
        <v>2</v>
      </c>
      <c r="M9" s="27">
        <f ca="1">COUNTIF(INDIRECT("["&amp;datatable!$C$3&amp;"]"&amp;datatable!$A4&amp;"!"&amp;"Y:Y"),"N/A")</f>
        <v>0</v>
      </c>
      <c r="N9" s="29">
        <f t="shared" ca="1" si="0"/>
        <v>18</v>
      </c>
      <c r="O9" s="29">
        <f t="shared" ca="1" si="1"/>
        <v>18</v>
      </c>
    </row>
    <row r="10" spans="3:15">
      <c r="C10" s="5" t="s">
        <v>16</v>
      </c>
      <c r="D10" s="8">
        <f ca="1">COUNTIF(INDIRECT("["&amp;datatable!$C$3&amp;"]"&amp;datatable!$A5&amp;"!"&amp;"Y:Y"),"High Correct")</f>
        <v>8</v>
      </c>
      <c r="E10" s="11">
        <f ca="1">COUNTIF(INDIRECT("["&amp;datatable!$C$3&amp;"]"&amp;datatable!$A5&amp;"!"&amp;"Y:Y"),"Medium Correct")</f>
        <v>1</v>
      </c>
      <c r="F10" s="13">
        <f ca="1">COUNTIF(INDIRECT("["&amp;datatable!$C$3&amp;"]"&amp;datatable!$A5&amp;"!"&amp;"Y:Y"),"Low Correct")</f>
        <v>3</v>
      </c>
      <c r="G10" s="15">
        <f ca="1">COUNTIF(INDIRECT("["&amp;datatable!$C$3&amp;"]"&amp;datatable!$A5&amp;"!"&amp;"Y:Y"),"High Maybe")</f>
        <v>3</v>
      </c>
      <c r="H10" s="17">
        <f ca="1">COUNTIF(INDIRECT("["&amp;datatable!$C$3&amp;"]"&amp;datatable!$A5&amp;"!"&amp;"Y:Y"),"Medium Maybe")</f>
        <v>1</v>
      </c>
      <c r="I10" s="19">
        <f ca="1">COUNTIF(INDIRECT("["&amp;datatable!$C$3&amp;"]"&amp;datatable!$A5&amp;"!"&amp;"Y:Y"),"Low Maybe")</f>
        <v>0</v>
      </c>
      <c r="J10" s="21">
        <f ca="1">COUNTIF(INDIRECT("["&amp;datatable!$C$3&amp;"]"&amp;datatable!$A5&amp;"!"&amp;"Y:Y"),"Low Incorrect")</f>
        <v>0</v>
      </c>
      <c r="K10" s="23">
        <f ca="1">COUNTIF(INDIRECT("["&amp;datatable!$C$3&amp;"]"&amp;datatable!$A5&amp;"!"&amp;"Y:Y"),"Medium Incorrect")</f>
        <v>0</v>
      </c>
      <c r="L10" s="25">
        <f ca="1">COUNTIF(INDIRECT("["&amp;datatable!$C$3&amp;"]"&amp;datatable!$A5&amp;"!"&amp;"Y:Y"),"High Incorrect")</f>
        <v>2</v>
      </c>
      <c r="M10" s="27">
        <f ca="1">COUNTIF(INDIRECT("["&amp;datatable!$C$3&amp;"]"&amp;datatable!$A5&amp;"!"&amp;"Y:Y"),"N/A")</f>
        <v>0</v>
      </c>
      <c r="N10" s="29">
        <f t="shared" ca="1" si="0"/>
        <v>18</v>
      </c>
      <c r="O10" s="29">
        <f t="shared" ca="1" si="1"/>
        <v>18</v>
      </c>
    </row>
    <row r="11" spans="3:15">
      <c r="C11" s="5" t="s">
        <v>17</v>
      </c>
      <c r="D11" s="8">
        <f ca="1">COUNTIF(INDIRECT("["&amp;datatable!$C$3&amp;"]"&amp;datatable!$A6&amp;"!"&amp;"Y:Y"),"High Correct")</f>
        <v>3</v>
      </c>
      <c r="E11" s="11">
        <f ca="1">COUNTIF(INDIRECT("["&amp;datatable!$C$3&amp;"]"&amp;datatable!$A6&amp;"!"&amp;"Y:Y"),"Medium Correct")</f>
        <v>1</v>
      </c>
      <c r="F11" s="13">
        <f ca="1">COUNTIF(INDIRECT("["&amp;datatable!$C$3&amp;"]"&amp;datatable!$A6&amp;"!"&amp;"Y:Y"),"Low Correct")</f>
        <v>5</v>
      </c>
      <c r="G11" s="15">
        <f ca="1">COUNTIF(INDIRECT("["&amp;datatable!$C$3&amp;"]"&amp;datatable!$A6&amp;"!"&amp;"Y:Y"),"High Maybe")</f>
        <v>0</v>
      </c>
      <c r="H11" s="17">
        <f ca="1">COUNTIF(INDIRECT("["&amp;datatable!$C$3&amp;"]"&amp;datatable!$A6&amp;"!"&amp;"Y:Y"),"Medium Maybe")</f>
        <v>4</v>
      </c>
      <c r="I11" s="19">
        <f ca="1">COUNTIF(INDIRECT("["&amp;datatable!$C$3&amp;"]"&amp;datatable!$A6&amp;"!"&amp;"Y:Y"),"Low Maybe")</f>
        <v>0</v>
      </c>
      <c r="J11" s="21">
        <f ca="1">COUNTIF(INDIRECT("["&amp;datatable!$C$3&amp;"]"&amp;datatable!$A6&amp;"!"&amp;"Y:Y"),"Low Incorrect")</f>
        <v>2</v>
      </c>
      <c r="K11" s="23">
        <f ca="1">COUNTIF(INDIRECT("["&amp;datatable!$C$3&amp;"]"&amp;datatable!$A6&amp;"!"&amp;"Y:Y"),"Medium Incorrect")</f>
        <v>0</v>
      </c>
      <c r="L11" s="25">
        <f ca="1">COUNTIF(INDIRECT("["&amp;datatable!$C$3&amp;"]"&amp;datatable!$A6&amp;"!"&amp;"Y:Y"),"High Incorrect")</f>
        <v>2</v>
      </c>
      <c r="M11" s="27">
        <f ca="1">COUNTIF(INDIRECT("["&amp;datatable!$C$3&amp;"]"&amp;datatable!$A6&amp;"!"&amp;"Y:Y"),"N/A")</f>
        <v>1</v>
      </c>
      <c r="N11" s="29">
        <f t="shared" ca="1" si="0"/>
        <v>18</v>
      </c>
      <c r="O11" s="29">
        <f t="shared" ca="1" si="1"/>
        <v>17</v>
      </c>
    </row>
    <row r="12" spans="3:15">
      <c r="C12" s="5" t="s">
        <v>18</v>
      </c>
      <c r="D12" s="8">
        <f ca="1">COUNTIF(INDIRECT("["&amp;datatable!$C$3&amp;"]"&amp;datatable!$A7&amp;"!"&amp;"Y:Y"),"High Correct")</f>
        <v>6</v>
      </c>
      <c r="E12" s="11">
        <f ca="1">COUNTIF(INDIRECT("["&amp;datatable!$C$3&amp;"]"&amp;datatable!$A7&amp;"!"&amp;"Y:Y"),"Medium Correct")</f>
        <v>2</v>
      </c>
      <c r="F12" s="13">
        <f ca="1">COUNTIF(INDIRECT("["&amp;datatable!$C$3&amp;"]"&amp;datatable!$A7&amp;"!"&amp;"Y:Y"),"Low Correct")</f>
        <v>2</v>
      </c>
      <c r="G12" s="15">
        <f ca="1">COUNTIF(INDIRECT("["&amp;datatable!$C$3&amp;"]"&amp;datatable!$A7&amp;"!"&amp;"Y:Y"),"High Maybe")</f>
        <v>1</v>
      </c>
      <c r="H12" s="17">
        <f ca="1">COUNTIF(INDIRECT("["&amp;datatable!$C$3&amp;"]"&amp;datatable!$A7&amp;"!"&amp;"Y:Y"),"Medium Maybe")</f>
        <v>1</v>
      </c>
      <c r="I12" s="19">
        <f ca="1">COUNTIF(INDIRECT("["&amp;datatable!$C$3&amp;"]"&amp;datatable!$A7&amp;"!"&amp;"Y:Y"),"Low Maybe")</f>
        <v>1</v>
      </c>
      <c r="J12" s="21">
        <f ca="1">COUNTIF(INDIRECT("["&amp;datatable!$C$3&amp;"]"&amp;datatable!$A7&amp;"!"&amp;"Y:Y"),"Low Incorrect")</f>
        <v>3</v>
      </c>
      <c r="K12" s="23">
        <f ca="1">COUNTIF(INDIRECT("["&amp;datatable!$C$3&amp;"]"&amp;datatable!$A7&amp;"!"&amp;"Y:Y"),"Medium Incorrect")</f>
        <v>1</v>
      </c>
      <c r="L12" s="25">
        <f ca="1">COUNTIF(INDIRECT("["&amp;datatable!$C$3&amp;"]"&amp;datatable!$A7&amp;"!"&amp;"Y:Y"),"High Incorrect")</f>
        <v>1</v>
      </c>
      <c r="M12" s="27">
        <f ca="1">COUNTIF(INDIRECT("["&amp;datatable!$C$3&amp;"]"&amp;datatable!$A7&amp;"!"&amp;"Y:Y"),"N/A")</f>
        <v>0</v>
      </c>
      <c r="N12" s="29">
        <f t="shared" ca="1" si="0"/>
        <v>18</v>
      </c>
      <c r="O12" s="29">
        <f t="shared" ca="1" si="1"/>
        <v>18</v>
      </c>
    </row>
    <row r="13" spans="3:15">
      <c r="C13" s="5" t="s">
        <v>19</v>
      </c>
      <c r="D13" s="8">
        <f ca="1">COUNTIF(INDIRECT("["&amp;datatable!$C$3&amp;"]"&amp;datatable!$A8&amp;"!"&amp;"Y:Y"),"High Correct")</f>
        <v>3</v>
      </c>
      <c r="E13" s="11">
        <f ca="1">COUNTIF(INDIRECT("["&amp;datatable!$C$3&amp;"]"&amp;datatable!$A8&amp;"!"&amp;"Y:Y"),"Medium Correct")</f>
        <v>4</v>
      </c>
      <c r="F13" s="13">
        <f ca="1">COUNTIF(INDIRECT("["&amp;datatable!$C$3&amp;"]"&amp;datatable!$A8&amp;"!"&amp;"Y:Y"),"Low Correct")</f>
        <v>4</v>
      </c>
      <c r="G13" s="15">
        <f ca="1">COUNTIF(INDIRECT("["&amp;datatable!$C$3&amp;"]"&amp;datatable!$A8&amp;"!"&amp;"Y:Y"),"High Maybe")</f>
        <v>2</v>
      </c>
      <c r="H13" s="17">
        <f ca="1">COUNTIF(INDIRECT("["&amp;datatable!$C$3&amp;"]"&amp;datatable!$A8&amp;"!"&amp;"Y:Y"),"Medium Maybe")</f>
        <v>1</v>
      </c>
      <c r="I13" s="19">
        <f ca="1">COUNTIF(INDIRECT("["&amp;datatable!$C$3&amp;"]"&amp;datatable!$A8&amp;"!"&amp;"Y:Y"),"Low Maybe")</f>
        <v>1</v>
      </c>
      <c r="J13" s="21">
        <f ca="1">COUNTIF(INDIRECT("["&amp;datatable!$C$3&amp;"]"&amp;datatable!$A8&amp;"!"&amp;"Y:Y"),"Low Incorrect")</f>
        <v>3</v>
      </c>
      <c r="K13" s="23">
        <f ca="1">COUNTIF(INDIRECT("["&amp;datatable!$C$3&amp;"]"&amp;datatable!$A8&amp;"!"&amp;"Y:Y"),"Medium Incorrect")</f>
        <v>0</v>
      </c>
      <c r="L13" s="25">
        <f ca="1">COUNTIF(INDIRECT("["&amp;datatable!$C$3&amp;"]"&amp;datatable!$A8&amp;"!"&amp;"Y:Y"),"High Incorrect")</f>
        <v>0</v>
      </c>
      <c r="M13" s="27">
        <f ca="1">COUNTIF(INDIRECT("["&amp;datatable!$C$3&amp;"]"&amp;datatable!$A8&amp;"!"&amp;"Y:Y"),"N/A")</f>
        <v>0</v>
      </c>
      <c r="N13" s="29">
        <f t="shared" ca="1" si="0"/>
        <v>18</v>
      </c>
      <c r="O13" s="29">
        <f t="shared" ca="1" si="1"/>
        <v>18</v>
      </c>
    </row>
    <row r="14" spans="3:15">
      <c r="C14" s="5" t="s">
        <v>20</v>
      </c>
      <c r="D14" s="8">
        <f ca="1">COUNTIF(INDIRECT("["&amp;datatable!$C$3&amp;"]"&amp;datatable!$A9&amp;"!"&amp;"Y:Y"),"High Correct")</f>
        <v>7</v>
      </c>
      <c r="E14" s="11">
        <f ca="1">COUNTIF(INDIRECT("["&amp;datatable!$C$3&amp;"]"&amp;datatable!$A9&amp;"!"&amp;"Y:Y"),"Medium Correct")</f>
        <v>3</v>
      </c>
      <c r="F14" s="13">
        <f ca="1">COUNTIF(INDIRECT("["&amp;datatable!$C$3&amp;"]"&amp;datatable!$A9&amp;"!"&amp;"Y:Y"),"Low Correct")</f>
        <v>2</v>
      </c>
      <c r="G14" s="15">
        <f ca="1">COUNTIF(INDIRECT("["&amp;datatable!$C$3&amp;"]"&amp;datatable!$A9&amp;"!"&amp;"Y:Y"),"High Maybe")</f>
        <v>2</v>
      </c>
      <c r="H14" s="17">
        <f ca="1">COUNTIF(INDIRECT("["&amp;datatable!$C$3&amp;"]"&amp;datatable!$A9&amp;"!"&amp;"Y:Y"),"Medium Maybe")</f>
        <v>0</v>
      </c>
      <c r="I14" s="19">
        <f ca="1">COUNTIF(INDIRECT("["&amp;datatable!$C$3&amp;"]"&amp;datatable!$A9&amp;"!"&amp;"Y:Y"),"Low Maybe")</f>
        <v>1</v>
      </c>
      <c r="J14" s="21">
        <f ca="1">COUNTIF(INDIRECT("["&amp;datatable!$C$3&amp;"]"&amp;datatable!$A9&amp;"!"&amp;"Y:Y"),"Low Incorrect")</f>
        <v>1</v>
      </c>
      <c r="K14" s="23">
        <f ca="1">COUNTIF(INDIRECT("["&amp;datatable!$C$3&amp;"]"&amp;datatable!$A9&amp;"!"&amp;"Y:Y"),"Medium Incorrect")</f>
        <v>0</v>
      </c>
      <c r="L14" s="25">
        <f ca="1">COUNTIF(INDIRECT("["&amp;datatable!$C$3&amp;"]"&amp;datatable!$A9&amp;"!"&amp;"Y:Y"),"High Incorrect")</f>
        <v>1</v>
      </c>
      <c r="M14" s="27">
        <f ca="1">COUNTIF(INDIRECT("["&amp;datatable!$C$3&amp;"]"&amp;datatable!$A9&amp;"!"&amp;"Y:Y"),"N/A")</f>
        <v>1</v>
      </c>
      <c r="N14" s="29">
        <f t="shared" ca="1" si="0"/>
        <v>18</v>
      </c>
      <c r="O14" s="29">
        <f t="shared" ca="1" si="1"/>
        <v>17</v>
      </c>
    </row>
    <row r="15" spans="3:15">
      <c r="C15" s="5" t="s">
        <v>21</v>
      </c>
      <c r="D15" s="8">
        <f ca="1">COUNTIF(INDIRECT("["&amp;datatable!$C$3&amp;"]"&amp;datatable!$A10&amp;"!"&amp;"Y:Y"),"High Correct")</f>
        <v>5</v>
      </c>
      <c r="E15" s="11">
        <f ca="1">COUNTIF(INDIRECT("["&amp;datatable!$C$3&amp;"]"&amp;datatable!$A10&amp;"!"&amp;"Y:Y"),"Medium Correct")</f>
        <v>0</v>
      </c>
      <c r="F15" s="13">
        <f ca="1">COUNTIF(INDIRECT("["&amp;datatable!$C$3&amp;"]"&amp;datatable!$A10&amp;"!"&amp;"Y:Y"),"Low Correct")</f>
        <v>4</v>
      </c>
      <c r="G15" s="15">
        <f ca="1">COUNTIF(INDIRECT("["&amp;datatable!$C$3&amp;"]"&amp;datatable!$A10&amp;"!"&amp;"Y:Y"),"High Maybe")</f>
        <v>0</v>
      </c>
      <c r="H15" s="17">
        <f ca="1">COUNTIF(INDIRECT("["&amp;datatable!$C$3&amp;"]"&amp;datatable!$A10&amp;"!"&amp;"Y:Y"),"Medium Maybe")</f>
        <v>1</v>
      </c>
      <c r="I15" s="19">
        <f ca="1">COUNTIF(INDIRECT("["&amp;datatable!$C$3&amp;"]"&amp;datatable!$A10&amp;"!"&amp;"Y:Y"),"Low Maybe")</f>
        <v>2</v>
      </c>
      <c r="J15" s="21">
        <f ca="1">COUNTIF(INDIRECT("["&amp;datatable!$C$3&amp;"]"&amp;datatable!$A10&amp;"!"&amp;"Y:Y"),"Low Incorrect")</f>
        <v>2</v>
      </c>
      <c r="K15" s="23">
        <f ca="1">COUNTIF(INDIRECT("["&amp;datatable!$C$3&amp;"]"&amp;datatable!$A10&amp;"!"&amp;"Y:Y"),"Medium Incorrect")</f>
        <v>2</v>
      </c>
      <c r="L15" s="25">
        <f ca="1">COUNTIF(INDIRECT("["&amp;datatable!$C$3&amp;"]"&amp;datatable!$A10&amp;"!"&amp;"Y:Y"),"High Incorrect")</f>
        <v>1</v>
      </c>
      <c r="M15" s="27">
        <f ca="1">COUNTIF(INDIRECT("["&amp;datatable!$C$3&amp;"]"&amp;datatable!$A10&amp;"!"&amp;"Y:Y"),"N/A")</f>
        <v>1</v>
      </c>
      <c r="N15" s="29">
        <f t="shared" ca="1" si="0"/>
        <v>18</v>
      </c>
      <c r="O15" s="29">
        <f t="shared" ca="1" si="1"/>
        <v>17</v>
      </c>
    </row>
    <row r="16" spans="3:15">
      <c r="C16" s="5" t="s">
        <v>22</v>
      </c>
      <c r="D16" s="8">
        <f ca="1">COUNTIF(INDIRECT("["&amp;datatable!$C$3&amp;"]"&amp;datatable!$A11&amp;"!"&amp;"Y:Y"),"High Correct")</f>
        <v>7</v>
      </c>
      <c r="E16" s="11">
        <f ca="1">COUNTIF(INDIRECT("["&amp;datatable!$C$3&amp;"]"&amp;datatable!$A11&amp;"!"&amp;"Y:Y"),"Medium Correct")</f>
        <v>2</v>
      </c>
      <c r="F16" s="13">
        <f ca="1">COUNTIF(INDIRECT("["&amp;datatable!$C$3&amp;"]"&amp;datatable!$A11&amp;"!"&amp;"Y:Y"),"Low Correct")</f>
        <v>6</v>
      </c>
      <c r="G16" s="15">
        <f ca="1">COUNTIF(INDIRECT("["&amp;datatable!$C$3&amp;"]"&amp;datatable!$A11&amp;"!"&amp;"Y:Y"),"High Maybe")</f>
        <v>1</v>
      </c>
      <c r="H16" s="17">
        <f ca="1">COUNTIF(INDIRECT("["&amp;datatable!$C$3&amp;"]"&amp;datatable!$A11&amp;"!"&amp;"Y:Y"),"Medium Maybe")</f>
        <v>1</v>
      </c>
      <c r="I16" s="19">
        <f ca="1">COUNTIF(INDIRECT("["&amp;datatable!$C$3&amp;"]"&amp;datatable!$A11&amp;"!"&amp;"Y:Y"),"Low Maybe")</f>
        <v>0</v>
      </c>
      <c r="J16" s="21">
        <f ca="1">COUNTIF(INDIRECT("["&amp;datatable!$C$3&amp;"]"&amp;datatable!$A11&amp;"!"&amp;"Y:Y"),"Low Incorrect")</f>
        <v>0</v>
      </c>
      <c r="K16" s="23">
        <f ca="1">COUNTIF(INDIRECT("["&amp;datatable!$C$3&amp;"]"&amp;datatable!$A11&amp;"!"&amp;"Y:Y"),"Medium Incorrect")</f>
        <v>1</v>
      </c>
      <c r="L16" s="25">
        <f ca="1">COUNTIF(INDIRECT("["&amp;datatable!$C$3&amp;"]"&amp;datatable!$A11&amp;"!"&amp;"Y:Y"),"High Incorrect")</f>
        <v>0</v>
      </c>
      <c r="M16" s="27">
        <f ca="1">COUNTIF(INDIRECT("["&amp;datatable!$C$3&amp;"]"&amp;datatable!$A11&amp;"!"&amp;"Y:Y"),"N/A")</f>
        <v>0</v>
      </c>
      <c r="N16" s="29">
        <f t="shared" ca="1" si="0"/>
        <v>18</v>
      </c>
      <c r="O16" s="29">
        <f t="shared" ca="1" si="1"/>
        <v>18</v>
      </c>
    </row>
    <row r="17" spans="3:15">
      <c r="C17" s="5" t="s">
        <v>23</v>
      </c>
      <c r="D17" s="8">
        <f ca="1">COUNTIF(INDIRECT("["&amp;datatable!$C$3&amp;"]"&amp;datatable!$A12&amp;"!"&amp;"Y:Y"),"High Correct")</f>
        <v>5</v>
      </c>
      <c r="E17" s="11">
        <f ca="1">COUNTIF(INDIRECT("["&amp;datatable!$C$3&amp;"]"&amp;datatable!$A12&amp;"!"&amp;"Y:Y"),"Medium Correct")</f>
        <v>3</v>
      </c>
      <c r="F17" s="13">
        <f ca="1">COUNTIF(INDIRECT("["&amp;datatable!$C$3&amp;"]"&amp;datatable!$A12&amp;"!"&amp;"Y:Y"),"Low Correct")</f>
        <v>5</v>
      </c>
      <c r="G17" s="15">
        <f ca="1">COUNTIF(INDIRECT("["&amp;datatable!$C$3&amp;"]"&amp;datatable!$A12&amp;"!"&amp;"Y:Y"),"High Maybe")</f>
        <v>1</v>
      </c>
      <c r="H17" s="17">
        <f ca="1">COUNTIF(INDIRECT("["&amp;datatable!$C$3&amp;"]"&amp;datatable!$A12&amp;"!"&amp;"Y:Y"),"Medium Maybe")</f>
        <v>2</v>
      </c>
      <c r="I17" s="19">
        <f ca="1">COUNTIF(INDIRECT("["&amp;datatable!$C$3&amp;"]"&amp;datatable!$A12&amp;"!"&amp;"Y:Y"),"Low Maybe")</f>
        <v>0</v>
      </c>
      <c r="J17" s="21">
        <f ca="1">COUNTIF(INDIRECT("["&amp;datatable!$C$3&amp;"]"&amp;datatable!$A12&amp;"!"&amp;"Y:Y"),"Low Incorrect")</f>
        <v>1</v>
      </c>
      <c r="K17" s="23">
        <f ca="1">COUNTIF(INDIRECT("["&amp;datatable!$C$3&amp;"]"&amp;datatable!$A12&amp;"!"&amp;"Y:Y"),"Medium Incorrect")</f>
        <v>0</v>
      </c>
      <c r="L17" s="25">
        <f ca="1">COUNTIF(INDIRECT("["&amp;datatable!$C$3&amp;"]"&amp;datatable!$A12&amp;"!"&amp;"Y:Y"),"High Incorrect")</f>
        <v>0</v>
      </c>
      <c r="M17" s="27">
        <f ca="1">COUNTIF(INDIRECT("["&amp;datatable!$C$3&amp;"]"&amp;datatable!$A12&amp;"!"&amp;"Y:Y"),"N/A")</f>
        <v>1</v>
      </c>
      <c r="N17" s="29">
        <f t="shared" ca="1" si="0"/>
        <v>18</v>
      </c>
      <c r="O17" s="29">
        <f t="shared" ca="1" si="1"/>
        <v>17</v>
      </c>
    </row>
    <row r="18" spans="3:15">
      <c r="C18" s="5" t="s">
        <v>24</v>
      </c>
      <c r="D18" s="8">
        <f ca="1">COUNTIF(INDIRECT("["&amp;datatable!$C$3&amp;"]"&amp;datatable!$A13&amp;"!"&amp;"Y:Y"),"High Correct")</f>
        <v>5</v>
      </c>
      <c r="E18" s="11">
        <f ca="1">COUNTIF(INDIRECT("["&amp;datatable!$C$3&amp;"]"&amp;datatable!$A13&amp;"!"&amp;"Y:Y"),"Medium Correct")</f>
        <v>2</v>
      </c>
      <c r="F18" s="13">
        <f ca="1">COUNTIF(INDIRECT("["&amp;datatable!$C$3&amp;"]"&amp;datatable!$A13&amp;"!"&amp;"Y:Y"),"Low Correct")</f>
        <v>7</v>
      </c>
      <c r="G18" s="15">
        <f ca="1">COUNTIF(INDIRECT("["&amp;datatable!$C$3&amp;"]"&amp;datatable!$A13&amp;"!"&amp;"Y:Y"),"High Maybe")</f>
        <v>0</v>
      </c>
      <c r="H18" s="17">
        <f ca="1">COUNTIF(INDIRECT("["&amp;datatable!$C$3&amp;"]"&amp;datatable!$A13&amp;"!"&amp;"Y:Y"),"Medium Maybe")</f>
        <v>0</v>
      </c>
      <c r="I18" s="19">
        <f ca="1">COUNTIF(INDIRECT("["&amp;datatable!$C$3&amp;"]"&amp;datatable!$A13&amp;"!"&amp;"Y:Y"),"Low Maybe")</f>
        <v>0</v>
      </c>
      <c r="J18" s="21">
        <f ca="1">COUNTIF(INDIRECT("["&amp;datatable!$C$3&amp;"]"&amp;datatable!$A13&amp;"!"&amp;"Y:Y"),"Low Incorrect")</f>
        <v>0</v>
      </c>
      <c r="K18" s="23">
        <f ca="1">COUNTIF(INDIRECT("["&amp;datatable!$C$3&amp;"]"&amp;datatable!$A13&amp;"!"&amp;"Y:Y"),"Medium Incorrect")</f>
        <v>0</v>
      </c>
      <c r="L18" s="25">
        <f ca="1">COUNTIF(INDIRECT("["&amp;datatable!$C$3&amp;"]"&amp;datatable!$A13&amp;"!"&amp;"Y:Y"),"High Incorrect")</f>
        <v>2</v>
      </c>
      <c r="M18" s="27">
        <f ca="1">COUNTIF(INDIRECT("["&amp;datatable!$C$3&amp;"]"&amp;datatable!$A13&amp;"!"&amp;"Y:Y"),"N/A")</f>
        <v>2</v>
      </c>
      <c r="N18" s="29">
        <f t="shared" ca="1" si="0"/>
        <v>18</v>
      </c>
      <c r="O18" s="29">
        <f t="shared" ca="1" si="1"/>
        <v>16</v>
      </c>
    </row>
    <row r="19" spans="3:15">
      <c r="C19" s="5" t="s">
        <v>25</v>
      </c>
      <c r="D19" s="8">
        <f ca="1">COUNTIF(INDIRECT("["&amp;datatable!$C$3&amp;"]"&amp;datatable!$A14&amp;"!"&amp;"Y:Y"),"High Correct")</f>
        <v>3</v>
      </c>
      <c r="E19" s="11">
        <f ca="1">COUNTIF(INDIRECT("["&amp;datatable!$C$3&amp;"]"&amp;datatable!$A14&amp;"!"&amp;"Y:Y"),"Medium Correct")</f>
        <v>2</v>
      </c>
      <c r="F19" s="13">
        <f ca="1">COUNTIF(INDIRECT("["&amp;datatable!$C$3&amp;"]"&amp;datatable!$A14&amp;"!"&amp;"Y:Y"),"Low Correct")</f>
        <v>5</v>
      </c>
      <c r="G19" s="15">
        <f ca="1">COUNTIF(INDIRECT("["&amp;datatable!$C$3&amp;"]"&amp;datatable!$A14&amp;"!"&amp;"Y:Y"),"High Maybe")</f>
        <v>1</v>
      </c>
      <c r="H19" s="17">
        <f ca="1">COUNTIF(INDIRECT("["&amp;datatable!$C$3&amp;"]"&amp;datatable!$A14&amp;"!"&amp;"Y:Y"),"Medium Maybe")</f>
        <v>0</v>
      </c>
      <c r="I19" s="19">
        <f ca="1">COUNTIF(INDIRECT("["&amp;datatable!$C$3&amp;"]"&amp;datatable!$A14&amp;"!"&amp;"Y:Y"),"Low Maybe")</f>
        <v>2</v>
      </c>
      <c r="J19" s="21">
        <f ca="1">COUNTIF(INDIRECT("["&amp;datatable!$C$3&amp;"]"&amp;datatable!$A14&amp;"!"&amp;"Y:Y"),"Low Incorrect")</f>
        <v>1</v>
      </c>
      <c r="K19" s="23">
        <f ca="1">COUNTIF(INDIRECT("["&amp;datatable!$C$3&amp;"]"&amp;datatable!$A14&amp;"!"&amp;"Y:Y"),"Medium Incorrect")</f>
        <v>1</v>
      </c>
      <c r="L19" s="25">
        <f ca="1">COUNTIF(INDIRECT("["&amp;datatable!$C$3&amp;"]"&amp;datatable!$A14&amp;"!"&amp;"Y:Y"),"High Incorrect")</f>
        <v>2</v>
      </c>
      <c r="M19" s="27">
        <f ca="1">COUNTIF(INDIRECT("["&amp;datatable!$C$3&amp;"]"&amp;datatable!$A14&amp;"!"&amp;"Y:Y"),"N/A")</f>
        <v>1</v>
      </c>
      <c r="N19" s="29">
        <f t="shared" ca="1" si="0"/>
        <v>18</v>
      </c>
      <c r="O19" s="29">
        <f t="shared" ca="1" si="1"/>
        <v>17</v>
      </c>
    </row>
    <row r="20" spans="3:15">
      <c r="C20" s="5" t="s">
        <v>26</v>
      </c>
      <c r="D20" s="8">
        <f ca="1">COUNTIF(INDIRECT("["&amp;datatable!$C$3&amp;"]"&amp;datatable!$A15&amp;"!"&amp;"Y:Y"),"High Correct")</f>
        <v>8</v>
      </c>
      <c r="E20" s="11">
        <f ca="1">COUNTIF(INDIRECT("["&amp;datatable!$C$3&amp;"]"&amp;datatable!$A15&amp;"!"&amp;"Y:Y"),"Medium Correct")</f>
        <v>1</v>
      </c>
      <c r="F20" s="13">
        <f ca="1">COUNTIF(INDIRECT("["&amp;datatable!$C$3&amp;"]"&amp;datatable!$A15&amp;"!"&amp;"Y:Y"),"Low Correct")</f>
        <v>3</v>
      </c>
      <c r="G20" s="15">
        <f ca="1">COUNTIF(INDIRECT("["&amp;datatable!$C$3&amp;"]"&amp;datatable!$A15&amp;"!"&amp;"Y:Y"),"High Maybe")</f>
        <v>1</v>
      </c>
      <c r="H20" s="17">
        <f ca="1">COUNTIF(INDIRECT("["&amp;datatable!$C$3&amp;"]"&amp;datatable!$A15&amp;"!"&amp;"Y:Y"),"Medium Maybe")</f>
        <v>0</v>
      </c>
      <c r="I20" s="19">
        <f ca="1">COUNTIF(INDIRECT("["&amp;datatable!$C$3&amp;"]"&amp;datatable!$A15&amp;"!"&amp;"Y:Y"),"Low Maybe")</f>
        <v>1</v>
      </c>
      <c r="J20" s="21">
        <f ca="1">COUNTIF(INDIRECT("["&amp;datatable!$C$3&amp;"]"&amp;datatable!$A15&amp;"!"&amp;"Y:Y"),"Low Incorrect")</f>
        <v>1</v>
      </c>
      <c r="K20" s="23">
        <f ca="1">COUNTIF(INDIRECT("["&amp;datatable!$C$3&amp;"]"&amp;datatable!$A15&amp;"!"&amp;"Y:Y"),"Medium Incorrect")</f>
        <v>1</v>
      </c>
      <c r="L20" s="25">
        <f ca="1">COUNTIF(INDIRECT("["&amp;datatable!$C$3&amp;"]"&amp;datatable!$A15&amp;"!"&amp;"Y:Y"),"High Incorrect")</f>
        <v>1</v>
      </c>
      <c r="M20" s="27">
        <f ca="1">COUNTIF(INDIRECT("["&amp;datatable!$C$3&amp;"]"&amp;datatable!$A15&amp;"!"&amp;"Y:Y"),"N/A")</f>
        <v>1</v>
      </c>
      <c r="N20" s="29">
        <f t="shared" ca="1" si="0"/>
        <v>18</v>
      </c>
      <c r="O20" s="29">
        <f t="shared" ca="1" si="1"/>
        <v>17</v>
      </c>
    </row>
    <row r="21" spans="3:15">
      <c r="C21" s="5" t="s">
        <v>27</v>
      </c>
      <c r="D21" s="8">
        <f ca="1">COUNTIF(INDIRECT("["&amp;datatable!$C$3&amp;"]"&amp;datatable!$A16&amp;"!"&amp;"Y:Y"),"High Correct")</f>
        <v>7</v>
      </c>
      <c r="E21" s="11">
        <f ca="1">COUNTIF(INDIRECT("["&amp;datatable!$C$3&amp;"]"&amp;datatable!$A16&amp;"!"&amp;"Y:Y"),"Medium Correct")</f>
        <v>3</v>
      </c>
      <c r="F21" s="13">
        <f ca="1">COUNTIF(INDIRECT("["&amp;datatable!$C$3&amp;"]"&amp;datatable!$A16&amp;"!"&amp;"Y:Y"),"Low Correct")</f>
        <v>6</v>
      </c>
      <c r="G21" s="15">
        <f ca="1">COUNTIF(INDIRECT("["&amp;datatable!$C$3&amp;"]"&amp;datatable!$A16&amp;"!"&amp;"Y:Y"),"High Maybe")</f>
        <v>0</v>
      </c>
      <c r="H21" s="17">
        <f ca="1">COUNTIF(INDIRECT("["&amp;datatable!$C$3&amp;"]"&amp;datatable!$A16&amp;"!"&amp;"Y:Y"),"Medium Maybe")</f>
        <v>0</v>
      </c>
      <c r="I21" s="19">
        <f ca="1">COUNTIF(INDIRECT("["&amp;datatable!$C$3&amp;"]"&amp;datatable!$A16&amp;"!"&amp;"Y:Y"),"Low Maybe")</f>
        <v>1</v>
      </c>
      <c r="J21" s="21">
        <f ca="1">COUNTIF(INDIRECT("["&amp;datatable!$C$3&amp;"]"&amp;datatable!$A16&amp;"!"&amp;"Y:Y"),"Low Incorrect")</f>
        <v>0</v>
      </c>
      <c r="K21" s="23">
        <f ca="1">COUNTIF(INDIRECT("["&amp;datatable!$C$3&amp;"]"&amp;datatable!$A16&amp;"!"&amp;"Y:Y"),"Medium Incorrect")</f>
        <v>0</v>
      </c>
      <c r="L21" s="25">
        <f ca="1">COUNTIF(INDIRECT("["&amp;datatable!$C$3&amp;"]"&amp;datatable!$A16&amp;"!"&amp;"Y:Y"),"High Incorrect")</f>
        <v>0</v>
      </c>
      <c r="M21" s="27">
        <f ca="1">COUNTIF(INDIRECT("["&amp;datatable!$C$3&amp;"]"&amp;datatable!$A16&amp;"!"&amp;"Y:Y"),"N/A")</f>
        <v>1</v>
      </c>
      <c r="N21" s="29">
        <f t="shared" ca="1" si="0"/>
        <v>18</v>
      </c>
      <c r="O21" s="29">
        <f t="shared" ca="1" si="1"/>
        <v>17</v>
      </c>
    </row>
    <row r="22" spans="3:15">
      <c r="C22" s="5" t="s">
        <v>28</v>
      </c>
      <c r="D22" s="8">
        <f ca="1">COUNTIF(INDIRECT("["&amp;datatable!$C$3&amp;"]"&amp;datatable!$A17&amp;"!"&amp;"Y:Y"),"High Correct")</f>
        <v>7</v>
      </c>
      <c r="E22" s="11">
        <f ca="1">COUNTIF(INDIRECT("["&amp;datatable!$C$3&amp;"]"&amp;datatable!$A17&amp;"!"&amp;"Y:Y"),"Medium Correct")</f>
        <v>3</v>
      </c>
      <c r="F22" s="13">
        <f ca="1">COUNTIF(INDIRECT("["&amp;datatable!$C$3&amp;"]"&amp;datatable!$A17&amp;"!"&amp;"Y:Y"),"Low Correct")</f>
        <v>4</v>
      </c>
      <c r="G22" s="15">
        <f ca="1">COUNTIF(INDIRECT("["&amp;datatable!$C$3&amp;"]"&amp;datatable!$A17&amp;"!"&amp;"Y:Y"),"High Maybe")</f>
        <v>2</v>
      </c>
      <c r="H22" s="17">
        <f ca="1">COUNTIF(INDIRECT("["&amp;datatable!$C$3&amp;"]"&amp;datatable!$A17&amp;"!"&amp;"Y:Y"),"Medium Maybe")</f>
        <v>0</v>
      </c>
      <c r="I22" s="19">
        <f ca="1">COUNTIF(INDIRECT("["&amp;datatable!$C$3&amp;"]"&amp;datatable!$A17&amp;"!"&amp;"Y:Y"),"Low Maybe")</f>
        <v>0</v>
      </c>
      <c r="J22" s="21">
        <f ca="1">COUNTIF(INDIRECT("["&amp;datatable!$C$3&amp;"]"&amp;datatable!$A17&amp;"!"&amp;"Y:Y"),"Low Incorrect")</f>
        <v>0</v>
      </c>
      <c r="K22" s="23">
        <f ca="1">COUNTIF(INDIRECT("["&amp;datatable!$C$3&amp;"]"&amp;datatable!$A17&amp;"!"&amp;"Y:Y"),"Medium Incorrect")</f>
        <v>0</v>
      </c>
      <c r="L22" s="25">
        <f ca="1">COUNTIF(INDIRECT("["&amp;datatable!$C$3&amp;"]"&amp;datatable!$A17&amp;"!"&amp;"Y:Y"),"High Incorrect")</f>
        <v>1</v>
      </c>
      <c r="M22" s="27">
        <f ca="1">COUNTIF(INDIRECT("["&amp;datatable!$C$3&amp;"]"&amp;datatable!$A17&amp;"!"&amp;"Y:Y"),"N/A")</f>
        <v>1</v>
      </c>
      <c r="N22" s="29">
        <f t="shared" ca="1" si="0"/>
        <v>18</v>
      </c>
      <c r="O22" s="29">
        <f t="shared" ca="1" si="1"/>
        <v>17</v>
      </c>
    </row>
    <row r="23" spans="3:15">
      <c r="C23" s="5" t="s">
        <v>29</v>
      </c>
      <c r="D23" s="8">
        <f ca="1">COUNTIF(INDIRECT("["&amp;datatable!$C$3&amp;"]"&amp;datatable!$A18&amp;"!"&amp;"Y:Y"),"High Correct")</f>
        <v>1</v>
      </c>
      <c r="E23" s="11">
        <f ca="1">COUNTIF(INDIRECT("["&amp;datatable!$C$3&amp;"]"&amp;datatable!$A18&amp;"!"&amp;"Y:Y"),"Medium Correct")</f>
        <v>0</v>
      </c>
      <c r="F23" s="13">
        <f ca="1">COUNTIF(INDIRECT("["&amp;datatable!$C$3&amp;"]"&amp;datatable!$A18&amp;"!"&amp;"Y:Y"),"Low Correct")</f>
        <v>4</v>
      </c>
      <c r="G23" s="15">
        <f ca="1">COUNTIF(INDIRECT("["&amp;datatable!$C$3&amp;"]"&amp;datatable!$A18&amp;"!"&amp;"Y:Y"),"High Maybe")</f>
        <v>1</v>
      </c>
      <c r="H23" s="17">
        <f ca="1">COUNTIF(INDIRECT("["&amp;datatable!$C$3&amp;"]"&amp;datatable!$A18&amp;"!"&amp;"Y:Y"),"Medium Maybe")</f>
        <v>0</v>
      </c>
      <c r="I23" s="19">
        <f ca="1">COUNTIF(INDIRECT("["&amp;datatable!$C$3&amp;"]"&amp;datatable!$A18&amp;"!"&amp;"Y:Y"),"Low Maybe")</f>
        <v>5</v>
      </c>
      <c r="J23" s="21">
        <f ca="1">COUNTIF(INDIRECT("["&amp;datatable!$C$3&amp;"]"&amp;datatable!$A18&amp;"!"&amp;"Y:Y"),"Low Incorrect")</f>
        <v>0</v>
      </c>
      <c r="K23" s="23">
        <f ca="1">COUNTIF(INDIRECT("["&amp;datatable!$C$3&amp;"]"&amp;datatable!$A18&amp;"!"&amp;"Y:Y"),"Medium Incorrect")</f>
        <v>0</v>
      </c>
      <c r="L23" s="25">
        <f ca="1">COUNTIF(INDIRECT("["&amp;datatable!$C$3&amp;"]"&amp;datatable!$A18&amp;"!"&amp;"Y:Y"),"High Incorrect")</f>
        <v>1</v>
      </c>
      <c r="M23" s="27">
        <f ca="1">COUNTIF(INDIRECT("["&amp;datatable!$C$3&amp;"]"&amp;datatable!$A18&amp;"!"&amp;"Y:Y"),"N/A")</f>
        <v>6</v>
      </c>
      <c r="N23" s="29">
        <f t="shared" ca="1" si="0"/>
        <v>18</v>
      </c>
      <c r="O23" s="29">
        <f t="shared" ca="1" si="1"/>
        <v>12</v>
      </c>
    </row>
    <row r="24" spans="3:15">
      <c r="C24" s="5" t="s">
        <v>30</v>
      </c>
      <c r="D24" s="8">
        <f ca="1">COUNTIF(INDIRECT("["&amp;datatable!$C$3&amp;"]"&amp;datatable!$A19&amp;"!"&amp;"Y:Y"),"High Correct")</f>
        <v>2</v>
      </c>
      <c r="E24" s="11">
        <f ca="1">COUNTIF(INDIRECT("["&amp;datatable!$C$3&amp;"]"&amp;datatable!$A19&amp;"!"&amp;"Y:Y"),"Medium Correct")</f>
        <v>0</v>
      </c>
      <c r="F24" s="13">
        <f ca="1">COUNTIF(INDIRECT("["&amp;datatable!$C$3&amp;"]"&amp;datatable!$A19&amp;"!"&amp;"Y:Y"),"Low Correct")</f>
        <v>8</v>
      </c>
      <c r="G24" s="15">
        <f ca="1">COUNTIF(INDIRECT("["&amp;datatable!$C$3&amp;"]"&amp;datatable!$A19&amp;"!"&amp;"Y:Y"),"High Maybe")</f>
        <v>3</v>
      </c>
      <c r="H24" s="17">
        <f ca="1">COUNTIF(INDIRECT("["&amp;datatable!$C$3&amp;"]"&amp;datatable!$A19&amp;"!"&amp;"Y:Y"),"Medium Maybe")</f>
        <v>1</v>
      </c>
      <c r="I24" s="19">
        <f ca="1">COUNTIF(INDIRECT("["&amp;datatable!$C$3&amp;"]"&amp;datatable!$A19&amp;"!"&amp;"Y:Y"),"Low Maybe")</f>
        <v>1</v>
      </c>
      <c r="J24" s="21">
        <f ca="1">COUNTIF(INDIRECT("["&amp;datatable!$C$3&amp;"]"&amp;datatable!$A19&amp;"!"&amp;"Y:Y"),"Low Incorrect")</f>
        <v>2</v>
      </c>
      <c r="K24" s="23">
        <f ca="1">COUNTIF(INDIRECT("["&amp;datatable!$C$3&amp;"]"&amp;datatable!$A19&amp;"!"&amp;"Y:Y"),"Medium Incorrect")</f>
        <v>0</v>
      </c>
      <c r="L24" s="25">
        <f ca="1">COUNTIF(INDIRECT("["&amp;datatable!$C$3&amp;"]"&amp;datatable!$A19&amp;"!"&amp;"Y:Y"),"High Incorrect")</f>
        <v>1</v>
      </c>
      <c r="M24" s="27">
        <f ca="1">COUNTIF(INDIRECT("["&amp;datatable!$C$3&amp;"]"&amp;datatable!$A19&amp;"!"&amp;"Y:Y"),"N/A")</f>
        <v>0</v>
      </c>
      <c r="N24" s="29">
        <f t="shared" ca="1" si="0"/>
        <v>18</v>
      </c>
      <c r="O24" s="29">
        <f t="shared" ca="1" si="1"/>
        <v>18</v>
      </c>
    </row>
    <row r="25" spans="3:15">
      <c r="C25" s="5" t="s">
        <v>31</v>
      </c>
      <c r="D25" s="8">
        <f ca="1">COUNTIF(INDIRECT("["&amp;datatable!$C$3&amp;"]"&amp;datatable!$A20&amp;"!"&amp;"Y:Y"),"High Correct")</f>
        <v>2</v>
      </c>
      <c r="E25" s="11">
        <f ca="1">COUNTIF(INDIRECT("["&amp;datatable!$C$3&amp;"]"&amp;datatable!$A20&amp;"!"&amp;"Y:Y"),"Medium Correct")</f>
        <v>4</v>
      </c>
      <c r="F25" s="13">
        <f ca="1">COUNTIF(INDIRECT("["&amp;datatable!$C$3&amp;"]"&amp;datatable!$A20&amp;"!"&amp;"Y:Y"),"Low Correct")</f>
        <v>7</v>
      </c>
      <c r="G25" s="15">
        <f ca="1">COUNTIF(INDIRECT("["&amp;datatable!$C$3&amp;"]"&amp;datatable!$A20&amp;"!"&amp;"Y:Y"),"High Maybe")</f>
        <v>1</v>
      </c>
      <c r="H25" s="17">
        <f ca="1">COUNTIF(INDIRECT("["&amp;datatable!$C$3&amp;"]"&amp;datatable!$A20&amp;"!"&amp;"Y:Y"),"Medium Maybe")</f>
        <v>0</v>
      </c>
      <c r="I25" s="19">
        <f ca="1">COUNTIF(INDIRECT("["&amp;datatable!$C$3&amp;"]"&amp;datatable!$A20&amp;"!"&amp;"Y:Y"),"Low Maybe")</f>
        <v>3</v>
      </c>
      <c r="J25" s="21">
        <f ca="1">COUNTIF(INDIRECT("["&amp;datatable!$C$3&amp;"]"&amp;datatable!$A20&amp;"!"&amp;"Y:Y"),"Low Incorrect")</f>
        <v>0</v>
      </c>
      <c r="K25" s="23">
        <f ca="1">COUNTIF(INDIRECT("["&amp;datatable!$C$3&amp;"]"&amp;datatable!$A20&amp;"!"&amp;"Y:Y"),"Medium Incorrect")</f>
        <v>0</v>
      </c>
      <c r="L25" s="25">
        <f ca="1">COUNTIF(INDIRECT("["&amp;datatable!$C$3&amp;"]"&amp;datatable!$A20&amp;"!"&amp;"Y:Y"),"High Incorrect")</f>
        <v>1</v>
      </c>
      <c r="M25" s="27">
        <f ca="1">COUNTIF(INDIRECT("["&amp;datatable!$C$3&amp;"]"&amp;datatable!$A20&amp;"!"&amp;"Y:Y"),"N/A")</f>
        <v>0</v>
      </c>
      <c r="N25" s="29">
        <f t="shared" ca="1" si="0"/>
        <v>18</v>
      </c>
      <c r="O25" s="29">
        <f t="shared" ca="1" si="1"/>
        <v>18</v>
      </c>
    </row>
    <row r="26" spans="3:15">
      <c r="C26" s="5" t="s">
        <v>32</v>
      </c>
      <c r="D26" s="8">
        <f ca="1">COUNTIF(INDIRECT("["&amp;datatable!$C$3&amp;"]"&amp;datatable!$A21&amp;"!"&amp;"Y:Y"),"High Correct")</f>
        <v>2</v>
      </c>
      <c r="E26" s="11">
        <f ca="1">COUNTIF(INDIRECT("["&amp;datatable!$C$3&amp;"]"&amp;datatable!$A21&amp;"!"&amp;"Y:Y"),"Medium Correct")</f>
        <v>3</v>
      </c>
      <c r="F26" s="13">
        <f ca="1">COUNTIF(INDIRECT("["&amp;datatable!$C$3&amp;"]"&amp;datatable!$A21&amp;"!"&amp;"Y:Y"),"Low Correct")</f>
        <v>5</v>
      </c>
      <c r="G26" s="15">
        <f ca="1">COUNTIF(INDIRECT("["&amp;datatable!$C$3&amp;"]"&amp;datatable!$A21&amp;"!"&amp;"Y:Y"),"High Maybe")</f>
        <v>1</v>
      </c>
      <c r="H26" s="17">
        <f ca="1">COUNTIF(INDIRECT("["&amp;datatable!$C$3&amp;"]"&amp;datatable!$A21&amp;"!"&amp;"Y:Y"),"Medium Maybe")</f>
        <v>1</v>
      </c>
      <c r="I26" s="19">
        <f ca="1">COUNTIF(INDIRECT("["&amp;datatable!$C$3&amp;"]"&amp;datatable!$A21&amp;"!"&amp;"Y:Y"),"Low Maybe")</f>
        <v>1</v>
      </c>
      <c r="J26" s="21">
        <f ca="1">COUNTIF(INDIRECT("["&amp;datatable!$C$3&amp;"]"&amp;datatable!$A21&amp;"!"&amp;"Y:Y"),"Low Incorrect")</f>
        <v>3</v>
      </c>
      <c r="K26" s="23">
        <f ca="1">COUNTIF(INDIRECT("["&amp;datatable!$C$3&amp;"]"&amp;datatable!$A21&amp;"!"&amp;"Y:Y"),"Medium Incorrect")</f>
        <v>0</v>
      </c>
      <c r="L26" s="25">
        <f ca="1">COUNTIF(INDIRECT("["&amp;datatable!$C$3&amp;"]"&amp;datatable!$A21&amp;"!"&amp;"Y:Y"),"High Incorrect")</f>
        <v>1</v>
      </c>
      <c r="M26" s="27">
        <f ca="1">COUNTIF(INDIRECT("["&amp;datatable!$C$3&amp;"]"&amp;datatable!$A21&amp;"!"&amp;"Y:Y"),"N/A")</f>
        <v>1</v>
      </c>
      <c r="N26" s="29">
        <f t="shared" ca="1" si="0"/>
        <v>18</v>
      </c>
      <c r="O26" s="29">
        <f t="shared" ca="1" si="1"/>
        <v>17</v>
      </c>
    </row>
    <row r="27" spans="3:15">
      <c r="C27" s="5" t="s">
        <v>33</v>
      </c>
      <c r="D27" s="8">
        <f ca="1">COUNTIF(INDIRECT("["&amp;datatable!$C$3&amp;"]"&amp;datatable!$A22&amp;"!"&amp;"Y:Y"),"High Correct")</f>
        <v>0</v>
      </c>
      <c r="E27" s="11">
        <f ca="1">COUNTIF(INDIRECT("["&amp;datatable!$C$3&amp;"]"&amp;datatable!$A22&amp;"!"&amp;"Y:Y"),"Medium Correct")</f>
        <v>1</v>
      </c>
      <c r="F27" s="13">
        <f ca="1">COUNTIF(INDIRECT("["&amp;datatable!$C$3&amp;"]"&amp;datatable!$A22&amp;"!"&amp;"Y:Y"),"Low Correct")</f>
        <v>3</v>
      </c>
      <c r="G27" s="15">
        <f ca="1">COUNTIF(INDIRECT("["&amp;datatable!$C$3&amp;"]"&amp;datatable!$A22&amp;"!"&amp;"Y:Y"),"High Maybe")</f>
        <v>0</v>
      </c>
      <c r="H27" s="17">
        <f ca="1">COUNTIF(INDIRECT("["&amp;datatable!$C$3&amp;"]"&amp;datatable!$A22&amp;"!"&amp;"Y:Y"),"Medium Maybe")</f>
        <v>1</v>
      </c>
      <c r="I27" s="19">
        <f ca="1">COUNTIF(INDIRECT("["&amp;datatable!$C$3&amp;"]"&amp;datatable!$A22&amp;"!"&amp;"Y:Y"),"Low Maybe")</f>
        <v>1</v>
      </c>
      <c r="J27" s="21">
        <f ca="1">COUNTIF(INDIRECT("["&amp;datatable!$C$3&amp;"]"&amp;datatable!$A22&amp;"!"&amp;"Y:Y"),"Low Incorrect")</f>
        <v>0</v>
      </c>
      <c r="K27" s="23">
        <f ca="1">COUNTIF(INDIRECT("["&amp;datatable!$C$3&amp;"]"&amp;datatable!$A22&amp;"!"&amp;"Y:Y"),"Medium Incorrect")</f>
        <v>1</v>
      </c>
      <c r="L27" s="25">
        <f ca="1">COUNTIF(INDIRECT("["&amp;datatable!$C$3&amp;"]"&amp;datatable!$A22&amp;"!"&amp;"Y:Y"),"High Incorrect")</f>
        <v>2</v>
      </c>
      <c r="M27" s="27">
        <f ca="1">COUNTIF(INDIRECT("["&amp;datatable!$C$3&amp;"]"&amp;datatable!$A22&amp;"!"&amp;"Y:Y"),"N/A")</f>
        <v>9</v>
      </c>
      <c r="N27" s="29">
        <f t="shared" ca="1" si="0"/>
        <v>18</v>
      </c>
      <c r="O27" s="29">
        <f t="shared" ca="1" si="1"/>
        <v>9</v>
      </c>
    </row>
    <row r="28" spans="3:15">
      <c r="C28" s="6" t="s">
        <v>34</v>
      </c>
      <c r="D28" s="9">
        <f t="shared" ref="D28:M28" ca="1" si="2">SUM(D7:D27)</f>
        <v>104</v>
      </c>
      <c r="E28" s="9">
        <f t="shared" ca="1" si="2"/>
        <v>46</v>
      </c>
      <c r="F28" s="9">
        <f t="shared" ca="1" si="2"/>
        <v>89</v>
      </c>
      <c r="G28" s="9">
        <f t="shared" ca="1" si="2"/>
        <v>27</v>
      </c>
      <c r="H28" s="9">
        <f t="shared" ca="1" si="2"/>
        <v>15</v>
      </c>
      <c r="I28" s="9">
        <f t="shared" ca="1" si="2"/>
        <v>20</v>
      </c>
      <c r="J28" s="9">
        <f t="shared" ca="1" si="2"/>
        <v>20</v>
      </c>
      <c r="K28" s="9">
        <f t="shared" ca="1" si="2"/>
        <v>7</v>
      </c>
      <c r="L28" s="9">
        <f t="shared" ca="1" si="2"/>
        <v>23</v>
      </c>
      <c r="M28" s="9">
        <f t="shared" ca="1" si="2"/>
        <v>27</v>
      </c>
      <c r="N28" s="29">
        <f t="shared" ca="1" si="0"/>
        <v>378</v>
      </c>
      <c r="O28" s="29">
        <f t="shared" ca="1" si="1"/>
        <v>351</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f ca="1">COUNTIF(INDIRECT("["&amp;datatable!$C$3&amp;"]"&amp;datatable!$B2&amp;"!"&amp;"Y:Y"),"High Correct")</f>
        <v>14</v>
      </c>
      <c r="E32" s="11">
        <f ca="1">COUNTIF(INDIRECT("["&amp;datatable!$C$3&amp;"]"&amp;datatable!$B2&amp;"!"&amp;"Y:Y"),"Medium Correct")</f>
        <v>0</v>
      </c>
      <c r="F32" s="13">
        <f ca="1">COUNTIF(INDIRECT("["&amp;datatable!$C$3&amp;"]"&amp;datatable!$B2&amp;"!"&amp;"Y:Y"),"Low Correct")</f>
        <v>3</v>
      </c>
      <c r="G32" s="15">
        <f ca="1">COUNTIF(INDIRECT("["&amp;datatable!$C$3&amp;"]"&amp;datatable!$B2&amp;"!"&amp;"Y:Y"),"High Maybe")</f>
        <v>1</v>
      </c>
      <c r="H32" s="17">
        <f ca="1">COUNTIF(INDIRECT("["&amp;datatable!$C$3&amp;"]"&amp;datatable!$B2&amp;"!"&amp;"Y:Y"),"Medium Maybe")</f>
        <v>0</v>
      </c>
      <c r="I32" s="19">
        <f ca="1">COUNTIF(INDIRECT("["&amp;datatable!$C$3&amp;"]"&amp;datatable!$B2&amp;"!"&amp;"Y:Y"),"Low Maybe")</f>
        <v>0</v>
      </c>
      <c r="J32" s="21">
        <f ca="1">COUNTIF(INDIRECT("["&amp;datatable!$C$3&amp;"]"&amp;datatable!$B2&amp;"!"&amp;"Y:Y"),"Low Incorrect")</f>
        <v>0</v>
      </c>
      <c r="K32" s="23">
        <f ca="1">COUNTIF(INDIRECT("["&amp;datatable!$C$3&amp;"]"&amp;datatable!$B2&amp;"!"&amp;"Y:Y"),"Medium Incorrect")</f>
        <v>0</v>
      </c>
      <c r="L32" s="25">
        <f ca="1">COUNTIF(INDIRECT("["&amp;datatable!$C$3&amp;"]"&amp;datatable!$B2&amp;"!"&amp;"Y:Y"),"High Incorrect")</f>
        <v>0</v>
      </c>
      <c r="M32" s="27">
        <f ca="1">COUNTIF(INDIRECT("["&amp;datatable!$C$3&amp;"]"&amp;datatable!$B2&amp;"!"&amp;"Y:Y"),"N/A")</f>
        <v>3</v>
      </c>
      <c r="N32" s="43">
        <f t="shared" ref="N32:N48" ca="1" si="3">SUM(D32:M32)</f>
        <v>21</v>
      </c>
      <c r="O32" s="43">
        <f t="shared" ref="O32:O48" ca="1" si="4">SUM(D32:L32)</f>
        <v>18</v>
      </c>
    </row>
    <row r="33" spans="3:15">
      <c r="C33" s="44" t="s">
        <v>38</v>
      </c>
      <c r="D33" s="8">
        <f ca="1">COUNTIF(INDIRECT("["&amp;datatable!$C$3&amp;"]"&amp;datatable!$B3&amp;"!"&amp;"Y:Y"),"High Correct")</f>
        <v>4</v>
      </c>
      <c r="E33" s="11">
        <f ca="1">COUNTIF(INDIRECT("["&amp;datatable!$C$3&amp;"]"&amp;datatable!$B3&amp;"!"&amp;"Y:Y"),"Medium Correct")</f>
        <v>4</v>
      </c>
      <c r="F33" s="13">
        <f ca="1">COUNTIF(INDIRECT("["&amp;datatable!$C$3&amp;"]"&amp;datatable!$B3&amp;"!"&amp;"Y:Y"),"Low Correct")</f>
        <v>7</v>
      </c>
      <c r="G33" s="15">
        <f ca="1">COUNTIF(INDIRECT("["&amp;datatable!$C$3&amp;"]"&amp;datatable!$B3&amp;"!"&amp;"Y:Y"),"High Maybe")</f>
        <v>1</v>
      </c>
      <c r="H33" s="17">
        <f ca="1">COUNTIF(INDIRECT("["&amp;datatable!$C$3&amp;"]"&amp;datatable!$B3&amp;"!"&amp;"Y:Y"),"Medium Maybe")</f>
        <v>0</v>
      </c>
      <c r="I33" s="19">
        <f ca="1">COUNTIF(INDIRECT("["&amp;datatable!$C$3&amp;"]"&amp;datatable!$B3&amp;"!"&amp;"Y:Y"),"Low Maybe")</f>
        <v>2</v>
      </c>
      <c r="J33" s="21">
        <f ca="1">COUNTIF(INDIRECT("["&amp;datatable!$C$3&amp;"]"&amp;datatable!$B3&amp;"!"&amp;"Y:Y"),"Low Incorrect")</f>
        <v>2</v>
      </c>
      <c r="K33" s="23">
        <f ca="1">COUNTIF(INDIRECT("["&amp;datatable!$C$3&amp;"]"&amp;datatable!$B3&amp;"!"&amp;"Y:Y"),"Medium Incorrect")</f>
        <v>0</v>
      </c>
      <c r="L33" s="25">
        <f ca="1">COUNTIF(INDIRECT("["&amp;datatable!$C$3&amp;"]"&amp;datatable!$B3&amp;"!"&amp;"Y:Y"),"High Incorrect")</f>
        <v>1</v>
      </c>
      <c r="M33" s="27">
        <f ca="1">COUNTIF(INDIRECT("["&amp;datatable!$C$3&amp;"]"&amp;datatable!$B3&amp;"!"&amp;"Y:Y"),"N/A")</f>
        <v>0</v>
      </c>
      <c r="N33" s="43">
        <f t="shared" ca="1" si="3"/>
        <v>21</v>
      </c>
      <c r="O33" s="43">
        <f t="shared" ca="1" si="4"/>
        <v>21</v>
      </c>
    </row>
    <row r="34" spans="3:15">
      <c r="C34" s="44" t="s">
        <v>39</v>
      </c>
      <c r="D34" s="8">
        <f ca="1">COUNTIF(INDIRECT("["&amp;datatable!$C$3&amp;"]"&amp;datatable!$B4&amp;"!"&amp;"Y:Y"),"High Correct")</f>
        <v>9</v>
      </c>
      <c r="E34" s="11">
        <f ca="1">COUNTIF(INDIRECT("["&amp;datatable!$C$3&amp;"]"&amp;datatable!$B4&amp;"!"&amp;"Y:Y"),"Medium Correct")</f>
        <v>3</v>
      </c>
      <c r="F34" s="13">
        <f ca="1">COUNTIF(INDIRECT("["&amp;datatable!$C$3&amp;"]"&amp;datatable!$B4&amp;"!"&amp;"Y:Y"),"Low Correct")</f>
        <v>3</v>
      </c>
      <c r="G34" s="15">
        <f ca="1">COUNTIF(INDIRECT("["&amp;datatable!$C$3&amp;"]"&amp;datatable!$B4&amp;"!"&amp;"Y:Y"),"High Maybe")</f>
        <v>2</v>
      </c>
      <c r="H34" s="17">
        <f ca="1">COUNTIF(INDIRECT("["&amp;datatable!$C$3&amp;"]"&amp;datatable!$B4&amp;"!"&amp;"Y:Y"),"Medium Maybe")</f>
        <v>0</v>
      </c>
      <c r="I34" s="19">
        <f ca="1">COUNTIF(INDIRECT("["&amp;datatable!$C$3&amp;"]"&amp;datatable!$B4&amp;"!"&amp;"Y:Y"),"Low Maybe")</f>
        <v>0</v>
      </c>
      <c r="J34" s="21">
        <f ca="1">COUNTIF(INDIRECT("["&amp;datatable!$C$3&amp;"]"&amp;datatable!$B4&amp;"!"&amp;"Y:Y"),"Low Incorrect")</f>
        <v>2</v>
      </c>
      <c r="K34" s="23">
        <f ca="1">COUNTIF(INDIRECT("["&amp;datatable!$C$3&amp;"]"&amp;datatable!$B4&amp;"!"&amp;"Y:Y"),"Medium Incorrect")</f>
        <v>0</v>
      </c>
      <c r="L34" s="25">
        <f ca="1">COUNTIF(INDIRECT("["&amp;datatable!$C$3&amp;"]"&amp;datatable!$B4&amp;"!"&amp;"Y:Y"),"High Incorrect")</f>
        <v>0</v>
      </c>
      <c r="M34" s="27">
        <f ca="1">COUNTIF(INDIRECT("["&amp;datatable!$C$3&amp;"]"&amp;datatable!$B4&amp;"!"&amp;"Y:Y"),"N/A")</f>
        <v>2</v>
      </c>
      <c r="N34" s="43">
        <f t="shared" ca="1" si="3"/>
        <v>21</v>
      </c>
      <c r="O34" s="43">
        <f t="shared" ca="1" si="4"/>
        <v>19</v>
      </c>
    </row>
    <row r="35" spans="3:15">
      <c r="C35" s="44" t="s">
        <v>40</v>
      </c>
      <c r="D35" s="8">
        <f ca="1">COUNTIF(INDIRECT("["&amp;datatable!$C$3&amp;"]"&amp;datatable!$B5&amp;"!"&amp;"Y:Y"),"High Correct")</f>
        <v>5</v>
      </c>
      <c r="E35" s="11">
        <f ca="1">COUNTIF(INDIRECT("["&amp;datatable!$C$3&amp;"]"&amp;datatable!$B5&amp;"!"&amp;"Y:Y"),"Medium Correct")</f>
        <v>4</v>
      </c>
      <c r="F35" s="13">
        <f ca="1">COUNTIF(INDIRECT("["&amp;datatable!$C$3&amp;"]"&amp;datatable!$B5&amp;"!"&amp;"Y:Y"),"Low Correct")</f>
        <v>7</v>
      </c>
      <c r="G35" s="15">
        <f ca="1">COUNTIF(INDIRECT("["&amp;datatable!$C$3&amp;"]"&amp;datatable!$B5&amp;"!"&amp;"Y:Y"),"High Maybe")</f>
        <v>2</v>
      </c>
      <c r="H35" s="17">
        <f ca="1">COUNTIF(INDIRECT("["&amp;datatable!$C$3&amp;"]"&amp;datatable!$B5&amp;"!"&amp;"Y:Y"),"Medium Maybe")</f>
        <v>2</v>
      </c>
      <c r="I35" s="19">
        <f ca="1">COUNTIF(INDIRECT("["&amp;datatable!$C$3&amp;"]"&amp;datatable!$B5&amp;"!"&amp;"Y:Y"),"Low Maybe")</f>
        <v>1</v>
      </c>
      <c r="J35" s="21">
        <f ca="1">COUNTIF(INDIRECT("["&amp;datatable!$C$3&amp;"]"&amp;datatable!$B5&amp;"!"&amp;"Y:Y"),"Low Incorrect")</f>
        <v>0</v>
      </c>
      <c r="K35" s="23">
        <f ca="1">COUNTIF(INDIRECT("["&amp;datatable!$C$3&amp;"]"&amp;datatable!$B5&amp;"!"&amp;"Y:Y"),"Medium Incorrect")</f>
        <v>0</v>
      </c>
      <c r="L35" s="25">
        <f ca="1">COUNTIF(INDIRECT("["&amp;datatable!$C$3&amp;"]"&amp;datatable!$B5&amp;"!"&amp;"Y:Y"),"High Incorrect")</f>
        <v>0</v>
      </c>
      <c r="M35" s="27">
        <f ca="1">COUNTIF(INDIRECT("["&amp;datatable!$C$3&amp;"]"&amp;datatable!$B5&amp;"!"&amp;"Y:Y"),"N/A")</f>
        <v>0</v>
      </c>
      <c r="N35" s="43">
        <f t="shared" ca="1" si="3"/>
        <v>21</v>
      </c>
      <c r="O35" s="43">
        <f t="shared" ca="1" si="4"/>
        <v>21</v>
      </c>
    </row>
    <row r="36" spans="3:15">
      <c r="C36" s="44" t="s">
        <v>41</v>
      </c>
      <c r="D36" s="8">
        <f ca="1">COUNTIF(INDIRECT("["&amp;datatable!$C$3&amp;"]"&amp;datatable!$B6&amp;"!"&amp;"Y:Y"),"High Correct")</f>
        <v>4</v>
      </c>
      <c r="E36" s="11">
        <f ca="1">COUNTIF(INDIRECT("["&amp;datatable!$C$3&amp;"]"&amp;datatable!$B6&amp;"!"&amp;"Y:Y"),"Medium Correct")</f>
        <v>3</v>
      </c>
      <c r="F36" s="13">
        <f ca="1">COUNTIF(INDIRECT("["&amp;datatable!$C$3&amp;"]"&amp;datatable!$B6&amp;"!"&amp;"Y:Y"),"Low Correct")</f>
        <v>6</v>
      </c>
      <c r="G36" s="15">
        <f ca="1">COUNTIF(INDIRECT("["&amp;datatable!$C$3&amp;"]"&amp;datatable!$B6&amp;"!"&amp;"Y:Y"),"High Maybe")</f>
        <v>2</v>
      </c>
      <c r="H36" s="17">
        <f ca="1">COUNTIF(INDIRECT("["&amp;datatable!$C$3&amp;"]"&amp;datatable!$B6&amp;"!"&amp;"Y:Y"),"Medium Maybe")</f>
        <v>1</v>
      </c>
      <c r="I36" s="19">
        <f ca="1">COUNTIF(INDIRECT("["&amp;datatable!$C$3&amp;"]"&amp;datatable!$B6&amp;"!"&amp;"Y:Y"),"Low Maybe")</f>
        <v>2</v>
      </c>
      <c r="J36" s="21">
        <f ca="1">COUNTIF(INDIRECT("["&amp;datatable!$C$3&amp;"]"&amp;datatable!$B6&amp;"!"&amp;"Y:Y"),"Low Incorrect")</f>
        <v>1</v>
      </c>
      <c r="K36" s="23">
        <f ca="1">COUNTIF(INDIRECT("["&amp;datatable!$C$3&amp;"]"&amp;datatable!$B6&amp;"!"&amp;"Y:Y"),"Medium Incorrect")</f>
        <v>0</v>
      </c>
      <c r="L36" s="25">
        <f ca="1">COUNTIF(INDIRECT("["&amp;datatable!$C$3&amp;"]"&amp;datatable!$B6&amp;"!"&amp;"Y:Y"),"High Incorrect")</f>
        <v>1</v>
      </c>
      <c r="M36" s="27">
        <f ca="1">COUNTIF(INDIRECT("["&amp;datatable!$C$3&amp;"]"&amp;datatable!$B6&amp;"!"&amp;"Y:Y"),"N/A")</f>
        <v>1</v>
      </c>
      <c r="N36" s="43">
        <f t="shared" ca="1" si="3"/>
        <v>21</v>
      </c>
      <c r="O36" s="43">
        <f t="shared" ca="1" si="4"/>
        <v>20</v>
      </c>
    </row>
    <row r="37" spans="3:15">
      <c r="C37" s="44" t="s">
        <v>42</v>
      </c>
      <c r="D37" s="8">
        <f ca="1">COUNTIF(INDIRECT("["&amp;datatable!$C$3&amp;"]"&amp;datatable!$B7&amp;"!"&amp;"Y:Y"),"High Correct")</f>
        <v>1</v>
      </c>
      <c r="E37" s="11">
        <f ca="1">COUNTIF(INDIRECT("["&amp;datatable!$C$3&amp;"]"&amp;datatable!$B7&amp;"!"&amp;"Y:Y"),"Medium Correct")</f>
        <v>1</v>
      </c>
      <c r="F37" s="13">
        <f ca="1">COUNTIF(INDIRECT("["&amp;datatable!$C$3&amp;"]"&amp;datatable!$B7&amp;"!"&amp;"Y:Y"),"Low Correct")</f>
        <v>5</v>
      </c>
      <c r="G37" s="15">
        <f ca="1">COUNTIF(INDIRECT("["&amp;datatable!$C$3&amp;"]"&amp;datatable!$B7&amp;"!"&amp;"Y:Y"),"High Maybe")</f>
        <v>4</v>
      </c>
      <c r="H37" s="17">
        <f ca="1">COUNTIF(INDIRECT("["&amp;datatable!$C$3&amp;"]"&amp;datatable!$B7&amp;"!"&amp;"Y:Y"),"Medium Maybe")</f>
        <v>0</v>
      </c>
      <c r="I37" s="19">
        <f ca="1">COUNTIF(INDIRECT("["&amp;datatable!$C$3&amp;"]"&amp;datatable!$B7&amp;"!"&amp;"Y:Y"),"Low Maybe")</f>
        <v>1</v>
      </c>
      <c r="J37" s="21">
        <f ca="1">COUNTIF(INDIRECT("["&amp;datatable!$C$3&amp;"]"&amp;datatable!$B7&amp;"!"&amp;"Y:Y"),"Low Incorrect")</f>
        <v>0</v>
      </c>
      <c r="K37" s="23">
        <f ca="1">COUNTIF(INDIRECT("["&amp;datatable!$C$3&amp;"]"&amp;datatable!$B7&amp;"!"&amp;"Y:Y"),"Medium Incorrect")</f>
        <v>0</v>
      </c>
      <c r="L37" s="25">
        <f ca="1">COUNTIF(INDIRECT("["&amp;datatable!$C$3&amp;"]"&amp;datatable!$B7&amp;"!"&amp;"Y:Y"),"High Incorrect")</f>
        <v>0</v>
      </c>
      <c r="M37" s="27">
        <f ca="1">COUNTIF(INDIRECT("["&amp;datatable!$C$3&amp;"]"&amp;datatable!$B7&amp;"!"&amp;"Y:Y"),"N/A")</f>
        <v>9</v>
      </c>
      <c r="N37" s="43">
        <f t="shared" ca="1" si="3"/>
        <v>21</v>
      </c>
      <c r="O37" s="43">
        <f t="shared" ca="1" si="4"/>
        <v>12</v>
      </c>
    </row>
    <row r="38" spans="3:15">
      <c r="C38" s="44" t="s">
        <v>43</v>
      </c>
      <c r="D38" s="8">
        <f ca="1">COUNTIF(INDIRECT("["&amp;datatable!$C$3&amp;"]"&amp;datatable!$B8&amp;"!"&amp;"Y:Y"),"High Correct")</f>
        <v>6</v>
      </c>
      <c r="E38" s="11">
        <f ca="1">COUNTIF(INDIRECT("["&amp;datatable!$C$3&amp;"]"&amp;datatable!$B8&amp;"!"&amp;"Y:Y"),"Medium Correct")</f>
        <v>3</v>
      </c>
      <c r="F38" s="13">
        <f ca="1">COUNTIF(INDIRECT("["&amp;datatable!$C$3&amp;"]"&amp;datatable!$B8&amp;"!"&amp;"Y:Y"),"Low Correct")</f>
        <v>1</v>
      </c>
      <c r="G38" s="15">
        <f ca="1">COUNTIF(INDIRECT("["&amp;datatable!$C$3&amp;"]"&amp;datatable!$B8&amp;"!"&amp;"Y:Y"),"High Maybe")</f>
        <v>1</v>
      </c>
      <c r="H38" s="17">
        <f ca="1">COUNTIF(INDIRECT("["&amp;datatable!$C$3&amp;"]"&amp;datatable!$B8&amp;"!"&amp;"Y:Y"),"Medium Maybe")</f>
        <v>1</v>
      </c>
      <c r="I38" s="19">
        <f ca="1">COUNTIF(INDIRECT("["&amp;datatable!$C$3&amp;"]"&amp;datatable!$B8&amp;"!"&amp;"Y:Y"),"Low Maybe")</f>
        <v>4</v>
      </c>
      <c r="J38" s="21">
        <f ca="1">COUNTIF(INDIRECT("["&amp;datatable!$C$3&amp;"]"&amp;datatable!$B8&amp;"!"&amp;"Y:Y"),"Low Incorrect")</f>
        <v>2</v>
      </c>
      <c r="K38" s="23">
        <f ca="1">COUNTIF(INDIRECT("["&amp;datatable!$C$3&amp;"]"&amp;datatable!$B8&amp;"!"&amp;"Y:Y"),"Medium Incorrect")</f>
        <v>0</v>
      </c>
      <c r="L38" s="25">
        <f ca="1">COUNTIF(INDIRECT("["&amp;datatable!$C$3&amp;"]"&amp;datatable!$B8&amp;"!"&amp;"Y:Y"),"High Incorrect")</f>
        <v>1</v>
      </c>
      <c r="M38" s="27">
        <f ca="1">COUNTIF(INDIRECT("["&amp;datatable!$C$3&amp;"]"&amp;datatable!$B8&amp;"!"&amp;"Y:Y"),"N/A")</f>
        <v>2</v>
      </c>
      <c r="N38" s="43">
        <f t="shared" ca="1" si="3"/>
        <v>21</v>
      </c>
      <c r="O38" s="43">
        <f t="shared" ca="1" si="4"/>
        <v>19</v>
      </c>
    </row>
    <row r="39" spans="3:15">
      <c r="C39" s="44" t="s">
        <v>44</v>
      </c>
      <c r="D39" s="8">
        <f ca="1">COUNTIF(INDIRECT("["&amp;datatable!$C$3&amp;"]"&amp;datatable!$B9&amp;"!"&amp;"Y:Y"),"High Correct")</f>
        <v>7</v>
      </c>
      <c r="E39" s="11">
        <f ca="1">COUNTIF(INDIRECT("["&amp;datatable!$C$3&amp;"]"&amp;datatable!$B9&amp;"!"&amp;"Y:Y"),"Medium Correct")</f>
        <v>3</v>
      </c>
      <c r="F39" s="13">
        <f ca="1">COUNTIF(INDIRECT("["&amp;datatable!$C$3&amp;"]"&amp;datatable!$B9&amp;"!"&amp;"Y:Y"),"Low Correct")</f>
        <v>9</v>
      </c>
      <c r="G39" s="15">
        <f ca="1">COUNTIF(INDIRECT("["&amp;datatable!$C$3&amp;"]"&amp;datatable!$B9&amp;"!"&amp;"Y:Y"),"High Maybe")</f>
        <v>1</v>
      </c>
      <c r="H39" s="17">
        <f ca="1">COUNTIF(INDIRECT("["&amp;datatable!$C$3&amp;"]"&amp;datatable!$B9&amp;"!"&amp;"Y:Y"),"Medium Maybe")</f>
        <v>0</v>
      </c>
      <c r="I39" s="19">
        <f ca="1">COUNTIF(INDIRECT("["&amp;datatable!$C$3&amp;"]"&amp;datatable!$B9&amp;"!"&amp;"Y:Y"),"Low Maybe")</f>
        <v>0</v>
      </c>
      <c r="J39" s="21">
        <f ca="1">COUNTIF(INDIRECT("["&amp;datatable!$C$3&amp;"]"&amp;datatable!$B9&amp;"!"&amp;"Y:Y"),"Low Incorrect")</f>
        <v>0</v>
      </c>
      <c r="K39" s="23">
        <f ca="1">COUNTIF(INDIRECT("["&amp;datatable!$C$3&amp;"]"&amp;datatable!$B9&amp;"!"&amp;"Y:Y"),"Medium Incorrect")</f>
        <v>0</v>
      </c>
      <c r="L39" s="25">
        <f ca="1">COUNTIF(INDIRECT("["&amp;datatable!$C$3&amp;"]"&amp;datatable!$B9&amp;"!"&amp;"Y:Y"),"High Incorrect")</f>
        <v>0</v>
      </c>
      <c r="M39" s="27">
        <f ca="1">COUNTIF(INDIRECT("["&amp;datatable!$C$3&amp;"]"&amp;datatable!$B9&amp;"!"&amp;"Y:Y"),"N/A")</f>
        <v>1</v>
      </c>
      <c r="N39" s="43">
        <f t="shared" ca="1" si="3"/>
        <v>21</v>
      </c>
      <c r="O39" s="43">
        <f t="shared" ca="1" si="4"/>
        <v>20</v>
      </c>
    </row>
    <row r="40" spans="3:15">
      <c r="C40" s="44" t="s">
        <v>45</v>
      </c>
      <c r="D40" s="8">
        <f ca="1">COUNTIF(INDIRECT("["&amp;datatable!$C$3&amp;"]"&amp;datatable!$B10&amp;"!"&amp;"Y:Y"),"High Correct")</f>
        <v>10</v>
      </c>
      <c r="E40" s="11">
        <f ca="1">COUNTIF(INDIRECT("["&amp;datatable!$C$3&amp;"]"&amp;datatable!$B10&amp;"!"&amp;"Y:Y"),"Medium Correct")</f>
        <v>0</v>
      </c>
      <c r="F40" s="13">
        <f ca="1">COUNTIF(INDIRECT("["&amp;datatable!$C$3&amp;"]"&amp;datatable!$B10&amp;"!"&amp;"Y:Y"),"Low Correct")</f>
        <v>3</v>
      </c>
      <c r="G40" s="15">
        <f ca="1">COUNTIF(INDIRECT("["&amp;datatable!$C$3&amp;"]"&amp;datatable!$B10&amp;"!"&amp;"Y:Y"),"High Maybe")</f>
        <v>1</v>
      </c>
      <c r="H40" s="17">
        <f ca="1">COUNTIF(INDIRECT("["&amp;datatable!$C$3&amp;"]"&amp;datatable!$B10&amp;"!"&amp;"Y:Y"),"Medium Maybe")</f>
        <v>3</v>
      </c>
      <c r="I40" s="19">
        <f ca="1">COUNTIF(INDIRECT("["&amp;datatable!$C$3&amp;"]"&amp;datatable!$B10&amp;"!"&amp;"Y:Y"),"Low Maybe")</f>
        <v>1</v>
      </c>
      <c r="J40" s="21">
        <f ca="1">COUNTIF(INDIRECT("["&amp;datatable!$C$3&amp;"]"&amp;datatable!$B10&amp;"!"&amp;"Y:Y"),"Low Incorrect")</f>
        <v>0</v>
      </c>
      <c r="K40" s="23">
        <f ca="1">COUNTIF(INDIRECT("["&amp;datatable!$C$3&amp;"]"&amp;datatable!$B10&amp;"!"&amp;"Y:Y"),"Medium Incorrect")</f>
        <v>0</v>
      </c>
      <c r="L40" s="25">
        <f ca="1">COUNTIF(INDIRECT("["&amp;datatable!$C$3&amp;"]"&amp;datatable!$B10&amp;"!"&amp;"Y:Y"),"High Incorrect")</f>
        <v>0</v>
      </c>
      <c r="M40" s="27">
        <f ca="1">COUNTIF(INDIRECT("["&amp;datatable!$C$3&amp;"]"&amp;datatable!$B10&amp;"!"&amp;"Y:Y"),"N/A")</f>
        <v>3</v>
      </c>
      <c r="N40" s="43">
        <f t="shared" ca="1" si="3"/>
        <v>21</v>
      </c>
      <c r="O40" s="43">
        <f t="shared" ca="1" si="4"/>
        <v>18</v>
      </c>
    </row>
    <row r="41" spans="3:15">
      <c r="C41" s="44" t="s">
        <v>46</v>
      </c>
      <c r="D41" s="8">
        <f ca="1">COUNTIF(INDIRECT("["&amp;datatable!$C$3&amp;"]"&amp;datatable!$B11&amp;"!"&amp;"Y:Y"),"High Correct")</f>
        <v>5</v>
      </c>
      <c r="E41" s="11">
        <f ca="1">COUNTIF(INDIRECT("["&amp;datatable!$C$3&amp;"]"&amp;datatable!$B11&amp;"!"&amp;"Y:Y"),"Medium Correct")</f>
        <v>5</v>
      </c>
      <c r="F41" s="13">
        <f ca="1">COUNTIF(INDIRECT("["&amp;datatable!$C$3&amp;"]"&amp;datatable!$B11&amp;"!"&amp;"Y:Y"),"Low Correct")</f>
        <v>7</v>
      </c>
      <c r="G41" s="15">
        <f ca="1">COUNTIF(INDIRECT("["&amp;datatable!$C$3&amp;"]"&amp;datatable!$B11&amp;"!"&amp;"Y:Y"),"High Maybe")</f>
        <v>4</v>
      </c>
      <c r="H41" s="17">
        <f ca="1">COUNTIF(INDIRECT("["&amp;datatable!$C$3&amp;"]"&amp;datatable!$B11&amp;"!"&amp;"Y:Y"),"Medium Maybe")</f>
        <v>0</v>
      </c>
      <c r="I41" s="19">
        <f ca="1">COUNTIF(INDIRECT("["&amp;datatable!$C$3&amp;"]"&amp;datatable!$B11&amp;"!"&amp;"Y:Y"),"Low Maybe")</f>
        <v>0</v>
      </c>
      <c r="J41" s="21">
        <f ca="1">COUNTIF(INDIRECT("["&amp;datatable!$C$3&amp;"]"&amp;datatable!$B11&amp;"!"&amp;"Y:Y"),"Low Incorrect")</f>
        <v>0</v>
      </c>
      <c r="K41" s="23">
        <f ca="1">COUNTIF(INDIRECT("["&amp;datatable!$C$3&amp;"]"&amp;datatable!$B11&amp;"!"&amp;"Y:Y"),"Medium Incorrect")</f>
        <v>0</v>
      </c>
      <c r="L41" s="25">
        <f ca="1">COUNTIF(INDIRECT("["&amp;datatable!$C$3&amp;"]"&amp;datatable!$B11&amp;"!"&amp;"Y:Y"),"High Incorrect")</f>
        <v>0</v>
      </c>
      <c r="M41" s="27">
        <f ca="1">COUNTIF(INDIRECT("["&amp;datatable!$C$3&amp;"]"&amp;datatable!$B11&amp;"!"&amp;"Y:Y"),"N/A")</f>
        <v>0</v>
      </c>
      <c r="N41" s="43">
        <f t="shared" ca="1" si="3"/>
        <v>21</v>
      </c>
      <c r="O41" s="43">
        <f t="shared" ca="1" si="4"/>
        <v>21</v>
      </c>
    </row>
    <row r="42" spans="3:15">
      <c r="C42" s="44" t="s">
        <v>47</v>
      </c>
      <c r="D42" s="8">
        <f ca="1">COUNTIF(INDIRECT("["&amp;datatable!$C$3&amp;"]"&amp;datatable!$B12&amp;"!"&amp;"Y:Y"),"High Correct")</f>
        <v>2</v>
      </c>
      <c r="E42" s="11">
        <f ca="1">COUNTIF(INDIRECT("["&amp;datatable!$C$3&amp;"]"&amp;datatable!$B12&amp;"!"&amp;"Y:Y"),"Medium Correct")</f>
        <v>4</v>
      </c>
      <c r="F42" s="13">
        <f ca="1">COUNTIF(INDIRECT("["&amp;datatable!$C$3&amp;"]"&amp;datatable!$B12&amp;"!"&amp;"Y:Y"),"Low Correct")</f>
        <v>5</v>
      </c>
      <c r="G42" s="15">
        <f ca="1">COUNTIF(INDIRECT("["&amp;datatable!$C$3&amp;"]"&amp;datatable!$B12&amp;"!"&amp;"Y:Y"),"High Maybe")</f>
        <v>4</v>
      </c>
      <c r="H42" s="17">
        <f ca="1">COUNTIF(INDIRECT("["&amp;datatable!$C$3&amp;"]"&amp;datatable!$B12&amp;"!"&amp;"Y:Y"),"Medium Maybe")</f>
        <v>2</v>
      </c>
      <c r="I42" s="19">
        <f ca="1">COUNTIF(INDIRECT("["&amp;datatable!$C$3&amp;"]"&amp;datatable!$B12&amp;"!"&amp;"Y:Y"),"Low Maybe")</f>
        <v>2</v>
      </c>
      <c r="J42" s="21">
        <f ca="1">COUNTIF(INDIRECT("["&amp;datatable!$C$3&amp;"]"&amp;datatable!$B12&amp;"!"&amp;"Y:Y"),"Low Incorrect")</f>
        <v>2</v>
      </c>
      <c r="K42" s="23">
        <f ca="1">COUNTIF(INDIRECT("["&amp;datatable!$C$3&amp;"]"&amp;datatable!$B12&amp;"!"&amp;"Y:Y"),"Medium Incorrect")</f>
        <v>0</v>
      </c>
      <c r="L42" s="25">
        <f ca="1">COUNTIF(INDIRECT("["&amp;datatable!$C$3&amp;"]"&amp;datatable!$B12&amp;"!"&amp;"Y:Y"),"High Incorrect")</f>
        <v>0</v>
      </c>
      <c r="M42" s="27">
        <f ca="1">COUNTIF(INDIRECT("["&amp;datatable!$C$3&amp;"]"&amp;datatable!$B12&amp;"!"&amp;"Y:Y"),"N/A")</f>
        <v>0</v>
      </c>
      <c r="N42" s="43">
        <f t="shared" ca="1" si="3"/>
        <v>21</v>
      </c>
      <c r="O42" s="43">
        <f t="shared" ca="1" si="4"/>
        <v>21</v>
      </c>
    </row>
    <row r="43" spans="3:15">
      <c r="C43" s="44" t="s">
        <v>48</v>
      </c>
      <c r="D43" s="8">
        <f ca="1">COUNTIF(INDIRECT("["&amp;datatable!$C$3&amp;"]"&amp;datatable!$B13&amp;"!"&amp;"Y:Y"),"High Correct")</f>
        <v>12</v>
      </c>
      <c r="E43" s="11">
        <f ca="1">COUNTIF(INDIRECT("["&amp;datatable!$C$3&amp;"]"&amp;datatable!$B13&amp;"!"&amp;"Y:Y"),"Medium Correct")</f>
        <v>1</v>
      </c>
      <c r="F43" s="13">
        <f ca="1">COUNTIF(INDIRECT("["&amp;datatable!$C$3&amp;"]"&amp;datatable!$B13&amp;"!"&amp;"Y:Y"),"Low Correct")</f>
        <v>5</v>
      </c>
      <c r="G43" s="15">
        <f ca="1">COUNTIF(INDIRECT("["&amp;datatable!$C$3&amp;"]"&amp;datatable!$B13&amp;"!"&amp;"Y:Y"),"High Maybe")</f>
        <v>0</v>
      </c>
      <c r="H43" s="17">
        <f ca="1">COUNTIF(INDIRECT("["&amp;datatable!$C$3&amp;"]"&amp;datatable!$B13&amp;"!"&amp;"Y:Y"),"Medium Maybe")</f>
        <v>0</v>
      </c>
      <c r="I43" s="19">
        <f ca="1">COUNTIF(INDIRECT("["&amp;datatable!$C$3&amp;"]"&amp;datatable!$B13&amp;"!"&amp;"Y:Y"),"Low Maybe")</f>
        <v>3</v>
      </c>
      <c r="J43" s="21">
        <f ca="1">COUNTIF(INDIRECT("["&amp;datatable!$C$3&amp;"]"&amp;datatable!$B13&amp;"!"&amp;"Y:Y"),"Low Incorrect")</f>
        <v>0</v>
      </c>
      <c r="K43" s="23">
        <f ca="1">COUNTIF(INDIRECT("["&amp;datatable!$C$3&amp;"]"&amp;datatable!$B13&amp;"!"&amp;"Y:Y"),"Medium Incorrect")</f>
        <v>0</v>
      </c>
      <c r="L43" s="25">
        <f ca="1">COUNTIF(INDIRECT("["&amp;datatable!$C$3&amp;"]"&amp;datatable!$B13&amp;"!"&amp;"Y:Y"),"High Incorrect")</f>
        <v>0</v>
      </c>
      <c r="M43" s="27">
        <f ca="1">COUNTIF(INDIRECT("["&amp;datatable!$C$3&amp;"]"&amp;datatable!$B13&amp;"!"&amp;"Y:Y"),"N/A")</f>
        <v>0</v>
      </c>
      <c r="N43" s="43">
        <f t="shared" ca="1" si="3"/>
        <v>21</v>
      </c>
      <c r="O43" s="43">
        <f t="shared" ca="1" si="4"/>
        <v>21</v>
      </c>
    </row>
    <row r="44" spans="3:15">
      <c r="C44" s="44" t="s">
        <v>49</v>
      </c>
      <c r="D44" s="8">
        <f ca="1">COUNTIF(INDIRECT("["&amp;datatable!$C$3&amp;"]"&amp;datatable!$B14&amp;"!"&amp;"Y:Y"),"High Correct")</f>
        <v>2</v>
      </c>
      <c r="E44" s="11">
        <f ca="1">COUNTIF(INDIRECT("["&amp;datatable!$C$3&amp;"]"&amp;datatable!$B14&amp;"!"&amp;"Y:Y"),"Medium Correct")</f>
        <v>3</v>
      </c>
      <c r="F44" s="13">
        <f ca="1">COUNTIF(INDIRECT("["&amp;datatable!$C$3&amp;"]"&amp;datatable!$B14&amp;"!"&amp;"Y:Y"),"Low Correct")</f>
        <v>6</v>
      </c>
      <c r="G44" s="15">
        <f ca="1">COUNTIF(INDIRECT("["&amp;datatable!$C$3&amp;"]"&amp;datatable!$B14&amp;"!"&amp;"Y:Y"),"High Maybe")</f>
        <v>2</v>
      </c>
      <c r="H44" s="17">
        <f ca="1">COUNTIF(INDIRECT("["&amp;datatable!$C$3&amp;"]"&amp;datatable!$B14&amp;"!"&amp;"Y:Y"),"Medium Maybe")</f>
        <v>2</v>
      </c>
      <c r="I44" s="19">
        <f ca="1">COUNTIF(INDIRECT("["&amp;datatable!$C$3&amp;"]"&amp;datatable!$B14&amp;"!"&amp;"Y:Y"),"Low Maybe")</f>
        <v>1</v>
      </c>
      <c r="J44" s="21">
        <f ca="1">COUNTIF(INDIRECT("["&amp;datatable!$C$3&amp;"]"&amp;datatable!$B14&amp;"!"&amp;"Y:Y"),"Low Incorrect")</f>
        <v>2</v>
      </c>
      <c r="K44" s="23">
        <f ca="1">COUNTIF(INDIRECT("["&amp;datatable!$C$3&amp;"]"&amp;datatable!$B14&amp;"!"&amp;"Y:Y"),"Medium Incorrect")</f>
        <v>0</v>
      </c>
      <c r="L44" s="25">
        <f ca="1">COUNTIF(INDIRECT("["&amp;datatable!$C$3&amp;"]"&amp;datatable!$B14&amp;"!"&amp;"Y:Y"),"High Incorrect")</f>
        <v>0</v>
      </c>
      <c r="M44" s="27">
        <f ca="1">COUNTIF(INDIRECT("["&amp;datatable!$C$3&amp;"]"&amp;datatable!$B14&amp;"!"&amp;"Y:Y"),"N/A")</f>
        <v>3</v>
      </c>
      <c r="N44" s="43">
        <f t="shared" ca="1" si="3"/>
        <v>21</v>
      </c>
      <c r="O44" s="43">
        <f t="shared" ca="1" si="4"/>
        <v>18</v>
      </c>
    </row>
    <row r="45" spans="3:15">
      <c r="C45" s="44" t="s">
        <v>50</v>
      </c>
      <c r="D45" s="8">
        <f ca="1">COUNTIF(INDIRECT("["&amp;datatable!$C$3&amp;"]"&amp;datatable!$B15&amp;"!"&amp;"Y:Y"),"High Correct")</f>
        <v>8</v>
      </c>
      <c r="E45" s="11">
        <f ca="1">COUNTIF(INDIRECT("["&amp;datatable!$C$3&amp;"]"&amp;datatable!$B15&amp;"!"&amp;"Y:Y"),"Medium Correct")</f>
        <v>3</v>
      </c>
      <c r="F45" s="13">
        <f ca="1">COUNTIF(INDIRECT("["&amp;datatable!$C$3&amp;"]"&amp;datatable!$B15&amp;"!"&amp;"Y:Y"),"Low Correct")</f>
        <v>5</v>
      </c>
      <c r="G45" s="15">
        <f ca="1">COUNTIF(INDIRECT("["&amp;datatable!$C$3&amp;"]"&amp;datatable!$B15&amp;"!"&amp;"Y:Y"),"High Maybe")</f>
        <v>0</v>
      </c>
      <c r="H45" s="17">
        <f ca="1">COUNTIF(INDIRECT("["&amp;datatable!$C$3&amp;"]"&amp;datatable!$B15&amp;"!"&amp;"Y:Y"),"Medium Maybe")</f>
        <v>1</v>
      </c>
      <c r="I45" s="19">
        <f ca="1">COUNTIF(INDIRECT("["&amp;datatable!$C$3&amp;"]"&amp;datatable!$B15&amp;"!"&amp;"Y:Y"),"Low Maybe")</f>
        <v>0</v>
      </c>
      <c r="J45" s="21">
        <f ca="1">COUNTIF(INDIRECT("["&amp;datatable!$C$3&amp;"]"&amp;datatable!$B15&amp;"!"&amp;"Y:Y"),"Low Incorrect")</f>
        <v>1</v>
      </c>
      <c r="K45" s="23">
        <f ca="1">COUNTIF(INDIRECT("["&amp;datatable!$C$3&amp;"]"&amp;datatable!$B15&amp;"!"&amp;"Y:Y"),"Medium Incorrect")</f>
        <v>3</v>
      </c>
      <c r="L45" s="25">
        <f ca="1">COUNTIF(INDIRECT("["&amp;datatable!$C$3&amp;"]"&amp;datatable!$B15&amp;"!"&amp;"Y:Y"),"High Incorrect")</f>
        <v>0</v>
      </c>
      <c r="M45" s="27">
        <f ca="1">COUNTIF(INDIRECT("["&amp;datatable!$C$3&amp;"]"&amp;datatable!$B15&amp;"!"&amp;"Y:Y"),"N/A")</f>
        <v>0</v>
      </c>
      <c r="N45" s="43">
        <f t="shared" ca="1" si="3"/>
        <v>21</v>
      </c>
      <c r="O45" s="43">
        <f t="shared" ca="1" si="4"/>
        <v>21</v>
      </c>
    </row>
    <row r="46" spans="3:15">
      <c r="C46" s="45" t="s">
        <v>51</v>
      </c>
      <c r="D46" s="8">
        <f ca="1">COUNTIF(INDIRECT("["&amp;datatable!$C$3&amp;"]"&amp;datatable!$B16&amp;"!"&amp;"Y:Y"),"High Correct")</f>
        <v>0</v>
      </c>
      <c r="E46" s="11">
        <f ca="1">COUNTIF(INDIRECT("["&amp;datatable!$C$3&amp;"]"&amp;datatable!$B16&amp;"!"&amp;"Y:Y"),"Medium Correct")</f>
        <v>1</v>
      </c>
      <c r="F46" s="13">
        <f ca="1">COUNTIF(INDIRECT("["&amp;datatable!$C$3&amp;"]"&amp;datatable!$B16&amp;"!"&amp;"Y:Y"),"Low Correct")</f>
        <v>1</v>
      </c>
      <c r="G46" s="15">
        <f ca="1">COUNTIF(INDIRECT("["&amp;datatable!$C$3&amp;"]"&amp;datatable!$B16&amp;"!"&amp;"Y:Y"),"High Maybe")</f>
        <v>0</v>
      </c>
      <c r="H46" s="17">
        <f ca="1">COUNTIF(INDIRECT("["&amp;datatable!$C$3&amp;"]"&amp;datatable!$B16&amp;"!"&amp;"Y:Y"),"Medium Maybe")</f>
        <v>0</v>
      </c>
      <c r="I46" s="19">
        <f ca="1">COUNTIF(INDIRECT("["&amp;datatable!$C$3&amp;"]"&amp;datatable!$B16&amp;"!"&amp;"Y:Y"),"Low Maybe")</f>
        <v>0</v>
      </c>
      <c r="J46" s="21">
        <f ca="1">COUNTIF(INDIRECT("["&amp;datatable!$C$3&amp;"]"&amp;datatable!$B16&amp;"!"&amp;"Y:Y"),"Low Incorrect")</f>
        <v>2</v>
      </c>
      <c r="K46" s="23">
        <f ca="1">COUNTIF(INDIRECT("["&amp;datatable!$C$3&amp;"]"&amp;datatable!$B16&amp;"!"&amp;"Y:Y"),"Medium Incorrect")</f>
        <v>3</v>
      </c>
      <c r="L46" s="25">
        <f ca="1">COUNTIF(INDIRECT("["&amp;datatable!$C$3&amp;"]"&amp;datatable!$B16&amp;"!"&amp;"Y:Y"),"High Incorrect")</f>
        <v>14</v>
      </c>
      <c r="M46" s="27">
        <f ca="1">COUNTIF(INDIRECT("["&amp;datatable!$C$3&amp;"]"&amp;datatable!$B16&amp;"!"&amp;"Y:Y"),"N/A")</f>
        <v>0</v>
      </c>
      <c r="N46" s="43">
        <f t="shared" ca="1" si="3"/>
        <v>21</v>
      </c>
      <c r="O46" s="43">
        <f t="shared" ca="1" si="4"/>
        <v>21</v>
      </c>
    </row>
    <row r="47" spans="3:15">
      <c r="C47" s="44" t="s">
        <v>52</v>
      </c>
      <c r="D47" s="8">
        <f ca="1">COUNTIF(INDIRECT("["&amp;datatable!$C$3&amp;"]"&amp;datatable!$B17&amp;"!"&amp;"Y:Y"),"High Correct")</f>
        <v>6</v>
      </c>
      <c r="E47" s="11">
        <f ca="1">COUNTIF(INDIRECT("["&amp;datatable!$C$3&amp;"]"&amp;datatable!$B17&amp;"!"&amp;"Y:Y"),"Medium Correct")</f>
        <v>4</v>
      </c>
      <c r="F47" s="13">
        <f ca="1">COUNTIF(INDIRECT("["&amp;datatable!$C$3&amp;"]"&amp;datatable!$B17&amp;"!"&amp;"Y:Y"),"Low Correct")</f>
        <v>7</v>
      </c>
      <c r="G47" s="15">
        <f ca="1">COUNTIF(INDIRECT("["&amp;datatable!$C$3&amp;"]"&amp;datatable!$B17&amp;"!"&amp;"Y:Y"),"High Maybe")</f>
        <v>0</v>
      </c>
      <c r="H47" s="17">
        <f ca="1">COUNTIF(INDIRECT("["&amp;datatable!$C$3&amp;"]"&amp;datatable!$B17&amp;"!"&amp;"Y:Y"),"Medium Maybe")</f>
        <v>1</v>
      </c>
      <c r="I47" s="19">
        <f ca="1">COUNTIF(INDIRECT("["&amp;datatable!$C$3&amp;"]"&amp;datatable!$B17&amp;"!"&amp;"Y:Y"),"Low Maybe")</f>
        <v>0</v>
      </c>
      <c r="J47" s="21">
        <f ca="1">COUNTIF(INDIRECT("["&amp;datatable!$C$3&amp;"]"&amp;datatable!$B17&amp;"!"&amp;"Y:Y"),"Low Incorrect")</f>
        <v>2</v>
      </c>
      <c r="K47" s="23">
        <f ca="1">COUNTIF(INDIRECT("["&amp;datatable!$C$3&amp;"]"&amp;datatable!$B17&amp;"!"&amp;"Y:Y"),"Medium Incorrect")</f>
        <v>0</v>
      </c>
      <c r="L47" s="25">
        <f ca="1">COUNTIF(INDIRECT("["&amp;datatable!$C$3&amp;"]"&amp;datatable!$B17&amp;"!"&amp;"Y:Y"),"High Incorrect")</f>
        <v>0</v>
      </c>
      <c r="M47" s="27">
        <f ca="1">COUNTIF(INDIRECT("["&amp;datatable!$C$3&amp;"]"&amp;datatable!$B17&amp;"!"&amp;"Y:Y"),"N/A")</f>
        <v>1</v>
      </c>
      <c r="N47" s="43">
        <f t="shared" ca="1" si="3"/>
        <v>21</v>
      </c>
      <c r="O47" s="43">
        <f t="shared" ca="1" si="4"/>
        <v>20</v>
      </c>
    </row>
    <row r="48" spans="3:15">
      <c r="C48" s="44" t="s">
        <v>53</v>
      </c>
      <c r="D48" s="8">
        <f ca="1">COUNTIF(INDIRECT("["&amp;datatable!$C$3&amp;"]"&amp;datatable!$B18&amp;"!"&amp;"Y:Y"),"High Correct")</f>
        <v>3</v>
      </c>
      <c r="E48" s="11">
        <f ca="1">COUNTIF(INDIRECT("["&amp;datatable!$C$3&amp;"]"&amp;datatable!$B18&amp;"!"&amp;"Y:Y"),"Medium Correct")</f>
        <v>2</v>
      </c>
      <c r="F48" s="13">
        <f ca="1">COUNTIF(INDIRECT("["&amp;datatable!$C$3&amp;"]"&amp;datatable!$B18&amp;"!"&amp;"Y:Y"),"Low Correct")</f>
        <v>1</v>
      </c>
      <c r="G48" s="15">
        <f ca="1">COUNTIF(INDIRECT("["&amp;datatable!$C$3&amp;"]"&amp;datatable!$B18&amp;"!"&amp;"Y:Y"),"High Maybe")</f>
        <v>2</v>
      </c>
      <c r="H48" s="17">
        <f ca="1">COUNTIF(INDIRECT("["&amp;datatable!$C$3&amp;"]"&amp;datatable!$B18&amp;"!"&amp;"Y:Y"),"Medium Maybe")</f>
        <v>2</v>
      </c>
      <c r="I48" s="19">
        <f ca="1">COUNTIF(INDIRECT("["&amp;datatable!$C$3&amp;"]"&amp;datatable!$B18&amp;"!"&amp;"Y:Y"),"Low Maybe")</f>
        <v>0</v>
      </c>
      <c r="J48" s="21">
        <f ca="1">COUNTIF(INDIRECT("["&amp;datatable!$C$3&amp;"]"&amp;datatable!$B18&amp;"!"&amp;"Y:Y"),"Low Incorrect")</f>
        <v>2</v>
      </c>
      <c r="K48" s="23">
        <f ca="1">COUNTIF(INDIRECT("["&amp;datatable!$C$3&amp;"]"&amp;datatable!$B18&amp;"!"&amp;"Y:Y"),"Medium Incorrect")</f>
        <v>1</v>
      </c>
      <c r="L48" s="25">
        <f ca="1">COUNTIF(INDIRECT("["&amp;datatable!$C$3&amp;"]"&amp;datatable!$B18&amp;"!"&amp;"Y:Y"),"High Incorrect")</f>
        <v>6</v>
      </c>
      <c r="M48" s="27">
        <f ca="1">COUNTIF(INDIRECT("["&amp;datatable!$C$3&amp;"]"&amp;datatable!$B18&amp;"!"&amp;"Y:Y"),"N/A")</f>
        <v>2</v>
      </c>
      <c r="N48" s="43">
        <f t="shared" ca="1" si="3"/>
        <v>21</v>
      </c>
      <c r="O48" s="43">
        <f t="shared" ca="1" si="4"/>
        <v>19</v>
      </c>
    </row>
    <row r="49" spans="3:25">
      <c r="C49" s="44" t="s">
        <v>54</v>
      </c>
      <c r="D49" s="8">
        <f ca="1">COUNTIF(INDIRECT("["&amp;datatable!$C$3&amp;"]"&amp;datatable!$B19&amp;"!"&amp;"Y:Y"),"High Correct")</f>
        <v>7</v>
      </c>
      <c r="E49" s="11">
        <f ca="1">COUNTIF(INDIRECT("["&amp;datatable!$C$3&amp;"]"&amp;datatable!$B19&amp;"!"&amp;"Y:Y"),"Medium Correct")</f>
        <v>2</v>
      </c>
      <c r="F49" s="13">
        <f ca="1">COUNTIF(INDIRECT("["&amp;datatable!$C$3&amp;"]"&amp;datatable!$B19&amp;"!"&amp;"Y:Y"),"Low Correct")</f>
        <v>8</v>
      </c>
      <c r="G49" s="15">
        <f ca="1">COUNTIF(INDIRECT("["&amp;datatable!$C$3&amp;"]"&amp;datatable!$B19&amp;"!"&amp;"Y:Y"),"High Maybe")</f>
        <v>0</v>
      </c>
      <c r="H49" s="17">
        <f ca="1">COUNTIF(INDIRECT("["&amp;datatable!$C$3&amp;"]"&amp;datatable!$B19&amp;"!"&amp;"Y:Y"),"Medium Maybe")</f>
        <v>0</v>
      </c>
      <c r="I49" s="19">
        <f ca="1">COUNTIF(INDIRECT("["&amp;datatable!$C$3&amp;"]"&amp;datatable!$B19&amp;"!"&amp;"Y:Y"),"Low Maybe")</f>
        <v>3</v>
      </c>
      <c r="J49" s="21">
        <f ca="1">COUNTIF(INDIRECT("["&amp;datatable!$C$3&amp;"]"&amp;datatable!$B19&amp;"!"&amp;"Y:Y"),"Low Incorrect")</f>
        <v>1</v>
      </c>
      <c r="K49" s="23">
        <f ca="1">COUNTIF(INDIRECT("["&amp;datatable!$C$3&amp;"]"&amp;datatable!$B19&amp;"!"&amp;"Y:Y"),"Medium Incorrect")</f>
        <v>0</v>
      </c>
      <c r="L49" s="25">
        <f ca="1">COUNTIF(INDIRECT("["&amp;datatable!$C$3&amp;"]"&amp;datatable!$B19&amp;"!"&amp;"Y:Y"),"High Incorrect")</f>
        <v>0</v>
      </c>
      <c r="M49" s="27">
        <f ca="1">COUNTIF(INDIRECT("["&amp;datatable!$C$3&amp;"]"&amp;datatable!$B19&amp;"!"&amp;"Y:Y"),"N/A")</f>
        <v>0</v>
      </c>
      <c r="N49" s="43">
        <f t="shared" ref="N49" ca="1" si="5">SUM(D49:M49)</f>
        <v>21</v>
      </c>
      <c r="O49" s="43">
        <f t="shared" ref="O49" ca="1" si="6">SUM(D49:L49)</f>
        <v>21</v>
      </c>
    </row>
    <row r="50" spans="3:25">
      <c r="C50" s="46" t="s">
        <v>36</v>
      </c>
      <c r="D50" s="47">
        <f ca="1">SUM(D32:D49)</f>
        <v>105</v>
      </c>
      <c r="E50" s="47">
        <f t="shared" ref="E50:M50" ca="1" si="7">SUM(E32:E49)</f>
        <v>46</v>
      </c>
      <c r="F50" s="47">
        <f t="shared" ca="1" si="7"/>
        <v>89</v>
      </c>
      <c r="G50" s="47">
        <f t="shared" ca="1" si="7"/>
        <v>27</v>
      </c>
      <c r="H50" s="47">
        <f t="shared" ca="1" si="7"/>
        <v>15</v>
      </c>
      <c r="I50" s="47">
        <f t="shared" ca="1" si="7"/>
        <v>20</v>
      </c>
      <c r="J50" s="47">
        <f t="shared" ca="1" si="7"/>
        <v>19</v>
      </c>
      <c r="K50" s="47">
        <f t="shared" ca="1" si="7"/>
        <v>7</v>
      </c>
      <c r="L50" s="47">
        <f t="shared" ca="1" si="7"/>
        <v>23</v>
      </c>
      <c r="M50" s="47">
        <f t="shared" ca="1" si="7"/>
        <v>27</v>
      </c>
      <c r="N50" s="43">
        <f ca="1">SUM(D50:M50)</f>
        <v>378</v>
      </c>
      <c r="O50" s="43">
        <f ca="1">SUM(D50:L50)</f>
        <v>351</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INDIRECT("["&amp;datatable!$C$3&amp;"]"&amp;datatable!$B2&amp;"!"&amp;"Y2")</f>
        <v>N/A</v>
      </c>
      <c r="E55" s="51" t="str" cm="1">
        <f t="array" aca="1" ref="E55" ca="1">INDIRECT("["&amp;datatable!$C$3&amp;"]"&amp;datatable!$B2&amp;"!"&amp;"Y3")</f>
        <v>High Correct</v>
      </c>
      <c r="F55" s="51" t="str" cm="1">
        <f t="array" aca="1" ref="F55" ca="1">INDIRECT("["&amp;datatable!$C$3&amp;"]"&amp;datatable!$B2&amp;"!"&amp;"Y4")</f>
        <v>High Correct</v>
      </c>
      <c r="G55" s="51" t="str" cm="1">
        <f t="array" aca="1" ref="G55" ca="1">INDIRECT("["&amp;datatable!$C$3&amp;"]"&amp;datatable!$B2&amp;"!"&amp;"Y5")</f>
        <v>High Correct</v>
      </c>
      <c r="H55" s="51" t="str" cm="1">
        <f t="array" aca="1" ref="H55" ca="1">INDIRECT("["&amp;datatable!$C$3&amp;"]"&amp;datatable!$B2&amp;"!"&amp;"Y6")</f>
        <v>High Correct</v>
      </c>
      <c r="I55" s="51" t="str" cm="1">
        <f t="array" aca="1" ref="I55" ca="1">INDIRECT("["&amp;datatable!$C$3&amp;"]"&amp;datatable!$B2&amp;"!"&amp;"Y7")</f>
        <v>High Correct</v>
      </c>
      <c r="J55" s="51" t="str" cm="1">
        <f t="array" aca="1" ref="J55" ca="1">INDIRECT("["&amp;datatable!$C$3&amp;"]"&amp;datatable!$B2&amp;"!"&amp;"Y8")</f>
        <v>High Correct</v>
      </c>
      <c r="K55" s="51" t="str" cm="1">
        <f t="array" aca="1" ref="K55" ca="1">INDIRECT("["&amp;datatable!$C$3&amp;"]"&amp;datatable!$B2&amp;"!"&amp;"Y9")</f>
        <v>Low Correct</v>
      </c>
      <c r="L55" s="51" t="str" cm="1">
        <f t="array" aca="1" ref="L55" ca="1">INDIRECT("["&amp;datatable!$C$3&amp;"]"&amp;datatable!$B2&amp;"!"&amp;"Y10")</f>
        <v>High Correct</v>
      </c>
      <c r="M55" s="51" t="str" cm="1">
        <f t="array" aca="1" ref="M55" ca="1">INDIRECT("["&amp;datatable!$C$3&amp;"]"&amp;datatable!$B2&amp;"!"&amp;"Y11")</f>
        <v>High Correct</v>
      </c>
      <c r="N55" s="51" t="str" cm="1">
        <f t="array" aca="1" ref="N55" ca="1">INDIRECT("["&amp;datatable!$C$3&amp;"]"&amp;datatable!$B2&amp;"!"&amp;"Y46")</f>
        <v>High Correct</v>
      </c>
      <c r="O55" s="51" t="str" cm="1">
        <f t="array" aca="1" ref="O55" ca="1">INDIRECT("["&amp;datatable!$C$3&amp;"]"&amp;datatable!$B2&amp;"!"&amp;"Y47")</f>
        <v>High Correct</v>
      </c>
      <c r="P55" s="51" t="str" cm="1">
        <f t="array" aca="1" ref="P55" ca="1">INDIRECT("["&amp;datatable!$C$3&amp;"]"&amp;datatable!$B2&amp;"!"&amp;"Y48")</f>
        <v>High Maybe</v>
      </c>
      <c r="Q55" s="51" t="str" cm="1">
        <f t="array" aca="1" ref="Q55" ca="1">INDIRECT("["&amp;datatable!$C$3&amp;"]"&amp;datatable!$B2&amp;"!"&amp;"Y49")</f>
        <v>High Correct</v>
      </c>
      <c r="R55" s="51" t="str" cm="1">
        <f t="array" aca="1" ref="R55" ca="1">INDIRECT("["&amp;datatable!$C$3&amp;"]"&amp;datatable!$B2&amp;"!"&amp;"Y50")</f>
        <v>High Correct</v>
      </c>
      <c r="S55" s="51" t="str" cm="1">
        <f t="array" aca="1" ref="S55" ca="1">INDIRECT("["&amp;datatable!$C$3&amp;"]"&amp;datatable!$B2&amp;"!"&amp;"Y51")</f>
        <v>High Correct</v>
      </c>
      <c r="T55" s="51" t="str" cm="1">
        <f t="array" aca="1" ref="T55" ca="1">INDIRECT("["&amp;datatable!$C$3&amp;"]"&amp;datatable!$B2&amp;"!"&amp;"Y52")</f>
        <v>N/A</v>
      </c>
      <c r="U55" s="51" t="str" cm="1">
        <f t="array" aca="1" ref="U55" ca="1">INDIRECT("["&amp;datatable!$C$3&amp;"]"&amp;datatable!$B2&amp;"!"&amp;"Y53")</f>
        <v>High Correct</v>
      </c>
      <c r="V55" s="51" t="str" cm="1">
        <f t="array" aca="1" ref="V55" ca="1">INDIRECT("["&amp;datatable!$C$3&amp;"]"&amp;datatable!$B2&amp;"!"&amp;"Y54")</f>
        <v>Low Correct</v>
      </c>
      <c r="W55" s="51" t="str" cm="1">
        <f t="array" aca="1" ref="W55" ca="1">INDIRECT("["&amp;datatable!$C$3&amp;"]"&amp;datatable!$B2&amp;"!"&amp;"Y55")</f>
        <v>Low Correct</v>
      </c>
      <c r="X55" s="51" t="str" cm="1">
        <f t="array" aca="1" ref="X55" ca="1">INDIRECT("["&amp;datatable!$C$3&amp;"]"&amp;datatable!$B2&amp;"!"&amp;"Y56")</f>
        <v>N/A</v>
      </c>
      <c r="Y55" s="50"/>
    </row>
    <row r="56" spans="3:25">
      <c r="C56" s="30" t="s">
        <v>38</v>
      </c>
      <c r="D56" s="51" t="str" cm="1">
        <f t="array" aca="1" ref="D56" ca="1">INDIRECT("["&amp;datatable!$C$3&amp;"]"&amp;datatable!$B3&amp;"!"&amp;"Y2")</f>
        <v>High Correct</v>
      </c>
      <c r="E56" s="51" t="str" cm="1">
        <f t="array" aca="1" ref="E56" ca="1">INDIRECT("["&amp;datatable!$C$3&amp;"]"&amp;datatable!$B3&amp;"!"&amp;"Y3")</f>
        <v>High Maybe</v>
      </c>
      <c r="F56" s="51" t="str" cm="1">
        <f t="array" aca="1" ref="F56" ca="1">INDIRECT("["&amp;datatable!$C$3&amp;"]"&amp;datatable!$B3&amp;"!"&amp;"Y4")</f>
        <v>High Correct</v>
      </c>
      <c r="G56" s="51" t="str" cm="1">
        <f t="array" aca="1" ref="G56" ca="1">INDIRECT("["&amp;datatable!$C$3&amp;"]"&amp;datatable!$B3&amp;"!"&amp;"Y5")</f>
        <v>High Correct</v>
      </c>
      <c r="H56" s="51" t="str" cm="1">
        <f t="array" aca="1" ref="H56" ca="1">INDIRECT("["&amp;datatable!$C$3&amp;"]"&amp;datatable!$B3&amp;"!"&amp;"Y6")</f>
        <v>Low Correct</v>
      </c>
      <c r="I56" s="51" t="str" cm="1">
        <f t="array" aca="1" ref="I56" ca="1">INDIRECT("["&amp;datatable!$C$3&amp;"]"&amp;datatable!$B3&amp;"!"&amp;"Y7")</f>
        <v>Low Correct</v>
      </c>
      <c r="J56" s="51" t="str" cm="1">
        <f t="array" aca="1" ref="J56" ca="1">INDIRECT("["&amp;datatable!$C$3&amp;"]"&amp;datatable!$B3&amp;"!"&amp;"Y8")</f>
        <v>Low Incorrect</v>
      </c>
      <c r="K56" s="51" t="str" cm="1">
        <f t="array" aca="1" ref="K56" ca="1">INDIRECT("["&amp;datatable!$C$3&amp;"]"&amp;datatable!$B3&amp;"!"&amp;"Y9")</f>
        <v>Medium Correct</v>
      </c>
      <c r="L56" s="51" t="str" cm="1">
        <f t="array" aca="1" ref="L56" ca="1">INDIRECT("["&amp;datatable!$C$3&amp;"]"&amp;datatable!$B3&amp;"!"&amp;"Y10")</f>
        <v>Low Incorrect</v>
      </c>
      <c r="M56" s="51" t="str" cm="1">
        <f t="array" aca="1" ref="M56" ca="1">INDIRECT("["&amp;datatable!$C$3&amp;"]"&amp;datatable!$B3&amp;"!"&amp;"Y11")</f>
        <v>High Correct</v>
      </c>
      <c r="N56" s="51" t="str" cm="1">
        <f t="array" aca="1" ref="N56" ca="1">INDIRECT("["&amp;datatable!$C$3&amp;"]"&amp;datatable!$B3&amp;"!"&amp;"Y46")</f>
        <v>Medium Correct</v>
      </c>
      <c r="O56" s="51" t="str" cm="1">
        <f t="array" aca="1" ref="O56" ca="1">INDIRECT("["&amp;datatable!$C$3&amp;"]"&amp;datatable!$B3&amp;"!"&amp;"Y47")</f>
        <v>Low Correct</v>
      </c>
      <c r="P56" s="51" t="str" cm="1">
        <f t="array" aca="1" ref="P56" ca="1">INDIRECT("["&amp;datatable!$C$3&amp;"]"&amp;datatable!$B3&amp;"!"&amp;"Y48")</f>
        <v>Low Correct</v>
      </c>
      <c r="Q56" s="51" t="str" cm="1">
        <f t="array" aca="1" ref="Q56" ca="1">INDIRECT("["&amp;datatable!$C$3&amp;"]"&amp;datatable!$B3&amp;"!"&amp;"Y49")</f>
        <v>Medium Correct</v>
      </c>
      <c r="R56" s="51" t="str" cm="1">
        <f t="array" aca="1" ref="R56" ca="1">INDIRECT("["&amp;datatable!$C$3&amp;"]"&amp;datatable!$B3&amp;"!"&amp;"Y50")</f>
        <v>Low Correct</v>
      </c>
      <c r="S56" s="51" t="str" cm="1">
        <f t="array" aca="1" ref="S56" ca="1">INDIRECT("["&amp;datatable!$C$3&amp;"]"&amp;datatable!$B3&amp;"!"&amp;"Y51")</f>
        <v>Medium Correct</v>
      </c>
      <c r="T56" s="51" t="str" cm="1">
        <f t="array" aca="1" ref="T56" ca="1">INDIRECT("["&amp;datatable!$C$3&amp;"]"&amp;datatable!$B3&amp;"!"&amp;"Y52")</f>
        <v>Low Maybe</v>
      </c>
      <c r="U56" s="51" t="str" cm="1">
        <f t="array" aca="1" ref="U56" ca="1">INDIRECT("["&amp;datatable!$C$3&amp;"]"&amp;datatable!$B3&amp;"!"&amp;"Y53")</f>
        <v>Low Correct</v>
      </c>
      <c r="V56" s="51" t="str" cm="1">
        <f t="array" aca="1" ref="V56" ca="1">INDIRECT("["&amp;datatable!$C$3&amp;"]"&amp;datatable!$B3&amp;"!"&amp;"Y54")</f>
        <v>Low Maybe</v>
      </c>
      <c r="W56" s="51" t="str" cm="1">
        <f t="array" aca="1" ref="W56" ca="1">INDIRECT("["&amp;datatable!$C$3&amp;"]"&amp;datatable!$B3&amp;"!"&amp;"Y55")</f>
        <v>Low Correct</v>
      </c>
      <c r="X56" s="51" t="str" cm="1">
        <f t="array" aca="1" ref="X56" ca="1">INDIRECT("["&amp;datatable!$C$3&amp;"]"&amp;datatable!$B3&amp;"!"&amp;"Y56")</f>
        <v>High Incorrect</v>
      </c>
      <c r="Y56" s="50"/>
    </row>
    <row r="57" spans="3:25">
      <c r="C57" s="30" t="s">
        <v>39</v>
      </c>
      <c r="D57" s="51" t="str" cm="1">
        <f t="array" aca="1" ref="D57" ca="1">INDIRECT("["&amp;datatable!$C$3&amp;"]"&amp;datatable!$B4&amp;"!"&amp;"Y2")</f>
        <v>High Correct</v>
      </c>
      <c r="E57" s="51" t="str" cm="1">
        <f t="array" aca="1" ref="E57" ca="1">INDIRECT("["&amp;datatable!$C$3&amp;"]"&amp;datatable!$B4&amp;"!"&amp;"Y3")</f>
        <v>Medium Correct</v>
      </c>
      <c r="F57" s="51" t="str" cm="1">
        <f t="array" aca="1" ref="F57" ca="1">INDIRECT("["&amp;datatable!$C$3&amp;"]"&amp;datatable!$B4&amp;"!"&amp;"Y4")</f>
        <v>High Correct</v>
      </c>
      <c r="G57" s="51" t="str" cm="1">
        <f t="array" aca="1" ref="G57" ca="1">INDIRECT("["&amp;datatable!$C$3&amp;"]"&amp;datatable!$B4&amp;"!"&amp;"Y5")</f>
        <v>High Maybe</v>
      </c>
      <c r="H57" s="51" t="str" cm="1">
        <f t="array" aca="1" ref="H57" ca="1">INDIRECT("["&amp;datatable!$C$3&amp;"]"&amp;datatable!$B4&amp;"!"&amp;"Y6")</f>
        <v>High Correct</v>
      </c>
      <c r="I57" s="51" t="str" cm="1">
        <f t="array" aca="1" ref="I57" ca="1">INDIRECT("["&amp;datatable!$C$3&amp;"]"&amp;datatable!$B4&amp;"!"&amp;"Y7")</f>
        <v>High Correct</v>
      </c>
      <c r="J57" s="51" t="str" cm="1">
        <f t="array" aca="1" ref="J57" ca="1">INDIRECT("["&amp;datatable!$C$3&amp;"]"&amp;datatable!$B4&amp;"!"&amp;"Y8")</f>
        <v>Low Incorrect</v>
      </c>
      <c r="K57" s="51" t="str" cm="1">
        <f t="array" aca="1" ref="K57" ca="1">INDIRECT("["&amp;datatable!$C$3&amp;"]"&amp;datatable!$B4&amp;"!"&amp;"Y9")</f>
        <v>High Correct</v>
      </c>
      <c r="L57" s="51" t="str" cm="1">
        <f t="array" aca="1" ref="L57" ca="1">INDIRECT("["&amp;datatable!$C$3&amp;"]"&amp;datatable!$B4&amp;"!"&amp;"Y10")</f>
        <v>High Correct</v>
      </c>
      <c r="M57" s="51" t="str" cm="1">
        <f t="array" aca="1" ref="M57" ca="1">INDIRECT("["&amp;datatable!$C$3&amp;"]"&amp;datatable!$B4&amp;"!"&amp;"Y11")</f>
        <v>Medium Correct</v>
      </c>
      <c r="N57" s="51" t="str" cm="1">
        <f t="array" aca="1" ref="N57" ca="1">INDIRECT("["&amp;datatable!$C$3&amp;"]"&amp;datatable!$B4&amp;"!"&amp;"Y46")</f>
        <v>High Correct</v>
      </c>
      <c r="O57" s="51" t="str" cm="1">
        <f t="array" aca="1" ref="O57" ca="1">INDIRECT("["&amp;datatable!$C$3&amp;"]"&amp;datatable!$B4&amp;"!"&amp;"Y47")</f>
        <v>High Correct</v>
      </c>
      <c r="P57" s="51" t="str" cm="1">
        <f t="array" aca="1" ref="P57" ca="1">INDIRECT("["&amp;datatable!$C$3&amp;"]"&amp;datatable!$B4&amp;"!"&amp;"Y48")</f>
        <v>Medium Correct</v>
      </c>
      <c r="Q57" s="51" t="str" cm="1">
        <f t="array" aca="1" ref="Q57" ca="1">INDIRECT("["&amp;datatable!$C$3&amp;"]"&amp;datatable!$B4&amp;"!"&amp;"Y49")</f>
        <v>High Maybe</v>
      </c>
      <c r="R57" s="51" t="str" cm="1">
        <f t="array" aca="1" ref="R57" ca="1">INDIRECT("["&amp;datatable!$C$3&amp;"]"&amp;datatable!$B4&amp;"!"&amp;"Y50")</f>
        <v>High Correct</v>
      </c>
      <c r="S57" s="51" t="str" cm="1">
        <f t="array" aca="1" ref="S57" ca="1">INDIRECT("["&amp;datatable!$C$3&amp;"]"&amp;datatable!$B4&amp;"!"&amp;"Y51")</f>
        <v>Low Correct</v>
      </c>
      <c r="T57" s="51" t="str" cm="1">
        <f t="array" aca="1" ref="T57" ca="1">INDIRECT("["&amp;datatable!$C$3&amp;"]"&amp;datatable!$B4&amp;"!"&amp;"Y52")</f>
        <v>N/A</v>
      </c>
      <c r="U57" s="51" t="str" cm="1">
        <f t="array" aca="1" ref="U57" ca="1">INDIRECT("["&amp;datatable!$C$3&amp;"]"&amp;datatable!$B4&amp;"!"&amp;"Y53")</f>
        <v>Low Correct</v>
      </c>
      <c r="V57" s="51" t="str" cm="1">
        <f t="array" aca="1" ref="V57" ca="1">INDIRECT("["&amp;datatable!$C$3&amp;"]"&amp;datatable!$B4&amp;"!"&amp;"Y54")</f>
        <v>Low Correct</v>
      </c>
      <c r="W57" s="51" t="str" cm="1">
        <f t="array" aca="1" ref="W57" ca="1">INDIRECT("["&amp;datatable!$C$3&amp;"]"&amp;datatable!$B4&amp;"!"&amp;"Y55")</f>
        <v>Low Incorrect</v>
      </c>
      <c r="X57" s="51" t="str" cm="1">
        <f t="array" aca="1" ref="X57" ca="1">INDIRECT("["&amp;datatable!$C$3&amp;"]"&amp;datatable!$B4&amp;"!"&amp;"Y56")</f>
        <v>N/A</v>
      </c>
      <c r="Y57" s="50"/>
    </row>
    <row r="58" spans="3:25">
      <c r="C58" s="30" t="s">
        <v>40</v>
      </c>
      <c r="D58" s="51" t="str" cm="1">
        <f t="array" aca="1" ref="D58" ca="1">INDIRECT("["&amp;datatable!$C$3&amp;"]"&amp;datatable!$B5&amp;"!"&amp;"Y2")</f>
        <v>Low Correct</v>
      </c>
      <c r="E58" s="51" t="str" cm="1">
        <f t="array" aca="1" ref="E58" ca="1">INDIRECT("["&amp;datatable!$C$3&amp;"]"&amp;datatable!$B5&amp;"!"&amp;"Y3")</f>
        <v>Low Correct</v>
      </c>
      <c r="F58" s="51" t="str" cm="1">
        <f t="array" aca="1" ref="F58" ca="1">INDIRECT("["&amp;datatable!$C$3&amp;"]"&amp;datatable!$B5&amp;"!"&amp;"Y4")</f>
        <v>Low Correct</v>
      </c>
      <c r="G58" s="51" t="str" cm="1">
        <f t="array" aca="1" ref="G58" ca="1">INDIRECT("["&amp;datatable!$C$3&amp;"]"&amp;datatable!$B5&amp;"!"&amp;"Y5")</f>
        <v>High Correct</v>
      </c>
      <c r="H58" s="51" t="str" cm="1">
        <f t="array" aca="1" ref="H58" ca="1">INDIRECT("["&amp;datatable!$C$3&amp;"]"&amp;datatable!$B5&amp;"!"&amp;"Y6")</f>
        <v>Medium Maybe</v>
      </c>
      <c r="I58" s="51" t="str" cm="1">
        <f t="array" aca="1" ref="I58" ca="1">INDIRECT("["&amp;datatable!$C$3&amp;"]"&amp;datatable!$B5&amp;"!"&amp;"Y7")</f>
        <v>High Maybe</v>
      </c>
      <c r="J58" s="51" t="str" cm="1">
        <f t="array" aca="1" ref="J58" ca="1">INDIRECT("["&amp;datatable!$C$3&amp;"]"&amp;datatable!$B5&amp;"!"&amp;"Y8")</f>
        <v>Low Maybe</v>
      </c>
      <c r="K58" s="51" t="str" cm="1">
        <f t="array" aca="1" ref="K58" ca="1">INDIRECT("["&amp;datatable!$C$3&amp;"]"&amp;datatable!$B5&amp;"!"&amp;"Y9")</f>
        <v>Medium Correct</v>
      </c>
      <c r="L58" s="51" t="str" cm="1">
        <f t="array" aca="1" ref="L58" ca="1">INDIRECT("["&amp;datatable!$C$3&amp;"]"&amp;datatable!$B5&amp;"!"&amp;"Y10")</f>
        <v>Medium Maybe</v>
      </c>
      <c r="M58" s="51" t="str" cm="1">
        <f t="array" aca="1" ref="M58" ca="1">INDIRECT("["&amp;datatable!$C$3&amp;"]"&amp;datatable!$B5&amp;"!"&amp;"Y11")</f>
        <v>Low Correct</v>
      </c>
      <c r="N58" s="51" t="str" cm="1">
        <f t="array" aca="1" ref="N58" ca="1">INDIRECT("["&amp;datatable!$C$3&amp;"]"&amp;datatable!$B5&amp;"!"&amp;"Y46")</f>
        <v>Medium Correct</v>
      </c>
      <c r="O58" s="51" t="str" cm="1">
        <f t="array" aca="1" ref="O58" ca="1">INDIRECT("["&amp;datatable!$C$3&amp;"]"&amp;datatable!$B5&amp;"!"&amp;"Y47")</f>
        <v>Medium Correct</v>
      </c>
      <c r="P58" s="51" t="str" cm="1">
        <f t="array" aca="1" ref="P58" ca="1">INDIRECT("["&amp;datatable!$C$3&amp;"]"&amp;datatable!$B5&amp;"!"&amp;"Y48")</f>
        <v>Low Correct</v>
      </c>
      <c r="Q58" s="51" t="str" cm="1">
        <f t="array" aca="1" ref="Q58" ca="1">INDIRECT("["&amp;datatable!$C$3&amp;"]"&amp;datatable!$B5&amp;"!"&amp;"Y49")</f>
        <v>High Correct</v>
      </c>
      <c r="R58" s="51" t="str" cm="1">
        <f t="array" aca="1" ref="R58" ca="1">INDIRECT("["&amp;datatable!$C$3&amp;"]"&amp;datatable!$B5&amp;"!"&amp;"Y50")</f>
        <v>High Correct</v>
      </c>
      <c r="S58" s="51" t="str" cm="1">
        <f t="array" aca="1" ref="S58" ca="1">INDIRECT("["&amp;datatable!$C$3&amp;"]"&amp;datatable!$B5&amp;"!"&amp;"Y51")</f>
        <v>High Correct</v>
      </c>
      <c r="T58" s="51" t="str" cm="1">
        <f t="array" aca="1" ref="T58" ca="1">INDIRECT("["&amp;datatable!$C$3&amp;"]"&amp;datatable!$B5&amp;"!"&amp;"Y52")</f>
        <v>High Correct</v>
      </c>
      <c r="U58" s="51" t="str" cm="1">
        <f t="array" aca="1" ref="U58" ca="1">INDIRECT("["&amp;datatable!$C$3&amp;"]"&amp;datatable!$B5&amp;"!"&amp;"Y53")</f>
        <v>High Maybe</v>
      </c>
      <c r="V58" s="51" t="str" cm="1">
        <f t="array" aca="1" ref="V58" ca="1">INDIRECT("["&amp;datatable!$C$3&amp;"]"&amp;datatable!$B5&amp;"!"&amp;"Y54")</f>
        <v>Low Correct</v>
      </c>
      <c r="W58" s="51" t="str" cm="1">
        <f t="array" aca="1" ref="W58" ca="1">INDIRECT("["&amp;datatable!$C$3&amp;"]"&amp;datatable!$B5&amp;"!"&amp;"Y55")</f>
        <v>Medium Correct</v>
      </c>
      <c r="X58" s="51" t="str" cm="1">
        <f t="array" aca="1" ref="X58" ca="1">INDIRECT("["&amp;datatable!$C$3&amp;"]"&amp;datatable!$B5&amp;"!"&amp;"Y56")</f>
        <v>Low Correct</v>
      </c>
      <c r="Y58" s="50"/>
    </row>
    <row r="59" spans="3:25">
      <c r="C59" s="30" t="s">
        <v>41</v>
      </c>
      <c r="D59" s="51" t="str" cm="1">
        <f t="array" aca="1" ref="D59" ca="1">INDIRECT("["&amp;datatable!$C$3&amp;"]"&amp;datatable!$B6&amp;"!"&amp;"Y2")</f>
        <v>Medium Correct</v>
      </c>
      <c r="E59" s="51" t="str" cm="1">
        <f t="array" aca="1" ref="E59" ca="1">INDIRECT("["&amp;datatable!$C$3&amp;"]"&amp;datatable!$B6&amp;"!"&amp;"Y3")</f>
        <v>Medium Correct</v>
      </c>
      <c r="F59" s="51" t="str" cm="1">
        <f t="array" aca="1" ref="F59" ca="1">INDIRECT("["&amp;datatable!$C$3&amp;"]"&amp;datatable!$B6&amp;"!"&amp;"Y4")</f>
        <v>High Correct</v>
      </c>
      <c r="G59" s="51" t="str" cm="1">
        <f t="array" aca="1" ref="G59" ca="1">INDIRECT("["&amp;datatable!$C$3&amp;"]"&amp;datatable!$B6&amp;"!"&amp;"Y5")</f>
        <v>High Correct</v>
      </c>
      <c r="H59" s="51" t="str" cm="1">
        <f t="array" aca="1" ref="H59" ca="1">INDIRECT("["&amp;datatable!$C$3&amp;"]"&amp;datatable!$B6&amp;"!"&amp;"Y6")</f>
        <v>Medium Maybe</v>
      </c>
      <c r="I59" s="51" t="str" cm="1">
        <f t="array" aca="1" ref="I59" ca="1">INDIRECT("["&amp;datatable!$C$3&amp;"]"&amp;datatable!$B6&amp;"!"&amp;"Y7")</f>
        <v>Low Correct</v>
      </c>
      <c r="J59" s="51" t="str" cm="1">
        <f t="array" aca="1" ref="J59" ca="1">INDIRECT("["&amp;datatable!$C$3&amp;"]"&amp;datatable!$B6&amp;"!"&amp;"Y8")</f>
        <v>Low Incorrect</v>
      </c>
      <c r="K59" s="51" t="str" cm="1">
        <f t="array" aca="1" ref="K59" ca="1">INDIRECT("["&amp;datatable!$C$3&amp;"]"&amp;datatable!$B6&amp;"!"&amp;"Y9")</f>
        <v>High Maybe</v>
      </c>
      <c r="L59" s="51" t="str" cm="1">
        <f t="array" aca="1" ref="L59" ca="1">INDIRECT("["&amp;datatable!$C$3&amp;"]"&amp;datatable!$B6&amp;"!"&amp;"Y10")</f>
        <v>Low Correct</v>
      </c>
      <c r="M59" s="51" t="str" cm="1">
        <f t="array" aca="1" ref="M59" ca="1">INDIRECT("["&amp;datatable!$C$3&amp;"]"&amp;datatable!$B6&amp;"!"&amp;"Y11")</f>
        <v>High Correct</v>
      </c>
      <c r="N59" s="51" t="str" cm="1">
        <f t="array" aca="1" ref="N59" ca="1">INDIRECT("["&amp;datatable!$C$3&amp;"]"&amp;datatable!$B6&amp;"!"&amp;"Y46")</f>
        <v>High Maybe</v>
      </c>
      <c r="O59" s="51" t="str" cm="1">
        <f t="array" aca="1" ref="O59" ca="1">INDIRECT("["&amp;datatable!$C$3&amp;"]"&amp;datatable!$B6&amp;"!"&amp;"Y47")</f>
        <v>Low Correct</v>
      </c>
      <c r="P59" s="51" t="str" cm="1">
        <f t="array" aca="1" ref="P59" ca="1">INDIRECT("["&amp;datatable!$C$3&amp;"]"&amp;datatable!$B6&amp;"!"&amp;"Y48")</f>
        <v>Low Maybe</v>
      </c>
      <c r="Q59" s="51" t="str" cm="1">
        <f t="array" aca="1" ref="Q59" ca="1">INDIRECT("["&amp;datatable!$C$3&amp;"]"&amp;datatable!$B6&amp;"!"&amp;"Y49")</f>
        <v>High Incorrect</v>
      </c>
      <c r="R59" s="51" t="str" cm="1">
        <f t="array" aca="1" ref="R59" ca="1">INDIRECT("["&amp;datatable!$C$3&amp;"]"&amp;datatable!$B6&amp;"!"&amp;"Y50")</f>
        <v>Low Correct</v>
      </c>
      <c r="S59" s="51" t="str" cm="1">
        <f t="array" aca="1" ref="S59" ca="1">INDIRECT("["&amp;datatable!$C$3&amp;"]"&amp;datatable!$B6&amp;"!"&amp;"Y51")</f>
        <v>Medium Correct</v>
      </c>
      <c r="T59" s="51" t="str" cm="1">
        <f t="array" aca="1" ref="T59" ca="1">INDIRECT("["&amp;datatable!$C$3&amp;"]"&amp;datatable!$B6&amp;"!"&amp;"Y52")</f>
        <v>Low Correct</v>
      </c>
      <c r="U59" s="51" t="str" cm="1">
        <f t="array" aca="1" ref="U59" ca="1">INDIRECT("["&amp;datatable!$C$3&amp;"]"&amp;datatable!$B6&amp;"!"&amp;"Y53")</f>
        <v>Low Correct</v>
      </c>
      <c r="V59" s="51" t="str" cm="1">
        <f t="array" aca="1" ref="V59" ca="1">INDIRECT("["&amp;datatable!$C$3&amp;"]"&amp;datatable!$B6&amp;"!"&amp;"Y54")</f>
        <v>Low Maybe</v>
      </c>
      <c r="W59" s="51" t="str" cm="1">
        <f t="array" aca="1" ref="W59" ca="1">INDIRECT("["&amp;datatable!$C$3&amp;"]"&amp;datatable!$B6&amp;"!"&amp;"Y55")</f>
        <v>High Correct</v>
      </c>
      <c r="X59" s="51" t="str" cm="1">
        <f t="array" aca="1" ref="X59" ca="1">INDIRECT("["&amp;datatable!$C$3&amp;"]"&amp;datatable!$B6&amp;"!"&amp;"Y56")</f>
        <v>N/A</v>
      </c>
      <c r="Y59" s="50"/>
    </row>
    <row r="60" spans="3:25">
      <c r="C60" s="30" t="s">
        <v>42</v>
      </c>
      <c r="D60" s="51" t="str" cm="1">
        <f t="array" aca="1" ref="D60" ca="1">INDIRECT("["&amp;datatable!$C$3&amp;"]"&amp;datatable!$B7&amp;"!"&amp;"Y2")</f>
        <v>High Maybe</v>
      </c>
      <c r="E60" s="51" t="str" cm="1">
        <f t="array" aca="1" ref="E60" ca="1">INDIRECT("["&amp;datatable!$C$3&amp;"]"&amp;datatable!$B7&amp;"!"&amp;"Y3")</f>
        <v>High Maybe</v>
      </c>
      <c r="F60" s="51" t="str" cm="1">
        <f t="array" aca="1" ref="F60" ca="1">INDIRECT("["&amp;datatable!$C$3&amp;"]"&amp;datatable!$B7&amp;"!"&amp;"Y4")</f>
        <v>High Correct</v>
      </c>
      <c r="G60" s="51" t="str" cm="1">
        <f t="array" aca="1" ref="G60" ca="1">INDIRECT("["&amp;datatable!$C$3&amp;"]"&amp;datatable!$B7&amp;"!"&amp;"Y5")</f>
        <v>High Maybe</v>
      </c>
      <c r="H60" s="51" t="str" cm="1">
        <f t="array" aca="1" ref="H60" ca="1">INDIRECT("["&amp;datatable!$C$3&amp;"]"&amp;datatable!$B7&amp;"!"&amp;"Y6")</f>
        <v>Low Correct</v>
      </c>
      <c r="I60" s="51" t="str" cm="1">
        <f t="array" aca="1" ref="I60" ca="1">INDIRECT("["&amp;datatable!$C$3&amp;"]"&amp;datatable!$B7&amp;"!"&amp;"Y7")</f>
        <v>Low Maybe</v>
      </c>
      <c r="J60" s="51" t="str" cm="1">
        <f t="array" aca="1" ref="J60" ca="1">INDIRECT("["&amp;datatable!$C$3&amp;"]"&amp;datatable!$B7&amp;"!"&amp;"Y8")</f>
        <v>Medium Correct</v>
      </c>
      <c r="K60" s="51" t="str" cm="1">
        <f t="array" aca="1" ref="K60" ca="1">INDIRECT("["&amp;datatable!$C$3&amp;"]"&amp;datatable!$B7&amp;"!"&amp;"Y9")</f>
        <v>Low Correct</v>
      </c>
      <c r="L60" s="51" t="str" cm="1">
        <f t="array" aca="1" ref="L60" ca="1">INDIRECT("["&amp;datatable!$C$3&amp;"]"&amp;datatable!$B7&amp;"!"&amp;"Y10")</f>
        <v>Low Correct</v>
      </c>
      <c r="M60" s="51" t="str" cm="1">
        <f t="array" aca="1" ref="M60" ca="1">INDIRECT("["&amp;datatable!$C$3&amp;"]"&amp;datatable!$B7&amp;"!"&amp;"Y11")</f>
        <v>Low Correct</v>
      </c>
      <c r="N60" s="51" t="str" cm="1">
        <f t="array" aca="1" ref="N60" ca="1">INDIRECT("["&amp;datatable!$C$3&amp;"]"&amp;datatable!$B7&amp;"!"&amp;"Y46")</f>
        <v>N/A</v>
      </c>
      <c r="O60" s="51" t="str" cm="1">
        <f t="array" aca="1" ref="O60" ca="1">INDIRECT("["&amp;datatable!$C$3&amp;"]"&amp;datatable!$B7&amp;"!"&amp;"Y47")</f>
        <v>N/A</v>
      </c>
      <c r="P60" s="51" t="str" cm="1">
        <f t="array" aca="1" ref="P60" ca="1">INDIRECT("["&amp;datatable!$C$3&amp;"]"&amp;datatable!$B7&amp;"!"&amp;"Y48")</f>
        <v>N/A</v>
      </c>
      <c r="Q60" s="51" t="str" cm="1">
        <f t="array" aca="1" ref="Q60" ca="1">INDIRECT("["&amp;datatable!$C$3&amp;"]"&amp;datatable!$B7&amp;"!"&amp;"Y49")</f>
        <v>N/A</v>
      </c>
      <c r="R60" s="51" t="str" cm="1">
        <f t="array" aca="1" ref="R60" ca="1">INDIRECT("["&amp;datatable!$C$3&amp;"]"&amp;datatable!$B7&amp;"!"&amp;"Y50")</f>
        <v>N/A</v>
      </c>
      <c r="S60" s="51" t="str" cm="1">
        <f t="array" aca="1" ref="S60" ca="1">INDIRECT("["&amp;datatable!$C$3&amp;"]"&amp;datatable!$B7&amp;"!"&amp;"Y51")</f>
        <v>N/A</v>
      </c>
      <c r="T60" s="51" t="str" cm="1">
        <f t="array" aca="1" ref="T60" ca="1">INDIRECT("["&amp;datatable!$C$3&amp;"]"&amp;datatable!$B7&amp;"!"&amp;"Y52")</f>
        <v>N/A</v>
      </c>
      <c r="U60" s="51" t="str" cm="1">
        <f t="array" aca="1" ref="U60" ca="1">INDIRECT("["&amp;datatable!$C$3&amp;"]"&amp;datatable!$B7&amp;"!"&amp;"Y53")</f>
        <v>High Maybe</v>
      </c>
      <c r="V60" s="51" t="str" cm="1">
        <f t="array" aca="1" ref="V60" ca="1">INDIRECT("["&amp;datatable!$C$3&amp;"]"&amp;datatable!$B7&amp;"!"&amp;"Y54")</f>
        <v>Low Correct</v>
      </c>
      <c r="W60" s="51" t="str" cm="1">
        <f t="array" aca="1" ref="W60" ca="1">INDIRECT("["&amp;datatable!$C$3&amp;"]"&amp;datatable!$B7&amp;"!"&amp;"Y55")</f>
        <v>N/A</v>
      </c>
      <c r="X60" s="51" t="str" cm="1">
        <f t="array" aca="1" ref="X60" ca="1">INDIRECT("["&amp;datatable!$C$3&amp;"]"&amp;datatable!$B7&amp;"!"&amp;"Y56")</f>
        <v>N/A</v>
      </c>
      <c r="Y60" s="50"/>
    </row>
    <row r="61" spans="3:25">
      <c r="C61" s="30" t="s">
        <v>43</v>
      </c>
      <c r="D61" s="51" t="str" cm="1">
        <f t="array" aca="1" ref="D61" ca="1">INDIRECT("["&amp;datatable!$C$3&amp;"]"&amp;datatable!$B8&amp;"!"&amp;"Y2")</f>
        <v>Medium Correct</v>
      </c>
      <c r="E61" s="51" t="str" cm="1">
        <f t="array" aca="1" ref="E61" ca="1">INDIRECT("["&amp;datatable!$C$3&amp;"]"&amp;datatable!$B8&amp;"!"&amp;"Y3")</f>
        <v>High Correct</v>
      </c>
      <c r="F61" s="51" t="str" cm="1">
        <f t="array" aca="1" ref="F61" ca="1">INDIRECT("["&amp;datatable!$C$3&amp;"]"&amp;datatable!$B8&amp;"!"&amp;"Y4")</f>
        <v>High Correct</v>
      </c>
      <c r="G61" s="51" t="str" cm="1">
        <f t="array" aca="1" ref="G61" ca="1">INDIRECT("["&amp;datatable!$C$3&amp;"]"&amp;datatable!$B8&amp;"!"&amp;"Y5")</f>
        <v>High Correct</v>
      </c>
      <c r="H61" s="51" t="str" cm="1">
        <f t="array" aca="1" ref="H61" ca="1">INDIRECT("["&amp;datatable!$C$3&amp;"]"&amp;datatable!$B8&amp;"!"&amp;"Y6")</f>
        <v>Low Incorrect</v>
      </c>
      <c r="I61" s="51" t="str" cm="1">
        <f t="array" aca="1" ref="I61" ca="1">INDIRECT("["&amp;datatable!$C$3&amp;"]"&amp;datatable!$B8&amp;"!"&amp;"Y7")</f>
        <v>High Correct</v>
      </c>
      <c r="J61" s="51" t="str" cm="1">
        <f t="array" aca="1" ref="J61" ca="1">INDIRECT("["&amp;datatable!$C$3&amp;"]"&amp;datatable!$B8&amp;"!"&amp;"Y8")</f>
        <v>Medium Maybe</v>
      </c>
      <c r="K61" s="51" t="str" cm="1">
        <f t="array" aca="1" ref="K61" ca="1">INDIRECT("["&amp;datatable!$C$3&amp;"]"&amp;datatable!$B8&amp;"!"&amp;"Y9")</f>
        <v>Low Maybe</v>
      </c>
      <c r="L61" s="51" t="str" cm="1">
        <f t="array" aca="1" ref="L61" ca="1">INDIRECT("["&amp;datatable!$C$3&amp;"]"&amp;datatable!$B8&amp;"!"&amp;"Y10")</f>
        <v>Low Maybe</v>
      </c>
      <c r="M61" s="51" t="str" cm="1">
        <f t="array" aca="1" ref="M61" ca="1">INDIRECT("["&amp;datatable!$C$3&amp;"]"&amp;datatable!$B8&amp;"!"&amp;"Y11")</f>
        <v>High Correct</v>
      </c>
      <c r="N61" s="51" t="str" cm="1">
        <f t="array" aca="1" ref="N61" ca="1">INDIRECT("["&amp;datatable!$C$3&amp;"]"&amp;datatable!$B8&amp;"!"&amp;"Y46")</f>
        <v>Low Correct</v>
      </c>
      <c r="O61" s="51" t="str" cm="1">
        <f t="array" aca="1" ref="O61" ca="1">INDIRECT("["&amp;datatable!$C$3&amp;"]"&amp;datatable!$B8&amp;"!"&amp;"Y47")</f>
        <v>Medium Correct</v>
      </c>
      <c r="P61" s="51" t="str" cm="1">
        <f t="array" aca="1" ref="P61" ca="1">INDIRECT("["&amp;datatable!$C$3&amp;"]"&amp;datatable!$B8&amp;"!"&amp;"Y48")</f>
        <v>High Incorrect</v>
      </c>
      <c r="Q61" s="51" t="str" cm="1">
        <f t="array" aca="1" ref="Q61" ca="1">INDIRECT("["&amp;datatable!$C$3&amp;"]"&amp;datatable!$B8&amp;"!"&amp;"Y49")</f>
        <v>Low Maybe</v>
      </c>
      <c r="R61" s="51" t="str" cm="1">
        <f t="array" aca="1" ref="R61" ca="1">INDIRECT("["&amp;datatable!$C$3&amp;"]"&amp;datatable!$B8&amp;"!"&amp;"Y50")</f>
        <v>Medium Correct</v>
      </c>
      <c r="S61" s="51" t="str" cm="1">
        <f t="array" aca="1" ref="S61" ca="1">INDIRECT("["&amp;datatable!$C$3&amp;"]"&amp;datatable!$B8&amp;"!"&amp;"Y51")</f>
        <v>High Correct</v>
      </c>
      <c r="T61" s="51" t="str" cm="1">
        <f t="array" aca="1" ref="T61" ca="1">INDIRECT("["&amp;datatable!$C$3&amp;"]"&amp;datatable!$B8&amp;"!"&amp;"Y52")</f>
        <v>N/A</v>
      </c>
      <c r="U61" s="51" t="str" cm="1">
        <f t="array" aca="1" ref="U61" ca="1">INDIRECT("["&amp;datatable!$C$3&amp;"]"&amp;datatable!$B8&amp;"!"&amp;"Y53")</f>
        <v>Low Incorrect</v>
      </c>
      <c r="V61" s="51" t="str" cm="1">
        <f t="array" aca="1" ref="V61" ca="1">INDIRECT("["&amp;datatable!$C$3&amp;"]"&amp;datatable!$B8&amp;"!"&amp;"Y54")</f>
        <v>Low Maybe</v>
      </c>
      <c r="W61" s="51" t="str" cm="1">
        <f t="array" aca="1" ref="W61" ca="1">INDIRECT("["&amp;datatable!$C$3&amp;"]"&amp;datatable!$B8&amp;"!"&amp;"Y55")</f>
        <v>High Maybe</v>
      </c>
      <c r="X61" s="51" t="str" cm="1">
        <f t="array" aca="1" ref="X61" ca="1">INDIRECT("["&amp;datatable!$C$3&amp;"]"&amp;datatable!$B8&amp;"!"&amp;"Y56")</f>
        <v>N/A</v>
      </c>
      <c r="Y61" s="50"/>
    </row>
    <row r="62" spans="3:25">
      <c r="C62" s="30" t="s">
        <v>44</v>
      </c>
      <c r="D62" s="51" t="str" cm="1">
        <f t="array" aca="1" ref="D62" ca="1">INDIRECT("["&amp;datatable!$C$3&amp;"]"&amp;datatable!$B9&amp;"!"&amp;"Y2")</f>
        <v>High Correct</v>
      </c>
      <c r="E62" s="51" t="str" cm="1">
        <f t="array" aca="1" ref="E62" ca="1">INDIRECT("["&amp;datatable!$C$3&amp;"]"&amp;datatable!$B9&amp;"!"&amp;"Y3")</f>
        <v>High Maybe</v>
      </c>
      <c r="F62" s="51" t="str" cm="1">
        <f t="array" aca="1" ref="F62" ca="1">INDIRECT("["&amp;datatable!$C$3&amp;"]"&amp;datatable!$B9&amp;"!"&amp;"Y4")</f>
        <v>High Correct</v>
      </c>
      <c r="G62" s="51" t="str" cm="1">
        <f t="array" aca="1" ref="G62" ca="1">INDIRECT("["&amp;datatable!$C$3&amp;"]"&amp;datatable!$B9&amp;"!"&amp;"Y5")</f>
        <v>Low Correct</v>
      </c>
      <c r="H62" s="51" t="str" cm="1">
        <f t="array" aca="1" ref="H62" ca="1">INDIRECT("["&amp;datatable!$C$3&amp;"]"&amp;datatable!$B9&amp;"!"&amp;"Y6")</f>
        <v>Medium Correct</v>
      </c>
      <c r="I62" s="51" t="str" cm="1">
        <f t="array" aca="1" ref="I62" ca="1">INDIRECT("["&amp;datatable!$C$3&amp;"]"&amp;datatable!$B9&amp;"!"&amp;"Y7")</f>
        <v>Medium Correct</v>
      </c>
      <c r="J62" s="51" t="str" cm="1">
        <f t="array" aca="1" ref="J62" ca="1">INDIRECT("["&amp;datatable!$C$3&amp;"]"&amp;datatable!$B9&amp;"!"&amp;"Y8")</f>
        <v>Low Correct</v>
      </c>
      <c r="K62" s="51" t="str" cm="1">
        <f t="array" aca="1" ref="K62" ca="1">INDIRECT("["&amp;datatable!$C$3&amp;"]"&amp;datatable!$B9&amp;"!"&amp;"Y9")</f>
        <v>High Correct</v>
      </c>
      <c r="L62" s="51" t="str" cm="1">
        <f t="array" aca="1" ref="L62" ca="1">INDIRECT("["&amp;datatable!$C$3&amp;"]"&amp;datatable!$B9&amp;"!"&amp;"Y10")</f>
        <v>Low Correct</v>
      </c>
      <c r="M62" s="51" t="str" cm="1">
        <f t="array" aca="1" ref="M62" ca="1">INDIRECT("["&amp;datatable!$C$3&amp;"]"&amp;datatable!$B9&amp;"!"&amp;"Y11")</f>
        <v>Low Correct</v>
      </c>
      <c r="N62" s="51" t="str" cm="1">
        <f t="array" aca="1" ref="N62" ca="1">INDIRECT("["&amp;datatable!$C$3&amp;"]"&amp;datatable!$B9&amp;"!"&amp;"Y46")</f>
        <v>Low Correct</v>
      </c>
      <c r="O62" s="51" t="str" cm="1">
        <f t="array" aca="1" ref="O62" ca="1">INDIRECT("["&amp;datatable!$C$3&amp;"]"&amp;datatable!$B9&amp;"!"&amp;"Y47")</f>
        <v>Low Correct</v>
      </c>
      <c r="P62" s="51" t="str" cm="1">
        <f t="array" aca="1" ref="P62" ca="1">INDIRECT("["&amp;datatable!$C$3&amp;"]"&amp;datatable!$B9&amp;"!"&amp;"Y48")</f>
        <v>Low Correct</v>
      </c>
      <c r="Q62" s="51" t="str" cm="1">
        <f t="array" aca="1" ref="Q62" ca="1">INDIRECT("["&amp;datatable!$C$3&amp;"]"&amp;datatable!$B9&amp;"!"&amp;"Y49")</f>
        <v>High Correct</v>
      </c>
      <c r="R62" s="51" t="str" cm="1">
        <f t="array" aca="1" ref="R62" ca="1">INDIRECT("["&amp;datatable!$C$3&amp;"]"&amp;datatable!$B9&amp;"!"&amp;"Y50")</f>
        <v>High Correct</v>
      </c>
      <c r="S62" s="51" t="str" cm="1">
        <f t="array" aca="1" ref="S62" ca="1">INDIRECT("["&amp;datatable!$C$3&amp;"]"&amp;datatable!$B9&amp;"!"&amp;"Y51")</f>
        <v>High Correct</v>
      </c>
      <c r="T62" s="51" t="str" cm="1">
        <f t="array" aca="1" ref="T62" ca="1">INDIRECT("["&amp;datatable!$C$3&amp;"]"&amp;datatable!$B9&amp;"!"&amp;"Y52")</f>
        <v>Low Correct</v>
      </c>
      <c r="U62" s="51" t="str" cm="1">
        <f t="array" aca="1" ref="U62" ca="1">INDIRECT("["&amp;datatable!$C$3&amp;"]"&amp;datatable!$B9&amp;"!"&amp;"Y53")</f>
        <v>Low Correct</v>
      </c>
      <c r="V62" s="51" t="str" cm="1">
        <f t="array" aca="1" ref="V62" ca="1">INDIRECT("["&amp;datatable!$C$3&amp;"]"&amp;datatable!$B9&amp;"!"&amp;"Y54")</f>
        <v>Medium Correct</v>
      </c>
      <c r="W62" s="51" t="str" cm="1">
        <f t="array" aca="1" ref="W62" ca="1">INDIRECT("["&amp;datatable!$C$3&amp;"]"&amp;datatable!$B9&amp;"!"&amp;"Y55")</f>
        <v>High Correct</v>
      </c>
      <c r="X62" s="51" t="str" cm="1">
        <f t="array" aca="1" ref="X62" ca="1">INDIRECT("["&amp;datatable!$C$3&amp;"]"&amp;datatable!$B9&amp;"!"&amp;"Y56")</f>
        <v>N/A</v>
      </c>
      <c r="Y62" s="50"/>
    </row>
    <row r="63" spans="3:25">
      <c r="C63" s="30" t="s">
        <v>45</v>
      </c>
      <c r="D63" s="51" t="str" cm="1">
        <f t="array" aca="1" ref="D63" ca="1">INDIRECT("["&amp;datatable!$C$3&amp;"]"&amp;datatable!$B10&amp;"!"&amp;"Y2")</f>
        <v>High Correct</v>
      </c>
      <c r="E63" s="51" t="str" cm="1">
        <f t="array" aca="1" ref="E63" ca="1">INDIRECT("["&amp;datatable!$C$3&amp;"]"&amp;datatable!$B10&amp;"!"&amp;"Y3")</f>
        <v>High Maybe</v>
      </c>
      <c r="F63" s="51" t="str" cm="1">
        <f t="array" aca="1" ref="F63" ca="1">INDIRECT("["&amp;datatable!$C$3&amp;"]"&amp;datatable!$B10&amp;"!"&amp;"Y4")</f>
        <v>Low Correct</v>
      </c>
      <c r="G63" s="51" t="str" cm="1">
        <f t="array" aca="1" ref="G63" ca="1">INDIRECT("["&amp;datatable!$C$3&amp;"]"&amp;datatable!$B10&amp;"!"&amp;"Y5")</f>
        <v>High Correct</v>
      </c>
      <c r="H63" s="51" t="str" cm="1">
        <f t="array" aca="1" ref="H63" ca="1">INDIRECT("["&amp;datatable!$C$3&amp;"]"&amp;datatable!$B10&amp;"!"&amp;"Y6")</f>
        <v>N/A</v>
      </c>
      <c r="I63" s="51" t="str" cm="1">
        <f t="array" aca="1" ref="I63" ca="1">INDIRECT("["&amp;datatable!$C$3&amp;"]"&amp;datatable!$B10&amp;"!"&amp;"Y7")</f>
        <v>High Correct</v>
      </c>
      <c r="J63" s="51" t="str" cm="1">
        <f t="array" aca="1" ref="J63" ca="1">INDIRECT("["&amp;datatable!$C$3&amp;"]"&amp;datatable!$B10&amp;"!"&amp;"Y8")</f>
        <v>High Correct</v>
      </c>
      <c r="K63" s="51" t="str" cm="1">
        <f t="array" aca="1" ref="K63" ca="1">INDIRECT("["&amp;datatable!$C$3&amp;"]"&amp;datatable!$B10&amp;"!"&amp;"Y9")</f>
        <v>High Correct</v>
      </c>
      <c r="L63" s="51" t="str" cm="1">
        <f t="array" aca="1" ref="L63" ca="1">INDIRECT("["&amp;datatable!$C$3&amp;"]"&amp;datatable!$B10&amp;"!"&amp;"Y10")</f>
        <v>Low Maybe</v>
      </c>
      <c r="M63" s="51" t="str" cm="1">
        <f t="array" aca="1" ref="M63" ca="1">INDIRECT("["&amp;datatable!$C$3&amp;"]"&amp;datatable!$B10&amp;"!"&amp;"Y11")</f>
        <v>High Correct</v>
      </c>
      <c r="N63" s="51" t="str" cm="1">
        <f t="array" aca="1" ref="N63" ca="1">INDIRECT("["&amp;datatable!$C$3&amp;"]"&amp;datatable!$B10&amp;"!"&amp;"Y46")</f>
        <v>Medium Maybe</v>
      </c>
      <c r="O63" s="51" t="str" cm="1">
        <f t="array" aca="1" ref="O63" ca="1">INDIRECT("["&amp;datatable!$C$3&amp;"]"&amp;datatable!$B10&amp;"!"&amp;"Y47")</f>
        <v>N/A</v>
      </c>
      <c r="P63" s="51" t="str" cm="1">
        <f t="array" aca="1" ref="P63" ca="1">INDIRECT("["&amp;datatable!$C$3&amp;"]"&amp;datatable!$B10&amp;"!"&amp;"Y48")</f>
        <v>High Correct</v>
      </c>
      <c r="Q63" s="51" t="str" cm="1">
        <f t="array" aca="1" ref="Q63" ca="1">INDIRECT("["&amp;datatable!$C$3&amp;"]"&amp;datatable!$B10&amp;"!"&amp;"Y49")</f>
        <v>High Correct</v>
      </c>
      <c r="R63" s="51" t="str" cm="1">
        <f t="array" aca="1" ref="R63" ca="1">INDIRECT("["&amp;datatable!$C$3&amp;"]"&amp;datatable!$B10&amp;"!"&amp;"Y50")</f>
        <v>High Correct</v>
      </c>
      <c r="S63" s="51" t="str" cm="1">
        <f t="array" aca="1" ref="S63" ca="1">INDIRECT("["&amp;datatable!$C$3&amp;"]"&amp;datatable!$B10&amp;"!"&amp;"Y51")</f>
        <v>Low Correct</v>
      </c>
      <c r="T63" s="51" t="str" cm="1">
        <f t="array" aca="1" ref="T63" ca="1">INDIRECT("["&amp;datatable!$C$3&amp;"]"&amp;datatable!$B10&amp;"!"&amp;"Y52")</f>
        <v>N/A</v>
      </c>
      <c r="U63" s="51" t="str" cm="1">
        <f t="array" aca="1" ref="U63" ca="1">INDIRECT("["&amp;datatable!$C$3&amp;"]"&amp;datatable!$B10&amp;"!"&amp;"Y53")</f>
        <v>Medium Maybe</v>
      </c>
      <c r="V63" s="51" t="str" cm="1">
        <f t="array" aca="1" ref="V63" ca="1">INDIRECT("["&amp;datatable!$C$3&amp;"]"&amp;datatable!$B10&amp;"!"&amp;"Y54")</f>
        <v>High Correct</v>
      </c>
      <c r="W63" s="51" t="str" cm="1">
        <f t="array" aca="1" ref="W63" ca="1">INDIRECT("["&amp;datatable!$C$3&amp;"]"&amp;datatable!$B10&amp;"!"&amp;"Y55")</f>
        <v>Low Correct</v>
      </c>
      <c r="X63" s="51" t="str" cm="1">
        <f t="array" aca="1" ref="X63" ca="1">INDIRECT("["&amp;datatable!$C$3&amp;"]"&amp;datatable!$B10&amp;"!"&amp;"Y56")</f>
        <v>Medium Maybe</v>
      </c>
      <c r="Y63" s="50"/>
    </row>
    <row r="64" spans="3:25">
      <c r="C64" s="30" t="s">
        <v>46</v>
      </c>
      <c r="D64" s="51" t="str" cm="1">
        <f t="array" aca="1" ref="D64" ca="1">INDIRECT("["&amp;datatable!$C$3&amp;"]"&amp;datatable!$B11&amp;"!"&amp;"Y2")</f>
        <v>Medium Correct</v>
      </c>
      <c r="E64" s="51" t="str" cm="1">
        <f t="array" aca="1" ref="E64" ca="1">INDIRECT("["&amp;datatable!$C$3&amp;"]"&amp;datatable!$B11&amp;"!"&amp;"Y3")</f>
        <v>High Maybe</v>
      </c>
      <c r="F64" s="51" t="str" cm="1">
        <f t="array" aca="1" ref="F64" ca="1">INDIRECT("["&amp;datatable!$C$3&amp;"]"&amp;datatable!$B11&amp;"!"&amp;"Y4")</f>
        <v>High Correct</v>
      </c>
      <c r="G64" s="51" t="str" cm="1">
        <f t="array" aca="1" ref="G64" ca="1">INDIRECT("["&amp;datatable!$C$3&amp;"]"&amp;datatable!$B11&amp;"!"&amp;"Y5")</f>
        <v>Medium Correct</v>
      </c>
      <c r="H64" s="51" t="str" cm="1">
        <f t="array" aca="1" ref="H64" ca="1">INDIRECT("["&amp;datatable!$C$3&amp;"]"&amp;datatable!$B11&amp;"!"&amp;"Y6")</f>
        <v>Low Correct</v>
      </c>
      <c r="I64" s="51" t="str" cm="1">
        <f t="array" aca="1" ref="I64" ca="1">INDIRECT("["&amp;datatable!$C$3&amp;"]"&amp;datatable!$B11&amp;"!"&amp;"Y7")</f>
        <v>Medium Correct</v>
      </c>
      <c r="J64" s="51" t="str" cm="1">
        <f t="array" aca="1" ref="J64" ca="1">INDIRECT("["&amp;datatable!$C$3&amp;"]"&amp;datatable!$B11&amp;"!"&amp;"Y8")</f>
        <v>Low Correct</v>
      </c>
      <c r="K64" s="51" t="str" cm="1">
        <f t="array" aca="1" ref="K64" ca="1">INDIRECT("["&amp;datatable!$C$3&amp;"]"&amp;datatable!$B11&amp;"!"&amp;"Y9")</f>
        <v>Medium Correct</v>
      </c>
      <c r="L64" s="51" t="str" cm="1">
        <f t="array" aca="1" ref="L64" ca="1">INDIRECT("["&amp;datatable!$C$3&amp;"]"&amp;datatable!$B11&amp;"!"&amp;"Y10")</f>
        <v>High Correct</v>
      </c>
      <c r="M64" s="51" t="str" cm="1">
        <f t="array" aca="1" ref="M64" ca="1">INDIRECT("["&amp;datatable!$C$3&amp;"]"&amp;datatable!$B11&amp;"!"&amp;"Y11")</f>
        <v>High Maybe</v>
      </c>
      <c r="N64" s="51" t="str" cm="1">
        <f t="array" aca="1" ref="N64" ca="1">INDIRECT("["&amp;datatable!$C$3&amp;"]"&amp;datatable!$B11&amp;"!"&amp;"Y46")</f>
        <v>High Correct</v>
      </c>
      <c r="O64" s="51" t="str" cm="1">
        <f t="array" aca="1" ref="O64" ca="1">INDIRECT("["&amp;datatable!$C$3&amp;"]"&amp;datatable!$B11&amp;"!"&amp;"Y47")</f>
        <v>High Correct</v>
      </c>
      <c r="P64" s="51" t="str" cm="1">
        <f t="array" aca="1" ref="P64" ca="1">INDIRECT("["&amp;datatable!$C$3&amp;"]"&amp;datatable!$B11&amp;"!"&amp;"Y48")</f>
        <v>Medium Correct</v>
      </c>
      <c r="Q64" s="51" t="str" cm="1">
        <f t="array" aca="1" ref="Q64" ca="1">INDIRECT("["&amp;datatable!$C$3&amp;"]"&amp;datatable!$B11&amp;"!"&amp;"Y49")</f>
        <v>High Correct</v>
      </c>
      <c r="R64" s="51" t="str" cm="1">
        <f t="array" aca="1" ref="R64" ca="1">INDIRECT("["&amp;datatable!$C$3&amp;"]"&amp;datatable!$B11&amp;"!"&amp;"Y50")</f>
        <v>Low Correct</v>
      </c>
      <c r="S64" s="51" t="str" cm="1">
        <f t="array" aca="1" ref="S64" ca="1">INDIRECT("["&amp;datatable!$C$3&amp;"]"&amp;datatable!$B11&amp;"!"&amp;"Y51")</f>
        <v>High Maybe</v>
      </c>
      <c r="T64" s="51" t="str" cm="1">
        <f t="array" aca="1" ref="T64" ca="1">INDIRECT("["&amp;datatable!$C$3&amp;"]"&amp;datatable!$B11&amp;"!"&amp;"Y52")</f>
        <v>High Maybe</v>
      </c>
      <c r="U64" s="51" t="str" cm="1">
        <f t="array" aca="1" ref="U64" ca="1">INDIRECT("["&amp;datatable!$C$3&amp;"]"&amp;datatable!$B11&amp;"!"&amp;"Y53")</f>
        <v>Low Correct</v>
      </c>
      <c r="V64" s="51" t="str" cm="1">
        <f t="array" aca="1" ref="V64" ca="1">INDIRECT("["&amp;datatable!$C$3&amp;"]"&amp;datatable!$B11&amp;"!"&amp;"Y54")</f>
        <v>Low Correct</v>
      </c>
      <c r="W64" s="51" t="str" cm="1">
        <f t="array" aca="1" ref="W64" ca="1">INDIRECT("["&amp;datatable!$C$3&amp;"]"&amp;datatable!$B11&amp;"!"&amp;"Y55")</f>
        <v>Low Correct</v>
      </c>
      <c r="X64" s="51" t="str" cm="1">
        <f t="array" aca="1" ref="X64" ca="1">INDIRECT("["&amp;datatable!$C$3&amp;"]"&amp;datatable!$B11&amp;"!"&amp;"Y56")</f>
        <v>Low Correct</v>
      </c>
      <c r="Y64" s="50"/>
    </row>
    <row r="65" spans="3:25">
      <c r="C65" s="30" t="s">
        <v>47</v>
      </c>
      <c r="D65" s="51" t="str" cm="1">
        <f t="array" aca="1" ref="D65" ca="1">INDIRECT("["&amp;datatable!$C$3&amp;"]"&amp;datatable!$B12&amp;"!"&amp;"Y2")</f>
        <v>High Correct</v>
      </c>
      <c r="E65" s="51" t="str" cm="1">
        <f t="array" aca="1" ref="E65" ca="1">INDIRECT("["&amp;datatable!$C$3&amp;"]"&amp;datatable!$B12&amp;"!"&amp;"Y3")</f>
        <v>Medium Maybe</v>
      </c>
      <c r="F65" s="51" t="str" cm="1">
        <f t="array" aca="1" ref="F65" ca="1">INDIRECT("["&amp;datatable!$C$3&amp;"]"&amp;datatable!$B12&amp;"!"&amp;"Y4")</f>
        <v>High Maybe</v>
      </c>
      <c r="G65" s="51" t="str" cm="1">
        <f t="array" aca="1" ref="G65" ca="1">INDIRECT("["&amp;datatable!$C$3&amp;"]"&amp;datatable!$B12&amp;"!"&amp;"Y5")</f>
        <v>High Maybe</v>
      </c>
      <c r="H65" s="51" t="str" cm="1">
        <f t="array" aca="1" ref="H65" ca="1">INDIRECT("["&amp;datatable!$C$3&amp;"]"&amp;datatable!$B12&amp;"!"&amp;"Y6")</f>
        <v>Medium Maybe</v>
      </c>
      <c r="I65" s="51" t="str" cm="1">
        <f t="array" aca="1" ref="I65" ca="1">INDIRECT("["&amp;datatable!$C$3&amp;"]"&amp;datatable!$B12&amp;"!"&amp;"Y7")</f>
        <v>Low Incorrect</v>
      </c>
      <c r="J65" s="51" t="str" cm="1">
        <f t="array" aca="1" ref="J65" ca="1">INDIRECT("["&amp;datatable!$C$3&amp;"]"&amp;datatable!$B12&amp;"!"&amp;"Y8")</f>
        <v>High Maybe</v>
      </c>
      <c r="K65" s="51" t="str" cm="1">
        <f t="array" aca="1" ref="K65" ca="1">INDIRECT("["&amp;datatable!$C$3&amp;"]"&amp;datatable!$B12&amp;"!"&amp;"Y9")</f>
        <v>High Maybe</v>
      </c>
      <c r="L65" s="51" t="str" cm="1">
        <f t="array" aca="1" ref="L65" ca="1">INDIRECT("["&amp;datatable!$C$3&amp;"]"&amp;datatable!$B12&amp;"!"&amp;"Y10")</f>
        <v>Low Incorrect</v>
      </c>
      <c r="M65" s="51" t="str" cm="1">
        <f t="array" aca="1" ref="M65" ca="1">INDIRECT("["&amp;datatable!$C$3&amp;"]"&amp;datatable!$B12&amp;"!"&amp;"Y11")</f>
        <v>Low Correct</v>
      </c>
      <c r="N65" s="51" t="str" cm="1">
        <f t="array" aca="1" ref="N65" ca="1">INDIRECT("["&amp;datatable!$C$3&amp;"]"&amp;datatable!$B12&amp;"!"&amp;"Y46")</f>
        <v>Low Correct</v>
      </c>
      <c r="O65" s="51" t="str" cm="1">
        <f t="array" aca="1" ref="O65" ca="1">INDIRECT("["&amp;datatable!$C$3&amp;"]"&amp;datatable!$B12&amp;"!"&amp;"Y47")</f>
        <v>High Correct</v>
      </c>
      <c r="P65" s="51" t="str" cm="1">
        <f t="array" aca="1" ref="P65" ca="1">INDIRECT("["&amp;datatable!$C$3&amp;"]"&amp;datatable!$B12&amp;"!"&amp;"Y48")</f>
        <v>Low Correct</v>
      </c>
      <c r="Q65" s="51" t="str" cm="1">
        <f t="array" aca="1" ref="Q65" ca="1">INDIRECT("["&amp;datatable!$C$3&amp;"]"&amp;datatable!$B12&amp;"!"&amp;"Y49")</f>
        <v>Low Correct</v>
      </c>
      <c r="R65" s="51" t="str" cm="1">
        <f t="array" aca="1" ref="R65" ca="1">INDIRECT("["&amp;datatable!$C$3&amp;"]"&amp;datatable!$B12&amp;"!"&amp;"Y50")</f>
        <v>Low Maybe</v>
      </c>
      <c r="S65" s="51" t="str" cm="1">
        <f t="array" aca="1" ref="S65" ca="1">INDIRECT("["&amp;datatable!$C$3&amp;"]"&amp;datatable!$B12&amp;"!"&amp;"Y51")</f>
        <v>Medium Correct</v>
      </c>
      <c r="T65" s="51" t="str" cm="1">
        <f t="array" aca="1" ref="T65" ca="1">INDIRECT("["&amp;datatable!$C$3&amp;"]"&amp;datatable!$B12&amp;"!"&amp;"Y52")</f>
        <v>Low Maybe</v>
      </c>
      <c r="U65" s="51" t="str" cm="1">
        <f t="array" aca="1" ref="U65" ca="1">INDIRECT("["&amp;datatable!$C$3&amp;"]"&amp;datatable!$B12&amp;"!"&amp;"Y53")</f>
        <v>Low Correct</v>
      </c>
      <c r="V65" s="51" t="str" cm="1">
        <f t="array" aca="1" ref="V65" ca="1">INDIRECT("["&amp;datatable!$C$3&amp;"]"&amp;datatable!$B12&amp;"!"&amp;"Y54")</f>
        <v>Medium Correct</v>
      </c>
      <c r="W65" s="51" t="str" cm="1">
        <f t="array" aca="1" ref="W65" ca="1">INDIRECT("["&amp;datatable!$C$3&amp;"]"&amp;datatable!$B12&amp;"!"&amp;"Y55")</f>
        <v>Medium Correct</v>
      </c>
      <c r="X65" s="51" t="str" cm="1">
        <f t="array" aca="1" ref="X65" ca="1">INDIRECT("["&amp;datatable!$C$3&amp;"]"&amp;datatable!$B12&amp;"!"&amp;"Y56")</f>
        <v>Medium Correct</v>
      </c>
      <c r="Y65" s="50"/>
    </row>
    <row r="66" spans="3:25">
      <c r="C66" s="30" t="s">
        <v>48</v>
      </c>
      <c r="D66" s="51" t="str" cm="1">
        <f t="array" aca="1" ref="D66" ca="1">INDIRECT("["&amp;datatable!$C$3&amp;"]"&amp;datatable!$B13&amp;"!"&amp;"Y2")</f>
        <v>Medium Correct</v>
      </c>
      <c r="E66" s="51" t="str" cm="1">
        <f t="array" aca="1" ref="E66" ca="1">INDIRECT("["&amp;datatable!$C$3&amp;"]"&amp;datatable!$B13&amp;"!"&amp;"Y3")</f>
        <v>High Correct</v>
      </c>
      <c r="F66" s="51" t="str" cm="1">
        <f t="array" aca="1" ref="F66" ca="1">INDIRECT("["&amp;datatable!$C$3&amp;"]"&amp;datatable!$B13&amp;"!"&amp;"Y4")</f>
        <v>High Correct</v>
      </c>
      <c r="G66" s="51" t="str" cm="1">
        <f t="array" aca="1" ref="G66" ca="1">INDIRECT("["&amp;datatable!$C$3&amp;"]"&amp;datatable!$B13&amp;"!"&amp;"Y5")</f>
        <v>High Correct</v>
      </c>
      <c r="H66" s="51" t="str" cm="1">
        <f t="array" aca="1" ref="H66" ca="1">INDIRECT("["&amp;datatable!$C$3&amp;"]"&amp;datatable!$B13&amp;"!"&amp;"Y6")</f>
        <v>High Correct</v>
      </c>
      <c r="I66" s="51" t="str" cm="1">
        <f t="array" aca="1" ref="I66" ca="1">INDIRECT("["&amp;datatable!$C$3&amp;"]"&amp;datatable!$B13&amp;"!"&amp;"Y7")</f>
        <v>High Correct</v>
      </c>
      <c r="J66" s="51" t="str" cm="1">
        <f t="array" aca="1" ref="J66" ca="1">INDIRECT("["&amp;datatable!$C$3&amp;"]"&amp;datatable!$B13&amp;"!"&amp;"Y8")</f>
        <v>Low Correct</v>
      </c>
      <c r="K66" s="51" t="str" cm="1">
        <f t="array" aca="1" ref="K66" ca="1">INDIRECT("["&amp;datatable!$C$3&amp;"]"&amp;datatable!$B13&amp;"!"&amp;"Y9")</f>
        <v>High Correct</v>
      </c>
      <c r="L66" s="51" t="str" cm="1">
        <f t="array" aca="1" ref="L66" ca="1">INDIRECT("["&amp;datatable!$C$3&amp;"]"&amp;datatable!$B13&amp;"!"&amp;"Y10")</f>
        <v>High Correct</v>
      </c>
      <c r="M66" s="51" t="str" cm="1">
        <f t="array" aca="1" ref="M66" ca="1">INDIRECT("["&amp;datatable!$C$3&amp;"]"&amp;datatable!$B13&amp;"!"&amp;"Y11")</f>
        <v>Low Correct</v>
      </c>
      <c r="N66" s="51" t="str" cm="1">
        <f t="array" aca="1" ref="N66" ca="1">INDIRECT("["&amp;datatable!$C$3&amp;"]"&amp;datatable!$B13&amp;"!"&amp;"Y46")</f>
        <v>High Correct</v>
      </c>
      <c r="O66" s="51" t="str" cm="1">
        <f t="array" aca="1" ref="O66" ca="1">INDIRECT("["&amp;datatable!$C$3&amp;"]"&amp;datatable!$B13&amp;"!"&amp;"Y47")</f>
        <v>Low Correct</v>
      </c>
      <c r="P66" s="51" t="str" cm="1">
        <f t="array" aca="1" ref="P66" ca="1">INDIRECT("["&amp;datatable!$C$3&amp;"]"&amp;datatable!$B13&amp;"!"&amp;"Y48")</f>
        <v>High Correct</v>
      </c>
      <c r="Q66" s="51" t="str" cm="1">
        <f t="array" aca="1" ref="Q66" ca="1">INDIRECT("["&amp;datatable!$C$3&amp;"]"&amp;datatable!$B13&amp;"!"&amp;"Y49")</f>
        <v>High Correct</v>
      </c>
      <c r="R66" s="51" t="str" cm="1">
        <f t="array" aca="1" ref="R66" ca="1">INDIRECT("["&amp;datatable!$C$3&amp;"]"&amp;datatable!$B13&amp;"!"&amp;"Y50")</f>
        <v>High Correct</v>
      </c>
      <c r="S66" s="51" t="str" cm="1">
        <f t="array" aca="1" ref="S66" ca="1">INDIRECT("["&amp;datatable!$C$3&amp;"]"&amp;datatable!$B13&amp;"!"&amp;"Y51")</f>
        <v>High Correct</v>
      </c>
      <c r="T66" s="51" t="str" cm="1">
        <f t="array" aca="1" ref="T66" ca="1">INDIRECT("["&amp;datatable!$C$3&amp;"]"&amp;datatable!$B13&amp;"!"&amp;"Y52")</f>
        <v>Low Maybe</v>
      </c>
      <c r="U66" s="51" t="str" cm="1">
        <f t="array" aca="1" ref="U66" ca="1">INDIRECT("["&amp;datatable!$C$3&amp;"]"&amp;datatable!$B13&amp;"!"&amp;"Y53")</f>
        <v>Low Maybe</v>
      </c>
      <c r="V66" s="51" t="str" cm="1">
        <f t="array" aca="1" ref="V66" ca="1">INDIRECT("["&amp;datatable!$C$3&amp;"]"&amp;datatable!$B13&amp;"!"&amp;"Y54")</f>
        <v>Low Correct</v>
      </c>
      <c r="W66" s="51" t="str" cm="1">
        <f t="array" aca="1" ref="W66" ca="1">INDIRECT("["&amp;datatable!$C$3&amp;"]"&amp;datatable!$B13&amp;"!"&amp;"Y55")</f>
        <v>Low Maybe</v>
      </c>
      <c r="X66" s="51" t="str" cm="1">
        <f t="array" aca="1" ref="X66" ca="1">INDIRECT("["&amp;datatable!$C$3&amp;"]"&amp;datatable!$B13&amp;"!"&amp;"Y56")</f>
        <v>Low Correct</v>
      </c>
      <c r="Y66" s="50"/>
    </row>
    <row r="67" spans="3:25">
      <c r="C67" s="30" t="s">
        <v>49</v>
      </c>
      <c r="D67" s="51" t="str" cm="1">
        <f t="array" aca="1" ref="D67" ca="1">INDIRECT("["&amp;datatable!$C$3&amp;"]"&amp;datatable!$B14&amp;"!"&amp;"Y2")</f>
        <v>Medium Correct</v>
      </c>
      <c r="E67" s="51" t="str" cm="1">
        <f t="array" aca="1" ref="E67" ca="1">INDIRECT("["&amp;datatable!$C$3&amp;"]"&amp;datatable!$B14&amp;"!"&amp;"Y3")</f>
        <v>Medium Correct</v>
      </c>
      <c r="F67" s="51" t="str" cm="1">
        <f t="array" aca="1" ref="F67" ca="1">INDIRECT("["&amp;datatable!$C$3&amp;"]"&amp;datatable!$B14&amp;"!"&amp;"Y4")</f>
        <v>High Correct</v>
      </c>
      <c r="G67" s="51" t="str" cm="1">
        <f t="array" aca="1" ref="G67" ca="1">INDIRECT("["&amp;datatable!$C$3&amp;"]"&amp;datatable!$B14&amp;"!"&amp;"Y5")</f>
        <v>Medium Maybe</v>
      </c>
      <c r="H67" s="51" t="str" cm="1">
        <f t="array" aca="1" ref="H67" ca="1">INDIRECT("["&amp;datatable!$C$3&amp;"]"&amp;datatable!$B14&amp;"!"&amp;"Y6")</f>
        <v>Medium Maybe</v>
      </c>
      <c r="I67" s="51" t="str" cm="1">
        <f t="array" aca="1" ref="I67" ca="1">INDIRECT("["&amp;datatable!$C$3&amp;"]"&amp;datatable!$B14&amp;"!"&amp;"Y7")</f>
        <v>Low Incorrect</v>
      </c>
      <c r="J67" s="51" t="str" cm="1">
        <f t="array" aca="1" ref="J67" ca="1">INDIRECT("["&amp;datatable!$C$3&amp;"]"&amp;datatable!$B14&amp;"!"&amp;"Y8")</f>
        <v>High Maybe</v>
      </c>
      <c r="K67" s="51" t="str" cm="1">
        <f t="array" aca="1" ref="K67" ca="1">INDIRECT("["&amp;datatable!$C$3&amp;"]"&amp;datatable!$B14&amp;"!"&amp;"Y9")</f>
        <v>N/A</v>
      </c>
      <c r="L67" s="51" t="str" cm="1">
        <f t="array" aca="1" ref="L67" ca="1">INDIRECT("["&amp;datatable!$C$3&amp;"]"&amp;datatable!$B14&amp;"!"&amp;"Y10")</f>
        <v>N/A</v>
      </c>
      <c r="M67" s="51" t="str" cm="1">
        <f t="array" aca="1" ref="M67" ca="1">INDIRECT("["&amp;datatable!$C$3&amp;"]"&amp;datatable!$B14&amp;"!"&amp;"Y11")</f>
        <v>Medium Correct</v>
      </c>
      <c r="N67" s="51" t="str" cm="1">
        <f t="array" aca="1" ref="N67" ca="1">INDIRECT("["&amp;datatable!$C$3&amp;"]"&amp;datatable!$B14&amp;"!"&amp;"Y46")</f>
        <v>Low Correct</v>
      </c>
      <c r="O67" s="51" t="str" cm="1">
        <f t="array" aca="1" ref="O67" ca="1">INDIRECT("["&amp;datatable!$C$3&amp;"]"&amp;datatable!$B14&amp;"!"&amp;"Y47")</f>
        <v>Low Correct</v>
      </c>
      <c r="P67" s="51" t="str" cm="1">
        <f t="array" aca="1" ref="P67" ca="1">INDIRECT("["&amp;datatable!$C$3&amp;"]"&amp;datatable!$B14&amp;"!"&amp;"Y48")</f>
        <v>Low Correct</v>
      </c>
      <c r="Q67" s="51" t="str" cm="1">
        <f t="array" aca="1" ref="Q67" ca="1">INDIRECT("["&amp;datatable!$C$3&amp;"]"&amp;datatable!$B14&amp;"!"&amp;"Y49")</f>
        <v>High Correct</v>
      </c>
      <c r="R67" s="51" t="str" cm="1">
        <f t="array" aca="1" ref="R67" ca="1">INDIRECT("["&amp;datatable!$C$3&amp;"]"&amp;datatable!$B14&amp;"!"&amp;"Y50")</f>
        <v>Low Correct</v>
      </c>
      <c r="S67" s="51" t="str" cm="1">
        <f t="array" aca="1" ref="S67" ca="1">INDIRECT("["&amp;datatable!$C$3&amp;"]"&amp;datatable!$B14&amp;"!"&amp;"Y51")</f>
        <v>Low Correct</v>
      </c>
      <c r="T67" s="51" t="str" cm="1">
        <f t="array" aca="1" ref="T67" ca="1">INDIRECT("["&amp;datatable!$C$3&amp;"]"&amp;datatable!$B14&amp;"!"&amp;"Y52")</f>
        <v>Low Maybe</v>
      </c>
      <c r="U67" s="51" t="str" cm="1">
        <f t="array" aca="1" ref="U67" ca="1">INDIRECT("["&amp;datatable!$C$3&amp;"]"&amp;datatable!$B14&amp;"!"&amp;"Y53")</f>
        <v>Low Incorrect</v>
      </c>
      <c r="V67" s="51" t="str" cm="1">
        <f t="array" aca="1" ref="V67" ca="1">INDIRECT("["&amp;datatable!$C$3&amp;"]"&amp;datatable!$B14&amp;"!"&amp;"Y54")</f>
        <v>High Maybe</v>
      </c>
      <c r="W67" s="51" t="str" cm="1">
        <f t="array" aca="1" ref="W67" ca="1">INDIRECT("["&amp;datatable!$C$3&amp;"]"&amp;datatable!$B14&amp;"!"&amp;"Y55")</f>
        <v>Low Correct</v>
      </c>
      <c r="X67" s="51" t="str" cm="1">
        <f t="array" aca="1" ref="X67" ca="1">INDIRECT("["&amp;datatable!$C$3&amp;"]"&amp;datatable!$B14&amp;"!"&amp;"Y56")</f>
        <v>N/A</v>
      </c>
      <c r="Y67" s="50"/>
    </row>
    <row r="68" spans="3:25">
      <c r="C68" s="30" t="s">
        <v>50</v>
      </c>
      <c r="D68" s="51" t="str" cm="1">
        <f t="array" aca="1" ref="D68" ca="1">INDIRECT("["&amp;datatable!$C$3&amp;"]"&amp;datatable!$B15&amp;"!"&amp;"Y2")</f>
        <v>Medium Correct</v>
      </c>
      <c r="E68" s="51" t="str" cm="1">
        <f t="array" aca="1" ref="E68" ca="1">INDIRECT("["&amp;datatable!$C$3&amp;"]"&amp;datatable!$B15&amp;"!"&amp;"Y3")</f>
        <v>High Correct</v>
      </c>
      <c r="F68" s="51" t="str" cm="1">
        <f t="array" aca="1" ref="F68" ca="1">INDIRECT("["&amp;datatable!$C$3&amp;"]"&amp;datatable!$B15&amp;"!"&amp;"Y4")</f>
        <v>High Correct</v>
      </c>
      <c r="G68" s="51" t="str" cm="1">
        <f t="array" aca="1" ref="G68" ca="1">INDIRECT("["&amp;datatable!$C$3&amp;"]"&amp;datatable!$B15&amp;"!"&amp;"Y5")</f>
        <v>High Correct</v>
      </c>
      <c r="H68" s="51" t="str" cm="1">
        <f t="array" aca="1" ref="H68" ca="1">INDIRECT("["&amp;datatable!$C$3&amp;"]"&amp;datatable!$B15&amp;"!"&amp;"Y6")</f>
        <v>Low Incorrect</v>
      </c>
      <c r="I68" s="51" t="str" cm="1">
        <f t="array" aca="1" ref="I68" ca="1">INDIRECT("["&amp;datatable!$C$3&amp;"]"&amp;datatable!$B15&amp;"!"&amp;"Y7")</f>
        <v>Medium Maybe</v>
      </c>
      <c r="J68" s="51" t="str" cm="1">
        <f t="array" aca="1" ref="J68" ca="1">INDIRECT("["&amp;datatable!$C$3&amp;"]"&amp;datatable!$B15&amp;"!"&amp;"Y8")</f>
        <v>High Correct</v>
      </c>
      <c r="K68" s="51" t="str" cm="1">
        <f t="array" aca="1" ref="K68" ca="1">INDIRECT("["&amp;datatable!$C$3&amp;"]"&amp;datatable!$B15&amp;"!"&amp;"Y9")</f>
        <v>High Correct</v>
      </c>
      <c r="L68" s="51" t="str" cm="1">
        <f t="array" aca="1" ref="L68" ca="1">INDIRECT("["&amp;datatable!$C$3&amp;"]"&amp;datatable!$B15&amp;"!"&amp;"Y10")</f>
        <v>Medium Incorrect</v>
      </c>
      <c r="M68" s="51" t="str" cm="1">
        <f t="array" aca="1" ref="M68" ca="1">INDIRECT("["&amp;datatable!$C$3&amp;"]"&amp;datatable!$B15&amp;"!"&amp;"Y11")</f>
        <v>High Correct</v>
      </c>
      <c r="N68" s="51" t="str" cm="1">
        <f t="array" aca="1" ref="N68" ca="1">INDIRECT("["&amp;datatable!$C$3&amp;"]"&amp;datatable!$B15&amp;"!"&amp;"Y46")</f>
        <v>Medium Correct</v>
      </c>
      <c r="O68" s="51" t="str" cm="1">
        <f t="array" aca="1" ref="O68" ca="1">INDIRECT("["&amp;datatable!$C$3&amp;"]"&amp;datatable!$B15&amp;"!"&amp;"Y47")</f>
        <v>Low Correct</v>
      </c>
      <c r="P68" s="51" t="str" cm="1">
        <f t="array" aca="1" ref="P68" ca="1">INDIRECT("["&amp;datatable!$C$3&amp;"]"&amp;datatable!$B15&amp;"!"&amp;"Y48")</f>
        <v>Medium Incorrect</v>
      </c>
      <c r="Q68" s="51" t="str" cm="1">
        <f t="array" aca="1" ref="Q68" ca="1">INDIRECT("["&amp;datatable!$C$3&amp;"]"&amp;datatable!$B15&amp;"!"&amp;"Y49")</f>
        <v>Low Correct</v>
      </c>
      <c r="R68" s="51" t="str" cm="1">
        <f t="array" aca="1" ref="R68" ca="1">INDIRECT("["&amp;datatable!$C$3&amp;"]"&amp;datatable!$B15&amp;"!"&amp;"Y50")</f>
        <v>Low Correct</v>
      </c>
      <c r="S68" s="51" t="str" cm="1">
        <f t="array" aca="1" ref="S68" ca="1">INDIRECT("["&amp;datatable!$C$3&amp;"]"&amp;datatable!$B15&amp;"!"&amp;"Y51")</f>
        <v>High Correct</v>
      </c>
      <c r="T68" s="51" t="str" cm="1">
        <f t="array" aca="1" ref="T68" ca="1">INDIRECT("["&amp;datatable!$C$3&amp;"]"&amp;datatable!$B15&amp;"!"&amp;"Y52")</f>
        <v>Low Correct</v>
      </c>
      <c r="U68" s="51" t="str" cm="1">
        <f t="array" aca="1" ref="U68" ca="1">INDIRECT("["&amp;datatable!$C$3&amp;"]"&amp;datatable!$B15&amp;"!"&amp;"Y53")</f>
        <v>Low Correct</v>
      </c>
      <c r="V68" s="51" t="str" cm="1">
        <f t="array" aca="1" ref="V68" ca="1">INDIRECT("["&amp;datatable!$C$3&amp;"]"&amp;datatable!$B15&amp;"!"&amp;"Y54")</f>
        <v>High Correct</v>
      </c>
      <c r="W68" s="51" t="str" cm="1">
        <f t="array" aca="1" ref="W68" ca="1">INDIRECT("["&amp;datatable!$C$3&amp;"]"&amp;datatable!$B15&amp;"!"&amp;"Y55")</f>
        <v>Medium Correct</v>
      </c>
      <c r="X68" s="51" t="str" cm="1">
        <f t="array" aca="1" ref="X68" ca="1">INDIRECT("["&amp;datatable!$C$3&amp;"]"&amp;datatable!$B15&amp;"!"&amp;"Y56")</f>
        <v>Medium Incorrect</v>
      </c>
      <c r="Y68" s="50"/>
    </row>
    <row r="69" spans="3:25">
      <c r="C69" s="30" t="s">
        <v>51</v>
      </c>
      <c r="D69" s="51" t="str" cm="1">
        <f t="array" aca="1" ref="D69" ca="1">INDIRECT("["&amp;datatable!$C$3&amp;"]"&amp;datatable!$B16&amp;"!"&amp;"Y2")</f>
        <v>High Incorrect</v>
      </c>
      <c r="E69" s="51" t="str" cm="1">
        <f t="array" aca="1" ref="E69" ca="1">INDIRECT("["&amp;datatable!$C$3&amp;"]"&amp;datatable!$B16&amp;"!"&amp;"Y3")</f>
        <v>High Incorrect</v>
      </c>
      <c r="F69" s="51" t="str" cm="1">
        <f t="array" aca="1" ref="F69" ca="1">INDIRECT("["&amp;datatable!$C$3&amp;"]"&amp;datatable!$B16&amp;"!"&amp;"Y4")</f>
        <v>High Incorrect</v>
      </c>
      <c r="G69" s="51" t="str" cm="1">
        <f t="array" aca="1" ref="G69" ca="1">INDIRECT("["&amp;datatable!$C$3&amp;"]"&amp;datatable!$B16&amp;"!"&amp;"Y5")</f>
        <v>High Incorrect</v>
      </c>
      <c r="H69" s="51" t="str" cm="1">
        <f t="array" aca="1" ref="H69" ca="1">INDIRECT("["&amp;datatable!$C$3&amp;"]"&amp;datatable!$B16&amp;"!"&amp;"Y6")</f>
        <v>High Incorrect</v>
      </c>
      <c r="I69" s="51" t="str" cm="1">
        <f t="array" aca="1" ref="I69" ca="1">INDIRECT("["&amp;datatable!$C$3&amp;"]"&amp;datatable!$B16&amp;"!"&amp;"Y7")</f>
        <v>Medium Incorrect</v>
      </c>
      <c r="J69" s="51" t="str" cm="1">
        <f t="array" aca="1" ref="J69" ca="1">INDIRECT("["&amp;datatable!$C$3&amp;"]"&amp;datatable!$B16&amp;"!"&amp;"Y8")</f>
        <v>Low Correct</v>
      </c>
      <c r="K69" s="51" t="str" cm="1">
        <f t="array" aca="1" ref="K69" ca="1">INDIRECT("["&amp;datatable!$C$3&amp;"]"&amp;datatable!$B16&amp;"!"&amp;"Y9")</f>
        <v>High Incorrect</v>
      </c>
      <c r="L69" s="51" t="str" cm="1">
        <f t="array" aca="1" ref="L69" ca="1">INDIRECT("["&amp;datatable!$C$3&amp;"]"&amp;datatable!$B16&amp;"!"&amp;"Y10")</f>
        <v>Medium Incorrect</v>
      </c>
      <c r="M69" s="51" t="str" cm="1">
        <f t="array" aca="1" ref="M69" ca="1">INDIRECT("["&amp;datatable!$C$3&amp;"]"&amp;datatable!$B16&amp;"!"&amp;"Y11")</f>
        <v>Medium Incorrect</v>
      </c>
      <c r="N69" s="51" t="str" cm="1">
        <f t="array" aca="1" ref="N69" ca="1">INDIRECT("["&amp;datatable!$C$3&amp;"]"&amp;datatable!$B16&amp;"!"&amp;"Y46")</f>
        <v>Low Incorrect</v>
      </c>
      <c r="O69" s="51" t="str" cm="1">
        <f t="array" aca="1" ref="O69" ca="1">INDIRECT("["&amp;datatable!$C$3&amp;"]"&amp;datatable!$B16&amp;"!"&amp;"Y47")</f>
        <v>High Incorrect</v>
      </c>
      <c r="P69" s="51" t="str" cm="1">
        <f t="array" aca="1" ref="P69" ca="1">INDIRECT("["&amp;datatable!$C$3&amp;"]"&amp;datatable!$B16&amp;"!"&amp;"Y48")</f>
        <v>High Incorrect</v>
      </c>
      <c r="Q69" s="51" t="str" cm="1">
        <f t="array" aca="1" ref="Q69" ca="1">INDIRECT("["&amp;datatable!$C$3&amp;"]"&amp;datatable!$B16&amp;"!"&amp;"Y49")</f>
        <v>Low Incorrect</v>
      </c>
      <c r="R69" s="51" t="str" cm="1">
        <f t="array" aca="1" ref="R69" ca="1">INDIRECT("["&amp;datatable!$C$3&amp;"]"&amp;datatable!$B16&amp;"!"&amp;"Y50")</f>
        <v>Medium Correct</v>
      </c>
      <c r="S69" s="51" t="str" cm="1">
        <f t="array" aca="1" ref="S69" ca="1">INDIRECT("["&amp;datatable!$C$3&amp;"]"&amp;datatable!$B16&amp;"!"&amp;"Y51")</f>
        <v>High Incorrect</v>
      </c>
      <c r="T69" s="51" t="str" cm="1">
        <f t="array" aca="1" ref="T69" ca="1">INDIRECT("["&amp;datatable!$C$3&amp;"]"&amp;datatable!$B16&amp;"!"&amp;"Y52")</f>
        <v>High Incorrect</v>
      </c>
      <c r="U69" s="51" t="str" cm="1">
        <f t="array" aca="1" ref="U69" ca="1">INDIRECT("["&amp;datatable!$C$3&amp;"]"&amp;datatable!$B16&amp;"!"&amp;"Y53")</f>
        <v>High Incorrect</v>
      </c>
      <c r="V69" s="51" t="str" cm="1">
        <f t="array" aca="1" ref="V69" ca="1">INDIRECT("["&amp;datatable!$C$3&amp;"]"&amp;datatable!$B16&amp;"!"&amp;"Y54")</f>
        <v>High Incorrect</v>
      </c>
      <c r="W69" s="51" t="str" cm="1">
        <f t="array" aca="1" ref="W69" ca="1">INDIRECT("["&amp;datatable!$C$3&amp;"]"&amp;datatable!$B16&amp;"!"&amp;"Y55")</f>
        <v>High Incorrect</v>
      </c>
      <c r="X69" s="51" t="str" cm="1">
        <f t="array" aca="1" ref="X69" ca="1">INDIRECT("["&amp;datatable!$C$3&amp;"]"&amp;datatable!$B16&amp;"!"&amp;"Y56")</f>
        <v>High Incorrect</v>
      </c>
      <c r="Y69" s="50"/>
    </row>
    <row r="70" spans="3:25">
      <c r="C70" s="30" t="s">
        <v>52</v>
      </c>
      <c r="D70" s="51" t="str" cm="1">
        <f t="array" aca="1" ref="D70" ca="1">INDIRECT("["&amp;datatable!$C$3&amp;"]"&amp;datatable!$B17&amp;"!"&amp;"Y2")</f>
        <v>High Correct</v>
      </c>
      <c r="E70" s="51" t="str" cm="1">
        <f t="array" aca="1" ref="E70" ca="1">INDIRECT("["&amp;datatable!$C$3&amp;"]"&amp;datatable!$B17&amp;"!"&amp;"Y3")</f>
        <v>Medium Correct</v>
      </c>
      <c r="F70" s="51" t="str" cm="1">
        <f t="array" aca="1" ref="F70" ca="1">INDIRECT("["&amp;datatable!$C$3&amp;"]"&amp;datatable!$B17&amp;"!"&amp;"Y4")</f>
        <v>Low Correct</v>
      </c>
      <c r="G70" s="51" t="str" cm="1">
        <f t="array" aca="1" ref="G70" ca="1">INDIRECT("["&amp;datatable!$C$3&amp;"]"&amp;datatable!$B17&amp;"!"&amp;"Y5")</f>
        <v>Low Correct</v>
      </c>
      <c r="H70" s="51" t="str" cm="1">
        <f t="array" aca="1" ref="H70" ca="1">INDIRECT("["&amp;datatable!$C$3&amp;"]"&amp;datatable!$B17&amp;"!"&amp;"Y6")</f>
        <v>Low Correct</v>
      </c>
      <c r="I70" s="51" t="str" cm="1">
        <f t="array" aca="1" ref="I70" ca="1">INDIRECT("["&amp;datatable!$C$3&amp;"]"&amp;datatable!$B17&amp;"!"&amp;"Y7")</f>
        <v>Low Incorrect</v>
      </c>
      <c r="J70" s="51" t="str" cm="1">
        <f t="array" aca="1" ref="J70" ca="1">INDIRECT("["&amp;datatable!$C$3&amp;"]"&amp;datatable!$B17&amp;"!"&amp;"Y8")</f>
        <v>Medium Correct</v>
      </c>
      <c r="K70" s="51" t="str" cm="1">
        <f t="array" aca="1" ref="K70" ca="1">INDIRECT("["&amp;datatable!$C$3&amp;"]"&amp;datatable!$B17&amp;"!"&amp;"Y9")</f>
        <v>High Correct</v>
      </c>
      <c r="L70" s="51" t="str" cm="1">
        <f t="array" aca="1" ref="L70" ca="1">INDIRECT("["&amp;datatable!$C$3&amp;"]"&amp;datatable!$B17&amp;"!"&amp;"Y10")</f>
        <v>High Correct</v>
      </c>
      <c r="M70" s="51" t="str" cm="1">
        <f t="array" aca="1" ref="M70" ca="1">INDIRECT("["&amp;datatable!$C$3&amp;"]"&amp;datatable!$B17&amp;"!"&amp;"Y11")</f>
        <v>Low Correct</v>
      </c>
      <c r="N70" s="51" t="str" cm="1">
        <f t="array" aca="1" ref="N70" ca="1">INDIRECT("["&amp;datatable!$C$3&amp;"]"&amp;datatable!$B17&amp;"!"&amp;"Y46")</f>
        <v>Medium Maybe</v>
      </c>
      <c r="O70" s="51" t="str" cm="1">
        <f t="array" aca="1" ref="O70" ca="1">INDIRECT("["&amp;datatable!$C$3&amp;"]"&amp;datatable!$B17&amp;"!"&amp;"Y47")</f>
        <v>Low Correct</v>
      </c>
      <c r="P70" s="51" t="str" cm="1">
        <f t="array" aca="1" ref="P70" ca="1">INDIRECT("["&amp;datatable!$C$3&amp;"]"&amp;datatable!$B17&amp;"!"&amp;"Y48")</f>
        <v>High Correct</v>
      </c>
      <c r="Q70" s="51" t="str" cm="1">
        <f t="array" aca="1" ref="Q70" ca="1">INDIRECT("["&amp;datatable!$C$3&amp;"]"&amp;datatable!$B17&amp;"!"&amp;"Y49")</f>
        <v>High Correct</v>
      </c>
      <c r="R70" s="51" t="str" cm="1">
        <f t="array" aca="1" ref="R70" ca="1">INDIRECT("["&amp;datatable!$C$3&amp;"]"&amp;datatable!$B17&amp;"!"&amp;"Y50")</f>
        <v>Medium Correct</v>
      </c>
      <c r="S70" s="51" t="str" cm="1">
        <f t="array" aca="1" ref="S70" ca="1">INDIRECT("["&amp;datatable!$C$3&amp;"]"&amp;datatable!$B17&amp;"!"&amp;"Y51")</f>
        <v>Low Correct</v>
      </c>
      <c r="T70" s="51" t="str" cm="1">
        <f t="array" aca="1" ref="T70" ca="1">INDIRECT("["&amp;datatable!$C$3&amp;"]"&amp;datatable!$B17&amp;"!"&amp;"Y52")</f>
        <v>Low Correct</v>
      </c>
      <c r="U70" s="51" t="str" cm="1">
        <f t="array" aca="1" ref="U70" ca="1">INDIRECT("["&amp;datatable!$C$3&amp;"]"&amp;datatable!$B17&amp;"!"&amp;"Y53")</f>
        <v>High Correct</v>
      </c>
      <c r="V70" s="51" t="str" cm="1">
        <f t="array" aca="1" ref="V70" ca="1">INDIRECT("["&amp;datatable!$C$3&amp;"]"&amp;datatable!$B17&amp;"!"&amp;"Y54")</f>
        <v>Medium Correct</v>
      </c>
      <c r="W70" s="51" t="str" cm="1">
        <f t="array" aca="1" ref="W70" ca="1">INDIRECT("["&amp;datatable!$C$3&amp;"]"&amp;datatable!$B17&amp;"!"&amp;"Y55")</f>
        <v>Low Incorrect</v>
      </c>
      <c r="X70" s="51" t="str" cm="1">
        <f t="array" aca="1" ref="X70" ca="1">INDIRECT("["&amp;datatable!$C$3&amp;"]"&amp;datatable!$B17&amp;"!"&amp;"Y56")</f>
        <v>N/A</v>
      </c>
      <c r="Y70" s="50"/>
    </row>
    <row r="71" spans="3:25">
      <c r="C71" s="30" t="s">
        <v>53</v>
      </c>
      <c r="D71" s="51" t="str" cm="1">
        <f t="array" aca="1" ref="D71" ca="1">INDIRECT("["&amp;datatable!$C$3&amp;"]"&amp;datatable!$B18&amp;"!"&amp;"Y2")</f>
        <v>Low Correct</v>
      </c>
      <c r="E71" s="51" t="str" cm="1">
        <f t="array" aca="1" ref="E71" ca="1">INDIRECT("["&amp;datatable!$C$3&amp;"]"&amp;datatable!$B18&amp;"!"&amp;"Y3")</f>
        <v>High Correct</v>
      </c>
      <c r="F71" s="51" t="str" cm="1">
        <f t="array" aca="1" ref="F71" ca="1">INDIRECT("["&amp;datatable!$C$3&amp;"]"&amp;datatable!$B18&amp;"!"&amp;"Y4")</f>
        <v>High Incorrect</v>
      </c>
      <c r="G71" s="51" t="str" cm="1">
        <f t="array" aca="1" ref="G71" ca="1">INDIRECT("["&amp;datatable!$C$3&amp;"]"&amp;datatable!$B18&amp;"!"&amp;"Y5")</f>
        <v>High Incorrect</v>
      </c>
      <c r="H71" s="51" t="str" cm="1">
        <f t="array" aca="1" ref="H71" ca="1">INDIRECT("["&amp;datatable!$C$3&amp;"]"&amp;datatable!$B18&amp;"!"&amp;"Y6")</f>
        <v>High Incorrect</v>
      </c>
      <c r="I71" s="51" t="str" cm="1">
        <f t="array" aca="1" ref="I71" ca="1">INDIRECT("["&amp;datatable!$C$3&amp;"]"&amp;datatable!$B18&amp;"!"&amp;"Y7")</f>
        <v>High Incorrect</v>
      </c>
      <c r="J71" s="51" t="str" cm="1">
        <f t="array" aca="1" ref="J71" ca="1">INDIRECT("["&amp;datatable!$C$3&amp;"]"&amp;datatable!$B18&amp;"!"&amp;"Y8")</f>
        <v>Medium Correct</v>
      </c>
      <c r="K71" s="51" t="str" cm="1">
        <f t="array" aca="1" ref="K71" ca="1">INDIRECT("["&amp;datatable!$C$3&amp;"]"&amp;datatable!$B18&amp;"!"&amp;"Y9")</f>
        <v>Low Incorrect</v>
      </c>
      <c r="L71" s="51" t="str" cm="1">
        <f t="array" aca="1" ref="L71" ca="1">INDIRECT("["&amp;datatable!$C$3&amp;"]"&amp;datatable!$B18&amp;"!"&amp;"Y10")</f>
        <v>High Incorrect</v>
      </c>
      <c r="M71" s="51" t="str" cm="1">
        <f t="array" aca="1" ref="M71" ca="1">INDIRECT("["&amp;datatable!$C$3&amp;"]"&amp;datatable!$B18&amp;"!"&amp;"Y11")</f>
        <v>Medium Maybe</v>
      </c>
      <c r="N71" s="51" t="str" cm="1">
        <f t="array" aca="1" ref="N71" ca="1">INDIRECT("["&amp;datatable!$C$3&amp;"]"&amp;datatable!$B18&amp;"!"&amp;"Y46")</f>
        <v>High Correct</v>
      </c>
      <c r="O71" s="51" t="str" cm="1">
        <f t="array" aca="1" ref="O71" ca="1">INDIRECT("["&amp;datatable!$C$3&amp;"]"&amp;datatable!$B18&amp;"!"&amp;"Y47")</f>
        <v>High Incorrect</v>
      </c>
      <c r="P71" s="51" t="str" cm="1">
        <f t="array" aca="1" ref="P71" ca="1">INDIRECT("["&amp;datatable!$C$3&amp;"]"&amp;datatable!$B18&amp;"!"&amp;"Y48")</f>
        <v>Low Incorrect</v>
      </c>
      <c r="Q71" s="51" t="str" cm="1">
        <f t="array" aca="1" ref="Q71" ca="1">INDIRECT("["&amp;datatable!$C$3&amp;"]"&amp;datatable!$B18&amp;"!"&amp;"Y49")</f>
        <v>Medium Incorrect</v>
      </c>
      <c r="R71" s="51" t="str" cm="1">
        <f t="array" aca="1" ref="R71" ca="1">INDIRECT("["&amp;datatable!$C$3&amp;"]"&amp;datatable!$B18&amp;"!"&amp;"Y50")</f>
        <v>High Correct</v>
      </c>
      <c r="S71" s="51" t="str" cm="1">
        <f t="array" aca="1" ref="S71" ca="1">INDIRECT("["&amp;datatable!$C$3&amp;"]"&amp;datatable!$B18&amp;"!"&amp;"Y51")</f>
        <v>High Maybe</v>
      </c>
      <c r="T71" s="51" t="str" cm="1">
        <f t="array" aca="1" ref="T71" ca="1">INDIRECT("["&amp;datatable!$C$3&amp;"]"&amp;datatable!$B18&amp;"!"&amp;"Y52")</f>
        <v>N/A</v>
      </c>
      <c r="U71" s="51" t="str" cm="1">
        <f t="array" aca="1" ref="U71" ca="1">INDIRECT("["&amp;datatable!$C$3&amp;"]"&amp;datatable!$B18&amp;"!"&amp;"Y53")</f>
        <v>High Maybe</v>
      </c>
      <c r="V71" s="51" t="str" cm="1">
        <f t="array" aca="1" ref="V71" ca="1">INDIRECT("["&amp;datatable!$C$3&amp;"]"&amp;datatable!$B18&amp;"!"&amp;"Y54")</f>
        <v>Medium Correct</v>
      </c>
      <c r="W71" s="51" t="str" cm="1">
        <f t="array" aca="1" ref="W71" ca="1">INDIRECT("["&amp;datatable!$C$3&amp;"]"&amp;datatable!$B18&amp;"!"&amp;"Y55")</f>
        <v>Medium Maybe</v>
      </c>
      <c r="X71" s="51" t="str" cm="1">
        <f t="array" aca="1" ref="X71" ca="1">INDIRECT("["&amp;datatable!$C$3&amp;"]"&amp;datatable!$B18&amp;"!"&amp;"Y56")</f>
        <v>N/A</v>
      </c>
      <c r="Y71" s="50"/>
    </row>
    <row r="72" spans="3:25">
      <c r="C72" s="30" t="s">
        <v>54</v>
      </c>
      <c r="D72" s="51" t="str" cm="1">
        <f t="array" aca="1" ref="D72" ca="1">INDIRECT("["&amp;datatable!$C$3&amp;"]"&amp;datatable!$B19&amp;"!"&amp;"Y2")</f>
        <v>High Correct</v>
      </c>
      <c r="E72" s="51" t="str" cm="1">
        <f t="array" aca="1" ref="E72" ca="1">INDIRECT("["&amp;datatable!$C$3&amp;"]"&amp;datatable!$B19&amp;"!"&amp;"Y3")</f>
        <v>Medium Correct</v>
      </c>
      <c r="F72" s="51" t="str" cm="1">
        <f t="array" aca="1" ref="F72" ca="1">INDIRECT("["&amp;datatable!$C$3&amp;"]"&amp;datatable!$B19&amp;"!"&amp;"Y4")</f>
        <v>High Correct</v>
      </c>
      <c r="G72" s="51" t="str" cm="1">
        <f t="array" aca="1" ref="G72" ca="1">INDIRECT("["&amp;datatable!$C$3&amp;"]"&amp;datatable!$B19&amp;"!"&amp;"Y5")</f>
        <v>Low Correct</v>
      </c>
      <c r="H72" s="51" t="str" cm="1">
        <f t="array" aca="1" ref="H72" ca="1">INDIRECT("["&amp;datatable!$C$3&amp;"]"&amp;datatable!$B19&amp;"!"&amp;"Y6")</f>
        <v>Low Correct</v>
      </c>
      <c r="I72" s="51" t="str" cm="1">
        <f t="array" aca="1" ref="I72" ca="1">INDIRECT("["&amp;datatable!$C$3&amp;"]"&amp;datatable!$B19&amp;"!"&amp;"Y7")</f>
        <v>High Correct</v>
      </c>
      <c r="J72" s="51" t="str" cm="1">
        <f t="array" aca="1" ref="J72" ca="1">INDIRECT("["&amp;datatable!$C$3&amp;"]"&amp;datatable!$B19&amp;"!"&amp;"Y8")</f>
        <v>Medium Correct</v>
      </c>
      <c r="K72" s="51" t="str" cm="1">
        <f t="array" aca="1" ref="K72" ca="1">INDIRECT("["&amp;datatable!$C$3&amp;"]"&amp;datatable!$B19&amp;"!"&amp;"Y9")</f>
        <v>High Correct</v>
      </c>
      <c r="L72" s="51" t="str" cm="1">
        <f t="array" aca="1" ref="L72" ca="1">INDIRECT("["&amp;datatable!$C$3&amp;"]"&amp;datatable!$B19&amp;"!"&amp;"Y10")</f>
        <v>Low Correct</v>
      </c>
      <c r="M72" s="51" t="str" cm="1">
        <f t="array" aca="1" ref="M72" ca="1">INDIRECT("["&amp;datatable!$C$3&amp;"]"&amp;datatable!$B19&amp;"!"&amp;"Y11")</f>
        <v>High Correct</v>
      </c>
      <c r="N72" s="51" t="str" cm="1">
        <f t="array" aca="1" ref="N72" ca="1">INDIRECT("["&amp;datatable!$C$3&amp;"]"&amp;datatable!$B19&amp;"!"&amp;"Y46")</f>
        <v>Low Correct</v>
      </c>
      <c r="O72" s="51" t="str" cm="1">
        <f t="array" aca="1" ref="O72" ca="1">INDIRECT("["&amp;datatable!$C$3&amp;"]"&amp;datatable!$B19&amp;"!"&amp;"Y47")</f>
        <v>High Correct</v>
      </c>
      <c r="P72" s="51" t="str" cm="1">
        <f t="array" aca="1" ref="P72" ca="1">INDIRECT("["&amp;datatable!$C$3&amp;"]"&amp;datatable!$B19&amp;"!"&amp;"Y48")</f>
        <v>Low Maybe</v>
      </c>
      <c r="Q72" s="51" t="str" cm="1">
        <f t="array" aca="1" ref="Q72" ca="1">INDIRECT("["&amp;datatable!$C$3&amp;"]"&amp;datatable!$B19&amp;"!"&amp;"Y49")</f>
        <v>Low Correct</v>
      </c>
      <c r="R72" s="51" t="str" cm="1">
        <f t="array" aca="1" ref="R72" ca="1">INDIRECT("["&amp;datatable!$C$3&amp;"]"&amp;datatable!$B19&amp;"!"&amp;"Y50")</f>
        <v>Low Correct</v>
      </c>
      <c r="S72" s="51" t="str" cm="1">
        <f t="array" aca="1" ref="S72" ca="1">INDIRECT("["&amp;datatable!$C$3&amp;"]"&amp;datatable!$B19&amp;"!"&amp;"Y51")</f>
        <v>High Correct</v>
      </c>
      <c r="T72" s="51" t="str" cm="1">
        <f t="array" aca="1" ref="T72" ca="1">INDIRECT("["&amp;datatable!$C$3&amp;"]"&amp;datatable!$B19&amp;"!"&amp;"Y52")</f>
        <v>Low Maybe</v>
      </c>
      <c r="U72" s="51" t="str" cm="1">
        <f t="array" aca="1" ref="U72" ca="1">INDIRECT("["&amp;datatable!$C$3&amp;"]"&amp;datatable!$B19&amp;"!"&amp;"Y53")</f>
        <v>Low Correct</v>
      </c>
      <c r="V72" s="51" t="str" cm="1">
        <f t="array" aca="1" ref="V72" ca="1">INDIRECT("["&amp;datatable!$C$3&amp;"]"&amp;datatable!$B19&amp;"!"&amp;"Y54")</f>
        <v>Low Correct</v>
      </c>
      <c r="W72" s="51" t="str" cm="1">
        <f t="array" aca="1" ref="W72" ca="1">INDIRECT("["&amp;datatable!$C$3&amp;"]"&amp;datatable!$B19&amp;"!"&amp;"Y55")</f>
        <v>Low Incorrect</v>
      </c>
      <c r="X72" s="51" t="str" cm="1">
        <f t="array" aca="1" ref="X72" ca="1">INDIRECT("["&amp;datatable!$C$3&amp;"]"&amp;datatable!$B19&amp;"!"&amp;"Y56")</f>
        <v>Low Maybe</v>
      </c>
      <c r="Y72" s="50"/>
    </row>
    <row r="73" spans="3:25">
      <c r="C73" s="50"/>
      <c r="D73" s="53"/>
      <c r="E73" s="50"/>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99" priority="4" operator="equal">
      <formula>"Medium Correct"</formula>
    </cfRule>
    <cfRule type="cellIs" dxfId="98" priority="5" operator="equal">
      <formula>"Low Correct"</formula>
    </cfRule>
    <cfRule type="cellIs" dxfId="97" priority="6" operator="equal">
      <formula>"Medium Maybe"</formula>
    </cfRule>
    <cfRule type="cellIs" dxfId="96" priority="7" operator="equal">
      <formula>"Low Maybe"</formula>
    </cfRule>
    <cfRule type="cellIs" dxfId="95" priority="8" operator="equal">
      <formula>"Medium Incorrect"</formula>
    </cfRule>
    <cfRule type="cellIs" dxfId="94" priority="9" operator="equal">
      <formula>"Low Incorrect"</formula>
    </cfRule>
    <cfRule type="cellIs" dxfId="93" priority="10" operator="equal">
      <formula>"N/A"</formula>
    </cfRule>
  </conditionalFormatting>
  <conditionalFormatting sqref="D55:X72">
    <cfRule type="cellIs" dxfId="92" priority="1" operator="equal">
      <formula>"High Correct"</formula>
    </cfRule>
    <cfRule type="cellIs" dxfId="91" priority="2" operator="equal">
      <formula>"High Incorrect"</formula>
    </cfRule>
    <cfRule type="cellIs" dxfId="90" priority="3" operator="equal">
      <formula>"High Maybe"</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4899-61E5-4E96-8DE7-AFD1A3EB4799}">
  <dimension ref="C5:O50"/>
  <sheetViews>
    <sheetView tabSelected="1" topLeftCell="A20" zoomScale="102" zoomScaleNormal="40" workbookViewId="0">
      <selection activeCell="R133" sqref="R133"/>
    </sheetView>
  </sheetViews>
  <sheetFormatPr defaultRowHeight="14.4"/>
  <cols>
    <col min="4" max="4" width="12.6640625" customWidth="1"/>
    <col min="5" max="5" width="15.109375" customWidth="1"/>
    <col min="6" max="6" width="11.44140625" bestFit="1" customWidth="1"/>
    <col min="7" max="7" width="11.33203125" bestFit="1" customWidth="1"/>
    <col min="8" max="8" width="14" bestFit="1" customWidth="1"/>
    <col min="9" max="9" width="10.6640625" bestFit="1" customWidth="1"/>
    <col min="10" max="10" width="12.6640625" bestFit="1" customWidth="1"/>
    <col min="11" max="11" width="15.88671875" bestFit="1" customWidth="1"/>
    <col min="12" max="12" width="13.33203125" bestFit="1"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SUM(INDIRECT("'"&amp;datatable!$G$2:$G$4&amp;"'!D"&amp;7))</f>
        <v>17</v>
      </c>
      <c r="E7" s="54" cm="1">
        <f t="array" aca="1" ref="E7" ca="1">SUM(INDIRECT("'"&amp;datatable!$G$2:$G$4&amp;"'!E"&amp;7))</f>
        <v>7</v>
      </c>
      <c r="F7" s="55" cm="1">
        <f t="array" aca="1" ref="F7" ca="1">SUM(INDIRECT("'"&amp;datatable!$G$2:$G$4&amp;"'!F"&amp;7))</f>
        <v>3</v>
      </c>
      <c r="G7" s="56" cm="1">
        <f t="array" aca="1" ref="G7" ca="1">SUM(INDIRECT("'"&amp;datatable!$G$2:$G$4&amp;"'!G"&amp;7))</f>
        <v>2</v>
      </c>
      <c r="H7" s="57" cm="1">
        <f t="array" aca="1" ref="H7" ca="1">SUM(INDIRECT("'"&amp;datatable!$G$2:$G$4&amp;"'!H"&amp;7))</f>
        <v>1</v>
      </c>
      <c r="I7" s="58" cm="1">
        <f t="array" aca="1" ref="I7" ca="1">SUM(INDIRECT("'"&amp;datatable!$G$2:$G$4&amp;"'!I"&amp;7))</f>
        <v>2</v>
      </c>
      <c r="J7" s="59" cm="1">
        <f t="array" aca="1" ref="J7" ca="1">SUM(INDIRECT("'"&amp;datatable!$G$2:$G$4&amp;"'!J"&amp;7))</f>
        <v>5</v>
      </c>
      <c r="K7" s="60" cm="1">
        <f t="array" aca="1" ref="K7" ca="1">SUM(INDIRECT("'"&amp;datatable!$G$2:$G$4&amp;"'!K"&amp;7))</f>
        <v>9</v>
      </c>
      <c r="L7" s="61" cm="1">
        <f t="array" aca="1" ref="L7" ca="1">SUM(INDIRECT("'"&amp;datatable!$G$2:$G$4&amp;"'!L"&amp;7))</f>
        <v>5</v>
      </c>
      <c r="M7" s="62" cm="1">
        <f t="array" aca="1" ref="M7" ca="1">SUM(INDIRECT("'"&amp;datatable!$G$2:$G$4&amp;"'!M"&amp;7))</f>
        <v>3</v>
      </c>
      <c r="N7" s="29">
        <f t="shared" ref="N7:N28" ca="1" si="0">SUM(D7:M7)</f>
        <v>54</v>
      </c>
      <c r="O7" s="29">
        <f t="shared" ref="O7:O28" ca="1" si="1">SUM(D7:L7)</f>
        <v>51</v>
      </c>
    </row>
    <row r="8" spans="3:15">
      <c r="C8" s="5" t="s">
        <v>14</v>
      </c>
      <c r="D8" s="8" cm="1">
        <f t="array" aca="1" ref="D8" ca="1">SUM(INDIRECT("'"&amp;datatable!$G$2:$G$4&amp;"'!D"&amp;8))</f>
        <v>19</v>
      </c>
      <c r="E8" s="54" cm="1">
        <f t="array" aca="1" ref="E8" ca="1">SUM(INDIRECT("'"&amp;datatable!$G$2:$G$4&amp;"'!E"&amp;8))</f>
        <v>7</v>
      </c>
      <c r="F8" s="55" cm="1">
        <f t="array" aca="1" ref="F8" ca="1">SUM(INDIRECT("'"&amp;datatable!$G$2:$G$4&amp;"'!F"&amp;8))</f>
        <v>1</v>
      </c>
      <c r="G8" s="56" cm="1">
        <f t="array" aca="1" ref="G8" ca="1">SUM(INDIRECT("'"&amp;datatable!$G$2:$G$4&amp;"'!G"&amp;8))</f>
        <v>8</v>
      </c>
      <c r="H8" s="57" cm="1">
        <f t="array" aca="1" ref="H8" ca="1">SUM(INDIRECT("'"&amp;datatable!$G$2:$G$4&amp;"'!H"&amp;8))</f>
        <v>1</v>
      </c>
      <c r="I8" s="58" cm="1">
        <f t="array" aca="1" ref="I8" ca="1">SUM(INDIRECT("'"&amp;datatable!$G$2:$G$4&amp;"'!I"&amp;8))</f>
        <v>2</v>
      </c>
      <c r="J8" s="59" cm="1">
        <f t="array" aca="1" ref="J8" ca="1">SUM(INDIRECT("'"&amp;datatable!$G$2:$G$4&amp;"'!J"&amp;8))</f>
        <v>9</v>
      </c>
      <c r="K8" s="60" cm="1">
        <f t="array" aca="1" ref="K8" ca="1">SUM(INDIRECT("'"&amp;datatable!$G$2:$G$4&amp;"'!K"&amp;8))</f>
        <v>4</v>
      </c>
      <c r="L8" s="61" cm="1">
        <f t="array" aca="1" ref="L8" ca="1">SUM(INDIRECT("'"&amp;datatable!$G$2:$G$4&amp;"'!L"&amp;8))</f>
        <v>3</v>
      </c>
      <c r="M8" s="62" cm="1">
        <f t="array" aca="1" ref="M8" ca="1">SUM(INDIRECT("'"&amp;datatable!$G$2:$G$4&amp;"'!M"&amp;8))</f>
        <v>0</v>
      </c>
      <c r="N8" s="29">
        <f t="shared" ca="1" si="0"/>
        <v>54</v>
      </c>
      <c r="O8" s="29">
        <f t="shared" ca="1" si="1"/>
        <v>54</v>
      </c>
    </row>
    <row r="9" spans="3:15">
      <c r="C9" s="5" t="s">
        <v>15</v>
      </c>
      <c r="D9" s="8" cm="1">
        <f t="array" aca="1" ref="D9" ca="1">SUM(INDIRECT("'"&amp;datatable!$G$2:$G$4&amp;"'!D"&amp;9))</f>
        <v>25</v>
      </c>
      <c r="E9" s="54" cm="1">
        <f t="array" aca="1" ref="E9" ca="1">SUM(INDIRECT("'"&amp;datatable!$G$2:$G$4&amp;"'!E"&amp;9))</f>
        <v>0</v>
      </c>
      <c r="F9" s="55" cm="1">
        <f t="array" aca="1" ref="F9" ca="1">SUM(INDIRECT("'"&amp;datatable!$G$2:$G$4&amp;"'!F"&amp;9))</f>
        <v>3</v>
      </c>
      <c r="G9" s="56" cm="1">
        <f t="array" aca="1" ref="G9" ca="1">SUM(INDIRECT("'"&amp;datatable!$G$2:$G$4&amp;"'!G"&amp;9))</f>
        <v>6</v>
      </c>
      <c r="H9" s="57" cm="1">
        <f t="array" aca="1" ref="H9" ca="1">SUM(INDIRECT("'"&amp;datatable!$G$2:$G$4&amp;"'!H"&amp;9))</f>
        <v>1</v>
      </c>
      <c r="I9" s="58" cm="1">
        <f t="array" aca="1" ref="I9" ca="1">SUM(INDIRECT("'"&amp;datatable!$G$2:$G$4&amp;"'!I"&amp;9))</f>
        <v>2</v>
      </c>
      <c r="J9" s="59" cm="1">
        <f t="array" aca="1" ref="J9" ca="1">SUM(INDIRECT("'"&amp;datatable!$G$2:$G$4&amp;"'!J"&amp;9))</f>
        <v>7</v>
      </c>
      <c r="K9" s="60" cm="1">
        <f t="array" aca="1" ref="K9" ca="1">SUM(INDIRECT("'"&amp;datatable!$G$2:$G$4&amp;"'!K"&amp;9))</f>
        <v>3</v>
      </c>
      <c r="L9" s="61" cm="1">
        <f t="array" aca="1" ref="L9" ca="1">SUM(INDIRECT("'"&amp;datatable!$G$2:$G$4&amp;"'!L"&amp;9))</f>
        <v>7</v>
      </c>
      <c r="M9" s="62" cm="1">
        <f t="array" aca="1" ref="M9" ca="1">SUM(INDIRECT("'"&amp;datatable!$G$2:$G$4&amp;"'!M"&amp;9))</f>
        <v>0</v>
      </c>
      <c r="N9" s="29">
        <f t="shared" ca="1" si="0"/>
        <v>54</v>
      </c>
      <c r="O9" s="29">
        <f t="shared" ca="1" si="1"/>
        <v>54</v>
      </c>
    </row>
    <row r="10" spans="3:15">
      <c r="C10" s="5" t="s">
        <v>16</v>
      </c>
      <c r="D10" s="8" cm="1">
        <f t="array" aca="1" ref="D10" ca="1">SUM(INDIRECT("'"&amp;datatable!$G$2:$G$4&amp;"'!D"&amp;10))</f>
        <v>22</v>
      </c>
      <c r="E10" s="54" cm="1">
        <f t="array" aca="1" ref="E10" ca="1">SUM(INDIRECT("'"&amp;datatable!$G$2:$G$4&amp;"'!E"&amp;10))</f>
        <v>2</v>
      </c>
      <c r="F10" s="55" cm="1">
        <f t="array" aca="1" ref="F10" ca="1">SUM(INDIRECT("'"&amp;datatable!$G$2:$G$4&amp;"'!F"&amp;10))</f>
        <v>3</v>
      </c>
      <c r="G10" s="56" cm="1">
        <f t="array" aca="1" ref="G10" ca="1">SUM(INDIRECT("'"&amp;datatable!$G$2:$G$4&amp;"'!G"&amp;10))</f>
        <v>9</v>
      </c>
      <c r="H10" s="57" cm="1">
        <f t="array" aca="1" ref="H10" ca="1">SUM(INDIRECT("'"&amp;datatable!$G$2:$G$4&amp;"'!H"&amp;10))</f>
        <v>4</v>
      </c>
      <c r="I10" s="58" cm="1">
        <f t="array" aca="1" ref="I10" ca="1">SUM(INDIRECT("'"&amp;datatable!$G$2:$G$4&amp;"'!I"&amp;10))</f>
        <v>0</v>
      </c>
      <c r="J10" s="59" cm="1">
        <f t="array" aca="1" ref="J10" ca="1">SUM(INDIRECT("'"&amp;datatable!$G$2:$G$4&amp;"'!J"&amp;10))</f>
        <v>3</v>
      </c>
      <c r="K10" s="60" cm="1">
        <f t="array" aca="1" ref="K10" ca="1">SUM(INDIRECT("'"&amp;datatable!$G$2:$G$4&amp;"'!K"&amp;10))</f>
        <v>4</v>
      </c>
      <c r="L10" s="61" cm="1">
        <f t="array" aca="1" ref="L10" ca="1">SUM(INDIRECT("'"&amp;datatable!$G$2:$G$4&amp;"'!L"&amp;10))</f>
        <v>7</v>
      </c>
      <c r="M10" s="62" cm="1">
        <f t="array" aca="1" ref="M10" ca="1">SUM(INDIRECT("'"&amp;datatable!$G$2:$G$4&amp;"'!M"&amp;10))</f>
        <v>0</v>
      </c>
      <c r="N10" s="29">
        <f t="shared" ca="1" si="0"/>
        <v>54</v>
      </c>
      <c r="O10" s="29">
        <f t="shared" ca="1" si="1"/>
        <v>54</v>
      </c>
    </row>
    <row r="11" spans="3:15">
      <c r="C11" s="5" t="s">
        <v>17</v>
      </c>
      <c r="D11" s="8" cm="1">
        <f t="array" aca="1" ref="D11" ca="1">SUM(INDIRECT("'"&amp;datatable!$G$2:$G$4&amp;"'!D"&amp;11))</f>
        <v>13</v>
      </c>
      <c r="E11" s="54" cm="1">
        <f t="array" aca="1" ref="E11" ca="1">SUM(INDIRECT("'"&amp;datatable!$G$2:$G$4&amp;"'!E"&amp;11))</f>
        <v>3</v>
      </c>
      <c r="F11" s="55" cm="1">
        <f t="array" aca="1" ref="F11" ca="1">SUM(INDIRECT("'"&amp;datatable!$G$2:$G$4&amp;"'!F"&amp;11))</f>
        <v>7</v>
      </c>
      <c r="G11" s="56" cm="1">
        <f t="array" aca="1" ref="G11" ca="1">SUM(INDIRECT("'"&amp;datatable!$G$2:$G$4&amp;"'!G"&amp;11))</f>
        <v>3</v>
      </c>
      <c r="H11" s="57" cm="1">
        <f t="array" aca="1" ref="H11" ca="1">SUM(INDIRECT("'"&amp;datatable!$G$2:$G$4&amp;"'!H"&amp;11))</f>
        <v>6</v>
      </c>
      <c r="I11" s="58" cm="1">
        <f t="array" aca="1" ref="I11" ca="1">SUM(INDIRECT("'"&amp;datatable!$G$2:$G$4&amp;"'!I"&amp;11))</f>
        <v>4</v>
      </c>
      <c r="J11" s="59" cm="1">
        <f t="array" aca="1" ref="J11" ca="1">SUM(INDIRECT("'"&amp;datatable!$G$2:$G$4&amp;"'!J"&amp;11))</f>
        <v>7</v>
      </c>
      <c r="K11" s="60" cm="1">
        <f t="array" aca="1" ref="K11" ca="1">SUM(INDIRECT("'"&amp;datatable!$G$2:$G$4&amp;"'!K"&amp;11))</f>
        <v>1</v>
      </c>
      <c r="L11" s="61" cm="1">
        <f t="array" aca="1" ref="L11" ca="1">SUM(INDIRECT("'"&amp;datatable!$G$2:$G$4&amp;"'!L"&amp;11))</f>
        <v>9</v>
      </c>
      <c r="M11" s="62" cm="1">
        <f t="array" aca="1" ref="M11" ca="1">SUM(INDIRECT("'"&amp;datatable!$G$2:$G$4&amp;"'!M"&amp;11))</f>
        <v>1</v>
      </c>
      <c r="N11" s="29">
        <f t="shared" ca="1" si="0"/>
        <v>54</v>
      </c>
      <c r="O11" s="29">
        <f t="shared" ca="1" si="1"/>
        <v>53</v>
      </c>
    </row>
    <row r="12" spans="3:15">
      <c r="C12" s="5" t="s">
        <v>18</v>
      </c>
      <c r="D12" s="8" cm="1">
        <f t="array" aca="1" ref="D12" ca="1">SUM(INDIRECT("'"&amp;datatable!$G$2:$G$4&amp;"'!D"&amp;12))</f>
        <v>23</v>
      </c>
      <c r="E12" s="54" cm="1">
        <f t="array" aca="1" ref="E12" ca="1">SUM(INDIRECT("'"&amp;datatable!$G$2:$G$4&amp;"'!E"&amp;12))</f>
        <v>4</v>
      </c>
      <c r="F12" s="55" cm="1">
        <f t="array" aca="1" ref="F12" ca="1">SUM(INDIRECT("'"&amp;datatable!$G$2:$G$4&amp;"'!F"&amp;12))</f>
        <v>4</v>
      </c>
      <c r="G12" s="56" cm="1">
        <f t="array" aca="1" ref="G12" ca="1">SUM(INDIRECT("'"&amp;datatable!$G$2:$G$4&amp;"'!G"&amp;12))</f>
        <v>1</v>
      </c>
      <c r="H12" s="57" cm="1">
        <f t="array" aca="1" ref="H12" ca="1">SUM(INDIRECT("'"&amp;datatable!$G$2:$G$4&amp;"'!H"&amp;12))</f>
        <v>2</v>
      </c>
      <c r="I12" s="58" cm="1">
        <f t="array" aca="1" ref="I12" ca="1">SUM(INDIRECT("'"&amp;datatable!$G$2:$G$4&amp;"'!I"&amp;12))</f>
        <v>2</v>
      </c>
      <c r="J12" s="59" cm="1">
        <f t="array" aca="1" ref="J12" ca="1">SUM(INDIRECT("'"&amp;datatable!$G$2:$G$4&amp;"'!J"&amp;12))</f>
        <v>8</v>
      </c>
      <c r="K12" s="60" cm="1">
        <f t="array" aca="1" ref="K12" ca="1">SUM(INDIRECT("'"&amp;datatable!$G$2:$G$4&amp;"'!K"&amp;12))</f>
        <v>5</v>
      </c>
      <c r="L12" s="61" cm="1">
        <f t="array" aca="1" ref="L12" ca="1">SUM(INDIRECT("'"&amp;datatable!$G$2:$G$4&amp;"'!L"&amp;12))</f>
        <v>5</v>
      </c>
      <c r="M12" s="62" cm="1">
        <f t="array" aca="1" ref="M12" ca="1">SUM(INDIRECT("'"&amp;datatable!$G$2:$G$4&amp;"'!M"&amp;12))</f>
        <v>0</v>
      </c>
      <c r="N12" s="29">
        <f t="shared" ca="1" si="0"/>
        <v>54</v>
      </c>
      <c r="O12" s="29">
        <f t="shared" ca="1" si="1"/>
        <v>54</v>
      </c>
    </row>
    <row r="13" spans="3:15">
      <c r="C13" s="5" t="s">
        <v>19</v>
      </c>
      <c r="D13" s="8" cm="1">
        <f t="array" aca="1" ref="D13" ca="1">SUM(INDIRECT("'"&amp;datatable!$G$2:$G$4&amp;"'!D"&amp;13))</f>
        <v>18</v>
      </c>
      <c r="E13" s="54" cm="1">
        <f t="array" aca="1" ref="E13" ca="1">SUM(INDIRECT("'"&amp;datatable!$G$2:$G$4&amp;"'!E"&amp;13))</f>
        <v>5</v>
      </c>
      <c r="F13" s="55" cm="1">
        <f t="array" aca="1" ref="F13" ca="1">SUM(INDIRECT("'"&amp;datatable!$G$2:$G$4&amp;"'!F"&amp;13))</f>
        <v>5</v>
      </c>
      <c r="G13" s="56" cm="1">
        <f t="array" aca="1" ref="G13" ca="1">SUM(INDIRECT("'"&amp;datatable!$G$2:$G$4&amp;"'!G"&amp;13))</f>
        <v>3</v>
      </c>
      <c r="H13" s="57" cm="1">
        <f t="array" aca="1" ref="H13" ca="1">SUM(INDIRECT("'"&amp;datatable!$G$2:$G$4&amp;"'!H"&amp;13))</f>
        <v>2</v>
      </c>
      <c r="I13" s="58" cm="1">
        <f t="array" aca="1" ref="I13" ca="1">SUM(INDIRECT("'"&amp;datatable!$G$2:$G$4&amp;"'!I"&amp;13))</f>
        <v>4</v>
      </c>
      <c r="J13" s="59" cm="1">
        <f t="array" aca="1" ref="J13" ca="1">SUM(INDIRECT("'"&amp;datatable!$G$2:$G$4&amp;"'!J"&amp;13))</f>
        <v>7</v>
      </c>
      <c r="K13" s="60" cm="1">
        <f t="array" aca="1" ref="K13" ca="1">SUM(INDIRECT("'"&amp;datatable!$G$2:$G$4&amp;"'!K"&amp;13))</f>
        <v>7</v>
      </c>
      <c r="L13" s="61" cm="1">
        <f t="array" aca="1" ref="L13" ca="1">SUM(INDIRECT("'"&amp;datatable!$G$2:$G$4&amp;"'!L"&amp;13))</f>
        <v>3</v>
      </c>
      <c r="M13" s="62" cm="1">
        <f t="array" aca="1" ref="M13" ca="1">SUM(INDIRECT("'"&amp;datatable!$G$2:$G$4&amp;"'!M"&amp;13))</f>
        <v>0</v>
      </c>
      <c r="N13" s="29">
        <f t="shared" ca="1" si="0"/>
        <v>54</v>
      </c>
      <c r="O13" s="29">
        <f t="shared" ca="1" si="1"/>
        <v>54</v>
      </c>
    </row>
    <row r="14" spans="3:15">
      <c r="C14" s="5" t="s">
        <v>20</v>
      </c>
      <c r="D14" s="8" cm="1">
        <f t="array" aca="1" ref="D14" ca="1">SUM(INDIRECT("'"&amp;datatable!$G$2:$G$4&amp;"'!D"&amp;14))</f>
        <v>17</v>
      </c>
      <c r="E14" s="54" cm="1">
        <f t="array" aca="1" ref="E14" ca="1">SUM(INDIRECT("'"&amp;datatable!$G$2:$G$4&amp;"'!E"&amp;14))</f>
        <v>8</v>
      </c>
      <c r="F14" s="55" cm="1">
        <f t="array" aca="1" ref="F14" ca="1">SUM(INDIRECT("'"&amp;datatable!$G$2:$G$4&amp;"'!F"&amp;14))</f>
        <v>4</v>
      </c>
      <c r="G14" s="56" cm="1">
        <f t="array" aca="1" ref="G14" ca="1">SUM(INDIRECT("'"&amp;datatable!$G$2:$G$4&amp;"'!G"&amp;14))</f>
        <v>2</v>
      </c>
      <c r="H14" s="57" cm="1">
        <f t="array" aca="1" ref="H14" ca="1">SUM(INDIRECT("'"&amp;datatable!$G$2:$G$4&amp;"'!H"&amp;14))</f>
        <v>0</v>
      </c>
      <c r="I14" s="58" cm="1">
        <f t="array" aca="1" ref="I14" ca="1">SUM(INDIRECT("'"&amp;datatable!$G$2:$G$4&amp;"'!I"&amp;14))</f>
        <v>1</v>
      </c>
      <c r="J14" s="59" cm="1">
        <f t="array" aca="1" ref="J14" ca="1">SUM(INDIRECT("'"&amp;datatable!$G$2:$G$4&amp;"'!J"&amp;14))</f>
        <v>5</v>
      </c>
      <c r="K14" s="60" cm="1">
        <f t="array" aca="1" ref="K14" ca="1">SUM(INDIRECT("'"&amp;datatable!$G$2:$G$4&amp;"'!K"&amp;14))</f>
        <v>10</v>
      </c>
      <c r="L14" s="61" cm="1">
        <f t="array" aca="1" ref="L14" ca="1">SUM(INDIRECT("'"&amp;datatable!$G$2:$G$4&amp;"'!L"&amp;14))</f>
        <v>4</v>
      </c>
      <c r="M14" s="62" cm="1">
        <f t="array" aca="1" ref="M14" ca="1">SUM(INDIRECT("'"&amp;datatable!$G$2:$G$4&amp;"'!M"&amp;14))</f>
        <v>3</v>
      </c>
      <c r="N14" s="29">
        <f t="shared" ca="1" si="0"/>
        <v>54</v>
      </c>
      <c r="O14" s="29">
        <f t="shared" ca="1" si="1"/>
        <v>51</v>
      </c>
    </row>
    <row r="15" spans="3:15">
      <c r="C15" s="5" t="s">
        <v>21</v>
      </c>
      <c r="D15" s="8" cm="1">
        <f t="array" aca="1" ref="D15" ca="1">SUM(INDIRECT("'"&amp;datatable!$G$2:$G$4&amp;"'!D"&amp;15))</f>
        <v>14</v>
      </c>
      <c r="E15" s="54" cm="1">
        <f t="array" aca="1" ref="E15" ca="1">SUM(INDIRECT("'"&amp;datatable!$G$2:$G$4&amp;"'!E"&amp;15))</f>
        <v>6</v>
      </c>
      <c r="F15" s="55" cm="1">
        <f t="array" aca="1" ref="F15" ca="1">SUM(INDIRECT("'"&amp;datatable!$G$2:$G$4&amp;"'!F"&amp;15))</f>
        <v>5</v>
      </c>
      <c r="G15" s="56" cm="1">
        <f t="array" aca="1" ref="G15" ca="1">SUM(INDIRECT("'"&amp;datatable!$G$2:$G$4&amp;"'!G"&amp;15))</f>
        <v>0</v>
      </c>
      <c r="H15" s="57" cm="1">
        <f t="array" aca="1" ref="H15" ca="1">SUM(INDIRECT("'"&amp;datatable!$G$2:$G$4&amp;"'!H"&amp;15))</f>
        <v>1</v>
      </c>
      <c r="I15" s="58" cm="1">
        <f t="array" aca="1" ref="I15" ca="1">SUM(INDIRECT("'"&amp;datatable!$G$2:$G$4&amp;"'!I"&amp;15))</f>
        <v>3</v>
      </c>
      <c r="J15" s="59" cm="1">
        <f t="array" aca="1" ref="J15" ca="1">SUM(INDIRECT("'"&amp;datatable!$G$2:$G$4&amp;"'!J"&amp;15))</f>
        <v>7</v>
      </c>
      <c r="K15" s="60" cm="1">
        <f t="array" aca="1" ref="K15" ca="1">SUM(INDIRECT("'"&amp;datatable!$G$2:$G$4&amp;"'!K"&amp;15))</f>
        <v>12</v>
      </c>
      <c r="L15" s="61" cm="1">
        <f t="array" aca="1" ref="L15" ca="1">SUM(INDIRECT("'"&amp;datatable!$G$2:$G$4&amp;"'!L"&amp;15))</f>
        <v>4</v>
      </c>
      <c r="M15" s="62" cm="1">
        <f t="array" aca="1" ref="M15" ca="1">SUM(INDIRECT("'"&amp;datatable!$G$2:$G$4&amp;"'!M"&amp;15))</f>
        <v>2</v>
      </c>
      <c r="N15" s="29">
        <f t="shared" ca="1" si="0"/>
        <v>54</v>
      </c>
      <c r="O15" s="29">
        <f t="shared" ca="1" si="1"/>
        <v>52</v>
      </c>
    </row>
    <row r="16" spans="3:15">
      <c r="C16" s="5" t="s">
        <v>22</v>
      </c>
      <c r="D16" s="8" cm="1">
        <f t="array" aca="1" ref="D16" ca="1">SUM(INDIRECT("'"&amp;datatable!$G$2:$G$4&amp;"'!D"&amp;16))</f>
        <v>15</v>
      </c>
      <c r="E16" s="54" cm="1">
        <f t="array" aca="1" ref="E16" ca="1">SUM(INDIRECT("'"&amp;datatable!$G$2:$G$4&amp;"'!E"&amp;16))</f>
        <v>8</v>
      </c>
      <c r="F16" s="55" cm="1">
        <f t="array" aca="1" ref="F16" ca="1">SUM(INDIRECT("'"&amp;datatable!$G$2:$G$4&amp;"'!F"&amp;16))</f>
        <v>8</v>
      </c>
      <c r="G16" s="56" cm="1">
        <f t="array" aca="1" ref="G16" ca="1">SUM(INDIRECT("'"&amp;datatable!$G$2:$G$4&amp;"'!G"&amp;16))</f>
        <v>3</v>
      </c>
      <c r="H16" s="57" cm="1">
        <f t="array" aca="1" ref="H16" ca="1">SUM(INDIRECT("'"&amp;datatable!$G$2:$G$4&amp;"'!H"&amp;16))</f>
        <v>1</v>
      </c>
      <c r="I16" s="58" cm="1">
        <f t="array" aca="1" ref="I16" ca="1">SUM(INDIRECT("'"&amp;datatable!$G$2:$G$4&amp;"'!I"&amp;16))</f>
        <v>1</v>
      </c>
      <c r="J16" s="59" cm="1">
        <f t="array" aca="1" ref="J16" ca="1">SUM(INDIRECT("'"&amp;datatable!$G$2:$G$4&amp;"'!J"&amp;16))</f>
        <v>4</v>
      </c>
      <c r="K16" s="60" cm="1">
        <f t="array" aca="1" ref="K16" ca="1">SUM(INDIRECT("'"&amp;datatable!$G$2:$G$4&amp;"'!K"&amp;16))</f>
        <v>10</v>
      </c>
      <c r="L16" s="61" cm="1">
        <f t="array" aca="1" ref="L16" ca="1">SUM(INDIRECT("'"&amp;datatable!$G$2:$G$4&amp;"'!L"&amp;16))</f>
        <v>4</v>
      </c>
      <c r="M16" s="62" cm="1">
        <f t="array" aca="1" ref="M16" ca="1">SUM(INDIRECT("'"&amp;datatable!$G$2:$G$4&amp;"'!M"&amp;16))</f>
        <v>0</v>
      </c>
      <c r="N16" s="29">
        <f t="shared" ca="1" si="0"/>
        <v>54</v>
      </c>
      <c r="O16" s="29">
        <f t="shared" ca="1" si="1"/>
        <v>54</v>
      </c>
    </row>
    <row r="17" spans="3:15">
      <c r="C17" s="5" t="s">
        <v>23</v>
      </c>
      <c r="D17" s="8" cm="1">
        <f t="array" aca="1" ref="D17" ca="1">SUM(INDIRECT("'"&amp;datatable!$G$2:$G$4&amp;"'!D"&amp;17))</f>
        <v>15</v>
      </c>
      <c r="E17" s="54" cm="1">
        <f t="array" aca="1" ref="E17" ca="1">SUM(INDIRECT("'"&amp;datatable!$G$2:$G$4&amp;"'!E"&amp;17))</f>
        <v>6</v>
      </c>
      <c r="F17" s="55" cm="1">
        <f t="array" aca="1" ref="F17" ca="1">SUM(INDIRECT("'"&amp;datatable!$G$2:$G$4&amp;"'!F"&amp;17))</f>
        <v>6</v>
      </c>
      <c r="G17" s="56" cm="1">
        <f t="array" aca="1" ref="G17" ca="1">SUM(INDIRECT("'"&amp;datatable!$G$2:$G$4&amp;"'!G"&amp;17))</f>
        <v>4</v>
      </c>
      <c r="H17" s="57" cm="1">
        <f t="array" aca="1" ref="H17" ca="1">SUM(INDIRECT("'"&amp;datatable!$G$2:$G$4&amp;"'!H"&amp;17))</f>
        <v>3</v>
      </c>
      <c r="I17" s="58" cm="1">
        <f t="array" aca="1" ref="I17" ca="1">SUM(INDIRECT("'"&amp;datatable!$G$2:$G$4&amp;"'!I"&amp;17))</f>
        <v>1</v>
      </c>
      <c r="J17" s="59" cm="1">
        <f t="array" aca="1" ref="J17" ca="1">SUM(INDIRECT("'"&amp;datatable!$G$2:$G$4&amp;"'!J"&amp;17))</f>
        <v>5</v>
      </c>
      <c r="K17" s="60" cm="1">
        <f t="array" aca="1" ref="K17" ca="1">SUM(INDIRECT("'"&amp;datatable!$G$2:$G$4&amp;"'!K"&amp;17))</f>
        <v>10</v>
      </c>
      <c r="L17" s="61" cm="1">
        <f t="array" aca="1" ref="L17" ca="1">SUM(INDIRECT("'"&amp;datatable!$G$2:$G$4&amp;"'!L"&amp;17))</f>
        <v>1</v>
      </c>
      <c r="M17" s="62" cm="1">
        <f t="array" aca="1" ref="M17" ca="1">SUM(INDIRECT("'"&amp;datatable!$G$2:$G$4&amp;"'!M"&amp;17))</f>
        <v>3</v>
      </c>
      <c r="N17" s="29">
        <f t="shared" ca="1" si="0"/>
        <v>54</v>
      </c>
      <c r="O17" s="29">
        <f t="shared" ca="1" si="1"/>
        <v>51</v>
      </c>
    </row>
    <row r="18" spans="3:15">
      <c r="C18" s="5" t="s">
        <v>24</v>
      </c>
      <c r="D18" s="8" cm="1">
        <f t="array" aca="1" ref="D18" ca="1">SUM(INDIRECT("'"&amp;datatable!$G$2:$G$4&amp;"'!D"&amp;18))</f>
        <v>18</v>
      </c>
      <c r="E18" s="54" cm="1">
        <f t="array" aca="1" ref="E18" ca="1">SUM(INDIRECT("'"&amp;datatable!$G$2:$G$4&amp;"'!E"&amp;18))</f>
        <v>3</v>
      </c>
      <c r="F18" s="55" cm="1">
        <f t="array" aca="1" ref="F18" ca="1">SUM(INDIRECT("'"&amp;datatable!$G$2:$G$4&amp;"'!F"&amp;18))</f>
        <v>7</v>
      </c>
      <c r="G18" s="56" cm="1">
        <f t="array" aca="1" ref="G18" ca="1">SUM(INDIRECT("'"&amp;datatable!$G$2:$G$4&amp;"'!G"&amp;18))</f>
        <v>1</v>
      </c>
      <c r="H18" s="57" cm="1">
        <f t="array" aca="1" ref="H18" ca="1">SUM(INDIRECT("'"&amp;datatable!$G$2:$G$4&amp;"'!H"&amp;18))</f>
        <v>0</v>
      </c>
      <c r="I18" s="58" cm="1">
        <f t="array" aca="1" ref="I18" ca="1">SUM(INDIRECT("'"&amp;datatable!$G$2:$G$4&amp;"'!I"&amp;18))</f>
        <v>2</v>
      </c>
      <c r="J18" s="59" cm="1">
        <f t="array" aca="1" ref="J18" ca="1">SUM(INDIRECT("'"&amp;datatable!$G$2:$G$4&amp;"'!J"&amp;18))</f>
        <v>8</v>
      </c>
      <c r="K18" s="60" cm="1">
        <f t="array" aca="1" ref="K18" ca="1">SUM(INDIRECT("'"&amp;datatable!$G$2:$G$4&amp;"'!K"&amp;18))</f>
        <v>5</v>
      </c>
      <c r="L18" s="61" cm="1">
        <f t="array" aca="1" ref="L18" ca="1">SUM(INDIRECT("'"&amp;datatable!$G$2:$G$4&amp;"'!L"&amp;18))</f>
        <v>4</v>
      </c>
      <c r="M18" s="62" cm="1">
        <f t="array" aca="1" ref="M18" ca="1">SUM(INDIRECT("'"&amp;datatable!$G$2:$G$4&amp;"'!M"&amp;18))</f>
        <v>6</v>
      </c>
      <c r="N18" s="29">
        <f t="shared" ca="1" si="0"/>
        <v>54</v>
      </c>
      <c r="O18" s="29">
        <f t="shared" ca="1" si="1"/>
        <v>48</v>
      </c>
    </row>
    <row r="19" spans="3:15">
      <c r="C19" s="5" t="s">
        <v>25</v>
      </c>
      <c r="D19" s="8" cm="1">
        <f t="array" aca="1" ref="D19" ca="1">SUM(INDIRECT("'"&amp;datatable!$G$2:$G$4&amp;"'!D"&amp;19))</f>
        <v>14</v>
      </c>
      <c r="E19" s="54" cm="1">
        <f t="array" aca="1" ref="E19" ca="1">SUM(INDIRECT("'"&amp;datatable!$G$2:$G$4&amp;"'!E"&amp;19))</f>
        <v>2</v>
      </c>
      <c r="F19" s="55" cm="1">
        <f t="array" aca="1" ref="F19" ca="1">SUM(INDIRECT("'"&amp;datatable!$G$2:$G$4&amp;"'!F"&amp;19))</f>
        <v>5</v>
      </c>
      <c r="G19" s="56" cm="1">
        <f t="array" aca="1" ref="G19" ca="1">SUM(INDIRECT("'"&amp;datatable!$G$2:$G$4&amp;"'!G"&amp;19))</f>
        <v>1</v>
      </c>
      <c r="H19" s="57" cm="1">
        <f t="array" aca="1" ref="H19" ca="1">SUM(INDIRECT("'"&amp;datatable!$G$2:$G$4&amp;"'!H"&amp;19))</f>
        <v>0</v>
      </c>
      <c r="I19" s="58" cm="1">
        <f t="array" aca="1" ref="I19" ca="1">SUM(INDIRECT("'"&amp;datatable!$G$2:$G$4&amp;"'!I"&amp;19))</f>
        <v>6</v>
      </c>
      <c r="J19" s="59" cm="1">
        <f t="array" aca="1" ref="J19" ca="1">SUM(INDIRECT("'"&amp;datatable!$G$2:$G$4&amp;"'!J"&amp;19))</f>
        <v>12</v>
      </c>
      <c r="K19" s="60" cm="1">
        <f t="array" aca="1" ref="K19" ca="1">SUM(INDIRECT("'"&amp;datatable!$G$2:$G$4&amp;"'!K"&amp;19))</f>
        <v>6</v>
      </c>
      <c r="L19" s="61" cm="1">
        <f t="array" aca="1" ref="L19" ca="1">SUM(INDIRECT("'"&amp;datatable!$G$2:$G$4&amp;"'!L"&amp;19))</f>
        <v>5</v>
      </c>
      <c r="M19" s="62" cm="1">
        <f t="array" aca="1" ref="M19" ca="1">SUM(INDIRECT("'"&amp;datatable!$G$2:$G$4&amp;"'!M"&amp;19))</f>
        <v>3</v>
      </c>
      <c r="N19" s="29">
        <f t="shared" ca="1" si="0"/>
        <v>54</v>
      </c>
      <c r="O19" s="29">
        <f t="shared" ca="1" si="1"/>
        <v>51</v>
      </c>
    </row>
    <row r="20" spans="3:15">
      <c r="C20" s="5" t="s">
        <v>26</v>
      </c>
      <c r="D20" s="8" cm="1">
        <f t="array" aca="1" ref="D20" ca="1">SUM(INDIRECT("'"&amp;datatable!$G$2:$G$4&amp;"'!D"&amp;20))</f>
        <v>18</v>
      </c>
      <c r="E20" s="54" cm="1">
        <f t="array" aca="1" ref="E20" ca="1">SUM(INDIRECT("'"&amp;datatable!$G$2:$G$4&amp;"'!E"&amp;20))</f>
        <v>2</v>
      </c>
      <c r="F20" s="55" cm="1">
        <f t="array" aca="1" ref="F20" ca="1">SUM(INDIRECT("'"&amp;datatable!$G$2:$G$4&amp;"'!F"&amp;20))</f>
        <v>3</v>
      </c>
      <c r="G20" s="56" cm="1">
        <f t="array" aca="1" ref="G20" ca="1">SUM(INDIRECT("'"&amp;datatable!$G$2:$G$4&amp;"'!G"&amp;20))</f>
        <v>1</v>
      </c>
      <c r="H20" s="57" cm="1">
        <f t="array" aca="1" ref="H20" ca="1">SUM(INDIRECT("'"&amp;datatable!$G$2:$G$4&amp;"'!H"&amp;20))</f>
        <v>0</v>
      </c>
      <c r="I20" s="58" cm="1">
        <f t="array" aca="1" ref="I20" ca="1">SUM(INDIRECT("'"&amp;datatable!$G$2:$G$4&amp;"'!I"&amp;20))</f>
        <v>5</v>
      </c>
      <c r="J20" s="59" cm="1">
        <f t="array" aca="1" ref="J20" ca="1">SUM(INDIRECT("'"&amp;datatable!$G$2:$G$4&amp;"'!J"&amp;20))</f>
        <v>11</v>
      </c>
      <c r="K20" s="60" cm="1">
        <f t="array" aca="1" ref="K20" ca="1">SUM(INDIRECT("'"&amp;datatable!$G$2:$G$4&amp;"'!K"&amp;20))</f>
        <v>6</v>
      </c>
      <c r="L20" s="61" cm="1">
        <f t="array" aca="1" ref="L20" ca="1">SUM(INDIRECT("'"&amp;datatable!$G$2:$G$4&amp;"'!L"&amp;20))</f>
        <v>5</v>
      </c>
      <c r="M20" s="62" cm="1">
        <f t="array" aca="1" ref="M20" ca="1">SUM(INDIRECT("'"&amp;datatable!$G$2:$G$4&amp;"'!M"&amp;20))</f>
        <v>3</v>
      </c>
      <c r="N20" s="29">
        <f t="shared" ca="1" si="0"/>
        <v>54</v>
      </c>
      <c r="O20" s="29">
        <f t="shared" ca="1" si="1"/>
        <v>51</v>
      </c>
    </row>
    <row r="21" spans="3:15">
      <c r="C21" s="5" t="s">
        <v>27</v>
      </c>
      <c r="D21" s="8" cm="1">
        <f t="array" aca="1" ref="D21" ca="1">SUM(INDIRECT("'"&amp;datatable!$G$2:$G$4&amp;"'!D"&amp;21))</f>
        <v>20</v>
      </c>
      <c r="E21" s="54" cm="1">
        <f t="array" aca="1" ref="E21" ca="1">SUM(INDIRECT("'"&amp;datatable!$G$2:$G$4&amp;"'!E"&amp;21))</f>
        <v>3</v>
      </c>
      <c r="F21" s="55" cm="1">
        <f t="array" aca="1" ref="F21" ca="1">SUM(INDIRECT("'"&amp;datatable!$G$2:$G$4&amp;"'!F"&amp;21))</f>
        <v>6</v>
      </c>
      <c r="G21" s="56" cm="1">
        <f t="array" aca="1" ref="G21" ca="1">SUM(INDIRECT("'"&amp;datatable!$G$2:$G$4&amp;"'!G"&amp;21))</f>
        <v>1</v>
      </c>
      <c r="H21" s="57" cm="1">
        <f t="array" aca="1" ref="H21" ca="1">SUM(INDIRECT("'"&amp;datatable!$G$2:$G$4&amp;"'!H"&amp;21))</f>
        <v>1</v>
      </c>
      <c r="I21" s="58" cm="1">
        <f t="array" aca="1" ref="I21" ca="1">SUM(INDIRECT("'"&amp;datatable!$G$2:$G$4&amp;"'!I"&amp;21))</f>
        <v>4</v>
      </c>
      <c r="J21" s="59" cm="1">
        <f t="array" aca="1" ref="J21" ca="1">SUM(INDIRECT("'"&amp;datatable!$G$2:$G$4&amp;"'!J"&amp;21))</f>
        <v>6</v>
      </c>
      <c r="K21" s="60" cm="1">
        <f t="array" aca="1" ref="K21" ca="1">SUM(INDIRECT("'"&amp;datatable!$G$2:$G$4&amp;"'!K"&amp;21))</f>
        <v>4</v>
      </c>
      <c r="L21" s="61" cm="1">
        <f t="array" aca="1" ref="L21" ca="1">SUM(INDIRECT("'"&amp;datatable!$G$2:$G$4&amp;"'!L"&amp;21))</f>
        <v>6</v>
      </c>
      <c r="M21" s="62" cm="1">
        <f t="array" aca="1" ref="M21" ca="1">SUM(INDIRECT("'"&amp;datatable!$G$2:$G$4&amp;"'!M"&amp;21))</f>
        <v>3</v>
      </c>
      <c r="N21" s="29">
        <f t="shared" ca="1" si="0"/>
        <v>54</v>
      </c>
      <c r="O21" s="29">
        <f t="shared" ca="1" si="1"/>
        <v>51</v>
      </c>
    </row>
    <row r="22" spans="3:15">
      <c r="C22" s="5" t="s">
        <v>28</v>
      </c>
      <c r="D22" s="8" cm="1">
        <f t="array" aca="1" ref="D22" ca="1">SUM(INDIRECT("'"&amp;datatable!$G$2:$G$4&amp;"'!D"&amp;22))</f>
        <v>23</v>
      </c>
      <c r="E22" s="54" cm="1">
        <f t="array" aca="1" ref="E22" ca="1">SUM(INDIRECT("'"&amp;datatable!$G$2:$G$4&amp;"'!E"&amp;22))</f>
        <v>4</v>
      </c>
      <c r="F22" s="55" cm="1">
        <f t="array" aca="1" ref="F22" ca="1">SUM(INDIRECT("'"&amp;datatable!$G$2:$G$4&amp;"'!F"&amp;22))</f>
        <v>4</v>
      </c>
      <c r="G22" s="56" cm="1">
        <f t="array" aca="1" ref="G22" ca="1">SUM(INDIRECT("'"&amp;datatable!$G$2:$G$4&amp;"'!G"&amp;22))</f>
        <v>2</v>
      </c>
      <c r="H22" s="57" cm="1">
        <f t="array" aca="1" ref="H22" ca="1">SUM(INDIRECT("'"&amp;datatable!$G$2:$G$4&amp;"'!H"&amp;22))</f>
        <v>0</v>
      </c>
      <c r="I22" s="58" cm="1">
        <f t="array" aca="1" ref="I22" ca="1">SUM(INDIRECT("'"&amp;datatable!$G$2:$G$4&amp;"'!I"&amp;22))</f>
        <v>1</v>
      </c>
      <c r="J22" s="59" cm="1">
        <f t="array" aca="1" ref="J22" ca="1">SUM(INDIRECT("'"&amp;datatable!$G$2:$G$4&amp;"'!J"&amp;22))</f>
        <v>8</v>
      </c>
      <c r="K22" s="60" cm="1">
        <f t="array" aca="1" ref="K22" ca="1">SUM(INDIRECT("'"&amp;datatable!$G$2:$G$4&amp;"'!K"&amp;22))</f>
        <v>3</v>
      </c>
      <c r="L22" s="61" cm="1">
        <f t="array" aca="1" ref="L22" ca="1">SUM(INDIRECT("'"&amp;datatable!$G$2:$G$4&amp;"'!L"&amp;22))</f>
        <v>6</v>
      </c>
      <c r="M22" s="62" cm="1">
        <f t="array" aca="1" ref="M22" ca="1">SUM(INDIRECT("'"&amp;datatable!$G$2:$G$4&amp;"'!M"&amp;22))</f>
        <v>3</v>
      </c>
      <c r="N22" s="29">
        <f t="shared" ca="1" si="0"/>
        <v>54</v>
      </c>
      <c r="O22" s="29">
        <f t="shared" ca="1" si="1"/>
        <v>51</v>
      </c>
    </row>
    <row r="23" spans="3:15">
      <c r="C23" s="5" t="s">
        <v>29</v>
      </c>
      <c r="D23" s="8" cm="1">
        <f t="array" aca="1" ref="D23" ca="1">SUM(INDIRECT("'"&amp;datatable!$G$2:$G$4&amp;"'!D"&amp;23))</f>
        <v>10</v>
      </c>
      <c r="E23" s="54" cm="1">
        <f t="array" aca="1" ref="E23" ca="1">SUM(INDIRECT("'"&amp;datatable!$G$2:$G$4&amp;"'!E"&amp;23))</f>
        <v>1</v>
      </c>
      <c r="F23" s="55" cm="1">
        <f t="array" aca="1" ref="F23" ca="1">SUM(INDIRECT("'"&amp;datatable!$G$2:$G$4&amp;"'!F"&amp;23))</f>
        <v>4</v>
      </c>
      <c r="G23" s="56" cm="1">
        <f t="array" aca="1" ref="G23" ca="1">SUM(INDIRECT("'"&amp;datatable!$G$2:$G$4&amp;"'!G"&amp;23))</f>
        <v>1</v>
      </c>
      <c r="H23" s="57" cm="1">
        <f t="array" aca="1" ref="H23" ca="1">SUM(INDIRECT("'"&amp;datatable!$G$2:$G$4&amp;"'!H"&amp;23))</f>
        <v>1</v>
      </c>
      <c r="I23" s="58" cm="1">
        <f t="array" aca="1" ref="I23" ca="1">SUM(INDIRECT("'"&amp;datatable!$G$2:$G$4&amp;"'!I"&amp;23))</f>
        <v>6</v>
      </c>
      <c r="J23" s="59" cm="1">
        <f t="array" aca="1" ref="J23" ca="1">SUM(INDIRECT("'"&amp;datatable!$G$2:$G$4&amp;"'!J"&amp;23))</f>
        <v>4</v>
      </c>
      <c r="K23" s="60" cm="1">
        <f t="array" aca="1" ref="K23" ca="1">SUM(INDIRECT("'"&amp;datatable!$G$2:$G$4&amp;"'!K"&amp;23))</f>
        <v>4</v>
      </c>
      <c r="L23" s="61" cm="1">
        <f t="array" aca="1" ref="L23" ca="1">SUM(INDIRECT("'"&amp;datatable!$G$2:$G$4&amp;"'!L"&amp;23))</f>
        <v>5</v>
      </c>
      <c r="M23" s="62" cm="1">
        <f t="array" aca="1" ref="M23" ca="1">SUM(INDIRECT("'"&amp;datatable!$G$2:$G$4&amp;"'!M"&amp;23))</f>
        <v>18</v>
      </c>
      <c r="N23" s="29">
        <f t="shared" ca="1" si="0"/>
        <v>54</v>
      </c>
      <c r="O23" s="29">
        <f t="shared" ca="1" si="1"/>
        <v>36</v>
      </c>
    </row>
    <row r="24" spans="3:15">
      <c r="C24" s="5" t="s">
        <v>30</v>
      </c>
      <c r="D24" s="8" cm="1">
        <f t="array" aca="1" ref="D24" ca="1">SUM(INDIRECT("'"&amp;datatable!$G$2:$G$4&amp;"'!D"&amp;24))</f>
        <v>18</v>
      </c>
      <c r="E24" s="54" cm="1">
        <f t="array" aca="1" ref="E24" ca="1">SUM(INDIRECT("'"&amp;datatable!$G$2:$G$4&amp;"'!E"&amp;24))</f>
        <v>2</v>
      </c>
      <c r="F24" s="55" cm="1">
        <f t="array" aca="1" ref="F24" ca="1">SUM(INDIRECT("'"&amp;datatable!$G$2:$G$4&amp;"'!F"&amp;24))</f>
        <v>9</v>
      </c>
      <c r="G24" s="56" cm="1">
        <f t="array" aca="1" ref="G24" ca="1">SUM(INDIRECT("'"&amp;datatable!$G$2:$G$4&amp;"'!G"&amp;24))</f>
        <v>4</v>
      </c>
      <c r="H24" s="57" cm="1">
        <f t="array" aca="1" ref="H24" ca="1">SUM(INDIRECT("'"&amp;datatable!$G$2:$G$4&amp;"'!H"&amp;24))</f>
        <v>2</v>
      </c>
      <c r="I24" s="58" cm="1">
        <f t="array" aca="1" ref="I24" ca="1">SUM(INDIRECT("'"&amp;datatable!$G$2:$G$4&amp;"'!I"&amp;24))</f>
        <v>3</v>
      </c>
      <c r="J24" s="59" cm="1">
        <f t="array" aca="1" ref="J24" ca="1">SUM(INDIRECT("'"&amp;datatable!$G$2:$G$4&amp;"'!J"&amp;24))</f>
        <v>8</v>
      </c>
      <c r="K24" s="60" cm="1">
        <f t="array" aca="1" ref="K24" ca="1">SUM(INDIRECT("'"&amp;datatable!$G$2:$G$4&amp;"'!K"&amp;24))</f>
        <v>5</v>
      </c>
      <c r="L24" s="61" cm="1">
        <f t="array" aca="1" ref="L24" ca="1">SUM(INDIRECT("'"&amp;datatable!$G$2:$G$4&amp;"'!L"&amp;24))</f>
        <v>3</v>
      </c>
      <c r="M24" s="62" cm="1">
        <f t="array" aca="1" ref="M24" ca="1">SUM(INDIRECT("'"&amp;datatable!$G$2:$G$4&amp;"'!M"&amp;24))</f>
        <v>0</v>
      </c>
      <c r="N24" s="29">
        <f t="shared" ca="1" si="0"/>
        <v>54</v>
      </c>
      <c r="O24" s="29">
        <f t="shared" ca="1" si="1"/>
        <v>54</v>
      </c>
    </row>
    <row r="25" spans="3:15">
      <c r="C25" s="5" t="s">
        <v>31</v>
      </c>
      <c r="D25" s="8" cm="1">
        <f t="array" aca="1" ref="D25" ca="1">SUM(INDIRECT("'"&amp;datatable!$G$2:$G$4&amp;"'!D"&amp;25))</f>
        <v>21</v>
      </c>
      <c r="E25" s="54" cm="1">
        <f t="array" aca="1" ref="E25" ca="1">SUM(INDIRECT("'"&amp;datatable!$G$2:$G$4&amp;"'!E"&amp;25))</f>
        <v>4</v>
      </c>
      <c r="F25" s="55" cm="1">
        <f t="array" aca="1" ref="F25" ca="1">SUM(INDIRECT("'"&amp;datatable!$G$2:$G$4&amp;"'!F"&amp;25))</f>
        <v>7</v>
      </c>
      <c r="G25" s="56" cm="1">
        <f t="array" aca="1" ref="G25" ca="1">SUM(INDIRECT("'"&amp;datatable!$G$2:$G$4&amp;"'!G"&amp;25))</f>
        <v>1</v>
      </c>
      <c r="H25" s="57" cm="1">
        <f t="array" aca="1" ref="H25" ca="1">SUM(INDIRECT("'"&amp;datatable!$G$2:$G$4&amp;"'!H"&amp;25))</f>
        <v>1</v>
      </c>
      <c r="I25" s="58" cm="1">
        <f t="array" aca="1" ref="I25" ca="1">SUM(INDIRECT("'"&amp;datatable!$G$2:$G$4&amp;"'!I"&amp;25))</f>
        <v>6</v>
      </c>
      <c r="J25" s="59" cm="1">
        <f t="array" aca="1" ref="J25" ca="1">SUM(INDIRECT("'"&amp;datatable!$G$2:$G$4&amp;"'!J"&amp;25))</f>
        <v>8</v>
      </c>
      <c r="K25" s="60" cm="1">
        <f t="array" aca="1" ref="K25" ca="1">SUM(INDIRECT("'"&amp;datatable!$G$2:$G$4&amp;"'!K"&amp;25))</f>
        <v>4</v>
      </c>
      <c r="L25" s="61" cm="1">
        <f t="array" aca="1" ref="L25" ca="1">SUM(INDIRECT("'"&amp;datatable!$G$2:$G$4&amp;"'!L"&amp;25))</f>
        <v>2</v>
      </c>
      <c r="M25" s="62" cm="1">
        <f t="array" aca="1" ref="M25" ca="1">SUM(INDIRECT("'"&amp;datatable!$G$2:$G$4&amp;"'!M"&amp;25))</f>
        <v>0</v>
      </c>
      <c r="N25" s="29">
        <f t="shared" ca="1" si="0"/>
        <v>54</v>
      </c>
      <c r="O25" s="29">
        <f t="shared" ca="1" si="1"/>
        <v>54</v>
      </c>
    </row>
    <row r="26" spans="3:15">
      <c r="C26" s="5" t="s">
        <v>32</v>
      </c>
      <c r="D26" s="8" cm="1">
        <f t="array" aca="1" ref="D26" ca="1">SUM(INDIRECT("'"&amp;datatable!$G$2:$G$4&amp;"'!D"&amp;26))</f>
        <v>5</v>
      </c>
      <c r="E26" s="54" cm="1">
        <f t="array" aca="1" ref="E26" ca="1">SUM(INDIRECT("'"&amp;datatable!$G$2:$G$4&amp;"'!E"&amp;26))</f>
        <v>3</v>
      </c>
      <c r="F26" s="55" cm="1">
        <f t="array" aca="1" ref="F26" ca="1">SUM(INDIRECT("'"&amp;datatable!$G$2:$G$4&amp;"'!F"&amp;26))</f>
        <v>5</v>
      </c>
      <c r="G26" s="56" cm="1">
        <f t="array" aca="1" ref="G26" ca="1">SUM(INDIRECT("'"&amp;datatable!$G$2:$G$4&amp;"'!G"&amp;26))</f>
        <v>1</v>
      </c>
      <c r="H26" s="57" cm="1">
        <f t="array" aca="1" ref="H26" ca="1">SUM(INDIRECT("'"&amp;datatable!$G$2:$G$4&amp;"'!H"&amp;26))</f>
        <v>2</v>
      </c>
      <c r="I26" s="58" cm="1">
        <f t="array" aca="1" ref="I26" ca="1">SUM(INDIRECT("'"&amp;datatable!$G$2:$G$4&amp;"'!I"&amp;26))</f>
        <v>7</v>
      </c>
      <c r="J26" s="59" cm="1">
        <f t="array" aca="1" ref="J26" ca="1">SUM(INDIRECT("'"&amp;datatable!$G$2:$G$4&amp;"'!J"&amp;26))</f>
        <v>15</v>
      </c>
      <c r="K26" s="60" cm="1">
        <f t="array" aca="1" ref="K26" ca="1">SUM(INDIRECT("'"&amp;datatable!$G$2:$G$4&amp;"'!K"&amp;26))</f>
        <v>5</v>
      </c>
      <c r="L26" s="61" cm="1">
        <f t="array" aca="1" ref="L26" ca="1">SUM(INDIRECT("'"&amp;datatable!$G$2:$G$4&amp;"'!L"&amp;26))</f>
        <v>8</v>
      </c>
      <c r="M26" s="62" cm="1">
        <f t="array" aca="1" ref="M26" ca="1">SUM(INDIRECT("'"&amp;datatable!$G$2:$G$4&amp;"'!M"&amp;26))</f>
        <v>3</v>
      </c>
      <c r="N26" s="29">
        <f t="shared" ca="1" si="0"/>
        <v>54</v>
      </c>
      <c r="O26" s="29">
        <f t="shared" ca="1" si="1"/>
        <v>51</v>
      </c>
    </row>
    <row r="27" spans="3:15">
      <c r="C27" s="5" t="s">
        <v>33</v>
      </c>
      <c r="D27" s="8" cm="1">
        <f t="array" aca="1" ref="D27" ca="1">SUM(INDIRECT("'"&amp;datatable!$G$2:$G$4&amp;"'!D"&amp;27))</f>
        <v>8</v>
      </c>
      <c r="E27" s="54" cm="1">
        <f t="array" aca="1" ref="E27" ca="1">SUM(INDIRECT("'"&amp;datatable!$G$2:$G$4&amp;"'!E"&amp;27))</f>
        <v>3</v>
      </c>
      <c r="F27" s="55" cm="1">
        <f t="array" aca="1" ref="F27" ca="1">SUM(INDIRECT("'"&amp;datatable!$G$2:$G$4&amp;"'!F"&amp;27))</f>
        <v>3</v>
      </c>
      <c r="G27" s="56" cm="1">
        <f t="array" aca="1" ref="G27" ca="1">SUM(INDIRECT("'"&amp;datatable!$G$2:$G$4&amp;"'!G"&amp;27))</f>
        <v>0</v>
      </c>
      <c r="H27" s="57" cm="1">
        <f t="array" aca="1" ref="H27" ca="1">SUM(INDIRECT("'"&amp;datatable!$G$2:$G$4&amp;"'!H"&amp;27))</f>
        <v>1</v>
      </c>
      <c r="I27" s="58" cm="1">
        <f t="array" aca="1" ref="I27" ca="1">SUM(INDIRECT("'"&amp;datatable!$G$2:$G$4&amp;"'!I"&amp;27))</f>
        <v>1</v>
      </c>
      <c r="J27" s="59" cm="1">
        <f t="array" aca="1" ref="J27" ca="1">SUM(INDIRECT("'"&amp;datatable!$G$2:$G$4&amp;"'!J"&amp;27))</f>
        <v>4</v>
      </c>
      <c r="K27" s="60" cm="1">
        <f t="array" aca="1" ref="K27" ca="1">SUM(INDIRECT("'"&amp;datatable!$G$2:$G$4&amp;"'!K"&amp;27))</f>
        <v>4</v>
      </c>
      <c r="L27" s="61" cm="1">
        <f t="array" aca="1" ref="L27" ca="1">SUM(INDIRECT("'"&amp;datatable!$G$2:$G$4&amp;"'!L"&amp;27))</f>
        <v>4</v>
      </c>
      <c r="M27" s="62" cm="1">
        <f t="array" aca="1" ref="M27" ca="1">SUM(INDIRECT("'"&amp;datatable!$G$2:$G$4&amp;"'!M"&amp;27))</f>
        <v>26</v>
      </c>
      <c r="N27" s="29">
        <f t="shared" ca="1" si="0"/>
        <v>54</v>
      </c>
      <c r="O27" s="29">
        <f t="shared" ca="1" si="1"/>
        <v>28</v>
      </c>
    </row>
    <row r="28" spans="3:15">
      <c r="C28" s="6" t="s">
        <v>34</v>
      </c>
      <c r="D28" s="9">
        <f t="shared" ref="D28:M28" ca="1" si="2">SUM(D7:D27)</f>
        <v>353</v>
      </c>
      <c r="E28" s="9">
        <f t="shared" ca="1" si="2"/>
        <v>83</v>
      </c>
      <c r="F28" s="9">
        <f t="shared" ca="1" si="2"/>
        <v>102</v>
      </c>
      <c r="G28" s="9">
        <f t="shared" ca="1" si="2"/>
        <v>54</v>
      </c>
      <c r="H28" s="9">
        <f t="shared" ca="1" si="2"/>
        <v>30</v>
      </c>
      <c r="I28" s="9">
        <f t="shared" ca="1" si="2"/>
        <v>63</v>
      </c>
      <c r="J28" s="9">
        <f t="shared" ca="1" si="2"/>
        <v>151</v>
      </c>
      <c r="K28" s="9">
        <f t="shared" ca="1" si="2"/>
        <v>121</v>
      </c>
      <c r="L28" s="9">
        <f t="shared" ca="1" si="2"/>
        <v>100</v>
      </c>
      <c r="M28" s="9">
        <f t="shared" ca="1" si="2"/>
        <v>77</v>
      </c>
      <c r="N28" s="29">
        <f t="shared" ca="1" si="0"/>
        <v>1134</v>
      </c>
      <c r="O28" s="29">
        <f t="shared" ca="1" si="1"/>
        <v>1057</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SUM(INDIRECT("'"&amp;datatable!$G$2:$G$4&amp;"'!D"&amp;32))</f>
        <v>33</v>
      </c>
      <c r="E32" s="11" cm="1">
        <f t="array" aca="1" ref="E32" ca="1">SUM(INDIRECT("'"&amp;datatable!$G$2:$G$4&amp;"'!E"&amp;32))</f>
        <v>2</v>
      </c>
      <c r="F32" s="13" cm="1">
        <f t="array" aca="1" ref="F32" ca="1">SUM(INDIRECT("'"&amp;datatable!$G$2:$G$4&amp;"'!F"&amp;32))</f>
        <v>3</v>
      </c>
      <c r="G32" s="15" cm="1">
        <f t="array" aca="1" ref="G32" ca="1">SUM(INDIRECT("'"&amp;datatable!$G$2:$G$4&amp;"'!G"&amp;32))</f>
        <v>2</v>
      </c>
      <c r="H32" s="17" cm="1">
        <f t="array" aca="1" ref="H32" ca="1">SUM(INDIRECT("'"&amp;datatable!$G$2:$G$4&amp;"'!H"&amp;32))</f>
        <v>1</v>
      </c>
      <c r="I32" s="19" cm="1">
        <f t="array" aca="1" ref="I32" ca="1">SUM(INDIRECT("'"&amp;datatable!$G$2:$G$4&amp;"'!I"&amp;32))</f>
        <v>3</v>
      </c>
      <c r="J32" s="21" cm="1">
        <f t="array" aca="1" ref="J32" ca="1">SUM(INDIRECT("'"&amp;datatable!$G$2:$G$4&amp;"'!J"&amp;32))</f>
        <v>7</v>
      </c>
      <c r="K32" s="23" cm="1">
        <f t="array" aca="1" ref="K32" ca="1">SUM(INDIRECT("'"&amp;datatable!$G$2:$G$4&amp;"'!K"&amp;32))</f>
        <v>3</v>
      </c>
      <c r="L32" s="25" cm="1">
        <f t="array" aca="1" ref="L32" ca="1">SUM(INDIRECT("'"&amp;datatable!$G$2:$G$4&amp;"'!L"&amp;32))</f>
        <v>0</v>
      </c>
      <c r="M32" s="27" cm="1">
        <f t="array" aca="1" ref="M32" ca="1">SUM(INDIRECT("'"&amp;datatable!$G$2:$G$4&amp;"'!M"&amp;32))</f>
        <v>9</v>
      </c>
      <c r="N32" s="43">
        <f t="shared" ref="N32:N49" ca="1" si="3">SUM(D32:M32)</f>
        <v>63</v>
      </c>
      <c r="O32" s="43">
        <f t="shared" ref="O32:O49" ca="1" si="4">SUM(D32:L32)</f>
        <v>54</v>
      </c>
    </row>
    <row r="33" spans="3:15">
      <c r="C33" s="44" t="s">
        <v>38</v>
      </c>
      <c r="D33" s="8" cm="1">
        <f t="array" aca="1" ref="D33" ca="1">SUM(INDIRECT("'"&amp;datatable!$G$2:$G$4&amp;"'!D"&amp;33))</f>
        <v>23</v>
      </c>
      <c r="E33" s="11" cm="1">
        <f t="array" aca="1" ref="E33" ca="1">SUM(INDIRECT("'"&amp;datatable!$G$2:$G$4&amp;"'!E"&amp;33))</f>
        <v>10</v>
      </c>
      <c r="F33" s="13" cm="1">
        <f t="array" aca="1" ref="F33" ca="1">SUM(INDIRECT("'"&amp;datatable!$G$2:$G$4&amp;"'!F"&amp;33))</f>
        <v>8</v>
      </c>
      <c r="G33" s="15" cm="1">
        <f t="array" aca="1" ref="G33" ca="1">SUM(INDIRECT("'"&amp;datatable!$G$2:$G$4&amp;"'!G"&amp;33))</f>
        <v>3</v>
      </c>
      <c r="H33" s="17" cm="1">
        <f t="array" aca="1" ref="H33" ca="1">SUM(INDIRECT("'"&amp;datatable!$G$2:$G$4&amp;"'!H"&amp;33))</f>
        <v>0</v>
      </c>
      <c r="I33" s="19" cm="1">
        <f t="array" aca="1" ref="I33" ca="1">SUM(INDIRECT("'"&amp;datatable!$G$2:$G$4&amp;"'!I"&amp;33))</f>
        <v>3</v>
      </c>
      <c r="J33" s="21" cm="1">
        <f t="array" aca="1" ref="J33" ca="1">SUM(INDIRECT("'"&amp;datatable!$G$2:$G$4&amp;"'!J"&amp;33))</f>
        <v>7</v>
      </c>
      <c r="K33" s="23" cm="1">
        <f t="array" aca="1" ref="K33" ca="1">SUM(INDIRECT("'"&amp;datatable!$G$2:$G$4&amp;"'!K"&amp;33))</f>
        <v>7</v>
      </c>
      <c r="L33" s="25" cm="1">
        <f t="array" aca="1" ref="L33" ca="1">SUM(INDIRECT("'"&amp;datatable!$G$2:$G$4&amp;"'!L"&amp;33))</f>
        <v>2</v>
      </c>
      <c r="M33" s="27" cm="1">
        <f t="array" aca="1" ref="M33" ca="1">SUM(INDIRECT("'"&amp;datatable!$G$2:$G$4&amp;"'!M"&amp;33))</f>
        <v>0</v>
      </c>
      <c r="N33" s="43">
        <f t="shared" ca="1" si="3"/>
        <v>63</v>
      </c>
      <c r="O33" s="43">
        <f t="shared" ca="1" si="4"/>
        <v>63</v>
      </c>
    </row>
    <row r="34" spans="3:15">
      <c r="C34" s="44" t="s">
        <v>39</v>
      </c>
      <c r="D34" s="8" cm="1">
        <f t="array" aca="1" ref="D34" ca="1">SUM(INDIRECT("'"&amp;datatable!$G$2:$G$4&amp;"'!D"&amp;34))</f>
        <v>37</v>
      </c>
      <c r="E34" s="11" cm="1">
        <f t="array" aca="1" ref="E34" ca="1">SUM(INDIRECT("'"&amp;datatable!$G$2:$G$4&amp;"'!E"&amp;34))</f>
        <v>5</v>
      </c>
      <c r="F34" s="13" cm="1">
        <f t="array" aca="1" ref="F34" ca="1">SUM(INDIRECT("'"&amp;datatable!$G$2:$G$4&amp;"'!F"&amp;34))</f>
        <v>3</v>
      </c>
      <c r="G34" s="15" cm="1">
        <f t="array" aca="1" ref="G34" ca="1">SUM(INDIRECT("'"&amp;datatable!$G$2:$G$4&amp;"'!G"&amp;34))</f>
        <v>2</v>
      </c>
      <c r="H34" s="17" cm="1">
        <f t="array" aca="1" ref="H34" ca="1">SUM(INDIRECT("'"&amp;datatable!$G$2:$G$4&amp;"'!H"&amp;34))</f>
        <v>0</v>
      </c>
      <c r="I34" s="19" cm="1">
        <f t="array" aca="1" ref="I34" ca="1">SUM(INDIRECT("'"&amp;datatable!$G$2:$G$4&amp;"'!I"&amp;34))</f>
        <v>1</v>
      </c>
      <c r="J34" s="21" cm="1">
        <f t="array" aca="1" ref="J34" ca="1">SUM(INDIRECT("'"&amp;datatable!$G$2:$G$4&amp;"'!J"&amp;34))</f>
        <v>5</v>
      </c>
      <c r="K34" s="23" cm="1">
        <f t="array" aca="1" ref="K34" ca="1">SUM(INDIRECT("'"&amp;datatable!$G$2:$G$4&amp;"'!K"&amp;34))</f>
        <v>2</v>
      </c>
      <c r="L34" s="25" cm="1">
        <f t="array" aca="1" ref="L34" ca="1">SUM(INDIRECT("'"&amp;datatable!$G$2:$G$4&amp;"'!L"&amp;34))</f>
        <v>2</v>
      </c>
      <c r="M34" s="27" cm="1">
        <f t="array" aca="1" ref="M34" ca="1">SUM(INDIRECT("'"&amp;datatable!$G$2:$G$4&amp;"'!M"&amp;34))</f>
        <v>6</v>
      </c>
      <c r="N34" s="43">
        <f t="shared" ca="1" si="3"/>
        <v>63</v>
      </c>
      <c r="O34" s="43">
        <f t="shared" ca="1" si="4"/>
        <v>57</v>
      </c>
    </row>
    <row r="35" spans="3:15">
      <c r="C35" s="44" t="s">
        <v>40</v>
      </c>
      <c r="D35" s="8" cm="1">
        <f t="array" aca="1" ref="D35" ca="1">SUM(INDIRECT("'"&amp;datatable!$G$2:$G$4&amp;"'!D"&amp;35))</f>
        <v>19</v>
      </c>
      <c r="E35" s="11" cm="1">
        <f t="array" aca="1" ref="E35" ca="1">SUM(INDIRECT("'"&amp;datatable!$G$2:$G$4&amp;"'!E"&amp;35))</f>
        <v>6</v>
      </c>
      <c r="F35" s="13" cm="1">
        <f t="array" aca="1" ref="F35" ca="1">SUM(INDIRECT("'"&amp;datatable!$G$2:$G$4&amp;"'!F"&amp;35))</f>
        <v>7</v>
      </c>
      <c r="G35" s="15" cm="1">
        <f t="array" aca="1" ref="G35" ca="1">SUM(INDIRECT("'"&amp;datatable!$G$2:$G$4&amp;"'!G"&amp;35))</f>
        <v>5</v>
      </c>
      <c r="H35" s="17" cm="1">
        <f t="array" aca="1" ref="H35" ca="1">SUM(INDIRECT("'"&amp;datatable!$G$2:$G$4&amp;"'!H"&amp;35))</f>
        <v>4</v>
      </c>
      <c r="I35" s="19" cm="1">
        <f t="array" aca="1" ref="I35" ca="1">SUM(INDIRECT("'"&amp;datatable!$G$2:$G$4&amp;"'!I"&amp;35))</f>
        <v>4</v>
      </c>
      <c r="J35" s="21" cm="1">
        <f t="array" aca="1" ref="J35" ca="1">SUM(INDIRECT("'"&amp;datatable!$G$2:$G$4&amp;"'!J"&amp;35))</f>
        <v>8</v>
      </c>
      <c r="K35" s="23" cm="1">
        <f t="array" aca="1" ref="K35" ca="1">SUM(INDIRECT("'"&amp;datatable!$G$2:$G$4&amp;"'!K"&amp;35))</f>
        <v>10</v>
      </c>
      <c r="L35" s="25" cm="1">
        <f t="array" aca="1" ref="L35" ca="1">SUM(INDIRECT("'"&amp;datatable!$G$2:$G$4&amp;"'!L"&amp;35))</f>
        <v>0</v>
      </c>
      <c r="M35" s="27" cm="1">
        <f t="array" aca="1" ref="M35" ca="1">SUM(INDIRECT("'"&amp;datatable!$G$2:$G$4&amp;"'!M"&amp;35))</f>
        <v>0</v>
      </c>
      <c r="N35" s="43">
        <f t="shared" ca="1" si="3"/>
        <v>63</v>
      </c>
      <c r="O35" s="43">
        <f t="shared" ca="1" si="4"/>
        <v>63</v>
      </c>
    </row>
    <row r="36" spans="3:15">
      <c r="C36" s="44" t="s">
        <v>41</v>
      </c>
      <c r="D36" s="8" cm="1">
        <f t="array" aca="1" ref="D36" ca="1">SUM(INDIRECT("'"&amp;datatable!$G$2:$G$4&amp;"'!D"&amp;36))</f>
        <v>7</v>
      </c>
      <c r="E36" s="11" cm="1">
        <f t="array" aca="1" ref="E36" ca="1">SUM(INDIRECT("'"&amp;datatable!$G$2:$G$4&amp;"'!E"&amp;36))</f>
        <v>3</v>
      </c>
      <c r="F36" s="13" cm="1">
        <f t="array" aca="1" ref="F36" ca="1">SUM(INDIRECT("'"&amp;datatable!$G$2:$G$4&amp;"'!F"&amp;36))</f>
        <v>6</v>
      </c>
      <c r="G36" s="15" cm="1">
        <f t="array" aca="1" ref="G36" ca="1">SUM(INDIRECT("'"&amp;datatable!$G$2:$G$4&amp;"'!G"&amp;36))</f>
        <v>5</v>
      </c>
      <c r="H36" s="17" cm="1">
        <f t="array" aca="1" ref="H36" ca="1">SUM(INDIRECT("'"&amp;datatable!$G$2:$G$4&amp;"'!H"&amp;36))</f>
        <v>2</v>
      </c>
      <c r="I36" s="19" cm="1">
        <f t="array" aca="1" ref="I36" ca="1">SUM(INDIRECT("'"&amp;datatable!$G$2:$G$4&amp;"'!I"&amp;36))</f>
        <v>6</v>
      </c>
      <c r="J36" s="21" cm="1">
        <f t="array" aca="1" ref="J36" ca="1">SUM(INDIRECT("'"&amp;datatable!$G$2:$G$4&amp;"'!J"&amp;36))</f>
        <v>12</v>
      </c>
      <c r="K36" s="23" cm="1">
        <f t="array" aca="1" ref="K36" ca="1">SUM(INDIRECT("'"&amp;datatable!$G$2:$G$4&amp;"'!K"&amp;36))</f>
        <v>13</v>
      </c>
      <c r="L36" s="25" cm="1">
        <f t="array" aca="1" ref="L36" ca="1">SUM(INDIRECT("'"&amp;datatable!$G$2:$G$4&amp;"'!L"&amp;36))</f>
        <v>6</v>
      </c>
      <c r="M36" s="27" cm="1">
        <f t="array" aca="1" ref="M36" ca="1">SUM(INDIRECT("'"&amp;datatable!$G$2:$G$4&amp;"'!M"&amp;36))</f>
        <v>3</v>
      </c>
      <c r="N36" s="43">
        <f t="shared" ca="1" si="3"/>
        <v>63</v>
      </c>
      <c r="O36" s="43">
        <f t="shared" ca="1" si="4"/>
        <v>60</v>
      </c>
    </row>
    <row r="37" spans="3:15">
      <c r="C37" s="44" t="s">
        <v>42</v>
      </c>
      <c r="D37" s="8" cm="1">
        <f t="array" aca="1" ref="D37" ca="1">SUM(INDIRECT("'"&amp;datatable!$G$2:$G$4&amp;"'!D"&amp;37))</f>
        <v>18</v>
      </c>
      <c r="E37" s="11" cm="1">
        <f t="array" aca="1" ref="E37" ca="1">SUM(INDIRECT("'"&amp;datatable!$G$2:$G$4&amp;"'!E"&amp;37))</f>
        <v>5</v>
      </c>
      <c r="F37" s="13" cm="1">
        <f t="array" aca="1" ref="F37" ca="1">SUM(INDIRECT("'"&amp;datatable!$G$2:$G$4&amp;"'!F"&amp;37))</f>
        <v>5</v>
      </c>
      <c r="G37" s="15" cm="1">
        <f t="array" aca="1" ref="G37" ca="1">SUM(INDIRECT("'"&amp;datatable!$G$2:$G$4&amp;"'!G"&amp;37))</f>
        <v>4</v>
      </c>
      <c r="H37" s="17" cm="1">
        <f t="array" aca="1" ref="H37" ca="1">SUM(INDIRECT("'"&amp;datatable!$G$2:$G$4&amp;"'!H"&amp;37))</f>
        <v>0</v>
      </c>
      <c r="I37" s="19" cm="1">
        <f t="array" aca="1" ref="I37" ca="1">SUM(INDIRECT("'"&amp;datatable!$G$2:$G$4&amp;"'!I"&amp;37))</f>
        <v>3</v>
      </c>
      <c r="J37" s="21" cm="1">
        <f t="array" aca="1" ref="J37" ca="1">SUM(INDIRECT("'"&amp;datatable!$G$2:$G$4&amp;"'!J"&amp;37))</f>
        <v>0</v>
      </c>
      <c r="K37" s="23" cm="1">
        <f t="array" aca="1" ref="K37" ca="1">SUM(INDIRECT("'"&amp;datatable!$G$2:$G$4&amp;"'!K"&amp;37))</f>
        <v>0</v>
      </c>
      <c r="L37" s="25" cm="1">
        <f t="array" aca="1" ref="L37" ca="1">SUM(INDIRECT("'"&amp;datatable!$G$2:$G$4&amp;"'!L"&amp;37))</f>
        <v>1</v>
      </c>
      <c r="M37" s="27" cm="1">
        <f t="array" aca="1" ref="M37" ca="1">SUM(INDIRECT("'"&amp;datatable!$G$2:$G$4&amp;"'!M"&amp;37))</f>
        <v>27</v>
      </c>
      <c r="N37" s="43">
        <f t="shared" ca="1" si="3"/>
        <v>63</v>
      </c>
      <c r="O37" s="43">
        <f t="shared" ca="1" si="4"/>
        <v>36</v>
      </c>
    </row>
    <row r="38" spans="3:15">
      <c r="C38" s="44" t="s">
        <v>43</v>
      </c>
      <c r="D38" s="8" cm="1">
        <f t="array" aca="1" ref="D38" ca="1">SUM(INDIRECT("'"&amp;datatable!$G$2:$G$4&amp;"'!D"&amp;38))</f>
        <v>30</v>
      </c>
      <c r="E38" s="11" cm="1">
        <f t="array" aca="1" ref="E38" ca="1">SUM(INDIRECT("'"&amp;datatable!$G$2:$G$4&amp;"'!E"&amp;38))</f>
        <v>6</v>
      </c>
      <c r="F38" s="13" cm="1">
        <f t="array" aca="1" ref="F38" ca="1">SUM(INDIRECT("'"&amp;datatable!$G$2:$G$4&amp;"'!F"&amp;38))</f>
        <v>1</v>
      </c>
      <c r="G38" s="15" cm="1">
        <f t="array" aca="1" ref="G38" ca="1">SUM(INDIRECT("'"&amp;datatable!$G$2:$G$4&amp;"'!G"&amp;38))</f>
        <v>2</v>
      </c>
      <c r="H38" s="17" cm="1">
        <f t="array" aca="1" ref="H38" ca="1">SUM(INDIRECT("'"&amp;datatable!$G$2:$G$4&amp;"'!H"&amp;38))</f>
        <v>1</v>
      </c>
      <c r="I38" s="19" cm="1">
        <f t="array" aca="1" ref="I38" ca="1">SUM(INDIRECT("'"&amp;datatable!$G$2:$G$4&amp;"'!I"&amp;38))</f>
        <v>5</v>
      </c>
      <c r="J38" s="21" cm="1">
        <f t="array" aca="1" ref="J38" ca="1">SUM(INDIRECT("'"&amp;datatable!$G$2:$G$4&amp;"'!J"&amp;38))</f>
        <v>5</v>
      </c>
      <c r="K38" s="23" cm="1">
        <f t="array" aca="1" ref="K38" ca="1">SUM(INDIRECT("'"&amp;datatable!$G$2:$G$4&amp;"'!K"&amp;38))</f>
        <v>3</v>
      </c>
      <c r="L38" s="25" cm="1">
        <f t="array" aca="1" ref="L38" ca="1">SUM(INDIRECT("'"&amp;datatable!$G$2:$G$4&amp;"'!L"&amp;38))</f>
        <v>4</v>
      </c>
      <c r="M38" s="27" cm="1">
        <f t="array" aca="1" ref="M38" ca="1">SUM(INDIRECT("'"&amp;datatable!$G$2:$G$4&amp;"'!M"&amp;38))</f>
        <v>6</v>
      </c>
      <c r="N38" s="43">
        <f t="shared" ca="1" si="3"/>
        <v>63</v>
      </c>
      <c r="O38" s="43">
        <f t="shared" ca="1" si="4"/>
        <v>57</v>
      </c>
    </row>
    <row r="39" spans="3:15">
      <c r="C39" s="44" t="s">
        <v>44</v>
      </c>
      <c r="D39" s="8" cm="1">
        <f t="array" aca="1" ref="D39" ca="1">SUM(INDIRECT("'"&amp;datatable!$G$2:$G$4&amp;"'!D"&amp;39))</f>
        <v>33</v>
      </c>
      <c r="E39" s="11" cm="1">
        <f t="array" aca="1" ref="E39" ca="1">SUM(INDIRECT("'"&amp;datatable!$G$2:$G$4&amp;"'!E"&amp;39))</f>
        <v>6</v>
      </c>
      <c r="F39" s="13" cm="1">
        <f t="array" aca="1" ref="F39" ca="1">SUM(INDIRECT("'"&amp;datatable!$G$2:$G$4&amp;"'!F"&amp;39))</f>
        <v>9</v>
      </c>
      <c r="G39" s="15" cm="1">
        <f t="array" aca="1" ref="G39" ca="1">SUM(INDIRECT("'"&amp;datatable!$G$2:$G$4&amp;"'!G"&amp;39))</f>
        <v>4</v>
      </c>
      <c r="H39" s="17" cm="1">
        <f t="array" aca="1" ref="H39" ca="1">SUM(INDIRECT("'"&amp;datatable!$G$2:$G$4&amp;"'!H"&amp;39))</f>
        <v>1</v>
      </c>
      <c r="I39" s="19" cm="1">
        <f t="array" aca="1" ref="I39" ca="1">SUM(INDIRECT("'"&amp;datatable!$G$2:$G$4&amp;"'!I"&amp;39))</f>
        <v>0</v>
      </c>
      <c r="J39" s="21" cm="1">
        <f t="array" aca="1" ref="J39" ca="1">SUM(INDIRECT("'"&amp;datatable!$G$2:$G$4&amp;"'!J"&amp;39))</f>
        <v>3</v>
      </c>
      <c r="K39" s="23" cm="1">
        <f t="array" aca="1" ref="K39" ca="1">SUM(INDIRECT("'"&amp;datatable!$G$2:$G$4&amp;"'!K"&amp;39))</f>
        <v>3</v>
      </c>
      <c r="L39" s="25" cm="1">
        <f t="array" aca="1" ref="L39" ca="1">SUM(INDIRECT("'"&amp;datatable!$G$2:$G$4&amp;"'!L"&amp;39))</f>
        <v>1</v>
      </c>
      <c r="M39" s="27" cm="1">
        <f t="array" aca="1" ref="M39" ca="1">SUM(INDIRECT("'"&amp;datatable!$G$2:$G$4&amp;"'!M"&amp;39))</f>
        <v>3</v>
      </c>
      <c r="N39" s="43">
        <f t="shared" ca="1" si="3"/>
        <v>63</v>
      </c>
      <c r="O39" s="43">
        <f t="shared" ca="1" si="4"/>
        <v>60</v>
      </c>
    </row>
    <row r="40" spans="3:15">
      <c r="C40" s="44" t="s">
        <v>45</v>
      </c>
      <c r="D40" s="8" cm="1">
        <f t="array" aca="1" ref="D40" ca="1">SUM(INDIRECT("'"&amp;datatable!$G$2:$G$4&amp;"'!D"&amp;40))</f>
        <v>15</v>
      </c>
      <c r="E40" s="11" cm="1">
        <f t="array" aca="1" ref="E40" ca="1">SUM(INDIRECT("'"&amp;datatable!$G$2:$G$4&amp;"'!E"&amp;40))</f>
        <v>2</v>
      </c>
      <c r="F40" s="13" cm="1">
        <f t="array" aca="1" ref="F40" ca="1">SUM(INDIRECT("'"&amp;datatable!$G$2:$G$4&amp;"'!F"&amp;40))</f>
        <v>3</v>
      </c>
      <c r="G40" s="15" cm="1">
        <f t="array" aca="1" ref="G40" ca="1">SUM(INDIRECT("'"&amp;datatable!$G$2:$G$4&amp;"'!G"&amp;40))</f>
        <v>1</v>
      </c>
      <c r="H40" s="17" cm="1">
        <f t="array" aca="1" ref="H40" ca="1">SUM(INDIRECT("'"&amp;datatable!$G$2:$G$4&amp;"'!H"&amp;40))</f>
        <v>3</v>
      </c>
      <c r="I40" s="19" cm="1">
        <f t="array" aca="1" ref="I40" ca="1">SUM(INDIRECT("'"&amp;datatable!$G$2:$G$4&amp;"'!I"&amp;40))</f>
        <v>5</v>
      </c>
      <c r="J40" s="21" cm="1">
        <f t="array" aca="1" ref="J40" ca="1">SUM(INDIRECT("'"&amp;datatable!$G$2:$G$4&amp;"'!J"&amp;40))</f>
        <v>12</v>
      </c>
      <c r="K40" s="23" cm="1">
        <f t="array" aca="1" ref="K40" ca="1">SUM(INDIRECT("'"&amp;datatable!$G$2:$G$4&amp;"'!K"&amp;40))</f>
        <v>11</v>
      </c>
      <c r="L40" s="25" cm="1">
        <f t="array" aca="1" ref="L40" ca="1">SUM(INDIRECT("'"&amp;datatable!$G$2:$G$4&amp;"'!L"&amp;40))</f>
        <v>4</v>
      </c>
      <c r="M40" s="27" cm="1">
        <f t="array" aca="1" ref="M40" ca="1">SUM(INDIRECT("'"&amp;datatable!$G$2:$G$4&amp;"'!M"&amp;40))</f>
        <v>7</v>
      </c>
      <c r="N40" s="43">
        <f t="shared" ca="1" si="3"/>
        <v>63</v>
      </c>
      <c r="O40" s="43">
        <f t="shared" ca="1" si="4"/>
        <v>56</v>
      </c>
    </row>
    <row r="41" spans="3:15">
      <c r="C41" s="44" t="s">
        <v>46</v>
      </c>
      <c r="D41" s="8" cm="1">
        <f t="array" aca="1" ref="D41" ca="1">SUM(INDIRECT("'"&amp;datatable!$G$2:$G$4&amp;"'!D"&amp;41))</f>
        <v>14</v>
      </c>
      <c r="E41" s="11" cm="1">
        <f t="array" aca="1" ref="E41" ca="1">SUM(INDIRECT("'"&amp;datatable!$G$2:$G$4&amp;"'!E"&amp;41))</f>
        <v>5</v>
      </c>
      <c r="F41" s="13" cm="1">
        <f t="array" aca="1" ref="F41" ca="1">SUM(INDIRECT("'"&amp;datatable!$G$2:$G$4&amp;"'!F"&amp;41))</f>
        <v>8</v>
      </c>
      <c r="G41" s="15" cm="1">
        <f t="array" aca="1" ref="G41" ca="1">SUM(INDIRECT("'"&amp;datatable!$G$2:$G$4&amp;"'!G"&amp;41))</f>
        <v>5</v>
      </c>
      <c r="H41" s="17" cm="1">
        <f t="array" aca="1" ref="H41" ca="1">SUM(INDIRECT("'"&amp;datatable!$G$2:$G$4&amp;"'!H"&amp;41))</f>
        <v>1</v>
      </c>
      <c r="I41" s="19" cm="1">
        <f t="array" aca="1" ref="I41" ca="1">SUM(INDIRECT("'"&amp;datatable!$G$2:$G$4&amp;"'!I"&amp;41))</f>
        <v>3</v>
      </c>
      <c r="J41" s="21" cm="1">
        <f t="array" aca="1" ref="J41" ca="1">SUM(INDIRECT("'"&amp;datatable!$G$2:$G$4&amp;"'!J"&amp;41))</f>
        <v>9</v>
      </c>
      <c r="K41" s="23" cm="1">
        <f t="array" aca="1" ref="K41" ca="1">SUM(INDIRECT("'"&amp;datatable!$G$2:$G$4&amp;"'!K"&amp;41))</f>
        <v>15</v>
      </c>
      <c r="L41" s="25" cm="1">
        <f t="array" aca="1" ref="L41" ca="1">SUM(INDIRECT("'"&amp;datatable!$G$2:$G$4&amp;"'!L"&amp;41))</f>
        <v>3</v>
      </c>
      <c r="M41" s="27" cm="1">
        <f t="array" aca="1" ref="M41" ca="1">SUM(INDIRECT("'"&amp;datatable!$G$2:$G$4&amp;"'!M"&amp;41))</f>
        <v>0</v>
      </c>
      <c r="N41" s="43">
        <f t="shared" ca="1" si="3"/>
        <v>63</v>
      </c>
      <c r="O41" s="43">
        <f t="shared" ca="1" si="4"/>
        <v>63</v>
      </c>
    </row>
    <row r="42" spans="3:15">
      <c r="C42" s="44" t="s">
        <v>47</v>
      </c>
      <c r="D42" s="8" cm="1">
        <f t="array" aca="1" ref="D42" ca="1">SUM(INDIRECT("'"&amp;datatable!$G$2:$G$4&amp;"'!D"&amp;42))</f>
        <v>8</v>
      </c>
      <c r="E42" s="11" cm="1">
        <f t="array" aca="1" ref="E42" ca="1">SUM(INDIRECT("'"&amp;datatable!$G$2:$G$4&amp;"'!E"&amp;42))</f>
        <v>5</v>
      </c>
      <c r="F42" s="13" cm="1">
        <f t="array" aca="1" ref="F42" ca="1">SUM(INDIRECT("'"&amp;datatable!$G$2:$G$4&amp;"'!F"&amp;42))</f>
        <v>5</v>
      </c>
      <c r="G42" s="15" cm="1">
        <f t="array" aca="1" ref="G42" ca="1">SUM(INDIRECT("'"&amp;datatable!$G$2:$G$4&amp;"'!G"&amp;42))</f>
        <v>5</v>
      </c>
      <c r="H42" s="17" cm="1">
        <f t="array" aca="1" ref="H42" ca="1">SUM(INDIRECT("'"&amp;datatable!$G$2:$G$4&amp;"'!H"&amp;42))</f>
        <v>3</v>
      </c>
      <c r="I42" s="19" cm="1">
        <f t="array" aca="1" ref="I42" ca="1">SUM(INDIRECT("'"&amp;datatable!$G$2:$G$4&amp;"'!I"&amp;42))</f>
        <v>4</v>
      </c>
      <c r="J42" s="21" cm="1">
        <f t="array" aca="1" ref="J42" ca="1">SUM(INDIRECT("'"&amp;datatable!$G$2:$G$4&amp;"'!J"&amp;42))</f>
        <v>15</v>
      </c>
      <c r="K42" s="23" cm="1">
        <f t="array" aca="1" ref="K42" ca="1">SUM(INDIRECT("'"&amp;datatable!$G$2:$G$4&amp;"'!K"&amp;42))</f>
        <v>14</v>
      </c>
      <c r="L42" s="25" cm="1">
        <f t="array" aca="1" ref="L42" ca="1">SUM(INDIRECT("'"&amp;datatable!$G$2:$G$4&amp;"'!L"&amp;42))</f>
        <v>4</v>
      </c>
      <c r="M42" s="27" cm="1">
        <f t="array" aca="1" ref="M42" ca="1">SUM(INDIRECT("'"&amp;datatable!$G$2:$G$4&amp;"'!M"&amp;42))</f>
        <v>0</v>
      </c>
      <c r="N42" s="43">
        <f t="shared" ca="1" si="3"/>
        <v>63</v>
      </c>
      <c r="O42" s="43">
        <f t="shared" ca="1" si="4"/>
        <v>63</v>
      </c>
    </row>
    <row r="43" spans="3:15">
      <c r="C43" s="44" t="s">
        <v>48</v>
      </c>
      <c r="D43" s="8" cm="1">
        <f t="array" aca="1" ref="D43" ca="1">SUM(INDIRECT("'"&amp;datatable!$G$2:$G$4&amp;"'!D"&amp;43))</f>
        <v>47</v>
      </c>
      <c r="E43" s="11" cm="1">
        <f t="array" aca="1" ref="E43" ca="1">SUM(INDIRECT("'"&amp;datatable!$G$2:$G$4&amp;"'!E"&amp;43))</f>
        <v>5</v>
      </c>
      <c r="F43" s="13" cm="1">
        <f t="array" aca="1" ref="F43" ca="1">SUM(INDIRECT("'"&amp;datatable!$G$2:$G$4&amp;"'!F"&amp;43))</f>
        <v>6</v>
      </c>
      <c r="G43" s="15" cm="1">
        <f t="array" aca="1" ref="G43" ca="1">SUM(INDIRECT("'"&amp;datatable!$G$2:$G$4&amp;"'!G"&amp;43))</f>
        <v>0</v>
      </c>
      <c r="H43" s="17" cm="1">
        <f t="array" aca="1" ref="H43" ca="1">SUM(INDIRECT("'"&amp;datatable!$G$2:$G$4&amp;"'!H"&amp;43))</f>
        <v>0</v>
      </c>
      <c r="I43" s="19" cm="1">
        <f t="array" aca="1" ref="I43" ca="1">SUM(INDIRECT("'"&amp;datatable!$G$2:$G$4&amp;"'!I"&amp;43))</f>
        <v>3</v>
      </c>
      <c r="J43" s="21" cm="1">
        <f t="array" aca="1" ref="J43" ca="1">SUM(INDIRECT("'"&amp;datatable!$G$2:$G$4&amp;"'!J"&amp;43))</f>
        <v>1</v>
      </c>
      <c r="K43" s="23" cm="1">
        <f t="array" aca="1" ref="K43" ca="1">SUM(INDIRECT("'"&amp;datatable!$G$2:$G$4&amp;"'!K"&amp;43))</f>
        <v>0</v>
      </c>
      <c r="L43" s="25" cm="1">
        <f t="array" aca="1" ref="L43" ca="1">SUM(INDIRECT("'"&amp;datatable!$G$2:$G$4&amp;"'!L"&amp;43))</f>
        <v>1</v>
      </c>
      <c r="M43" s="27" cm="1">
        <f t="array" aca="1" ref="M43" ca="1">SUM(INDIRECT("'"&amp;datatable!$G$2:$G$4&amp;"'!M"&amp;43))</f>
        <v>0</v>
      </c>
      <c r="N43" s="43">
        <f t="shared" ca="1" si="3"/>
        <v>63</v>
      </c>
      <c r="O43" s="43">
        <f t="shared" ca="1" si="4"/>
        <v>63</v>
      </c>
    </row>
    <row r="44" spans="3:15">
      <c r="C44" s="44" t="s">
        <v>49</v>
      </c>
      <c r="D44" s="8" cm="1">
        <f t="array" aca="1" ref="D44" ca="1">SUM(INDIRECT("'"&amp;datatable!$G$2:$G$4&amp;"'!D"&amp;44))</f>
        <v>2</v>
      </c>
      <c r="E44" s="11" cm="1">
        <f t="array" aca="1" ref="E44" ca="1">SUM(INDIRECT("'"&amp;datatable!$G$2:$G$4&amp;"'!E"&amp;44))</f>
        <v>3</v>
      </c>
      <c r="F44" s="13" cm="1">
        <f t="array" aca="1" ref="F44" ca="1">SUM(INDIRECT("'"&amp;datatable!$G$2:$G$4&amp;"'!F"&amp;44))</f>
        <v>6</v>
      </c>
      <c r="G44" s="15" cm="1">
        <f t="array" aca="1" ref="G44" ca="1">SUM(INDIRECT("'"&amp;datatable!$G$2:$G$4&amp;"'!G"&amp;44))</f>
        <v>3</v>
      </c>
      <c r="H44" s="17" cm="1">
        <f t="array" aca="1" ref="H44" ca="1">SUM(INDIRECT("'"&amp;datatable!$G$2:$G$4&amp;"'!H"&amp;44))</f>
        <v>5</v>
      </c>
      <c r="I44" s="19" cm="1">
        <f t="array" aca="1" ref="I44" ca="1">SUM(INDIRECT("'"&amp;datatable!$G$2:$G$4&amp;"'!I"&amp;44))</f>
        <v>6</v>
      </c>
      <c r="J44" s="21" cm="1">
        <f t="array" aca="1" ref="J44" ca="1">SUM(INDIRECT("'"&amp;datatable!$G$2:$G$4&amp;"'!J"&amp;44))</f>
        <v>19</v>
      </c>
      <c r="K44" s="23" cm="1">
        <f t="array" aca="1" ref="K44" ca="1">SUM(INDIRECT("'"&amp;datatable!$G$2:$G$4&amp;"'!K"&amp;44))</f>
        <v>6</v>
      </c>
      <c r="L44" s="25" cm="1">
        <f t="array" aca="1" ref="L44" ca="1">SUM(INDIRECT("'"&amp;datatable!$G$2:$G$4&amp;"'!L"&amp;44))</f>
        <v>5</v>
      </c>
      <c r="M44" s="27" cm="1">
        <f t="array" aca="1" ref="M44" ca="1">SUM(INDIRECT("'"&amp;datatable!$G$2:$G$4&amp;"'!M"&amp;44))</f>
        <v>8</v>
      </c>
      <c r="N44" s="43">
        <f t="shared" ca="1" si="3"/>
        <v>63</v>
      </c>
      <c r="O44" s="43">
        <f t="shared" ca="1" si="4"/>
        <v>55</v>
      </c>
    </row>
    <row r="45" spans="3:15">
      <c r="C45" s="44" t="s">
        <v>50</v>
      </c>
      <c r="D45" s="8" cm="1">
        <f t="array" aca="1" ref="D45" ca="1">SUM(INDIRECT("'"&amp;datatable!$G$2:$G$4&amp;"'!D"&amp;45))</f>
        <v>16</v>
      </c>
      <c r="E45" s="11" cm="1">
        <f t="array" aca="1" ref="E45" ca="1">SUM(INDIRECT("'"&amp;datatable!$G$2:$G$4&amp;"'!E"&amp;45))</f>
        <v>4</v>
      </c>
      <c r="F45" s="13" cm="1">
        <f t="array" aca="1" ref="F45" ca="1">SUM(INDIRECT("'"&amp;datatable!$G$2:$G$4&amp;"'!F"&amp;45))</f>
        <v>6</v>
      </c>
      <c r="G45" s="15" cm="1">
        <f t="array" aca="1" ref="G45" ca="1">SUM(INDIRECT("'"&amp;datatable!$G$2:$G$4&amp;"'!G"&amp;45))</f>
        <v>1</v>
      </c>
      <c r="H45" s="17" cm="1">
        <f t="array" aca="1" ref="H45" ca="1">SUM(INDIRECT("'"&amp;datatable!$G$2:$G$4&amp;"'!H"&amp;45))</f>
        <v>2</v>
      </c>
      <c r="I45" s="19" cm="1">
        <f t="array" aca="1" ref="I45" ca="1">SUM(INDIRECT("'"&amp;datatable!$G$2:$G$4&amp;"'!I"&amp;45))</f>
        <v>4</v>
      </c>
      <c r="J45" s="21" cm="1">
        <f t="array" aca="1" ref="J45" ca="1">SUM(INDIRECT("'"&amp;datatable!$G$2:$G$4&amp;"'!J"&amp;45))</f>
        <v>8</v>
      </c>
      <c r="K45" s="23" cm="1">
        <f t="array" aca="1" ref="K45" ca="1">SUM(INDIRECT("'"&amp;datatable!$G$2:$G$4&amp;"'!K"&amp;45))</f>
        <v>16</v>
      </c>
      <c r="L45" s="25" cm="1">
        <f t="array" aca="1" ref="L45" ca="1">SUM(INDIRECT("'"&amp;datatable!$G$2:$G$4&amp;"'!L"&amp;45))</f>
        <v>6</v>
      </c>
      <c r="M45" s="27" cm="1">
        <f t="array" aca="1" ref="M45" ca="1">SUM(INDIRECT("'"&amp;datatable!$G$2:$G$4&amp;"'!M"&amp;45))</f>
        <v>0</v>
      </c>
      <c r="N45" s="43">
        <f t="shared" ca="1" si="3"/>
        <v>63</v>
      </c>
      <c r="O45" s="43">
        <f t="shared" ca="1" si="4"/>
        <v>63</v>
      </c>
    </row>
    <row r="46" spans="3:15">
      <c r="C46" s="45" t="s">
        <v>51</v>
      </c>
      <c r="D46" s="8" cm="1">
        <f t="array" aca="1" ref="D46" ca="1">SUM(INDIRECT("'"&amp;datatable!$G$2:$G$4&amp;"'!D"&amp;46))</f>
        <v>1</v>
      </c>
      <c r="E46" s="11" cm="1">
        <f t="array" aca="1" ref="E46" ca="1">SUM(INDIRECT("'"&amp;datatable!$G$2:$G$4&amp;"'!E"&amp;46))</f>
        <v>1</v>
      </c>
      <c r="F46" s="13" cm="1">
        <f t="array" aca="1" ref="F46" ca="1">SUM(INDIRECT("'"&amp;datatable!$G$2:$G$4&amp;"'!F"&amp;46))</f>
        <v>2</v>
      </c>
      <c r="G46" s="15" cm="1">
        <f t="array" aca="1" ref="G46" ca="1">SUM(INDIRECT("'"&amp;datatable!$G$2:$G$4&amp;"'!G"&amp;46))</f>
        <v>2</v>
      </c>
      <c r="H46" s="17" cm="1">
        <f t="array" aca="1" ref="H46" ca="1">SUM(INDIRECT("'"&amp;datatable!$G$2:$G$4&amp;"'!H"&amp;46))</f>
        <v>0</v>
      </c>
      <c r="I46" s="19" cm="1">
        <f t="array" aca="1" ref="I46" ca="1">SUM(INDIRECT("'"&amp;datatable!$G$2:$G$4&amp;"'!I"&amp;46))</f>
        <v>2</v>
      </c>
      <c r="J46" s="21" cm="1">
        <f t="array" aca="1" ref="J46" ca="1">SUM(INDIRECT("'"&amp;datatable!$G$2:$G$4&amp;"'!J"&amp;46))</f>
        <v>15</v>
      </c>
      <c r="K46" s="23" cm="1">
        <f t="array" aca="1" ref="K46" ca="1">SUM(INDIRECT("'"&amp;datatable!$G$2:$G$4&amp;"'!K"&amp;46))</f>
        <v>10</v>
      </c>
      <c r="L46" s="25" cm="1">
        <f t="array" aca="1" ref="L46" ca="1">SUM(INDIRECT("'"&amp;datatable!$G$2:$G$4&amp;"'!L"&amp;46))</f>
        <v>30</v>
      </c>
      <c r="M46" s="27" cm="1">
        <f t="array" aca="1" ref="M46" ca="1">SUM(INDIRECT("'"&amp;datatable!$G$2:$G$4&amp;"'!M"&amp;46))</f>
        <v>0</v>
      </c>
      <c r="N46" s="43">
        <f t="shared" ca="1" si="3"/>
        <v>63</v>
      </c>
      <c r="O46" s="43">
        <f t="shared" ca="1" si="4"/>
        <v>63</v>
      </c>
    </row>
    <row r="47" spans="3:15">
      <c r="C47" s="44" t="s">
        <v>52</v>
      </c>
      <c r="D47" s="8" cm="1">
        <f t="array" aca="1" ref="D47" ca="1">SUM(INDIRECT("'"&amp;datatable!$G$2:$G$4&amp;"'!D"&amp;47))</f>
        <v>21</v>
      </c>
      <c r="E47" s="11" cm="1">
        <f t="array" aca="1" ref="E47" ca="1">SUM(INDIRECT("'"&amp;datatable!$G$2:$G$4&amp;"'!E"&amp;47))</f>
        <v>5</v>
      </c>
      <c r="F47" s="13" cm="1">
        <f t="array" aca="1" ref="F47" ca="1">SUM(INDIRECT("'"&amp;datatable!$G$2:$G$4&amp;"'!F"&amp;47))</f>
        <v>7</v>
      </c>
      <c r="G47" s="15" cm="1">
        <f t="array" aca="1" ref="G47" ca="1">SUM(INDIRECT("'"&amp;datatable!$G$2:$G$4&amp;"'!G"&amp;47))</f>
        <v>3</v>
      </c>
      <c r="H47" s="17" cm="1">
        <f t="array" aca="1" ref="H47" ca="1">SUM(INDIRECT("'"&amp;datatable!$G$2:$G$4&amp;"'!H"&amp;47))</f>
        <v>3</v>
      </c>
      <c r="I47" s="19" cm="1">
        <f t="array" aca="1" ref="I47" ca="1">SUM(INDIRECT("'"&amp;datatable!$G$2:$G$4&amp;"'!I"&amp;47))</f>
        <v>3</v>
      </c>
      <c r="J47" s="21" cm="1">
        <f t="array" aca="1" ref="J47" ca="1">SUM(INDIRECT("'"&amp;datatable!$G$2:$G$4&amp;"'!J"&amp;47))</f>
        <v>10</v>
      </c>
      <c r="K47" s="23" cm="1">
        <f t="array" aca="1" ref="K47" ca="1">SUM(INDIRECT("'"&amp;datatable!$G$2:$G$4&amp;"'!K"&amp;47))</f>
        <v>5</v>
      </c>
      <c r="L47" s="25" cm="1">
        <f t="array" aca="1" ref="L47" ca="1">SUM(INDIRECT("'"&amp;datatable!$G$2:$G$4&amp;"'!L"&amp;47))</f>
        <v>4</v>
      </c>
      <c r="M47" s="27" cm="1">
        <f t="array" aca="1" ref="M47" ca="1">SUM(INDIRECT("'"&amp;datatable!$G$2:$G$4&amp;"'!M"&amp;47))</f>
        <v>2</v>
      </c>
      <c r="N47" s="43">
        <f t="shared" ca="1" si="3"/>
        <v>63</v>
      </c>
      <c r="O47" s="43">
        <f t="shared" ca="1" si="4"/>
        <v>61</v>
      </c>
    </row>
    <row r="48" spans="3:15">
      <c r="C48" s="44" t="s">
        <v>53</v>
      </c>
      <c r="D48" s="8" cm="1">
        <f t="array" aca="1" ref="D48" ca="1">SUM(INDIRECT("'"&amp;datatable!$G$2:$G$4&amp;"'!D"&amp;48))</f>
        <v>4</v>
      </c>
      <c r="E48" s="11" cm="1">
        <f t="array" aca="1" ref="E48" ca="1">SUM(INDIRECT("'"&amp;datatable!$G$2:$G$4&amp;"'!E"&amp;48))</f>
        <v>3</v>
      </c>
      <c r="F48" s="13" cm="1">
        <f t="array" aca="1" ref="F48" ca="1">SUM(INDIRECT("'"&amp;datatable!$G$2:$G$4&amp;"'!F"&amp;48))</f>
        <v>1</v>
      </c>
      <c r="G48" s="15" cm="1">
        <f t="array" aca="1" ref="G48" ca="1">SUM(INDIRECT("'"&amp;datatable!$G$2:$G$4&amp;"'!G"&amp;48))</f>
        <v>5</v>
      </c>
      <c r="H48" s="17" cm="1">
        <f t="array" aca="1" ref="H48" ca="1">SUM(INDIRECT("'"&amp;datatable!$G$2:$G$4&amp;"'!H"&amp;48))</f>
        <v>3</v>
      </c>
      <c r="I48" s="19" cm="1">
        <f t="array" aca="1" ref="I48" ca="1">SUM(INDIRECT("'"&amp;datatable!$G$2:$G$4&amp;"'!I"&amp;48))</f>
        <v>3</v>
      </c>
      <c r="J48" s="21" cm="1">
        <f t="array" aca="1" ref="J48" ca="1">SUM(INDIRECT("'"&amp;datatable!$G$2:$G$4&amp;"'!J"&amp;48))</f>
        <v>12</v>
      </c>
      <c r="K48" s="23" cm="1">
        <f t="array" aca="1" ref="K48" ca="1">SUM(INDIRECT("'"&amp;datatable!$G$2:$G$4&amp;"'!K"&amp;48))</f>
        <v>2</v>
      </c>
      <c r="L48" s="25" cm="1">
        <f t="array" aca="1" ref="L48" ca="1">SUM(INDIRECT("'"&amp;datatable!$G$2:$G$4&amp;"'!L"&amp;48))</f>
        <v>24</v>
      </c>
      <c r="M48" s="27" cm="1">
        <f t="array" aca="1" ref="M48" ca="1">SUM(INDIRECT("'"&amp;datatable!$G$2:$G$4&amp;"'!M"&amp;48))</f>
        <v>6</v>
      </c>
      <c r="N48" s="43">
        <f t="shared" ca="1" si="3"/>
        <v>63</v>
      </c>
      <c r="O48" s="43">
        <f t="shared" ca="1" si="4"/>
        <v>57</v>
      </c>
    </row>
    <row r="49" spans="3:15">
      <c r="C49" s="44" t="s">
        <v>54</v>
      </c>
      <c r="D49" s="8" cm="1">
        <f t="array" aca="1" ref="D49" ca="1">SUM(INDIRECT("'"&amp;datatable!$G$2:$G$4&amp;"'!D"&amp;49))</f>
        <v>26</v>
      </c>
      <c r="E49" s="11" cm="1">
        <f t="array" aca="1" ref="E49" ca="1">SUM(INDIRECT("'"&amp;datatable!$G$2:$G$4&amp;"'!E"&amp;49))</f>
        <v>7</v>
      </c>
      <c r="F49" s="13" cm="1">
        <f t="array" aca="1" ref="F49" ca="1">SUM(INDIRECT("'"&amp;datatable!$G$2:$G$4&amp;"'!F"&amp;49))</f>
        <v>16</v>
      </c>
      <c r="G49" s="15" cm="1">
        <f t="array" aca="1" ref="G49" ca="1">SUM(INDIRECT("'"&amp;datatable!$G$2:$G$4&amp;"'!G"&amp;49))</f>
        <v>2</v>
      </c>
      <c r="H49" s="17" cm="1">
        <f t="array" aca="1" ref="H49" ca="1">SUM(INDIRECT("'"&amp;datatable!$G$2:$G$4&amp;"'!H"&amp;49))</f>
        <v>1</v>
      </c>
      <c r="I49" s="19" cm="1">
        <f t="array" aca="1" ref="I49" ca="1">SUM(INDIRECT("'"&amp;datatable!$G$2:$G$4&amp;"'!I"&amp;49))</f>
        <v>5</v>
      </c>
      <c r="J49" s="21" cm="1">
        <f t="array" aca="1" ref="J49" ca="1">SUM(INDIRECT("'"&amp;datatable!$G$2:$G$4&amp;"'!J"&amp;49))</f>
        <v>2</v>
      </c>
      <c r="K49" s="23" cm="1">
        <f t="array" aca="1" ref="K49" ca="1">SUM(INDIRECT("'"&amp;datatable!$G$2:$G$4&amp;"'!K"&amp;49))</f>
        <v>1</v>
      </c>
      <c r="L49" s="25" cm="1">
        <f t="array" aca="1" ref="L49" ca="1">SUM(INDIRECT("'"&amp;datatable!$G$2:$G$4&amp;"'!L"&amp;49))</f>
        <v>3</v>
      </c>
      <c r="M49" s="27" cm="1">
        <f t="array" aca="1" ref="M49" ca="1">SUM(INDIRECT("'"&amp;datatable!$G$2:$G$4&amp;"'!M"&amp;49))</f>
        <v>0</v>
      </c>
      <c r="N49" s="43">
        <f t="shared" ca="1" si="3"/>
        <v>63</v>
      </c>
      <c r="O49" s="43">
        <f t="shared" ca="1" si="4"/>
        <v>63</v>
      </c>
    </row>
    <row r="50" spans="3:15">
      <c r="C50" s="46" t="s">
        <v>36</v>
      </c>
      <c r="D50" s="47">
        <f ca="1">SUM(D32:D49)</f>
        <v>354</v>
      </c>
      <c r="E50" s="47">
        <f t="shared" ref="E50:M50" ca="1" si="5">SUM(E32:E49)</f>
        <v>83</v>
      </c>
      <c r="F50" s="47">
        <f t="shared" ca="1" si="5"/>
        <v>102</v>
      </c>
      <c r="G50" s="47">
        <f t="shared" ca="1" si="5"/>
        <v>54</v>
      </c>
      <c r="H50" s="47">
        <f t="shared" ca="1" si="5"/>
        <v>30</v>
      </c>
      <c r="I50" s="47">
        <f t="shared" ca="1" si="5"/>
        <v>63</v>
      </c>
      <c r="J50" s="47">
        <f t="shared" ca="1" si="5"/>
        <v>150</v>
      </c>
      <c r="K50" s="47">
        <f t="shared" ca="1" si="5"/>
        <v>121</v>
      </c>
      <c r="L50" s="47">
        <f t="shared" ca="1" si="5"/>
        <v>100</v>
      </c>
      <c r="M50" s="47">
        <f t="shared" ca="1" si="5"/>
        <v>77</v>
      </c>
      <c r="N50" s="43">
        <f ca="1">SUM(D50:M50)</f>
        <v>1134</v>
      </c>
      <c r="O50" s="43">
        <f ca="1">SUM(D50:L50)</f>
        <v>1057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A96CD-3B41-40EB-9757-D04653114CF8}">
  <dimension ref="C5:Y74"/>
  <sheetViews>
    <sheetView topLeftCell="G1" zoomScale="70" zoomScaleNormal="70" workbookViewId="0">
      <selection activeCell="M72" sqref="M72"/>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14.6640625" bestFit="1"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5">
      <c r="C5" t="s">
        <v>0</v>
      </c>
    </row>
    <row r="6" spans="3:15">
      <c r="D6" s="7" t="s">
        <v>1</v>
      </c>
      <c r="E6" s="10" t="s">
        <v>2</v>
      </c>
      <c r="F6" s="12" t="s">
        <v>3</v>
      </c>
      <c r="G6" s="14" t="s">
        <v>4</v>
      </c>
      <c r="H6" s="16" t="s">
        <v>5</v>
      </c>
      <c r="I6" s="18" t="s">
        <v>6</v>
      </c>
      <c r="J6" s="20" t="s">
        <v>7</v>
      </c>
      <c r="K6" s="22" t="s">
        <v>8</v>
      </c>
      <c r="L6" s="24" t="s">
        <v>9</v>
      </c>
      <c r="M6" s="26" t="s">
        <v>10</v>
      </c>
      <c r="N6" s="28" t="s">
        <v>11</v>
      </c>
      <c r="O6" s="28" t="s">
        <v>12</v>
      </c>
    </row>
    <row r="7" spans="3:15">
      <c r="C7" s="5" t="s">
        <v>13</v>
      </c>
      <c r="D7" s="8">
        <f ca="1">COUNTIF(INDIRECT("["&amp;datatable!$C$2&amp;"]"&amp;datatable!$A2&amp;"!"&amp;"I:I"),"High Correct")</f>
        <v>13</v>
      </c>
      <c r="E7" s="11">
        <f ca="1">COUNTIF(INDIRECT("["&amp;datatable!$C$2&amp;"]"&amp;datatable!$A2&amp;"!"&amp;"I:I"),"Medium Correct")</f>
        <v>2</v>
      </c>
      <c r="F7" s="13">
        <f ca="1">COUNTIF(INDIRECT("["&amp;datatable!$C$2&amp;"]"&amp;datatable!$A2&amp;"!"&amp;"I:I"),"Low Correct")</f>
        <v>0</v>
      </c>
      <c r="G7" s="15">
        <f ca="1">COUNTIF(INDIRECT("["&amp;datatable!$C$2&amp;"]"&amp;datatable!$A2&amp;"!"&amp;"I:I"),"High Maybe")</f>
        <v>0</v>
      </c>
      <c r="H7" s="17">
        <f ca="1">COUNTIF(INDIRECT("["&amp;datatable!$C$2&amp;"]"&amp;datatable!$A2&amp;"!"&amp;"I:I"),"Medium Maybe")</f>
        <v>0</v>
      </c>
      <c r="I7" s="19">
        <f ca="1">COUNTIF(INDIRECT("["&amp;datatable!$C$2&amp;"]"&amp;datatable!$A2&amp;"!"&amp;"I:I"),"Low Maybe")</f>
        <v>0</v>
      </c>
      <c r="J7" s="21">
        <f ca="1">COUNTIF(INDIRECT("["&amp;datatable!$C$2&amp;"]"&amp;datatable!$A2&amp;"!"&amp;"I:I"),"Low Incorrect")</f>
        <v>1</v>
      </c>
      <c r="K7" s="23">
        <f ca="1">COUNTIF(INDIRECT("["&amp;datatable!$C$2&amp;"]"&amp;datatable!$A2&amp;"!"&amp;"I:I"),"Medium Incorrect")</f>
        <v>0</v>
      </c>
      <c r="L7" s="25">
        <f ca="1">COUNTIF(INDIRECT("["&amp;datatable!$C$2&amp;"]"&amp;datatable!$A2&amp;"!"&amp;"I:I"),"High Incorrect")</f>
        <v>1</v>
      </c>
      <c r="M7" s="27">
        <f ca="1">COUNTIF(INDIRECT("["&amp;datatable!$C$2&amp;"]"&amp;datatable!$A2&amp;"!"&amp;"I:I"),"N/A")</f>
        <v>1</v>
      </c>
      <c r="N7" s="29">
        <f t="shared" ref="N7:N28" ca="1" si="0">SUM(D7:M7)</f>
        <v>18</v>
      </c>
      <c r="O7" s="29">
        <f t="shared" ref="O7:O28" ca="1" si="1">SUM(D7:L7)</f>
        <v>17</v>
      </c>
    </row>
    <row r="8" spans="3:15">
      <c r="C8" s="5" t="s">
        <v>14</v>
      </c>
      <c r="D8" s="8">
        <f ca="1">COUNTIF(INDIRECT("["&amp;datatable!$C$2&amp;"]"&amp;datatable!$A3&amp;"!"&amp;"I:I"),"High Correct")</f>
        <v>14</v>
      </c>
      <c r="E8" s="11">
        <f ca="1">COUNTIF(INDIRECT("["&amp;datatable!$C$2&amp;"]"&amp;datatable!$A3&amp;"!"&amp;"I:I"),"Medium Correct")</f>
        <v>0</v>
      </c>
      <c r="F8" s="13">
        <f ca="1">COUNTIF(INDIRECT("["&amp;datatable!$C$2&amp;"]"&amp;datatable!$A3&amp;"!"&amp;"I:I"),"Low Correct")</f>
        <v>1</v>
      </c>
      <c r="G8" s="15">
        <f ca="1">COUNTIF(INDIRECT("["&amp;datatable!$C$2&amp;"]"&amp;datatable!$A3&amp;"!"&amp;"I:I"),"High Maybe")</f>
        <v>1</v>
      </c>
      <c r="H8" s="17">
        <f ca="1">COUNTIF(INDIRECT("["&amp;datatable!$C$2&amp;"]"&amp;datatable!$A3&amp;"!"&amp;"I:I"),"Medium Maybe")</f>
        <v>0</v>
      </c>
      <c r="I8" s="19">
        <f ca="1">COUNTIF(INDIRECT("["&amp;datatable!$C$2&amp;"]"&amp;datatable!$A3&amp;"!"&amp;"I:I"),"Low Maybe")</f>
        <v>1</v>
      </c>
      <c r="J8" s="21">
        <f ca="1">COUNTIF(INDIRECT("["&amp;datatable!$C$2&amp;"]"&amp;datatable!$A3&amp;"!"&amp;"I:I"),"Low Incorrect")</f>
        <v>0</v>
      </c>
      <c r="K8" s="23">
        <f ca="1">COUNTIF(INDIRECT("["&amp;datatable!$C$2&amp;"]"&amp;datatable!$A3&amp;"!"&amp;"I:I"),"Medium Incorrect")</f>
        <v>0</v>
      </c>
      <c r="L8" s="25">
        <f ca="1">COUNTIF(INDIRECT("["&amp;datatable!$C$2&amp;"]"&amp;datatable!$A3&amp;"!"&amp;"I:I"),"High Incorrect")</f>
        <v>1</v>
      </c>
      <c r="M8" s="27">
        <f ca="1">COUNTIF(INDIRECT("["&amp;datatable!$C$2&amp;"]"&amp;datatable!$A3&amp;"!"&amp;"I:I"),"N/A")</f>
        <v>0</v>
      </c>
      <c r="N8" s="29">
        <f t="shared" ca="1" si="0"/>
        <v>18</v>
      </c>
      <c r="O8" s="29">
        <f t="shared" ca="1" si="1"/>
        <v>18</v>
      </c>
    </row>
    <row r="9" spans="3:15">
      <c r="C9" s="5" t="s">
        <v>15</v>
      </c>
      <c r="D9" s="8">
        <f ca="1">COUNTIF(INDIRECT("["&amp;datatable!$C$2&amp;"]"&amp;datatable!$A4&amp;"!"&amp;"I:I"),"High Correct")</f>
        <v>4</v>
      </c>
      <c r="E9" s="11">
        <f ca="1">COUNTIF(INDIRECT("["&amp;datatable!$C$2&amp;"]"&amp;datatable!$A4&amp;"!"&amp;"I:I"),"Medium Correct")</f>
        <v>1</v>
      </c>
      <c r="F9" s="13">
        <f ca="1">COUNTIF(INDIRECT("["&amp;datatable!$C$2&amp;"]"&amp;datatable!$A4&amp;"!"&amp;"I:I"),"Low Correct")</f>
        <v>1</v>
      </c>
      <c r="G9" s="15">
        <f ca="1">COUNTIF(INDIRECT("["&amp;datatable!$C$2&amp;"]"&amp;datatable!$A4&amp;"!"&amp;"I:I"),"High Maybe")</f>
        <v>0</v>
      </c>
      <c r="H9" s="17">
        <f ca="1">COUNTIF(INDIRECT("["&amp;datatable!$C$2&amp;"]"&amp;datatable!$A4&amp;"!"&amp;"I:I"),"Medium Maybe")</f>
        <v>0</v>
      </c>
      <c r="I9" s="19">
        <f ca="1">COUNTIF(INDIRECT("["&amp;datatable!$C$2&amp;"]"&amp;datatable!$A4&amp;"!"&amp;"I:I"),"Low Maybe")</f>
        <v>1</v>
      </c>
      <c r="J9" s="21">
        <f ca="1">COUNTIF(INDIRECT("["&amp;datatable!$C$2&amp;"]"&amp;datatable!$A4&amp;"!"&amp;"I:I"),"Low Incorrect")</f>
        <v>1</v>
      </c>
      <c r="K9" s="23">
        <f ca="1">COUNTIF(INDIRECT("["&amp;datatable!$C$2&amp;"]"&amp;datatable!$A4&amp;"!"&amp;"I:I"),"Medium Incorrect")</f>
        <v>0</v>
      </c>
      <c r="L9" s="25">
        <f ca="1">COUNTIF(INDIRECT("["&amp;datatable!$C$2&amp;"]"&amp;datatable!$A4&amp;"!"&amp;"I:I"),"High Incorrect")</f>
        <v>10</v>
      </c>
      <c r="M9" s="27">
        <f ca="1">COUNTIF(INDIRECT("["&amp;datatable!$C$2&amp;"]"&amp;datatable!$A4&amp;"!"&amp;"I:I"),"N/A")</f>
        <v>0</v>
      </c>
      <c r="N9" s="29">
        <f t="shared" ca="1" si="0"/>
        <v>18</v>
      </c>
      <c r="O9" s="29">
        <f t="shared" ca="1" si="1"/>
        <v>18</v>
      </c>
    </row>
    <row r="10" spans="3:15">
      <c r="C10" s="5" t="s">
        <v>16</v>
      </c>
      <c r="D10" s="8">
        <f ca="1">COUNTIF(INDIRECT("["&amp;datatable!$C$2&amp;"]"&amp;datatable!$A5&amp;"!"&amp;"I:I"),"High Correct")</f>
        <v>12</v>
      </c>
      <c r="E10" s="11">
        <f ca="1">COUNTIF(INDIRECT("["&amp;datatable!$C$2&amp;"]"&amp;datatable!$A5&amp;"!"&amp;"I:I"),"Medium Correct")</f>
        <v>0</v>
      </c>
      <c r="F10" s="13">
        <f ca="1">COUNTIF(INDIRECT("["&amp;datatable!$C$2&amp;"]"&amp;datatable!$A5&amp;"!"&amp;"I:I"),"Low Correct")</f>
        <v>0</v>
      </c>
      <c r="G10" s="15">
        <f ca="1">COUNTIF(INDIRECT("["&amp;datatable!$C$2&amp;"]"&amp;datatable!$A5&amp;"!"&amp;"I:I"),"High Maybe")</f>
        <v>1</v>
      </c>
      <c r="H10" s="17">
        <f ca="1">COUNTIF(INDIRECT("["&amp;datatable!$C$2&amp;"]"&amp;datatable!$A5&amp;"!"&amp;"I:I"),"Medium Maybe")</f>
        <v>0</v>
      </c>
      <c r="I10" s="19">
        <f ca="1">COUNTIF(INDIRECT("["&amp;datatable!$C$2&amp;"]"&amp;datatable!$A5&amp;"!"&amp;"I:I"),"Low Maybe")</f>
        <v>1</v>
      </c>
      <c r="J10" s="21">
        <f ca="1">COUNTIF(INDIRECT("["&amp;datatable!$C$2&amp;"]"&amp;datatable!$A5&amp;"!"&amp;"I:I"),"Low Incorrect")</f>
        <v>0</v>
      </c>
      <c r="K10" s="23">
        <f ca="1">COUNTIF(INDIRECT("["&amp;datatable!$C$2&amp;"]"&amp;datatable!$A5&amp;"!"&amp;"I:I"),"Medium Incorrect")</f>
        <v>2</v>
      </c>
      <c r="L10" s="25">
        <f ca="1">COUNTIF(INDIRECT("["&amp;datatable!$C$2&amp;"]"&amp;datatable!$A5&amp;"!"&amp;"I:I"),"High Incorrect")</f>
        <v>2</v>
      </c>
      <c r="M10" s="27">
        <f ca="1">COUNTIF(INDIRECT("["&amp;datatable!$C$2&amp;"]"&amp;datatable!$A5&amp;"!"&amp;"I:I"),"N/A")</f>
        <v>0</v>
      </c>
      <c r="N10" s="29">
        <f t="shared" ca="1" si="0"/>
        <v>18</v>
      </c>
      <c r="O10" s="29">
        <f t="shared" ca="1" si="1"/>
        <v>18</v>
      </c>
    </row>
    <row r="11" spans="3:15">
      <c r="C11" s="5" t="s">
        <v>17</v>
      </c>
      <c r="D11" s="8">
        <f ca="1">COUNTIF(INDIRECT("["&amp;datatable!$C$2&amp;"]"&amp;datatable!$A6&amp;"!"&amp;"I:I"),"High Correct")</f>
        <v>6</v>
      </c>
      <c r="E11" s="11">
        <f ca="1">COUNTIF(INDIRECT("["&amp;datatable!$C$2&amp;"]"&amp;datatable!$A6&amp;"!"&amp;"I:I"),"Medium Correct")</f>
        <v>6</v>
      </c>
      <c r="F11" s="13">
        <f ca="1">COUNTIF(INDIRECT("["&amp;datatable!$C$2&amp;"]"&amp;datatable!$A6&amp;"!"&amp;"I:I"),"Low Correct")</f>
        <v>2</v>
      </c>
      <c r="G11" s="15">
        <f ca="1">COUNTIF(INDIRECT("["&amp;datatable!$C$2&amp;"]"&amp;datatable!$A6&amp;"!"&amp;"I:I"),"High Maybe")</f>
        <v>0</v>
      </c>
      <c r="H11" s="17">
        <f ca="1">COUNTIF(INDIRECT("["&amp;datatable!$C$2&amp;"]"&amp;datatable!$A6&amp;"!"&amp;"I:I"),"Medium Maybe")</f>
        <v>1</v>
      </c>
      <c r="I11" s="19">
        <f ca="1">COUNTIF(INDIRECT("["&amp;datatable!$C$2&amp;"]"&amp;datatable!$A6&amp;"!"&amp;"I:I"),"Low Maybe")</f>
        <v>0</v>
      </c>
      <c r="J11" s="21">
        <f ca="1">COUNTIF(INDIRECT("["&amp;datatable!$C$2&amp;"]"&amp;datatable!$A6&amp;"!"&amp;"I:I"),"Low Incorrect")</f>
        <v>1</v>
      </c>
      <c r="K11" s="23">
        <f ca="1">COUNTIF(INDIRECT("["&amp;datatable!$C$2&amp;"]"&amp;datatable!$A6&amp;"!"&amp;"I:I"),"Medium Incorrect")</f>
        <v>0</v>
      </c>
      <c r="L11" s="25">
        <f ca="1">COUNTIF(INDIRECT("["&amp;datatable!$C$2&amp;"]"&amp;datatable!$A6&amp;"!"&amp;"I:I"),"High Incorrect")</f>
        <v>1</v>
      </c>
      <c r="M11" s="27">
        <f ca="1">COUNTIF(INDIRECT("["&amp;datatable!$C$2&amp;"]"&amp;datatable!$A6&amp;"!"&amp;"I:I"),"N/A")</f>
        <v>1</v>
      </c>
      <c r="N11" s="29">
        <f t="shared" ca="1" si="0"/>
        <v>18</v>
      </c>
      <c r="O11" s="29">
        <f t="shared" ca="1" si="1"/>
        <v>17</v>
      </c>
    </row>
    <row r="12" spans="3:15">
      <c r="C12" s="5" t="s">
        <v>18</v>
      </c>
      <c r="D12" s="8">
        <f ca="1">COUNTIF(INDIRECT("["&amp;datatable!$C$2&amp;"]"&amp;datatable!$A7&amp;"!"&amp;"I:I"),"High Correct")</f>
        <v>16</v>
      </c>
      <c r="E12" s="11">
        <f ca="1">COUNTIF(INDIRECT("["&amp;datatable!$C$2&amp;"]"&amp;datatable!$A7&amp;"!"&amp;"I:I"),"Medium Correct")</f>
        <v>0</v>
      </c>
      <c r="F12" s="13">
        <f ca="1">COUNTIF(INDIRECT("["&amp;datatable!$C$2&amp;"]"&amp;datatable!$A7&amp;"!"&amp;"I:I"),"Low Correct")</f>
        <v>0</v>
      </c>
      <c r="G12" s="15">
        <f ca="1">COUNTIF(INDIRECT("["&amp;datatable!$C$2&amp;"]"&amp;datatable!$A7&amp;"!"&amp;"I:I"),"High Maybe")</f>
        <v>0</v>
      </c>
      <c r="H12" s="17">
        <f ca="1">COUNTIF(INDIRECT("["&amp;datatable!$C$2&amp;"]"&amp;datatable!$A7&amp;"!"&amp;"I:I"),"Medium Maybe")</f>
        <v>0</v>
      </c>
      <c r="I12" s="19">
        <f ca="1">COUNTIF(INDIRECT("["&amp;datatable!$C$2&amp;"]"&amp;datatable!$A7&amp;"!"&amp;"I:I"),"Low Maybe")</f>
        <v>0</v>
      </c>
      <c r="J12" s="21">
        <f ca="1">COUNTIF(INDIRECT("["&amp;datatable!$C$2&amp;"]"&amp;datatable!$A7&amp;"!"&amp;"I:I"),"Low Incorrect")</f>
        <v>0</v>
      </c>
      <c r="K12" s="23">
        <f ca="1">COUNTIF(INDIRECT("["&amp;datatable!$C$2&amp;"]"&amp;datatable!$A7&amp;"!"&amp;"I:I"),"Medium Incorrect")</f>
        <v>1</v>
      </c>
      <c r="L12" s="25">
        <f ca="1">COUNTIF(INDIRECT("["&amp;datatable!$C$2&amp;"]"&amp;datatable!$A7&amp;"!"&amp;"I:I"),"High Incorrect")</f>
        <v>1</v>
      </c>
      <c r="M12" s="27">
        <f ca="1">COUNTIF(INDIRECT("["&amp;datatable!$C$2&amp;"]"&amp;datatable!$A7&amp;"!"&amp;"I:I"),"N/A")</f>
        <v>0</v>
      </c>
      <c r="N12" s="29">
        <f t="shared" ca="1" si="0"/>
        <v>18</v>
      </c>
      <c r="O12" s="29">
        <f t="shared" ca="1" si="1"/>
        <v>18</v>
      </c>
    </row>
    <row r="13" spans="3:15">
      <c r="C13" s="5" t="s">
        <v>19</v>
      </c>
      <c r="D13" s="8">
        <f ca="1">COUNTIF(INDIRECT("["&amp;datatable!$C$2&amp;"]"&amp;datatable!$A8&amp;"!"&amp;"I:I"),"High Correct")</f>
        <v>3</v>
      </c>
      <c r="E13" s="11">
        <f ca="1">COUNTIF(INDIRECT("["&amp;datatable!$C$2&amp;"]"&amp;datatable!$A8&amp;"!"&amp;"I:I"),"Medium Correct")</f>
        <v>1</v>
      </c>
      <c r="F13" s="13">
        <f ca="1">COUNTIF(INDIRECT("["&amp;datatable!$C$2&amp;"]"&amp;datatable!$A8&amp;"!"&amp;"I:I"),"Low Correct")</f>
        <v>4</v>
      </c>
      <c r="G13" s="15">
        <f ca="1">COUNTIF(INDIRECT("["&amp;datatable!$C$2&amp;"]"&amp;datatable!$A8&amp;"!"&amp;"I:I"),"High Maybe")</f>
        <v>1</v>
      </c>
      <c r="H13" s="17">
        <f ca="1">COUNTIF(INDIRECT("["&amp;datatable!$C$2&amp;"]"&amp;datatable!$A8&amp;"!"&amp;"I:I"),"Medium Maybe")</f>
        <v>1</v>
      </c>
      <c r="I13" s="19">
        <f ca="1">COUNTIF(INDIRECT("["&amp;datatable!$C$2&amp;"]"&amp;datatable!$A8&amp;"!"&amp;"I:I"),"Low Maybe")</f>
        <v>3</v>
      </c>
      <c r="J13" s="21">
        <f ca="1">COUNTIF(INDIRECT("["&amp;datatable!$C$2&amp;"]"&amp;datatable!$A8&amp;"!"&amp;"I:I"),"Low Incorrect")</f>
        <v>2</v>
      </c>
      <c r="K13" s="23">
        <f ca="1">COUNTIF(INDIRECT("["&amp;datatable!$C$2&amp;"]"&amp;datatable!$A8&amp;"!"&amp;"I:I"),"Medium Incorrect")</f>
        <v>2</v>
      </c>
      <c r="L13" s="25">
        <f ca="1">COUNTIF(INDIRECT("["&amp;datatable!$C$2&amp;"]"&amp;datatable!$A8&amp;"!"&amp;"I:I"),"High Incorrect")</f>
        <v>1</v>
      </c>
      <c r="M13" s="27">
        <f ca="1">COUNTIF(INDIRECT("["&amp;datatable!$C$2&amp;"]"&amp;datatable!$A8&amp;"!"&amp;"I:I"),"N/A")</f>
        <v>0</v>
      </c>
      <c r="N13" s="29">
        <f t="shared" ca="1" si="0"/>
        <v>18</v>
      </c>
      <c r="O13" s="29">
        <f t="shared" ca="1" si="1"/>
        <v>18</v>
      </c>
    </row>
    <row r="14" spans="3:15">
      <c r="C14" s="5" t="s">
        <v>20</v>
      </c>
      <c r="D14" s="8">
        <f ca="1">COUNTIF(INDIRECT("["&amp;datatable!$C$2&amp;"]"&amp;datatable!$A9&amp;"!"&amp;"I:I"),"High Correct")</f>
        <v>14</v>
      </c>
      <c r="E14" s="11">
        <f ca="1">COUNTIF(INDIRECT("["&amp;datatable!$C$2&amp;"]"&amp;datatable!$A9&amp;"!"&amp;"I:I"),"Medium Correct")</f>
        <v>0</v>
      </c>
      <c r="F14" s="13">
        <f ca="1">COUNTIF(INDIRECT("["&amp;datatable!$C$2&amp;"]"&amp;datatable!$A9&amp;"!"&amp;"I:I"),"Low Correct")</f>
        <v>1</v>
      </c>
      <c r="G14" s="15">
        <f ca="1">COUNTIF(INDIRECT("["&amp;datatable!$C$2&amp;"]"&amp;datatable!$A9&amp;"!"&amp;"I:I"),"High Maybe")</f>
        <v>0</v>
      </c>
      <c r="H14" s="17">
        <f ca="1">COUNTIF(INDIRECT("["&amp;datatable!$C$2&amp;"]"&amp;datatable!$A9&amp;"!"&amp;"I:I"),"Medium Maybe")</f>
        <v>1</v>
      </c>
      <c r="I14" s="19">
        <f ca="1">COUNTIF(INDIRECT("["&amp;datatable!$C$2&amp;"]"&amp;datatable!$A9&amp;"!"&amp;"I:I"),"Low Maybe")</f>
        <v>0</v>
      </c>
      <c r="J14" s="21">
        <f ca="1">COUNTIF(INDIRECT("["&amp;datatable!$C$2&amp;"]"&amp;datatable!$A9&amp;"!"&amp;"I:I"),"Low Incorrect")</f>
        <v>0</v>
      </c>
      <c r="K14" s="23">
        <f ca="1">COUNTIF(INDIRECT("["&amp;datatable!$C$2&amp;"]"&amp;datatable!$A9&amp;"!"&amp;"I:I"),"Medium Incorrect")</f>
        <v>1</v>
      </c>
      <c r="L14" s="25">
        <f ca="1">COUNTIF(INDIRECT("["&amp;datatable!$C$2&amp;"]"&amp;datatable!$A9&amp;"!"&amp;"I:I"),"High Incorrect")</f>
        <v>0</v>
      </c>
      <c r="M14" s="27">
        <f ca="1">COUNTIF(INDIRECT("["&amp;datatable!$C$2&amp;"]"&amp;datatable!$A9&amp;"!"&amp;"I:I"),"N/A")</f>
        <v>1</v>
      </c>
      <c r="N14" s="29">
        <f t="shared" ca="1" si="0"/>
        <v>18</v>
      </c>
      <c r="O14" s="29">
        <f t="shared" ca="1" si="1"/>
        <v>17</v>
      </c>
    </row>
    <row r="15" spans="3:15">
      <c r="C15" s="5" t="s">
        <v>21</v>
      </c>
      <c r="D15" s="8">
        <f ca="1">COUNTIF(INDIRECT("["&amp;datatable!$C$2&amp;"]"&amp;datatable!$A10&amp;"!"&amp;"I:I"),"High Correct")</f>
        <v>9</v>
      </c>
      <c r="E15" s="11">
        <f ca="1">COUNTIF(INDIRECT("["&amp;datatable!$C$2&amp;"]"&amp;datatable!$A10&amp;"!"&amp;"I:I"),"Medium Correct")</f>
        <v>3</v>
      </c>
      <c r="F15" s="13">
        <f ca="1">COUNTIF(INDIRECT("["&amp;datatable!$C$2&amp;"]"&amp;datatable!$A10&amp;"!"&amp;"I:I"),"Low Correct")</f>
        <v>0</v>
      </c>
      <c r="G15" s="15">
        <f ca="1">COUNTIF(INDIRECT("["&amp;datatable!$C$2&amp;"]"&amp;datatable!$A10&amp;"!"&amp;"I:I"),"High Maybe")</f>
        <v>0</v>
      </c>
      <c r="H15" s="17">
        <f ca="1">COUNTIF(INDIRECT("["&amp;datatable!$C$2&amp;"]"&amp;datatable!$A10&amp;"!"&amp;"I:I"),"Medium Maybe")</f>
        <v>1</v>
      </c>
      <c r="I15" s="19">
        <f ca="1">COUNTIF(INDIRECT("["&amp;datatable!$C$2&amp;"]"&amp;datatable!$A10&amp;"!"&amp;"I:I"),"Low Maybe")</f>
        <v>1</v>
      </c>
      <c r="J15" s="21">
        <f ca="1">COUNTIF(INDIRECT("["&amp;datatable!$C$2&amp;"]"&amp;datatable!$A10&amp;"!"&amp;"I:I"),"Low Incorrect")</f>
        <v>0</v>
      </c>
      <c r="K15" s="23">
        <f ca="1">COUNTIF(INDIRECT("["&amp;datatable!$C$2&amp;"]"&amp;datatable!$A10&amp;"!"&amp;"I:I"),"Medium Incorrect")</f>
        <v>0</v>
      </c>
      <c r="L15" s="25">
        <f ca="1">COUNTIF(INDIRECT("["&amp;datatable!$C$2&amp;"]"&amp;datatable!$A10&amp;"!"&amp;"I:I"),"High Incorrect")</f>
        <v>3</v>
      </c>
      <c r="M15" s="27">
        <f ca="1">COUNTIF(INDIRECT("["&amp;datatable!$C$2&amp;"]"&amp;datatable!$A10&amp;"!"&amp;"I:I"),"N/A")</f>
        <v>1</v>
      </c>
      <c r="N15" s="29">
        <f t="shared" ca="1" si="0"/>
        <v>18</v>
      </c>
      <c r="O15" s="29">
        <f t="shared" ca="1" si="1"/>
        <v>17</v>
      </c>
    </row>
    <row r="16" spans="3:15">
      <c r="C16" s="5" t="s">
        <v>22</v>
      </c>
      <c r="D16" s="8">
        <f ca="1">COUNTIF(INDIRECT("["&amp;datatable!$C$2&amp;"]"&amp;datatable!$A11&amp;"!"&amp;"I:I"),"High Correct")</f>
        <v>15</v>
      </c>
      <c r="E16" s="11">
        <f ca="1">COUNTIF(INDIRECT("["&amp;datatable!$C$2&amp;"]"&amp;datatable!$A11&amp;"!"&amp;"I:I"),"Medium Correct")</f>
        <v>0</v>
      </c>
      <c r="F16" s="13">
        <f ca="1">COUNTIF(INDIRECT("["&amp;datatable!$C$2&amp;"]"&amp;datatable!$A11&amp;"!"&amp;"I:I"),"Low Correct")</f>
        <v>0</v>
      </c>
      <c r="G16" s="15">
        <f ca="1">COUNTIF(INDIRECT("["&amp;datatable!$C$2&amp;"]"&amp;datatable!$A11&amp;"!"&amp;"I:I"),"High Maybe")</f>
        <v>1</v>
      </c>
      <c r="H16" s="17">
        <f ca="1">COUNTIF(INDIRECT("["&amp;datatable!$C$2&amp;"]"&amp;datatable!$A11&amp;"!"&amp;"I:I"),"Medium Maybe")</f>
        <v>1</v>
      </c>
      <c r="I16" s="19">
        <f ca="1">COUNTIF(INDIRECT("["&amp;datatable!$C$2&amp;"]"&amp;datatable!$A11&amp;"!"&amp;"I:I"),"Low Maybe")</f>
        <v>0</v>
      </c>
      <c r="J16" s="21">
        <f ca="1">COUNTIF(INDIRECT("["&amp;datatable!$C$2&amp;"]"&amp;datatable!$A11&amp;"!"&amp;"I:I"),"Low Incorrect")</f>
        <v>0</v>
      </c>
      <c r="K16" s="23">
        <f ca="1">COUNTIF(INDIRECT("["&amp;datatable!$C$2&amp;"]"&amp;datatable!$A11&amp;"!"&amp;"I:I"),"Medium Incorrect")</f>
        <v>1</v>
      </c>
      <c r="L16" s="25">
        <f ca="1">COUNTIF(INDIRECT("["&amp;datatable!$C$2&amp;"]"&amp;datatable!$A11&amp;"!"&amp;"I:I"),"High Incorrect")</f>
        <v>0</v>
      </c>
      <c r="M16" s="27">
        <f ca="1">COUNTIF(INDIRECT("["&amp;datatable!$C$2&amp;"]"&amp;datatable!$A11&amp;"!"&amp;"I:I"),"N/A")</f>
        <v>0</v>
      </c>
      <c r="N16" s="29">
        <f t="shared" ca="1" si="0"/>
        <v>18</v>
      </c>
      <c r="O16" s="29">
        <f t="shared" ca="1" si="1"/>
        <v>18</v>
      </c>
    </row>
    <row r="17" spans="3:15">
      <c r="C17" s="5" t="s">
        <v>23</v>
      </c>
      <c r="D17" s="8">
        <f ca="1">COUNTIF(INDIRECT("["&amp;datatable!$C$2&amp;"]"&amp;datatable!$A12&amp;"!"&amp;"I:I"),"High Correct")</f>
        <v>13</v>
      </c>
      <c r="E17" s="11">
        <f ca="1">COUNTIF(INDIRECT("["&amp;datatable!$C$2&amp;"]"&amp;datatable!$A12&amp;"!"&amp;"I:I"),"Medium Correct")</f>
        <v>1</v>
      </c>
      <c r="F17" s="13">
        <f ca="1">COUNTIF(INDIRECT("["&amp;datatable!$C$2&amp;"]"&amp;datatable!$A12&amp;"!"&amp;"I:I"),"Low Correct")</f>
        <v>2</v>
      </c>
      <c r="G17" s="15">
        <f ca="1">COUNTIF(INDIRECT("["&amp;datatable!$C$2&amp;"]"&amp;datatable!$A12&amp;"!"&amp;"I:I"),"High Maybe")</f>
        <v>0</v>
      </c>
      <c r="H17" s="17">
        <f ca="1">COUNTIF(INDIRECT("["&amp;datatable!$C$2&amp;"]"&amp;datatable!$A12&amp;"!"&amp;"I:I"),"Medium Maybe")</f>
        <v>1</v>
      </c>
      <c r="I17" s="19">
        <f ca="1">COUNTIF(INDIRECT("["&amp;datatable!$C$2&amp;"]"&amp;datatable!$A12&amp;"!"&amp;"I:I"),"Low Maybe")</f>
        <v>0</v>
      </c>
      <c r="J17" s="21">
        <f ca="1">COUNTIF(INDIRECT("["&amp;datatable!$C$2&amp;"]"&amp;datatable!$A12&amp;"!"&amp;"I:I"),"Low Incorrect")</f>
        <v>0</v>
      </c>
      <c r="K17" s="23">
        <f ca="1">COUNTIF(INDIRECT("["&amp;datatable!$C$2&amp;"]"&amp;datatable!$A12&amp;"!"&amp;"I:I"),"Medium Incorrect")</f>
        <v>0</v>
      </c>
      <c r="L17" s="25">
        <f ca="1">COUNTIF(INDIRECT("["&amp;datatable!$C$2&amp;"]"&amp;datatable!$A12&amp;"!"&amp;"I:I"),"High Incorrect")</f>
        <v>0</v>
      </c>
      <c r="M17" s="27">
        <f ca="1">COUNTIF(INDIRECT("["&amp;datatable!$C$2&amp;"]"&amp;datatable!$A12&amp;"!"&amp;"I:I"),"N/A")</f>
        <v>1</v>
      </c>
      <c r="N17" s="29">
        <f t="shared" ca="1" si="0"/>
        <v>18</v>
      </c>
      <c r="O17" s="29">
        <f t="shared" ca="1" si="1"/>
        <v>17</v>
      </c>
    </row>
    <row r="18" spans="3:15">
      <c r="C18" s="5" t="s">
        <v>24</v>
      </c>
      <c r="D18" s="8">
        <f ca="1">COUNTIF(INDIRECT("["&amp;datatable!$C$2&amp;"]"&amp;datatable!$A13&amp;"!"&amp;"I:I"),"High Correct")</f>
        <v>9</v>
      </c>
      <c r="E18" s="11">
        <f ca="1">COUNTIF(INDIRECT("["&amp;datatable!$C$2&amp;"]"&amp;datatable!$A13&amp;"!"&amp;"I:I"),"Medium Correct")</f>
        <v>2</v>
      </c>
      <c r="F18" s="13">
        <f ca="1">COUNTIF(INDIRECT("["&amp;datatable!$C$2&amp;"]"&amp;datatable!$A13&amp;"!"&amp;"I:I"),"Low Correct")</f>
        <v>1</v>
      </c>
      <c r="G18" s="15">
        <f ca="1">COUNTIF(INDIRECT("["&amp;datatable!$C$2&amp;"]"&amp;datatable!$A13&amp;"!"&amp;"I:I"),"High Maybe")</f>
        <v>1</v>
      </c>
      <c r="H18" s="17">
        <f ca="1">COUNTIF(INDIRECT("["&amp;datatable!$C$2&amp;"]"&amp;datatable!$A13&amp;"!"&amp;"I:I"),"Medium Maybe")</f>
        <v>2</v>
      </c>
      <c r="I18" s="19">
        <f ca="1">COUNTIF(INDIRECT("["&amp;datatable!$C$2&amp;"]"&amp;datatable!$A13&amp;"!"&amp;"I:I"),"Low Maybe")</f>
        <v>0</v>
      </c>
      <c r="J18" s="21">
        <f ca="1">COUNTIF(INDIRECT("["&amp;datatable!$C$2&amp;"]"&amp;datatable!$A13&amp;"!"&amp;"I:I"),"Low Incorrect")</f>
        <v>0</v>
      </c>
      <c r="K18" s="23">
        <f ca="1">COUNTIF(INDIRECT("["&amp;datatable!$C$2&amp;"]"&amp;datatable!$A13&amp;"!"&amp;"I:I"),"Medium Incorrect")</f>
        <v>0</v>
      </c>
      <c r="L18" s="25">
        <f ca="1">COUNTIF(INDIRECT("["&amp;datatable!$C$2&amp;"]"&amp;datatable!$A13&amp;"!"&amp;"I:I"),"High Incorrect")</f>
        <v>1</v>
      </c>
      <c r="M18" s="27">
        <f ca="1">COUNTIF(INDIRECT("["&amp;datatable!$C$2&amp;"]"&amp;datatable!$A13&amp;"!"&amp;"I:I"),"N/A")</f>
        <v>2</v>
      </c>
      <c r="N18" s="29">
        <f t="shared" ca="1" si="0"/>
        <v>18</v>
      </c>
      <c r="O18" s="29">
        <f t="shared" ca="1" si="1"/>
        <v>16</v>
      </c>
    </row>
    <row r="19" spans="3:15">
      <c r="C19" s="5" t="s">
        <v>25</v>
      </c>
      <c r="D19" s="8">
        <f ca="1">COUNTIF(INDIRECT("["&amp;datatable!$C$2&amp;"]"&amp;datatable!$A14&amp;"!"&amp;"I:I"),"High Correct")</f>
        <v>14</v>
      </c>
      <c r="E19" s="11">
        <f ca="1">COUNTIF(INDIRECT("["&amp;datatable!$C$2&amp;"]"&amp;datatable!$A14&amp;"!"&amp;"I:I"),"Medium Correct")</f>
        <v>0</v>
      </c>
      <c r="F19" s="13">
        <f ca="1">COUNTIF(INDIRECT("["&amp;datatable!$C$2&amp;"]"&amp;datatable!$A14&amp;"!"&amp;"I:I"),"Low Correct")</f>
        <v>2</v>
      </c>
      <c r="G19" s="15">
        <f ca="1">COUNTIF(INDIRECT("["&amp;datatable!$C$2&amp;"]"&amp;datatable!$A14&amp;"!"&amp;"I:I"),"High Maybe")</f>
        <v>0</v>
      </c>
      <c r="H19" s="17">
        <f ca="1">COUNTIF(INDIRECT("["&amp;datatable!$C$2&amp;"]"&amp;datatable!$A14&amp;"!"&amp;"I:I"),"Medium Maybe")</f>
        <v>0</v>
      </c>
      <c r="I19" s="19">
        <f ca="1">COUNTIF(INDIRECT("["&amp;datatable!$C$2&amp;"]"&amp;datatable!$A14&amp;"!"&amp;"I:I"),"Low Maybe")</f>
        <v>0</v>
      </c>
      <c r="J19" s="21">
        <f ca="1">COUNTIF(INDIRECT("["&amp;datatable!$C$2&amp;"]"&amp;datatable!$A14&amp;"!"&amp;"I:I"),"Low Incorrect")</f>
        <v>0</v>
      </c>
      <c r="K19" s="23">
        <f ca="1">COUNTIF(INDIRECT("["&amp;datatable!$C$2&amp;"]"&amp;datatable!$A14&amp;"!"&amp;"I:I"),"Medium Incorrect")</f>
        <v>0</v>
      </c>
      <c r="L19" s="25">
        <f ca="1">COUNTIF(INDIRECT("["&amp;datatable!$C$2&amp;"]"&amp;datatable!$A14&amp;"!"&amp;"I:I"),"High Incorrect")</f>
        <v>1</v>
      </c>
      <c r="M19" s="27">
        <f ca="1">COUNTIF(INDIRECT("["&amp;datatable!$C$2&amp;"]"&amp;datatable!$A14&amp;"!"&amp;"I:I"),"N/A")</f>
        <v>1</v>
      </c>
      <c r="N19" s="29">
        <f t="shared" ca="1" si="0"/>
        <v>18</v>
      </c>
      <c r="O19" s="29">
        <f t="shared" ca="1" si="1"/>
        <v>17</v>
      </c>
    </row>
    <row r="20" spans="3:15">
      <c r="C20" s="5" t="s">
        <v>26</v>
      </c>
      <c r="D20" s="8">
        <f ca="1">COUNTIF(INDIRECT("["&amp;datatable!$C$2&amp;"]"&amp;datatable!$A15&amp;"!"&amp;"I:I"),"High Correct")</f>
        <v>11</v>
      </c>
      <c r="E20" s="11">
        <f ca="1">COUNTIF(INDIRECT("["&amp;datatable!$C$2&amp;"]"&amp;datatable!$A15&amp;"!"&amp;"I:I"),"Medium Correct")</f>
        <v>1</v>
      </c>
      <c r="F20" s="13">
        <f ca="1">COUNTIF(INDIRECT("["&amp;datatable!$C$2&amp;"]"&amp;datatable!$A15&amp;"!"&amp;"I:I"),"Low Correct")</f>
        <v>1</v>
      </c>
      <c r="G20" s="15">
        <f ca="1">COUNTIF(INDIRECT("["&amp;datatable!$C$2&amp;"]"&amp;datatable!$A15&amp;"!"&amp;"I:I"),"High Maybe")</f>
        <v>1</v>
      </c>
      <c r="H20" s="17">
        <f ca="1">COUNTIF(INDIRECT("["&amp;datatable!$C$2&amp;"]"&amp;datatable!$A15&amp;"!"&amp;"I:I"),"Medium Maybe")</f>
        <v>3</v>
      </c>
      <c r="I20" s="19">
        <f ca="1">COUNTIF(INDIRECT("["&amp;datatable!$C$2&amp;"]"&amp;datatable!$A15&amp;"!"&amp;"I:I"),"Low Maybe")</f>
        <v>0</v>
      </c>
      <c r="J20" s="21">
        <f ca="1">COUNTIF(INDIRECT("["&amp;datatable!$C$2&amp;"]"&amp;datatable!$A15&amp;"!"&amp;"I:I"),"Low Incorrect")</f>
        <v>0</v>
      </c>
      <c r="K20" s="23">
        <f ca="1">COUNTIF(INDIRECT("["&amp;datatable!$C$2&amp;"]"&amp;datatable!$A15&amp;"!"&amp;"I:I"),"Medium Incorrect")</f>
        <v>0</v>
      </c>
      <c r="L20" s="25">
        <f ca="1">COUNTIF(INDIRECT("["&amp;datatable!$C$2&amp;"]"&amp;datatable!$A15&amp;"!"&amp;"I:I"),"High Incorrect")</f>
        <v>0</v>
      </c>
      <c r="M20" s="27">
        <f ca="1">COUNTIF(INDIRECT("["&amp;datatable!$C$2&amp;"]"&amp;datatable!$A15&amp;"!"&amp;"I:I"),"N/A")</f>
        <v>1</v>
      </c>
      <c r="N20" s="29">
        <f t="shared" ca="1" si="0"/>
        <v>18</v>
      </c>
      <c r="O20" s="29">
        <f t="shared" ca="1" si="1"/>
        <v>17</v>
      </c>
    </row>
    <row r="21" spans="3:15">
      <c r="C21" s="5" t="s">
        <v>27</v>
      </c>
      <c r="D21" s="8">
        <f ca="1">COUNTIF(INDIRECT("["&amp;datatable!$C$2&amp;"]"&amp;datatable!$A16&amp;"!"&amp;"I:I"),"High Correct")</f>
        <v>14</v>
      </c>
      <c r="E21" s="11">
        <f ca="1">COUNTIF(INDIRECT("["&amp;datatable!$C$2&amp;"]"&amp;datatable!$A16&amp;"!"&amp;"I:I"),"Medium Correct")</f>
        <v>0</v>
      </c>
      <c r="F21" s="13">
        <f ca="1">COUNTIF(INDIRECT("["&amp;datatable!$C$2&amp;"]"&amp;datatable!$A16&amp;"!"&amp;"I:I"),"Low Correct")</f>
        <v>1</v>
      </c>
      <c r="G21" s="15">
        <f ca="1">COUNTIF(INDIRECT("["&amp;datatable!$C$2&amp;"]"&amp;datatable!$A16&amp;"!"&amp;"I:I"),"High Maybe")</f>
        <v>0</v>
      </c>
      <c r="H21" s="17">
        <f ca="1">COUNTIF(INDIRECT("["&amp;datatable!$C$2&amp;"]"&amp;datatable!$A16&amp;"!"&amp;"I:I"),"Medium Maybe")</f>
        <v>0</v>
      </c>
      <c r="I21" s="19">
        <f ca="1">COUNTIF(INDIRECT("["&amp;datatable!$C$2&amp;"]"&amp;datatable!$A16&amp;"!"&amp;"I:I"),"Low Maybe")</f>
        <v>0</v>
      </c>
      <c r="J21" s="21">
        <f ca="1">COUNTIF(INDIRECT("["&amp;datatable!$C$2&amp;"]"&amp;datatable!$A16&amp;"!"&amp;"I:I"),"Low Incorrect")</f>
        <v>0</v>
      </c>
      <c r="K21" s="23">
        <f ca="1">COUNTIF(INDIRECT("["&amp;datatable!$C$2&amp;"]"&amp;datatable!$A16&amp;"!"&amp;"I:I"),"Medium Incorrect")</f>
        <v>0</v>
      </c>
      <c r="L21" s="25">
        <f ca="1">COUNTIF(INDIRECT("["&amp;datatable!$C$2&amp;"]"&amp;datatable!$A16&amp;"!"&amp;"I:I"),"High Incorrect")</f>
        <v>2</v>
      </c>
      <c r="M21" s="27">
        <f ca="1">COUNTIF(INDIRECT("["&amp;datatable!$C$2&amp;"]"&amp;datatable!$A16&amp;"!"&amp;"I:I"),"N/A")</f>
        <v>1</v>
      </c>
      <c r="N21" s="29">
        <f t="shared" ca="1" si="0"/>
        <v>18</v>
      </c>
      <c r="O21" s="29">
        <f t="shared" ca="1" si="1"/>
        <v>17</v>
      </c>
    </row>
    <row r="22" spans="3:15">
      <c r="C22" s="5" t="s">
        <v>28</v>
      </c>
      <c r="D22" s="8">
        <f ca="1">COUNTIF(INDIRECT("["&amp;datatable!$C$2&amp;"]"&amp;datatable!$A17&amp;"!"&amp;"I:I"),"High Correct")</f>
        <v>13</v>
      </c>
      <c r="E22" s="11">
        <f ca="1">COUNTIF(INDIRECT("["&amp;datatable!$C$2&amp;"]"&amp;datatable!$A17&amp;"!"&amp;"I:I"),"Medium Correct")</f>
        <v>0</v>
      </c>
      <c r="F22" s="13">
        <f ca="1">COUNTIF(INDIRECT("["&amp;datatable!$C$2&amp;"]"&amp;datatable!$A17&amp;"!"&amp;"I:I"),"Low Correct")</f>
        <v>0</v>
      </c>
      <c r="G22" s="15">
        <f ca="1">COUNTIF(INDIRECT("["&amp;datatable!$C$2&amp;"]"&amp;datatable!$A17&amp;"!"&amp;"I:I"),"High Maybe")</f>
        <v>0</v>
      </c>
      <c r="H22" s="17">
        <f ca="1">COUNTIF(INDIRECT("["&amp;datatable!$C$2&amp;"]"&amp;datatable!$A17&amp;"!"&amp;"I:I"),"Medium Maybe")</f>
        <v>0</v>
      </c>
      <c r="I22" s="19">
        <f ca="1">COUNTIF(INDIRECT("["&amp;datatable!$C$2&amp;"]"&amp;datatable!$A17&amp;"!"&amp;"I:I"),"Low Maybe")</f>
        <v>0</v>
      </c>
      <c r="J22" s="21">
        <f ca="1">COUNTIF(INDIRECT("["&amp;datatable!$C$2&amp;"]"&amp;datatable!$A17&amp;"!"&amp;"I:I"),"Low Incorrect")</f>
        <v>0</v>
      </c>
      <c r="K22" s="23">
        <f ca="1">COUNTIF(INDIRECT("["&amp;datatable!$C$2&amp;"]"&amp;datatable!$A17&amp;"!"&amp;"I:I"),"Medium Incorrect")</f>
        <v>0</v>
      </c>
      <c r="L22" s="25">
        <f ca="1">COUNTIF(INDIRECT("["&amp;datatable!$C$2&amp;"]"&amp;datatable!$A17&amp;"!"&amp;"I:I"),"High Incorrect")</f>
        <v>4</v>
      </c>
      <c r="M22" s="27">
        <f ca="1">COUNTIF(INDIRECT("["&amp;datatable!$C$2&amp;"]"&amp;datatable!$A17&amp;"!"&amp;"I:I"),"N/A")</f>
        <v>1</v>
      </c>
      <c r="N22" s="29">
        <f t="shared" ca="1" si="0"/>
        <v>18</v>
      </c>
      <c r="O22" s="29">
        <f t="shared" ca="1" si="1"/>
        <v>17</v>
      </c>
    </row>
    <row r="23" spans="3:15">
      <c r="C23" s="5" t="s">
        <v>29</v>
      </c>
      <c r="D23" s="8">
        <f ca="1">COUNTIF(INDIRECT("["&amp;datatable!$C$2&amp;"]"&amp;datatable!$A18&amp;"!"&amp;"I:I"),"High Correct")</f>
        <v>1</v>
      </c>
      <c r="E23" s="11">
        <f ca="1">COUNTIF(INDIRECT("["&amp;datatable!$C$2&amp;"]"&amp;datatable!$A18&amp;"!"&amp;"I:I"),"Medium Correct")</f>
        <v>7</v>
      </c>
      <c r="F23" s="13">
        <f ca="1">COUNTIF(INDIRECT("["&amp;datatable!$C$2&amp;"]"&amp;datatable!$A18&amp;"!"&amp;"I:I"),"Low Correct")</f>
        <v>2</v>
      </c>
      <c r="G23" s="15">
        <f ca="1">COUNTIF(INDIRECT("["&amp;datatable!$C$2&amp;"]"&amp;datatable!$A18&amp;"!"&amp;"I:I"),"High Maybe")</f>
        <v>0</v>
      </c>
      <c r="H23" s="17">
        <f ca="1">COUNTIF(INDIRECT("["&amp;datatable!$C$2&amp;"]"&amp;datatable!$A18&amp;"!"&amp;"I:I"),"Medium Maybe")</f>
        <v>2</v>
      </c>
      <c r="I23" s="19">
        <f ca="1">COUNTIF(INDIRECT("["&amp;datatable!$C$2&amp;"]"&amp;datatable!$A18&amp;"!"&amp;"I:I"),"Low Maybe")</f>
        <v>0</v>
      </c>
      <c r="J23" s="21">
        <f ca="1">COUNTIF(INDIRECT("["&amp;datatable!$C$2&amp;"]"&amp;datatable!$A18&amp;"!"&amp;"I:I"),"Low Incorrect")</f>
        <v>0</v>
      </c>
      <c r="K23" s="23">
        <f ca="1">COUNTIF(INDIRECT("["&amp;datatable!$C$2&amp;"]"&amp;datatable!$A18&amp;"!"&amp;"I:I"),"Medium Incorrect")</f>
        <v>0</v>
      </c>
      <c r="L23" s="25">
        <f ca="1">COUNTIF(INDIRECT("["&amp;datatable!$C$2&amp;"]"&amp;datatable!$A18&amp;"!"&amp;"I:I"),"High Incorrect")</f>
        <v>0</v>
      </c>
      <c r="M23" s="27">
        <f ca="1">COUNTIF(INDIRECT("["&amp;datatable!$C$2&amp;"]"&amp;datatable!$A18&amp;"!"&amp;"I:I"),"N/A")</f>
        <v>6</v>
      </c>
      <c r="N23" s="29">
        <f t="shared" ca="1" si="0"/>
        <v>18</v>
      </c>
      <c r="O23" s="29">
        <f t="shared" ca="1" si="1"/>
        <v>12</v>
      </c>
    </row>
    <row r="24" spans="3:15">
      <c r="C24" s="5" t="s">
        <v>30</v>
      </c>
      <c r="D24" s="8">
        <f ca="1">COUNTIF(INDIRECT("["&amp;datatable!$C$2&amp;"]"&amp;datatable!$A19&amp;"!"&amp;"I:I"),"High Correct")</f>
        <v>3</v>
      </c>
      <c r="E24" s="11">
        <f ca="1">COUNTIF(INDIRECT("["&amp;datatable!$C$2&amp;"]"&amp;datatable!$A19&amp;"!"&amp;"I:I"),"Medium Correct")</f>
        <v>8</v>
      </c>
      <c r="F24" s="13">
        <f ca="1">COUNTIF(INDIRECT("["&amp;datatable!$C$2&amp;"]"&amp;datatable!$A19&amp;"!"&amp;"I:I"),"Low Correct")</f>
        <v>3</v>
      </c>
      <c r="G24" s="15">
        <f ca="1">COUNTIF(INDIRECT("["&amp;datatable!$C$2&amp;"]"&amp;datatable!$A19&amp;"!"&amp;"I:I"),"High Maybe")</f>
        <v>1</v>
      </c>
      <c r="H24" s="17">
        <f ca="1">COUNTIF(INDIRECT("["&amp;datatable!$C$2&amp;"]"&amp;datatable!$A19&amp;"!"&amp;"I:I"),"Medium Maybe")</f>
        <v>0</v>
      </c>
      <c r="I24" s="19">
        <f ca="1">COUNTIF(INDIRECT("["&amp;datatable!$C$2&amp;"]"&amp;datatable!$A19&amp;"!"&amp;"I:I"),"Low Maybe")</f>
        <v>0</v>
      </c>
      <c r="J24" s="21">
        <f ca="1">COUNTIF(INDIRECT("["&amp;datatable!$C$2&amp;"]"&amp;datatable!$A19&amp;"!"&amp;"I:I"),"Low Incorrect")</f>
        <v>0</v>
      </c>
      <c r="K24" s="23">
        <f ca="1">COUNTIF(INDIRECT("["&amp;datatable!$C$2&amp;"]"&amp;datatable!$A19&amp;"!"&amp;"I:I"),"Medium Incorrect")</f>
        <v>1</v>
      </c>
      <c r="L24" s="25">
        <f ca="1">COUNTIF(INDIRECT("["&amp;datatable!$C$2&amp;"]"&amp;datatable!$A19&amp;"!"&amp;"I:I"),"High Incorrect")</f>
        <v>2</v>
      </c>
      <c r="M24" s="27">
        <f ca="1">COUNTIF(INDIRECT("["&amp;datatable!$C$2&amp;"]"&amp;datatable!$A19&amp;"!"&amp;"I:I"),"N/A")</f>
        <v>0</v>
      </c>
      <c r="N24" s="29">
        <f t="shared" ca="1" si="0"/>
        <v>18</v>
      </c>
      <c r="O24" s="29">
        <f t="shared" ca="1" si="1"/>
        <v>18</v>
      </c>
    </row>
    <row r="25" spans="3:15">
      <c r="C25" s="5" t="s">
        <v>31</v>
      </c>
      <c r="D25" s="8">
        <f ca="1">COUNTIF(INDIRECT("["&amp;datatable!$C$2&amp;"]"&amp;datatable!$A20&amp;"!"&amp;"I:I"),"High Correct")</f>
        <v>4</v>
      </c>
      <c r="E25" s="11">
        <f ca="1">COUNTIF(INDIRECT("["&amp;datatable!$C$2&amp;"]"&amp;datatable!$A20&amp;"!"&amp;"I:I"),"Medium Correct")</f>
        <v>2</v>
      </c>
      <c r="F25" s="13">
        <f ca="1">COUNTIF(INDIRECT("["&amp;datatable!$C$2&amp;"]"&amp;datatable!$A20&amp;"!"&amp;"I:I"),"Low Correct")</f>
        <v>3</v>
      </c>
      <c r="G25" s="15">
        <f ca="1">COUNTIF(INDIRECT("["&amp;datatable!$C$2&amp;"]"&amp;datatable!$A20&amp;"!"&amp;"I:I"),"High Maybe")</f>
        <v>0</v>
      </c>
      <c r="H25" s="17">
        <f ca="1">COUNTIF(INDIRECT("["&amp;datatable!$C$2&amp;"]"&amp;datatable!$A20&amp;"!"&amp;"I:I"),"Medium Maybe")</f>
        <v>2</v>
      </c>
      <c r="I25" s="19">
        <f ca="1">COUNTIF(INDIRECT("["&amp;datatable!$C$2&amp;"]"&amp;datatable!$A20&amp;"!"&amp;"I:I"),"Low Maybe")</f>
        <v>1</v>
      </c>
      <c r="J25" s="21">
        <f ca="1">COUNTIF(INDIRECT("["&amp;datatable!$C$2&amp;"]"&amp;datatable!$A20&amp;"!"&amp;"I:I"),"Low Incorrect")</f>
        <v>2</v>
      </c>
      <c r="K25" s="23">
        <f ca="1">COUNTIF(INDIRECT("["&amp;datatable!$C$2&amp;"]"&amp;datatable!$A20&amp;"!"&amp;"I:I"),"Medium Incorrect")</f>
        <v>1</v>
      </c>
      <c r="L25" s="25">
        <f ca="1">COUNTIF(INDIRECT("["&amp;datatable!$C$2&amp;"]"&amp;datatable!$A20&amp;"!"&amp;"I:I"),"High Incorrect")</f>
        <v>3</v>
      </c>
      <c r="M25" s="27">
        <f ca="1">COUNTIF(INDIRECT("["&amp;datatable!$C$2&amp;"]"&amp;datatable!$A20&amp;"!"&amp;"I:I"),"N/A")</f>
        <v>0</v>
      </c>
      <c r="N25" s="29">
        <f t="shared" ca="1" si="0"/>
        <v>18</v>
      </c>
      <c r="O25" s="29">
        <f t="shared" ca="1" si="1"/>
        <v>18</v>
      </c>
    </row>
    <row r="26" spans="3:15">
      <c r="C26" s="5" t="s">
        <v>32</v>
      </c>
      <c r="D26" s="8">
        <f ca="1">COUNTIF(INDIRECT("["&amp;datatable!$C$2&amp;"]"&amp;datatable!$A21&amp;"!"&amp;"I:I"),"High Correct")</f>
        <v>7</v>
      </c>
      <c r="E26" s="11">
        <f ca="1">COUNTIF(INDIRECT("["&amp;datatable!$C$2&amp;"]"&amp;datatable!$A21&amp;"!"&amp;"I:I"),"Medium Correct")</f>
        <v>1</v>
      </c>
      <c r="F26" s="13">
        <f ca="1">COUNTIF(INDIRECT("["&amp;datatable!$C$2&amp;"]"&amp;datatable!$A21&amp;"!"&amp;"I:I"),"Low Correct")</f>
        <v>3</v>
      </c>
      <c r="G26" s="15">
        <f ca="1">COUNTIF(INDIRECT("["&amp;datatable!$C$2&amp;"]"&amp;datatable!$A21&amp;"!"&amp;"I:I"),"High Maybe")</f>
        <v>0</v>
      </c>
      <c r="H26" s="17">
        <f ca="1">COUNTIF(INDIRECT("["&amp;datatable!$C$2&amp;"]"&amp;datatable!$A21&amp;"!"&amp;"I:I"),"Medium Maybe")</f>
        <v>2</v>
      </c>
      <c r="I26" s="19">
        <f ca="1">COUNTIF(INDIRECT("["&amp;datatable!$C$2&amp;"]"&amp;datatable!$A21&amp;"!"&amp;"I:I"),"Low Maybe")</f>
        <v>0</v>
      </c>
      <c r="J26" s="21">
        <f ca="1">COUNTIF(INDIRECT("["&amp;datatable!$C$2&amp;"]"&amp;datatable!$A21&amp;"!"&amp;"I:I"),"Low Incorrect")</f>
        <v>1</v>
      </c>
      <c r="K26" s="23">
        <f ca="1">COUNTIF(INDIRECT("["&amp;datatable!$C$2&amp;"]"&amp;datatable!$A21&amp;"!"&amp;"I:I"),"Medium Incorrect")</f>
        <v>1</v>
      </c>
      <c r="L26" s="25">
        <f ca="1">COUNTIF(INDIRECT("["&amp;datatable!$C$2&amp;"]"&amp;datatable!$A21&amp;"!"&amp;"I:I"),"High Incorrect")</f>
        <v>2</v>
      </c>
      <c r="M26" s="27">
        <f ca="1">COUNTIF(INDIRECT("["&amp;datatable!$C$2&amp;"]"&amp;datatable!$A21&amp;"!"&amp;"I:I"),"N/A")</f>
        <v>1</v>
      </c>
      <c r="N26" s="29">
        <f t="shared" ca="1" si="0"/>
        <v>18</v>
      </c>
      <c r="O26" s="29">
        <f t="shared" ca="1" si="1"/>
        <v>17</v>
      </c>
    </row>
    <row r="27" spans="3:15">
      <c r="C27" s="5" t="s">
        <v>33</v>
      </c>
      <c r="D27" s="8">
        <f ca="1">COUNTIF(INDIRECT("["&amp;datatable!$C$2&amp;"]"&amp;datatable!$A22&amp;"!"&amp;"I:I"),"High Correct")</f>
        <v>0</v>
      </c>
      <c r="E27" s="11">
        <f ca="1">COUNTIF(INDIRECT("["&amp;datatable!$C$2&amp;"]"&amp;datatable!$A22&amp;"!"&amp;"I:I"),"Medium Correct")</f>
        <v>1</v>
      </c>
      <c r="F27" s="13">
        <f ca="1">COUNTIF(INDIRECT("["&amp;datatable!$C$2&amp;"]"&amp;datatable!$A22&amp;"!"&amp;"I:I"),"Low Correct")</f>
        <v>0</v>
      </c>
      <c r="G27" s="15">
        <f ca="1">COUNTIF(INDIRECT("["&amp;datatable!$C$2&amp;"]"&amp;datatable!$A22&amp;"!"&amp;"I:I"),"High Maybe")</f>
        <v>0</v>
      </c>
      <c r="H27" s="17">
        <f ca="1">COUNTIF(INDIRECT("["&amp;datatable!$C$2&amp;"]"&amp;datatable!$A22&amp;"!"&amp;"I:I"),"Medium Maybe")</f>
        <v>2</v>
      </c>
      <c r="I27" s="19">
        <f ca="1">COUNTIF(INDIRECT("["&amp;datatable!$C$2&amp;"]"&amp;datatable!$A22&amp;"!"&amp;"I:I"),"Low Maybe")</f>
        <v>0</v>
      </c>
      <c r="J27" s="21">
        <f ca="1">COUNTIF(INDIRECT("["&amp;datatable!$C$2&amp;"]"&amp;datatable!$A22&amp;"!"&amp;"I:I"),"Low Incorrect")</f>
        <v>0</v>
      </c>
      <c r="K27" s="23">
        <f ca="1">COUNTIF(INDIRECT("["&amp;datatable!$C$2&amp;"]"&amp;datatable!$A22&amp;"!"&amp;"I:I"),"Medium Incorrect")</f>
        <v>1</v>
      </c>
      <c r="L27" s="25">
        <f ca="1">COUNTIF(INDIRECT("["&amp;datatable!$C$2&amp;"]"&amp;datatable!$A22&amp;"!"&amp;"I:I"),"High Incorrect")</f>
        <v>5</v>
      </c>
      <c r="M27" s="27">
        <f ca="1">COUNTIF(INDIRECT("["&amp;datatable!$C$2&amp;"]"&amp;datatable!$A22&amp;"!"&amp;"I:I"),"N/A")</f>
        <v>9</v>
      </c>
      <c r="N27" s="29">
        <f t="shared" ca="1" si="0"/>
        <v>18</v>
      </c>
      <c r="O27" s="29">
        <f t="shared" ca="1" si="1"/>
        <v>9</v>
      </c>
    </row>
    <row r="28" spans="3:15">
      <c r="C28" s="6" t="s">
        <v>34</v>
      </c>
      <c r="D28" s="9">
        <f t="shared" ref="D28:M28" ca="1" si="2">SUM(D7:D27)</f>
        <v>195</v>
      </c>
      <c r="E28" s="9">
        <f t="shared" ca="1" si="2"/>
        <v>36</v>
      </c>
      <c r="F28" s="9">
        <f t="shared" ca="1" si="2"/>
        <v>27</v>
      </c>
      <c r="G28" s="9">
        <f t="shared" ca="1" si="2"/>
        <v>7</v>
      </c>
      <c r="H28" s="9">
        <f t="shared" ca="1" si="2"/>
        <v>19</v>
      </c>
      <c r="I28" s="9">
        <f t="shared" ca="1" si="2"/>
        <v>8</v>
      </c>
      <c r="J28" s="9">
        <f t="shared" ca="1" si="2"/>
        <v>8</v>
      </c>
      <c r="K28" s="9">
        <f t="shared" ca="1" si="2"/>
        <v>11</v>
      </c>
      <c r="L28" s="9">
        <f t="shared" ca="1" si="2"/>
        <v>40</v>
      </c>
      <c r="M28" s="9">
        <f t="shared" ca="1" si="2"/>
        <v>27</v>
      </c>
      <c r="N28" s="29">
        <f t="shared" ca="1" si="0"/>
        <v>378</v>
      </c>
      <c r="O28" s="29">
        <f t="shared" ca="1" si="1"/>
        <v>351</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f ca="1">COUNTIF(INDIRECT("["&amp;datatable!$C$2&amp;"]"&amp;datatable!$B2&amp;"!"&amp;"I:I"),"High Correct")</f>
        <v>13</v>
      </c>
      <c r="E32" s="11">
        <f ca="1">COUNTIF(INDIRECT("["&amp;datatable!$C$2&amp;"]"&amp;datatable!$B2&amp;"!"&amp;"I:I"),"Medium Correct")</f>
        <v>1</v>
      </c>
      <c r="F32" s="13">
        <f ca="1">COUNTIF(INDIRECT("["&amp;datatable!$C$2&amp;"]"&amp;datatable!$B2&amp;"!"&amp;"I:I"),"Low Correct")</f>
        <v>2</v>
      </c>
      <c r="G32" s="15">
        <f ca="1">COUNTIF(INDIRECT("["&amp;datatable!$C$2&amp;"]"&amp;datatable!$B2&amp;"!"&amp;"I:I"),"High Maybe")</f>
        <v>1</v>
      </c>
      <c r="H32" s="17">
        <f ca="1">COUNTIF(INDIRECT("["&amp;datatable!$C$2&amp;"]"&amp;datatable!$B2&amp;"!"&amp;"I:I"),"Medium Maybe")</f>
        <v>1</v>
      </c>
      <c r="I32" s="19">
        <f ca="1">COUNTIF(INDIRECT("["&amp;datatable!$C$2&amp;"]"&amp;datatable!$B2&amp;"!"&amp;"I:I"),"Low Maybe")</f>
        <v>0</v>
      </c>
      <c r="J32" s="21">
        <f ca="1">COUNTIF(INDIRECT("["&amp;datatable!$C$2&amp;"]"&amp;datatable!$B2&amp;"!"&amp;"I:I"),"Low Incorrect")</f>
        <v>0</v>
      </c>
      <c r="K32" s="23">
        <f ca="1">COUNTIF(INDIRECT("["&amp;datatable!$C$2&amp;"]"&amp;datatable!$B2&amp;"!"&amp;"I:I"),"Medium Incorrect")</f>
        <v>0</v>
      </c>
      <c r="L32" s="25">
        <f ca="1">COUNTIF(INDIRECT("["&amp;datatable!$C$2&amp;"]"&amp;datatable!$B2&amp;"!"&amp;"I:I"),"High Incorrect")</f>
        <v>0</v>
      </c>
      <c r="M32" s="27">
        <f ca="1">COUNTIF(INDIRECT("["&amp;datatable!$C$2&amp;"]"&amp;datatable!$B2&amp;"!"&amp;"I:I"),"N/A")</f>
        <v>3</v>
      </c>
      <c r="N32" s="43">
        <f t="shared" ref="N32:N46" ca="1" si="3">SUM(D32:M32)</f>
        <v>21</v>
      </c>
      <c r="O32" s="43">
        <f t="shared" ref="O32:O46" ca="1" si="4">SUM(D32:L32)</f>
        <v>18</v>
      </c>
    </row>
    <row r="33" spans="3:15">
      <c r="C33" s="44" t="s">
        <v>38</v>
      </c>
      <c r="D33" s="8">
        <f ca="1">COUNTIF(INDIRECT("["&amp;datatable!$C$2&amp;"]"&amp;datatable!$B3&amp;"!"&amp;"I:I"),"High Correct")</f>
        <v>11</v>
      </c>
      <c r="E33" s="11">
        <f ca="1">COUNTIF(INDIRECT("["&amp;datatable!$C$2&amp;"]"&amp;datatable!$B3&amp;"!"&amp;"I:I"),"Medium Correct")</f>
        <v>4</v>
      </c>
      <c r="F33" s="13">
        <f ca="1">COUNTIF(INDIRECT("["&amp;datatable!$C$2&amp;"]"&amp;datatable!$B3&amp;"!"&amp;"I:I"),"Low Correct")</f>
        <v>0</v>
      </c>
      <c r="G33" s="15">
        <f ca="1">COUNTIF(INDIRECT("["&amp;datatable!$C$2&amp;"]"&amp;datatable!$B3&amp;"!"&amp;"I:I"),"High Maybe")</f>
        <v>1</v>
      </c>
      <c r="H33" s="17">
        <f ca="1">COUNTIF(INDIRECT("["&amp;datatable!$C$2&amp;"]"&amp;datatable!$B3&amp;"!"&amp;"I:I"),"Medium Maybe")</f>
        <v>1</v>
      </c>
      <c r="I33" s="19">
        <f ca="1">COUNTIF(INDIRECT("["&amp;datatable!$C$2&amp;"]"&amp;datatable!$B3&amp;"!"&amp;"I:I"),"Low Maybe")</f>
        <v>0</v>
      </c>
      <c r="J33" s="21">
        <f ca="1">COUNTIF(INDIRECT("["&amp;datatable!$C$2&amp;"]"&amp;datatable!$B3&amp;"!"&amp;"I:I"),"Low Incorrect")</f>
        <v>0</v>
      </c>
      <c r="K33" s="23">
        <f ca="1">COUNTIF(INDIRECT("["&amp;datatable!$C$2&amp;"]"&amp;datatable!$B3&amp;"!"&amp;"I:I"),"Medium Incorrect")</f>
        <v>1</v>
      </c>
      <c r="L33" s="25">
        <f ca="1">COUNTIF(INDIRECT("["&amp;datatable!$C$2&amp;"]"&amp;datatable!$B3&amp;"!"&amp;"I:I"),"High Incorrect")</f>
        <v>3</v>
      </c>
      <c r="M33" s="27">
        <f ca="1">COUNTIF(INDIRECT("["&amp;datatable!$C$2&amp;"]"&amp;datatable!$B3&amp;"!"&amp;"I:I"),"N/A")</f>
        <v>0</v>
      </c>
      <c r="N33" s="43">
        <f t="shared" ca="1" si="3"/>
        <v>21</v>
      </c>
      <c r="O33" s="43">
        <f t="shared" ca="1" si="4"/>
        <v>21</v>
      </c>
    </row>
    <row r="34" spans="3:15">
      <c r="C34" s="44" t="s">
        <v>39</v>
      </c>
      <c r="D34" s="8">
        <f ca="1">COUNTIF(INDIRECT("["&amp;datatable!$C$2&amp;"]"&amp;datatable!$B4&amp;"!"&amp;"I:I"),"High Correct")</f>
        <v>13</v>
      </c>
      <c r="E34" s="11">
        <f ca="1">COUNTIF(INDIRECT("["&amp;datatable!$C$2&amp;"]"&amp;datatable!$B4&amp;"!"&amp;"I:I"),"Medium Correct")</f>
        <v>1</v>
      </c>
      <c r="F34" s="13">
        <f ca="1">COUNTIF(INDIRECT("["&amp;datatable!$C$2&amp;"]"&amp;datatable!$B4&amp;"!"&amp;"I:I"),"Low Correct")</f>
        <v>2</v>
      </c>
      <c r="G34" s="15">
        <f ca="1">COUNTIF(INDIRECT("["&amp;datatable!$C$2&amp;"]"&amp;datatable!$B4&amp;"!"&amp;"I:I"),"High Maybe")</f>
        <v>0</v>
      </c>
      <c r="H34" s="17">
        <f ca="1">COUNTIF(INDIRECT("["&amp;datatable!$C$2&amp;"]"&amp;datatable!$B4&amp;"!"&amp;"I:I"),"Medium Maybe")</f>
        <v>1</v>
      </c>
      <c r="I34" s="19">
        <f ca="1">COUNTIF(INDIRECT("["&amp;datatable!$C$2&amp;"]"&amp;datatable!$B4&amp;"!"&amp;"I:I"),"Low Maybe")</f>
        <v>0</v>
      </c>
      <c r="J34" s="21">
        <f ca="1">COUNTIF(INDIRECT("["&amp;datatable!$C$2&amp;"]"&amp;datatable!$B4&amp;"!"&amp;"I:I"),"Low Incorrect")</f>
        <v>0</v>
      </c>
      <c r="K34" s="23">
        <f ca="1">COUNTIF(INDIRECT("["&amp;datatable!$C$2&amp;"]"&amp;datatable!$B4&amp;"!"&amp;"I:I"),"Medium Incorrect")</f>
        <v>1</v>
      </c>
      <c r="L34" s="25">
        <f ca="1">COUNTIF(INDIRECT("["&amp;datatable!$C$2&amp;"]"&amp;datatable!$B4&amp;"!"&amp;"I:I"),"High Incorrect")</f>
        <v>1</v>
      </c>
      <c r="M34" s="27">
        <f ca="1">COUNTIF(INDIRECT("["&amp;datatable!$C$2&amp;"]"&amp;datatable!$B4&amp;"!"&amp;"I:I"),"N/A")</f>
        <v>2</v>
      </c>
      <c r="N34" s="43">
        <f t="shared" ca="1" si="3"/>
        <v>21</v>
      </c>
      <c r="O34" s="43">
        <f t="shared" ca="1" si="4"/>
        <v>19</v>
      </c>
    </row>
    <row r="35" spans="3:15">
      <c r="C35" s="44" t="s">
        <v>40</v>
      </c>
      <c r="D35" s="8">
        <f ca="1">COUNTIF(INDIRECT("["&amp;datatable!$C$2&amp;"]"&amp;datatable!$B5&amp;"!"&amp;"I:I"),"High Correct")</f>
        <v>14</v>
      </c>
      <c r="E35" s="11">
        <f ca="1">COUNTIF(INDIRECT("["&amp;datatable!$C$2&amp;"]"&amp;datatable!$B5&amp;"!"&amp;"I:I"),"Medium Correct")</f>
        <v>3</v>
      </c>
      <c r="F35" s="13">
        <f ca="1">COUNTIF(INDIRECT("["&amp;datatable!$C$2&amp;"]"&amp;datatable!$B5&amp;"!"&amp;"I:I"),"Low Correct")</f>
        <v>1</v>
      </c>
      <c r="G35" s="15">
        <f ca="1">COUNTIF(INDIRECT("["&amp;datatable!$C$2&amp;"]"&amp;datatable!$B5&amp;"!"&amp;"I:I"),"High Maybe")</f>
        <v>1</v>
      </c>
      <c r="H35" s="17">
        <f ca="1">COUNTIF(INDIRECT("["&amp;datatable!$C$2&amp;"]"&amp;datatable!$B5&amp;"!"&amp;"I:I"),"Medium Maybe")</f>
        <v>1</v>
      </c>
      <c r="I35" s="19">
        <f ca="1">COUNTIF(INDIRECT("["&amp;datatable!$C$2&amp;"]"&amp;datatable!$B5&amp;"!"&amp;"I:I"),"Low Maybe")</f>
        <v>0</v>
      </c>
      <c r="J35" s="21">
        <f ca="1">COUNTIF(INDIRECT("["&amp;datatable!$C$2&amp;"]"&amp;datatable!$B5&amp;"!"&amp;"I:I"),"Low Incorrect")</f>
        <v>0</v>
      </c>
      <c r="K35" s="23">
        <f ca="1">COUNTIF(INDIRECT("["&amp;datatable!$C$2&amp;"]"&amp;datatable!$B5&amp;"!"&amp;"I:I"),"Medium Incorrect")</f>
        <v>1</v>
      </c>
      <c r="L35" s="25">
        <f ca="1">COUNTIF(INDIRECT("["&amp;datatable!$C$2&amp;"]"&amp;datatable!$B5&amp;"!"&amp;"I:I"),"High Incorrect")</f>
        <v>0</v>
      </c>
      <c r="M35" s="27">
        <f ca="1">COUNTIF(INDIRECT("["&amp;datatable!$C$2&amp;"]"&amp;datatable!$B5&amp;"!"&amp;"I:I"),"N/A")</f>
        <v>0</v>
      </c>
      <c r="N35" s="43">
        <f t="shared" ca="1" si="3"/>
        <v>21</v>
      </c>
      <c r="O35" s="43">
        <f t="shared" ca="1" si="4"/>
        <v>21</v>
      </c>
    </row>
    <row r="36" spans="3:15">
      <c r="C36" s="44" t="s">
        <v>41</v>
      </c>
      <c r="D36" s="8">
        <f ca="1">COUNTIF(INDIRECT("["&amp;datatable!$C$2&amp;"]"&amp;datatable!$B6&amp;"!"&amp;"I:I"),"High Correct")</f>
        <v>10</v>
      </c>
      <c r="E36" s="11">
        <f ca="1">COUNTIF(INDIRECT("["&amp;datatable!$C$2&amp;"]"&amp;datatable!$B6&amp;"!"&amp;"I:I"),"Medium Correct")</f>
        <v>5</v>
      </c>
      <c r="F36" s="13">
        <f ca="1">COUNTIF(INDIRECT("["&amp;datatable!$C$2&amp;"]"&amp;datatable!$B6&amp;"!"&amp;"I:I"),"Low Correct")</f>
        <v>0</v>
      </c>
      <c r="G36" s="15">
        <f ca="1">COUNTIF(INDIRECT("["&amp;datatable!$C$2&amp;"]"&amp;datatable!$B6&amp;"!"&amp;"I:I"),"High Maybe")</f>
        <v>0</v>
      </c>
      <c r="H36" s="17">
        <f ca="1">COUNTIF(INDIRECT("["&amp;datatable!$C$2&amp;"]"&amp;datatable!$B6&amp;"!"&amp;"I:I"),"Medium Maybe")</f>
        <v>0</v>
      </c>
      <c r="I36" s="19">
        <f ca="1">COUNTIF(INDIRECT("["&amp;datatable!$C$2&amp;"]"&amp;datatable!$B6&amp;"!"&amp;"I:I"),"Low Maybe")</f>
        <v>0</v>
      </c>
      <c r="J36" s="21">
        <f ca="1">COUNTIF(INDIRECT("["&amp;datatable!$C$2&amp;"]"&amp;datatable!$B6&amp;"!"&amp;"I:I"),"Low Incorrect")</f>
        <v>2</v>
      </c>
      <c r="K36" s="23">
        <f ca="1">COUNTIF(INDIRECT("["&amp;datatable!$C$2&amp;"]"&amp;datatable!$B6&amp;"!"&amp;"I:I"),"Medium Incorrect")</f>
        <v>1</v>
      </c>
      <c r="L36" s="25">
        <f ca="1">COUNTIF(INDIRECT("["&amp;datatable!$C$2&amp;"]"&amp;datatable!$B6&amp;"!"&amp;"I:I"),"High Incorrect")</f>
        <v>2</v>
      </c>
      <c r="M36" s="27">
        <f ca="1">COUNTIF(INDIRECT("["&amp;datatable!$C$2&amp;"]"&amp;datatable!$B6&amp;"!"&amp;"I:I"),"N/A")</f>
        <v>1</v>
      </c>
      <c r="N36" s="43">
        <f t="shared" ca="1" si="3"/>
        <v>21</v>
      </c>
      <c r="O36" s="43">
        <f t="shared" ca="1" si="4"/>
        <v>20</v>
      </c>
    </row>
    <row r="37" spans="3:15">
      <c r="C37" s="44" t="s">
        <v>42</v>
      </c>
      <c r="D37" s="8">
        <f ca="1">COUNTIF(INDIRECT("["&amp;datatable!$C$2&amp;"]"&amp;datatable!$B7&amp;"!"&amp;"I:I"),"High Correct")</f>
        <v>6</v>
      </c>
      <c r="E37" s="11">
        <f ca="1">COUNTIF(INDIRECT("["&amp;datatable!$C$2&amp;"]"&amp;datatable!$B7&amp;"!"&amp;"I:I"),"Medium Correct")</f>
        <v>2</v>
      </c>
      <c r="F37" s="13">
        <f ca="1">COUNTIF(INDIRECT("["&amp;datatable!$C$2&amp;"]"&amp;datatable!$B7&amp;"!"&amp;"I:I"),"Low Correct")</f>
        <v>2</v>
      </c>
      <c r="G37" s="15">
        <f ca="1">COUNTIF(INDIRECT("["&amp;datatable!$C$2&amp;"]"&amp;datatable!$B7&amp;"!"&amp;"I:I"),"High Maybe")</f>
        <v>0</v>
      </c>
      <c r="H37" s="17">
        <f ca="1">COUNTIF(INDIRECT("["&amp;datatable!$C$2&amp;"]"&amp;datatable!$B7&amp;"!"&amp;"I:I"),"Medium Maybe")</f>
        <v>0</v>
      </c>
      <c r="I37" s="19">
        <f ca="1">COUNTIF(INDIRECT("["&amp;datatable!$C$2&amp;"]"&amp;datatable!$B7&amp;"!"&amp;"I:I"),"Low Maybe")</f>
        <v>1</v>
      </c>
      <c r="J37" s="21">
        <f ca="1">COUNTIF(INDIRECT("["&amp;datatable!$C$2&amp;"]"&amp;datatable!$B7&amp;"!"&amp;"I:I"),"Low Incorrect")</f>
        <v>1</v>
      </c>
      <c r="K37" s="23">
        <f ca="1">COUNTIF(INDIRECT("["&amp;datatable!$C$2&amp;"]"&amp;datatable!$B7&amp;"!"&amp;"I:I"),"Medium Incorrect")</f>
        <v>0</v>
      </c>
      <c r="L37" s="25">
        <f ca="1">COUNTIF(INDIRECT("["&amp;datatable!$C$2&amp;"]"&amp;datatable!$B7&amp;"!"&amp;"I:I"),"High Incorrect")</f>
        <v>0</v>
      </c>
      <c r="M37" s="27">
        <f ca="1">COUNTIF(INDIRECT("["&amp;datatable!$C$2&amp;"]"&amp;datatable!$B7&amp;"!"&amp;"I:I"),"N/A")</f>
        <v>9</v>
      </c>
      <c r="N37" s="43">
        <f t="shared" ca="1" si="3"/>
        <v>21</v>
      </c>
      <c r="O37" s="43">
        <f t="shared" ca="1" si="4"/>
        <v>12</v>
      </c>
    </row>
    <row r="38" spans="3:15">
      <c r="C38" s="44" t="s">
        <v>43</v>
      </c>
      <c r="D38" s="8">
        <f ca="1">COUNTIF(INDIRECT("["&amp;datatable!$C$2&amp;"]"&amp;datatable!$B8&amp;"!"&amp;"I:I"),"High Correct")</f>
        <v>13</v>
      </c>
      <c r="E38" s="11">
        <f ca="1">COUNTIF(INDIRECT("["&amp;datatable!$C$2&amp;"]"&amp;datatable!$B8&amp;"!"&amp;"I:I"),"Medium Correct")</f>
        <v>1</v>
      </c>
      <c r="F38" s="13">
        <f ca="1">COUNTIF(INDIRECT("["&amp;datatable!$C$2&amp;"]"&amp;datatable!$B8&amp;"!"&amp;"I:I"),"Low Correct")</f>
        <v>3</v>
      </c>
      <c r="G38" s="15">
        <f ca="1">COUNTIF(INDIRECT("["&amp;datatable!$C$2&amp;"]"&amp;datatable!$B8&amp;"!"&amp;"I:I"),"High Maybe")</f>
        <v>0</v>
      </c>
      <c r="H38" s="17">
        <f ca="1">COUNTIF(INDIRECT("["&amp;datatable!$C$2&amp;"]"&amp;datatable!$B8&amp;"!"&amp;"I:I"),"Medium Maybe")</f>
        <v>0</v>
      </c>
      <c r="I38" s="19">
        <f ca="1">COUNTIF(INDIRECT("["&amp;datatable!$C$2&amp;"]"&amp;datatable!$B8&amp;"!"&amp;"I:I"),"Low Maybe")</f>
        <v>0</v>
      </c>
      <c r="J38" s="21">
        <f ca="1">COUNTIF(INDIRECT("["&amp;datatable!$C$2&amp;"]"&amp;datatable!$B8&amp;"!"&amp;"I:I"),"Low Incorrect")</f>
        <v>1</v>
      </c>
      <c r="K38" s="23">
        <f ca="1">COUNTIF(INDIRECT("["&amp;datatable!$C$2&amp;"]"&amp;datatable!$B8&amp;"!"&amp;"I:I"),"Medium Incorrect")</f>
        <v>0</v>
      </c>
      <c r="L38" s="25">
        <f ca="1">COUNTIF(INDIRECT("["&amp;datatable!$C$2&amp;"]"&amp;datatable!$B8&amp;"!"&amp;"I:I"),"High Incorrect")</f>
        <v>1</v>
      </c>
      <c r="M38" s="27">
        <f ca="1">COUNTIF(INDIRECT("["&amp;datatable!$C$2&amp;"]"&amp;datatable!$B8&amp;"!"&amp;"I:I"),"N/A")</f>
        <v>2</v>
      </c>
      <c r="N38" s="43">
        <f t="shared" ca="1" si="3"/>
        <v>21</v>
      </c>
      <c r="O38" s="43">
        <f t="shared" ca="1" si="4"/>
        <v>19</v>
      </c>
    </row>
    <row r="39" spans="3:15">
      <c r="C39" s="44" t="s">
        <v>44</v>
      </c>
      <c r="D39" s="8">
        <f ca="1">COUNTIF(INDIRECT("["&amp;datatable!$C$2&amp;"]"&amp;datatable!$B9&amp;"!"&amp;"I:I"),"High Correct")</f>
        <v>13</v>
      </c>
      <c r="E39" s="11">
        <f ca="1">COUNTIF(INDIRECT("["&amp;datatable!$C$2&amp;"]"&amp;datatable!$B9&amp;"!"&amp;"I:I"),"Medium Correct")</f>
        <v>1</v>
      </c>
      <c r="F39" s="13">
        <f ca="1">COUNTIF(INDIRECT("["&amp;datatable!$C$2&amp;"]"&amp;datatable!$B9&amp;"!"&amp;"I:I"),"Low Correct")</f>
        <v>2</v>
      </c>
      <c r="G39" s="15">
        <f ca="1">COUNTIF(INDIRECT("["&amp;datatable!$C$2&amp;"]"&amp;datatable!$B9&amp;"!"&amp;"I:I"),"High Maybe")</f>
        <v>0</v>
      </c>
      <c r="H39" s="17">
        <f ca="1">COUNTIF(INDIRECT("["&amp;datatable!$C$2&amp;"]"&amp;datatable!$B9&amp;"!"&amp;"I:I"),"Medium Maybe")</f>
        <v>2</v>
      </c>
      <c r="I39" s="19">
        <f ca="1">COUNTIF(INDIRECT("["&amp;datatable!$C$2&amp;"]"&amp;datatable!$B9&amp;"!"&amp;"I:I"),"Low Maybe")</f>
        <v>0</v>
      </c>
      <c r="J39" s="21">
        <f ca="1">COUNTIF(INDIRECT("["&amp;datatable!$C$2&amp;"]"&amp;datatable!$B9&amp;"!"&amp;"I:I"),"Low Incorrect")</f>
        <v>1</v>
      </c>
      <c r="K39" s="23">
        <f ca="1">COUNTIF(INDIRECT("["&amp;datatable!$C$2&amp;"]"&amp;datatable!$B9&amp;"!"&amp;"I:I"),"Medium Incorrect")</f>
        <v>0</v>
      </c>
      <c r="L39" s="25">
        <f ca="1">COUNTIF(INDIRECT("["&amp;datatable!$C$2&amp;"]"&amp;datatable!$B9&amp;"!"&amp;"I:I"),"High Incorrect")</f>
        <v>1</v>
      </c>
      <c r="M39" s="27">
        <f ca="1">COUNTIF(INDIRECT("["&amp;datatable!$C$2&amp;"]"&amp;datatable!$B9&amp;"!"&amp;"I:I"),"N/A")</f>
        <v>1</v>
      </c>
      <c r="N39" s="43">
        <f t="shared" ca="1" si="3"/>
        <v>21</v>
      </c>
      <c r="O39" s="43">
        <f t="shared" ca="1" si="4"/>
        <v>20</v>
      </c>
    </row>
    <row r="40" spans="3:15">
      <c r="C40" s="44" t="s">
        <v>45</v>
      </c>
      <c r="D40" s="8">
        <f ca="1">COUNTIF(INDIRECT("["&amp;datatable!$C$2&amp;"]"&amp;datatable!$B10&amp;"!"&amp;"I:I"),"High Correct")</f>
        <v>9</v>
      </c>
      <c r="E40" s="11">
        <f ca="1">COUNTIF(INDIRECT("["&amp;datatable!$C$2&amp;"]"&amp;datatable!$B10&amp;"!"&amp;"I:I"),"Medium Correct")</f>
        <v>2</v>
      </c>
      <c r="F40" s="13">
        <f ca="1">COUNTIF(INDIRECT("["&amp;datatable!$C$2&amp;"]"&amp;datatable!$B10&amp;"!"&amp;"I:I"),"Low Correct")</f>
        <v>1</v>
      </c>
      <c r="G40" s="15">
        <f ca="1">COUNTIF(INDIRECT("["&amp;datatable!$C$2&amp;"]"&amp;datatable!$B10&amp;"!"&amp;"I:I"),"High Maybe")</f>
        <v>2</v>
      </c>
      <c r="H40" s="17">
        <f ca="1">COUNTIF(INDIRECT("["&amp;datatable!$C$2&amp;"]"&amp;datatable!$B10&amp;"!"&amp;"I:I"),"Medium Maybe")</f>
        <v>2</v>
      </c>
      <c r="I40" s="19">
        <f ca="1">COUNTIF(INDIRECT("["&amp;datatable!$C$2&amp;"]"&amp;datatable!$B10&amp;"!"&amp;"I:I"),"Low Maybe")</f>
        <v>0</v>
      </c>
      <c r="J40" s="21">
        <f ca="1">COUNTIF(INDIRECT("["&amp;datatable!$C$2&amp;"]"&amp;datatable!$B10&amp;"!"&amp;"I:I"),"Low Incorrect")</f>
        <v>0</v>
      </c>
      <c r="K40" s="23">
        <f ca="1">COUNTIF(INDIRECT("["&amp;datatable!$C$2&amp;"]"&amp;datatable!$B10&amp;"!"&amp;"I:I"),"Medium Incorrect")</f>
        <v>2</v>
      </c>
      <c r="L40" s="25">
        <f ca="1">COUNTIF(INDIRECT("["&amp;datatable!$C$2&amp;"]"&amp;datatable!$B10&amp;"!"&amp;"I:I"),"High Incorrect")</f>
        <v>0</v>
      </c>
      <c r="M40" s="27">
        <f ca="1">COUNTIF(INDIRECT("["&amp;datatable!$C$2&amp;"]"&amp;datatable!$B10&amp;"!"&amp;"I:I"),"N/A")</f>
        <v>3</v>
      </c>
      <c r="N40" s="43">
        <f t="shared" ca="1" si="3"/>
        <v>21</v>
      </c>
      <c r="O40" s="43">
        <f t="shared" ca="1" si="4"/>
        <v>18</v>
      </c>
    </row>
    <row r="41" spans="3:15">
      <c r="C41" s="44" t="s">
        <v>46</v>
      </c>
      <c r="D41" s="8">
        <f ca="1">COUNTIF(INDIRECT("["&amp;datatable!$C$2&amp;"]"&amp;datatable!$B11&amp;"!"&amp;"I:I"),"High Correct")</f>
        <v>13</v>
      </c>
      <c r="E41" s="11">
        <f ca="1">COUNTIF(INDIRECT("["&amp;datatable!$C$2&amp;"]"&amp;datatable!$B11&amp;"!"&amp;"I:I"),"Medium Correct")</f>
        <v>3</v>
      </c>
      <c r="F41" s="13">
        <f ca="1">COUNTIF(INDIRECT("["&amp;datatable!$C$2&amp;"]"&amp;datatable!$B11&amp;"!"&amp;"I:I"),"Low Correct")</f>
        <v>0</v>
      </c>
      <c r="G41" s="15">
        <f ca="1">COUNTIF(INDIRECT("["&amp;datatable!$C$2&amp;"]"&amp;datatable!$B11&amp;"!"&amp;"I:I"),"High Maybe")</f>
        <v>0</v>
      </c>
      <c r="H41" s="17">
        <f ca="1">COUNTIF(INDIRECT("["&amp;datatable!$C$2&amp;"]"&amp;datatable!$B11&amp;"!"&amp;"I:I"),"Medium Maybe")</f>
        <v>1</v>
      </c>
      <c r="I41" s="19">
        <f ca="1">COUNTIF(INDIRECT("["&amp;datatable!$C$2&amp;"]"&amp;datatable!$B11&amp;"!"&amp;"I:I"),"Low Maybe")</f>
        <v>1</v>
      </c>
      <c r="J41" s="21">
        <f ca="1">COUNTIF(INDIRECT("["&amp;datatable!$C$2&amp;"]"&amp;datatable!$B11&amp;"!"&amp;"I:I"),"Low Incorrect")</f>
        <v>0</v>
      </c>
      <c r="K41" s="23">
        <f ca="1">COUNTIF(INDIRECT("["&amp;datatable!$C$2&amp;"]"&amp;datatable!$B11&amp;"!"&amp;"I:I"),"Medium Incorrect")</f>
        <v>1</v>
      </c>
      <c r="L41" s="25">
        <f ca="1">COUNTIF(INDIRECT("["&amp;datatable!$C$2&amp;"]"&amp;datatable!$B11&amp;"!"&amp;"I:I"),"High Incorrect")</f>
        <v>2</v>
      </c>
      <c r="M41" s="27">
        <f ca="1">COUNTIF(INDIRECT("["&amp;datatable!$C$2&amp;"]"&amp;datatable!$B11&amp;"!"&amp;"I:I"),"N/A")</f>
        <v>0</v>
      </c>
      <c r="N41" s="43">
        <f t="shared" ca="1" si="3"/>
        <v>21</v>
      </c>
      <c r="O41" s="43">
        <f t="shared" ca="1" si="4"/>
        <v>21</v>
      </c>
    </row>
    <row r="42" spans="3:15">
      <c r="C42" s="44" t="s">
        <v>47</v>
      </c>
      <c r="D42" s="8">
        <f ca="1">COUNTIF(INDIRECT("["&amp;datatable!$C$2&amp;"]"&amp;datatable!$B12&amp;"!"&amp;"I:I"),"High Correct")</f>
        <v>13</v>
      </c>
      <c r="E42" s="11">
        <f ca="1">COUNTIF(INDIRECT("["&amp;datatable!$C$2&amp;"]"&amp;datatable!$B12&amp;"!"&amp;"I:I"),"Medium Correct")</f>
        <v>2</v>
      </c>
      <c r="F42" s="13">
        <f ca="1">COUNTIF(INDIRECT("["&amp;datatable!$C$2&amp;"]"&amp;datatable!$B12&amp;"!"&amp;"I:I"),"Low Correct")</f>
        <v>1</v>
      </c>
      <c r="G42" s="15">
        <f ca="1">COUNTIF(INDIRECT("["&amp;datatable!$C$2&amp;"]"&amp;datatable!$B12&amp;"!"&amp;"I:I"),"High Maybe")</f>
        <v>0</v>
      </c>
      <c r="H42" s="17">
        <f ca="1">COUNTIF(INDIRECT("["&amp;datatable!$C$2&amp;"]"&amp;datatable!$B12&amp;"!"&amp;"I:I"),"Medium Maybe")</f>
        <v>3</v>
      </c>
      <c r="I42" s="19">
        <f ca="1">COUNTIF(INDIRECT("["&amp;datatable!$C$2&amp;"]"&amp;datatable!$B12&amp;"!"&amp;"I:I"),"Low Maybe")</f>
        <v>0</v>
      </c>
      <c r="J42" s="21">
        <f ca="1">COUNTIF(INDIRECT("["&amp;datatable!$C$2&amp;"]"&amp;datatable!$B12&amp;"!"&amp;"I:I"),"Low Incorrect")</f>
        <v>1</v>
      </c>
      <c r="K42" s="23">
        <f ca="1">COUNTIF(INDIRECT("["&amp;datatable!$C$2&amp;"]"&amp;datatable!$B12&amp;"!"&amp;"I:I"),"Medium Incorrect")</f>
        <v>0</v>
      </c>
      <c r="L42" s="25">
        <f ca="1">COUNTIF(INDIRECT("["&amp;datatable!$C$2&amp;"]"&amp;datatable!$B12&amp;"!"&amp;"I:I"),"High Incorrect")</f>
        <v>1</v>
      </c>
      <c r="M42" s="27">
        <f ca="1">COUNTIF(INDIRECT("["&amp;datatable!$C$2&amp;"]"&amp;datatable!$B12&amp;"!"&amp;"I:I"),"N/A")</f>
        <v>0</v>
      </c>
      <c r="N42" s="43">
        <f t="shared" ca="1" si="3"/>
        <v>21</v>
      </c>
      <c r="O42" s="43">
        <f t="shared" ca="1" si="4"/>
        <v>21</v>
      </c>
    </row>
    <row r="43" spans="3:15">
      <c r="C43" s="44" t="s">
        <v>48</v>
      </c>
      <c r="D43" s="8">
        <f ca="1">COUNTIF(INDIRECT("["&amp;datatable!$C$2&amp;"]"&amp;datatable!$B13&amp;"!"&amp;"I:I"),"High Correct")</f>
        <v>14</v>
      </c>
      <c r="E43" s="11">
        <f ca="1">COUNTIF(INDIRECT("["&amp;datatable!$C$2&amp;"]"&amp;datatable!$B13&amp;"!"&amp;"I:I"),"Medium Correct")</f>
        <v>2</v>
      </c>
      <c r="F43" s="13">
        <f ca="1">COUNTIF(INDIRECT("["&amp;datatable!$C$2&amp;"]"&amp;datatable!$B13&amp;"!"&amp;"I:I"),"Low Correct")</f>
        <v>1</v>
      </c>
      <c r="G43" s="15">
        <f ca="1">COUNTIF(INDIRECT("["&amp;datatable!$C$2&amp;"]"&amp;datatable!$B13&amp;"!"&amp;"I:I"),"High Maybe")</f>
        <v>0</v>
      </c>
      <c r="H43" s="17">
        <f ca="1">COUNTIF(INDIRECT("["&amp;datatable!$C$2&amp;"]"&amp;datatable!$B13&amp;"!"&amp;"I:I"),"Medium Maybe")</f>
        <v>0</v>
      </c>
      <c r="I43" s="19">
        <f ca="1">COUNTIF(INDIRECT("["&amp;datatable!$C$2&amp;"]"&amp;datatable!$B13&amp;"!"&amp;"I:I"),"Low Maybe")</f>
        <v>1</v>
      </c>
      <c r="J43" s="21">
        <f ca="1">COUNTIF(INDIRECT("["&amp;datatable!$C$2&amp;"]"&amp;datatable!$B13&amp;"!"&amp;"I:I"),"Low Incorrect")</f>
        <v>0</v>
      </c>
      <c r="K43" s="23">
        <f ca="1">COUNTIF(INDIRECT("["&amp;datatable!$C$2&amp;"]"&amp;datatable!$B13&amp;"!"&amp;"I:I"),"Medium Incorrect")</f>
        <v>0</v>
      </c>
      <c r="L43" s="25">
        <f ca="1">COUNTIF(INDIRECT("["&amp;datatable!$C$2&amp;"]"&amp;datatable!$B13&amp;"!"&amp;"I:I"),"High Incorrect")</f>
        <v>3</v>
      </c>
      <c r="M43" s="27">
        <f ca="1">COUNTIF(INDIRECT("["&amp;datatable!$C$2&amp;"]"&amp;datatable!$B13&amp;"!"&amp;"I:I"),"N/A")</f>
        <v>0</v>
      </c>
      <c r="N43" s="43">
        <f t="shared" ca="1" si="3"/>
        <v>21</v>
      </c>
      <c r="O43" s="43">
        <f t="shared" ca="1" si="4"/>
        <v>21</v>
      </c>
    </row>
    <row r="44" spans="3:15">
      <c r="C44" s="44" t="s">
        <v>49</v>
      </c>
      <c r="D44" s="8">
        <f ca="1">COUNTIF(INDIRECT("["&amp;datatable!$C$2&amp;"]"&amp;datatable!$B14&amp;"!"&amp;"I:I"),"High Correct")</f>
        <v>6</v>
      </c>
      <c r="E44" s="11">
        <f ca="1">COUNTIF(INDIRECT("["&amp;datatable!$C$2&amp;"]"&amp;datatable!$B14&amp;"!"&amp;"I:I"),"Medium Correct")</f>
        <v>2</v>
      </c>
      <c r="F44" s="13">
        <f ca="1">COUNTIF(INDIRECT("["&amp;datatable!$C$2&amp;"]"&amp;datatable!$B14&amp;"!"&amp;"I:I"),"Low Correct")</f>
        <v>3</v>
      </c>
      <c r="G44" s="15">
        <f ca="1">COUNTIF(INDIRECT("["&amp;datatable!$C$2&amp;"]"&amp;datatable!$B14&amp;"!"&amp;"I:I"),"High Maybe")</f>
        <v>0</v>
      </c>
      <c r="H44" s="17">
        <f ca="1">COUNTIF(INDIRECT("["&amp;datatable!$C$2&amp;"]"&amp;datatable!$B14&amp;"!"&amp;"I:I"),"Medium Maybe")</f>
        <v>1</v>
      </c>
      <c r="I44" s="19">
        <f ca="1">COUNTIF(INDIRECT("["&amp;datatable!$C$2&amp;"]"&amp;datatable!$B14&amp;"!"&amp;"I:I"),"Low Maybe")</f>
        <v>1</v>
      </c>
      <c r="J44" s="21">
        <f ca="1">COUNTIF(INDIRECT("["&amp;datatable!$C$2&amp;"]"&amp;datatable!$B14&amp;"!"&amp;"I:I"),"Low Incorrect")</f>
        <v>1</v>
      </c>
      <c r="K44" s="23">
        <f ca="1">COUNTIF(INDIRECT("["&amp;datatable!$C$2&amp;"]"&amp;datatable!$B14&amp;"!"&amp;"I:I"),"Medium Incorrect")</f>
        <v>1</v>
      </c>
      <c r="L44" s="25">
        <f ca="1">COUNTIF(INDIRECT("["&amp;datatable!$C$2&amp;"]"&amp;datatable!$B14&amp;"!"&amp;"I:I"),"High Incorrect")</f>
        <v>3</v>
      </c>
      <c r="M44" s="27">
        <f ca="1">COUNTIF(INDIRECT("["&amp;datatable!$C$2&amp;"]"&amp;datatable!$B14&amp;"!"&amp;"I:I"),"N/A")</f>
        <v>3</v>
      </c>
      <c r="N44" s="43">
        <f t="shared" ca="1" si="3"/>
        <v>21</v>
      </c>
      <c r="O44" s="43">
        <f t="shared" ca="1" si="4"/>
        <v>18</v>
      </c>
    </row>
    <row r="45" spans="3:15">
      <c r="C45" s="44" t="s">
        <v>50</v>
      </c>
      <c r="D45" s="8">
        <f ca="1">COUNTIF(INDIRECT("["&amp;datatable!$C$2&amp;"]"&amp;datatable!$B15&amp;"!"&amp;"I:I"),"High Correct")</f>
        <v>12</v>
      </c>
      <c r="E45" s="11">
        <f ca="1">COUNTIF(INDIRECT("["&amp;datatable!$C$2&amp;"]"&amp;datatable!$B15&amp;"!"&amp;"I:I"),"Medium Correct")</f>
        <v>2</v>
      </c>
      <c r="F45" s="13">
        <f ca="1">COUNTIF(INDIRECT("["&amp;datatable!$C$2&amp;"]"&amp;datatable!$B15&amp;"!"&amp;"I:I"),"Low Correct")</f>
        <v>0</v>
      </c>
      <c r="G45" s="15">
        <f ca="1">COUNTIF(INDIRECT("["&amp;datatable!$C$2&amp;"]"&amp;datatable!$B15&amp;"!"&amp;"I:I"),"High Maybe")</f>
        <v>1</v>
      </c>
      <c r="H45" s="17">
        <f ca="1">COUNTIF(INDIRECT("["&amp;datatable!$C$2&amp;"]"&amp;datatable!$B15&amp;"!"&amp;"I:I"),"Medium Maybe")</f>
        <v>1</v>
      </c>
      <c r="I45" s="19">
        <f ca="1">COUNTIF(INDIRECT("["&amp;datatable!$C$2&amp;"]"&amp;datatable!$B15&amp;"!"&amp;"I:I"),"Low Maybe")</f>
        <v>0</v>
      </c>
      <c r="J45" s="21">
        <f ca="1">COUNTIF(INDIRECT("["&amp;datatable!$C$2&amp;"]"&amp;datatable!$B15&amp;"!"&amp;"I:I"),"Low Incorrect")</f>
        <v>1</v>
      </c>
      <c r="K45" s="23">
        <f ca="1">COUNTIF(INDIRECT("["&amp;datatable!$C$2&amp;"]"&amp;datatable!$B15&amp;"!"&amp;"I:I"),"Medium Incorrect")</f>
        <v>1</v>
      </c>
      <c r="L45" s="25">
        <f ca="1">COUNTIF(INDIRECT("["&amp;datatable!$C$2&amp;"]"&amp;datatable!$B15&amp;"!"&amp;"I:I"),"High Incorrect")</f>
        <v>3</v>
      </c>
      <c r="M45" s="27">
        <f ca="1">COUNTIF(INDIRECT("["&amp;datatable!$C$2&amp;"]"&amp;datatable!$B15&amp;"!"&amp;"I:I"),"N/A")</f>
        <v>0</v>
      </c>
      <c r="N45" s="43">
        <f t="shared" ca="1" si="3"/>
        <v>21</v>
      </c>
      <c r="O45" s="43">
        <f t="shared" ca="1" si="4"/>
        <v>21</v>
      </c>
    </row>
    <row r="46" spans="3:15">
      <c r="C46" s="45" t="s">
        <v>51</v>
      </c>
      <c r="D46" s="8">
        <f ca="1">COUNTIF(INDIRECT("["&amp;datatable!$C$2&amp;"]"&amp;datatable!$B16&amp;"!"&amp;"I:I"),"High Correct")</f>
        <v>6</v>
      </c>
      <c r="E46" s="11">
        <f ca="1">COUNTIF(INDIRECT("["&amp;datatable!$C$2&amp;"]"&amp;datatable!$B16&amp;"!"&amp;"I:I"),"Medium Correct")</f>
        <v>2</v>
      </c>
      <c r="F46" s="13">
        <f ca="1">COUNTIF(INDIRECT("["&amp;datatable!$C$2&amp;"]"&amp;datatable!$B16&amp;"!"&amp;"I:I"),"Low Correct")</f>
        <v>1</v>
      </c>
      <c r="G46" s="15">
        <f ca="1">COUNTIF(INDIRECT("["&amp;datatable!$C$2&amp;"]"&amp;datatable!$B16&amp;"!"&amp;"I:I"),"High Maybe")</f>
        <v>1</v>
      </c>
      <c r="H46" s="17">
        <f ca="1">COUNTIF(INDIRECT("["&amp;datatable!$C$2&amp;"]"&amp;datatable!$B16&amp;"!"&amp;"I:I"),"Medium Maybe")</f>
        <v>1</v>
      </c>
      <c r="I46" s="19">
        <f ca="1">COUNTIF(INDIRECT("["&amp;datatable!$C$2&amp;"]"&amp;datatable!$B16&amp;"!"&amp;"I:I"),"Low Maybe")</f>
        <v>0</v>
      </c>
      <c r="J46" s="21">
        <f ca="1">COUNTIF(INDIRECT("["&amp;datatable!$C$2&amp;"]"&amp;datatable!$B16&amp;"!"&amp;"I:I"),"Low Incorrect")</f>
        <v>0</v>
      </c>
      <c r="K46" s="23">
        <f ca="1">COUNTIF(INDIRECT("["&amp;datatable!$C$2&amp;"]"&amp;datatable!$B16&amp;"!"&amp;"I:I"),"Medium Incorrect")</f>
        <v>1</v>
      </c>
      <c r="L46" s="25">
        <f ca="1">COUNTIF(INDIRECT("["&amp;datatable!$C$2&amp;"]"&amp;datatable!$B16&amp;"!"&amp;"I:I"),"High Incorrect")</f>
        <v>9</v>
      </c>
      <c r="M46" s="27">
        <f ca="1">COUNTIF(INDIRECT("["&amp;datatable!$C$2&amp;"]"&amp;datatable!$B16&amp;"!"&amp;"I:I"),"N/A")</f>
        <v>0</v>
      </c>
      <c r="N46" s="43">
        <f t="shared" ca="1" si="3"/>
        <v>21</v>
      </c>
      <c r="O46" s="43">
        <f t="shared" ca="1" si="4"/>
        <v>21</v>
      </c>
    </row>
    <row r="47" spans="3:15">
      <c r="C47" s="44" t="s">
        <v>52</v>
      </c>
      <c r="D47" s="8">
        <f ca="1">COUNTIF(INDIRECT("["&amp;datatable!$C$2&amp;"]"&amp;datatable!$B17&amp;"!"&amp;"I:I"),"High Correct")</f>
        <v>13</v>
      </c>
      <c r="E47" s="11">
        <f ca="1">COUNTIF(INDIRECT("["&amp;datatable!$C$2&amp;"]"&amp;datatable!$B17&amp;"!"&amp;"I:I"),"Medium Correct")</f>
        <v>3</v>
      </c>
      <c r="F47" s="13">
        <f ca="1">COUNTIF(INDIRECT("["&amp;datatable!$C$2&amp;"]"&amp;datatable!$B17&amp;"!"&amp;"I:I"),"Low Correct")</f>
        <v>0</v>
      </c>
      <c r="G47" s="15">
        <f ca="1">COUNTIF(INDIRECT("["&amp;datatable!$C$2&amp;"]"&amp;datatable!$B17&amp;"!"&amp;"I:I"),"High Maybe")</f>
        <v>0</v>
      </c>
      <c r="H47" s="17">
        <f ca="1">COUNTIF(INDIRECT("["&amp;datatable!$C$2&amp;"]"&amp;datatable!$B17&amp;"!"&amp;"I:I"),"Medium Maybe")</f>
        <v>2</v>
      </c>
      <c r="I47" s="19">
        <f ca="1">COUNTIF(INDIRECT("["&amp;datatable!$C$2&amp;"]"&amp;datatable!$B17&amp;"!"&amp;"I:I"),"Low Maybe")</f>
        <v>1</v>
      </c>
      <c r="J47" s="21">
        <f ca="1">COUNTIF(INDIRECT("["&amp;datatable!$C$2&amp;"]"&amp;datatable!$B17&amp;"!"&amp;"I:I"),"Low Incorrect")</f>
        <v>0</v>
      </c>
      <c r="K47" s="23">
        <f ca="1">COUNTIF(INDIRECT("["&amp;datatable!$C$2&amp;"]"&amp;datatable!$B17&amp;"!"&amp;"I:I"),"Medium Incorrect")</f>
        <v>0</v>
      </c>
      <c r="L47" s="25">
        <f ca="1">COUNTIF(INDIRECT("["&amp;datatable!$C$2&amp;"]"&amp;datatable!$B17&amp;"!"&amp;"I:I"),"High Incorrect")</f>
        <v>1</v>
      </c>
      <c r="M47" s="27">
        <f ca="1">COUNTIF(INDIRECT("["&amp;datatable!$C$2&amp;"]"&amp;datatable!$B17&amp;"!"&amp;"I:I"),"N/A")</f>
        <v>1</v>
      </c>
      <c r="N47" s="43">
        <f ca="1">SUM(D47:M47)</f>
        <v>21</v>
      </c>
      <c r="O47" s="43">
        <f ca="1">SUM(D47:L47)</f>
        <v>20</v>
      </c>
    </row>
    <row r="48" spans="3:15">
      <c r="C48" s="44" t="s">
        <v>53</v>
      </c>
      <c r="D48" s="8">
        <f ca="1">COUNTIF(INDIRECT("["&amp;datatable!$C$2&amp;"]"&amp;datatable!$B18&amp;"!"&amp;"I:I"),"High Correct")</f>
        <v>5</v>
      </c>
      <c r="E48" s="11">
        <f ca="1">COUNTIF(INDIRECT("["&amp;datatable!$C$2&amp;"]"&amp;datatable!$B18&amp;"!"&amp;"I:I"),"Medium Correct")</f>
        <v>0</v>
      </c>
      <c r="F48" s="13">
        <f ca="1">COUNTIF(INDIRECT("["&amp;datatable!$C$2&amp;"]"&amp;datatable!$B18&amp;"!"&amp;"I:I"),"Low Correct")</f>
        <v>1</v>
      </c>
      <c r="G48" s="15">
        <f ca="1">COUNTIF(INDIRECT("["&amp;datatable!$C$2&amp;"]"&amp;datatable!$B18&amp;"!"&amp;"I:I"),"High Maybe")</f>
        <v>0</v>
      </c>
      <c r="H48" s="17">
        <f ca="1">COUNTIF(INDIRECT("["&amp;datatable!$C$2&amp;"]"&amp;datatable!$B18&amp;"!"&amp;"I:I"),"Medium Maybe")</f>
        <v>2</v>
      </c>
      <c r="I48" s="19">
        <f ca="1">COUNTIF(INDIRECT("["&amp;datatable!$C$2&amp;"]"&amp;datatable!$B18&amp;"!"&amp;"I:I"),"Low Maybe")</f>
        <v>2</v>
      </c>
      <c r="J48" s="21">
        <f ca="1">COUNTIF(INDIRECT("["&amp;datatable!$C$2&amp;"]"&amp;datatable!$B18&amp;"!"&amp;"I:I"),"Low Incorrect")</f>
        <v>0</v>
      </c>
      <c r="K48" s="23">
        <f ca="1">COUNTIF(INDIRECT("["&amp;datatable!$C$2&amp;"]"&amp;datatable!$B18&amp;"!"&amp;"I:I"),"Medium Incorrect")</f>
        <v>1</v>
      </c>
      <c r="L48" s="25">
        <f ca="1">COUNTIF(INDIRECT("["&amp;datatable!$C$2&amp;"]"&amp;datatable!$B18&amp;"!"&amp;"I:I"),"High Incorrect")</f>
        <v>8</v>
      </c>
      <c r="M48" s="27">
        <f ca="1">COUNTIF(INDIRECT("["&amp;datatable!$C$2&amp;"]"&amp;datatable!$B18&amp;"!"&amp;"I:I"),"N/A")</f>
        <v>2</v>
      </c>
      <c r="N48" s="43">
        <f ca="1">SUM(D48:M48)</f>
        <v>21</v>
      </c>
      <c r="O48" s="43">
        <f ca="1">SUM(D48:L48)</f>
        <v>19</v>
      </c>
    </row>
    <row r="49" spans="3:25">
      <c r="C49" s="44" t="s">
        <v>54</v>
      </c>
      <c r="D49" s="8">
        <f ca="1">COUNTIF(INDIRECT("["&amp;datatable!$C$2&amp;"]"&amp;datatable!$B19&amp;"!"&amp;"I:I"),"High Correct")</f>
        <v>11</v>
      </c>
      <c r="E49" s="11">
        <f ca="1">COUNTIF(INDIRECT("["&amp;datatable!$C$2&amp;"]"&amp;datatable!$B19&amp;"!"&amp;"I:I"),"Medium Correct")</f>
        <v>0</v>
      </c>
      <c r="F49" s="13">
        <f ca="1">COUNTIF(INDIRECT("["&amp;datatable!$C$2&amp;"]"&amp;datatable!$B19&amp;"!"&amp;"I:I"),"Low Correct")</f>
        <v>7</v>
      </c>
      <c r="G49" s="15">
        <f ca="1">COUNTIF(INDIRECT("["&amp;datatable!$C$2&amp;"]"&amp;datatable!$B19&amp;"!"&amp;"I:I"),"High Maybe")</f>
        <v>0</v>
      </c>
      <c r="H49" s="17">
        <f ca="1">COUNTIF(INDIRECT("["&amp;datatable!$C$2&amp;"]"&amp;datatable!$B19&amp;"!"&amp;"I:I"),"Medium Maybe")</f>
        <v>0</v>
      </c>
      <c r="I49" s="19">
        <f ca="1">COUNTIF(INDIRECT("["&amp;datatable!$C$2&amp;"]"&amp;datatable!$B19&amp;"!"&amp;"I:I"),"Low Maybe")</f>
        <v>1</v>
      </c>
      <c r="J49" s="21">
        <f ca="1">COUNTIF(INDIRECT("["&amp;datatable!$C$2&amp;"]"&amp;datatable!$B19&amp;"!"&amp;"I:I"),"Low Incorrect")</f>
        <v>0</v>
      </c>
      <c r="K49" s="23">
        <f ca="1">COUNTIF(INDIRECT("["&amp;datatable!$C$2&amp;"]"&amp;datatable!$B19&amp;"!"&amp;"I:I"),"Medium Incorrect")</f>
        <v>0</v>
      </c>
      <c r="L49" s="25">
        <f ca="1">COUNTIF(INDIRECT("["&amp;datatable!$C$2&amp;"]"&amp;datatable!$B19&amp;"!"&amp;"I:I"),"High Incorrect")</f>
        <v>2</v>
      </c>
      <c r="M49" s="27">
        <f ca="1">COUNTIF(INDIRECT("["&amp;datatable!$C$2&amp;"]"&amp;datatable!$B19&amp;"!"&amp;"I:I"),"N/A")</f>
        <v>0</v>
      </c>
      <c r="N49" s="43">
        <f ca="1">SUM(D49:M49)</f>
        <v>21</v>
      </c>
      <c r="O49" s="43">
        <f ca="1">SUM(D49:L49)</f>
        <v>21</v>
      </c>
    </row>
    <row r="50" spans="3:25">
      <c r="C50" s="46" t="s">
        <v>36</v>
      </c>
      <c r="D50" s="47">
        <f ca="1">SUM(D32:D49)</f>
        <v>195</v>
      </c>
      <c r="E50" s="47">
        <f t="shared" ref="E50:M50" ca="1" si="5">SUM(E32:E49)</f>
        <v>36</v>
      </c>
      <c r="F50" s="47">
        <f t="shared" ca="1" si="5"/>
        <v>27</v>
      </c>
      <c r="G50" s="47">
        <f t="shared" ca="1" si="5"/>
        <v>7</v>
      </c>
      <c r="H50" s="47">
        <f t="shared" ca="1" si="5"/>
        <v>19</v>
      </c>
      <c r="I50" s="47">
        <f t="shared" ca="1" si="5"/>
        <v>8</v>
      </c>
      <c r="J50" s="47">
        <f t="shared" ca="1" si="5"/>
        <v>8</v>
      </c>
      <c r="K50" s="47">
        <f t="shared" ca="1" si="5"/>
        <v>11</v>
      </c>
      <c r="L50" s="47">
        <f t="shared" ca="1" si="5"/>
        <v>40</v>
      </c>
      <c r="M50" s="47">
        <f t="shared" ca="1" si="5"/>
        <v>27</v>
      </c>
      <c r="N50" s="43">
        <f ca="1">SUM(D50:M50)</f>
        <v>378</v>
      </c>
      <c r="O50" s="43">
        <f ca="1">SUM(D50:L50)</f>
        <v>351</v>
      </c>
    </row>
    <row r="54" spans="3:25">
      <c r="C54" s="48"/>
      <c r="D54" s="49" t="s">
        <v>13</v>
      </c>
      <c r="E54" s="49" t="s">
        <v>14</v>
      </c>
      <c r="F54" s="49" t="s">
        <v>15</v>
      </c>
      <c r="G54" s="49" t="s">
        <v>16</v>
      </c>
      <c r="H54" s="49" t="s">
        <v>17</v>
      </c>
      <c r="I54" s="49" t="s">
        <v>18</v>
      </c>
      <c r="J54" s="49" t="s">
        <v>19</v>
      </c>
      <c r="K54" s="49" t="s">
        <v>20</v>
      </c>
      <c r="L54" s="49" t="s">
        <v>21</v>
      </c>
      <c r="M54" s="49" t="s">
        <v>22</v>
      </c>
      <c r="N54" s="49" t="s">
        <v>23</v>
      </c>
      <c r="O54" s="49" t="s">
        <v>24</v>
      </c>
      <c r="P54" s="49" t="s">
        <v>25</v>
      </c>
      <c r="Q54" s="49" t="s">
        <v>26</v>
      </c>
      <c r="R54" s="49" t="s">
        <v>27</v>
      </c>
      <c r="S54" s="49" t="s">
        <v>28</v>
      </c>
      <c r="T54" s="49" t="s">
        <v>29</v>
      </c>
      <c r="U54" s="49" t="s">
        <v>30</v>
      </c>
      <c r="V54" s="49" t="s">
        <v>31</v>
      </c>
      <c r="W54" s="49" t="s">
        <v>32</v>
      </c>
      <c r="X54" s="49" t="s">
        <v>33</v>
      </c>
      <c r="Y54" s="50"/>
    </row>
    <row r="55" spans="3:25">
      <c r="C55" s="30"/>
      <c r="D55" s="51"/>
      <c r="E55" s="51"/>
      <c r="F55" s="51"/>
      <c r="G55" s="51"/>
      <c r="H55" s="51"/>
      <c r="I55" s="51"/>
      <c r="J55" s="51"/>
      <c r="K55" s="51"/>
      <c r="L55" s="51"/>
      <c r="M55" s="51"/>
      <c r="N55" s="51"/>
      <c r="O55" s="51"/>
      <c r="P55" s="51"/>
      <c r="Q55" s="51"/>
      <c r="R55" s="51"/>
      <c r="S55" s="51"/>
      <c r="T55" s="51"/>
      <c r="U55" s="51"/>
      <c r="V55" s="51"/>
      <c r="W55" s="51"/>
      <c r="X55" s="51"/>
      <c r="Y55" s="50"/>
    </row>
    <row r="56" spans="3:25">
      <c r="C56" s="52" t="s">
        <v>37</v>
      </c>
      <c r="D56" s="51" t="str" cm="1">
        <f t="array" aca="1" ref="D56" ca="1">INDIRECT("["&amp;datatable!$C$2&amp;"]"&amp;datatable!$B2&amp;"!"&amp;"I2")</f>
        <v>N/A</v>
      </c>
      <c r="E56" s="51" t="str" cm="1">
        <f t="array" aca="1" ref="E56" ca="1">INDIRECT("["&amp;datatable!$C$2&amp;"]"&amp;datatable!$B2&amp;"!"&amp;"I3")</f>
        <v>High Correct</v>
      </c>
      <c r="F56" s="51" t="str" cm="1">
        <f t="array" aca="1" ref="F56" ca="1">INDIRECT("["&amp;datatable!$C$2&amp;"]"&amp;datatable!$B2&amp;"!"&amp;"I4")</f>
        <v>High Correct</v>
      </c>
      <c r="G56" s="51" t="str" cm="1">
        <f t="array" aca="1" ref="G56" ca="1">INDIRECT("["&amp;datatable!$C$2&amp;"]"&amp;datatable!$B2&amp;"!"&amp;"I5")</f>
        <v>High Correct</v>
      </c>
      <c r="H56" s="51" t="str" cm="1">
        <f t="array" aca="1" ref="H56" ca="1">INDIRECT("["&amp;datatable!$C$2&amp;"]"&amp;datatable!$B2&amp;"!"&amp;"I6")</f>
        <v>Medium Maybe</v>
      </c>
      <c r="I56" s="51" t="str" cm="1">
        <f t="array" aca="1" ref="I56" ca="1">INDIRECT("["&amp;datatable!$C$2&amp;"]"&amp;datatable!$B2&amp;"!"&amp;"I7")</f>
        <v>High Correct</v>
      </c>
      <c r="J56" s="51" t="str" cm="1">
        <f t="array" aca="1" ref="J56" ca="1">INDIRECT("["&amp;datatable!$C$2&amp;"]"&amp;datatable!$B2&amp;"!"&amp;"I8")</f>
        <v>High Maybe</v>
      </c>
      <c r="K56" s="51" t="str" cm="1">
        <f t="array" aca="1" ref="K56" ca="1">INDIRECT("["&amp;datatable!$C$2&amp;"]"&amp;datatable!$B2&amp;"!"&amp;"I9")</f>
        <v>High Correct</v>
      </c>
      <c r="L56" s="51" t="str" cm="1">
        <f t="array" aca="1" ref="L56" ca="1">INDIRECT("["&amp;datatable!$C$2&amp;"]"&amp;datatable!$B2&amp;"!"&amp;"I10")</f>
        <v>High Correct</v>
      </c>
      <c r="M56" s="51" t="str" cm="1">
        <f t="array" aca="1" ref="M56" ca="1">INDIRECT("["&amp;datatable!$C$2&amp;"]"&amp;datatable!$B2&amp;"!"&amp;"I11")</f>
        <v>High Correct</v>
      </c>
      <c r="N56" s="51" t="str" cm="1">
        <f t="array" aca="1" ref="N56" ca="1">INDIRECT("["&amp;datatable!$C$2&amp;"]"&amp;datatable!$B2&amp;"!"&amp;"I46")</f>
        <v>High Correct</v>
      </c>
      <c r="O56" s="51" t="str" cm="1">
        <f t="array" aca="1" ref="O56" ca="1">INDIRECT("["&amp;datatable!$C$2&amp;"]"&amp;datatable!$B2&amp;"!"&amp;"I47")</f>
        <v>Medium Correct</v>
      </c>
      <c r="P56" s="51" t="str" cm="1">
        <f t="array" aca="1" ref="P56" ca="1">INDIRECT("["&amp;datatable!$C$2&amp;"]"&amp;datatable!$B2&amp;"!"&amp;"I48")</f>
        <v>High Correct</v>
      </c>
      <c r="Q56" s="51" t="str" cm="1">
        <f t="array" aca="1" ref="Q56" ca="1">INDIRECT("["&amp;datatable!$C$2&amp;"]"&amp;datatable!$B2&amp;"!"&amp;"I49")</f>
        <v>High Correct</v>
      </c>
      <c r="R56" s="51" t="str" cm="1">
        <f t="array" aca="1" ref="R56" ca="1">INDIRECT("["&amp;datatable!$C$2&amp;"]"&amp;datatable!$B2&amp;"!"&amp;"I50")</f>
        <v>High Correct</v>
      </c>
      <c r="S56" s="51" t="str" cm="1">
        <f t="array" aca="1" ref="S56" ca="1">INDIRECT("["&amp;datatable!$C$2&amp;"]"&amp;datatable!$B2&amp;"!"&amp;"I51")</f>
        <v>High Correct</v>
      </c>
      <c r="T56" s="51" t="str" cm="1">
        <f t="array" aca="1" ref="T56" ca="1">INDIRECT("["&amp;datatable!$C$2&amp;"]"&amp;datatable!$B2&amp;"!"&amp;"I52")</f>
        <v>N/A</v>
      </c>
      <c r="U56" s="51" t="str" cm="1">
        <f t="array" aca="1" ref="U56" ca="1">INDIRECT("["&amp;datatable!$C$2&amp;"]"&amp;datatable!$B2&amp;"!"&amp;"I53")</f>
        <v>Low Correct</v>
      </c>
      <c r="V56" s="51" t="str" cm="1">
        <f t="array" aca="1" ref="V56" ca="1">INDIRECT("["&amp;datatable!$C$2&amp;"]"&amp;datatable!$B2&amp;"!"&amp;"I54")</f>
        <v>High Correct</v>
      </c>
      <c r="W56" s="51" t="str" cm="1">
        <f t="array" aca="1" ref="W56" ca="1">INDIRECT("["&amp;datatable!$C$2&amp;"]"&amp;datatable!$B2&amp;"!"&amp;"I55")</f>
        <v>Low Correct</v>
      </c>
      <c r="X56" s="51" t="str" cm="1">
        <f t="array" aca="1" ref="X56" ca="1">INDIRECT("["&amp;datatable!$C$2&amp;"]"&amp;datatable!$B2&amp;"!"&amp;"I56")</f>
        <v>N/A</v>
      </c>
      <c r="Y56" s="50"/>
    </row>
    <row r="57" spans="3:25">
      <c r="C57" s="30" t="s">
        <v>38</v>
      </c>
      <c r="D57" s="51" t="str" cm="1">
        <f t="array" aca="1" ref="D57" ca="1">INDIRECT("["&amp;datatable!$C$2&amp;"]"&amp;datatable!$B3&amp;"!"&amp;"I2")</f>
        <v>Medium Correct</v>
      </c>
      <c r="E57" s="51" t="str" cm="1">
        <f t="array" aca="1" ref="E57" ca="1">INDIRECT("["&amp;datatable!$C$2&amp;"]"&amp;datatable!$B3&amp;"!"&amp;"I3")</f>
        <v>High Correct</v>
      </c>
      <c r="F57" s="51" t="str" cm="1">
        <f t="array" aca="1" ref="F57" ca="1">INDIRECT("["&amp;datatable!$C$2&amp;"]"&amp;datatable!$B3&amp;"!"&amp;"I4")</f>
        <v>High Correct</v>
      </c>
      <c r="G57" s="51" t="str" cm="1">
        <f t="array" aca="1" ref="G57" ca="1">INDIRECT("["&amp;datatable!$C$2&amp;"]"&amp;datatable!$B3&amp;"!"&amp;"I5")</f>
        <v>High Correct</v>
      </c>
      <c r="H57" s="51" t="str" cm="1">
        <f t="array" aca="1" ref="H57" ca="1">INDIRECT("["&amp;datatable!$C$2&amp;"]"&amp;datatable!$B3&amp;"!"&amp;"I6")</f>
        <v>Medium Correct</v>
      </c>
      <c r="I57" s="51" t="str" cm="1">
        <f t="array" aca="1" ref="I57" ca="1">INDIRECT("["&amp;datatable!$C$2&amp;"]"&amp;datatable!$B3&amp;"!"&amp;"I7")</f>
        <v>High Correct</v>
      </c>
      <c r="J57" s="51" t="str" cm="1">
        <f t="array" aca="1" ref="J57" ca="1">INDIRECT("["&amp;datatable!$C$2&amp;"]"&amp;datatable!$B3&amp;"!"&amp;"I8")</f>
        <v>Medium Correct</v>
      </c>
      <c r="K57" s="51" t="str" cm="1">
        <f t="array" aca="1" ref="K57" ca="1">INDIRECT("["&amp;datatable!$C$2&amp;"]"&amp;datatable!$B3&amp;"!"&amp;"I9")</f>
        <v>High Correct</v>
      </c>
      <c r="L57" s="51" t="str" cm="1">
        <f t="array" aca="1" ref="L57" ca="1">INDIRECT("["&amp;datatable!$C$2&amp;"]"&amp;datatable!$B3&amp;"!"&amp;"I10")</f>
        <v>High Correct</v>
      </c>
      <c r="M57" s="51" t="str" cm="1">
        <f t="array" aca="1" ref="M57" ca="1">INDIRECT("["&amp;datatable!$C$2&amp;"]"&amp;datatable!$B3&amp;"!"&amp;"I11")</f>
        <v>High Correct</v>
      </c>
      <c r="N57" s="51" t="str" cm="1">
        <f t="array" aca="1" ref="N57" ca="1">INDIRECT("["&amp;datatable!$C$2&amp;"]"&amp;datatable!$B3&amp;"!"&amp;"I46")</f>
        <v>Medium Maybe</v>
      </c>
      <c r="O57" s="51" t="str" cm="1">
        <f t="array" aca="1" ref="O57" ca="1">INDIRECT("["&amp;datatable!$C$2&amp;"]"&amp;datatable!$B3&amp;"!"&amp;"I47")</f>
        <v>High Correct</v>
      </c>
      <c r="P57" s="51" t="str" cm="1">
        <f t="array" aca="1" ref="P57" ca="1">INDIRECT("["&amp;datatable!$C$2&amp;"]"&amp;datatable!$B3&amp;"!"&amp;"I48")</f>
        <v>High Correct</v>
      </c>
      <c r="Q57" s="51" t="str" cm="1">
        <f t="array" aca="1" ref="Q57" ca="1">INDIRECT("["&amp;datatable!$C$2&amp;"]"&amp;datatable!$B3&amp;"!"&amp;"I49")</f>
        <v>High Correct</v>
      </c>
      <c r="R57" s="51" t="str" cm="1">
        <f t="array" aca="1" ref="R57" ca="1">INDIRECT("["&amp;datatable!$C$2&amp;"]"&amp;datatable!$B3&amp;"!"&amp;"I50")</f>
        <v>High Incorrect</v>
      </c>
      <c r="S57" s="51" t="str" cm="1">
        <f t="array" aca="1" ref="S57" ca="1">INDIRECT("["&amp;datatable!$C$2&amp;"]"&amp;datatable!$B3&amp;"!"&amp;"I51")</f>
        <v>High Correct</v>
      </c>
      <c r="T57" s="51" t="str" cm="1">
        <f t="array" aca="1" ref="T57" ca="1">INDIRECT("["&amp;datatable!$C$2&amp;"]"&amp;datatable!$B3&amp;"!"&amp;"I52")</f>
        <v>Medium Correct</v>
      </c>
      <c r="U57" s="51" t="str" cm="1">
        <f t="array" aca="1" ref="U57" ca="1">INDIRECT("["&amp;datatable!$C$2&amp;"]"&amp;datatable!$B3&amp;"!"&amp;"I53")</f>
        <v>High Maybe</v>
      </c>
      <c r="V57" s="51" t="str" cm="1">
        <f t="array" aca="1" ref="V57" ca="1">INDIRECT("["&amp;datatable!$C$2&amp;"]"&amp;datatable!$B3&amp;"!"&amp;"I54")</f>
        <v>High Incorrect</v>
      </c>
      <c r="W57" s="51" t="str" cm="1">
        <f t="array" aca="1" ref="W57" ca="1">INDIRECT("["&amp;datatable!$C$2&amp;"]"&amp;datatable!$B3&amp;"!"&amp;"I55")</f>
        <v>High Incorrect</v>
      </c>
      <c r="X57" s="51" t="str" cm="1">
        <f t="array" aca="1" ref="X57" ca="1">INDIRECT("["&amp;datatable!$C$2&amp;"]"&amp;datatable!$B3&amp;"!"&amp;"I56")</f>
        <v>Medium Incorrect</v>
      </c>
      <c r="Y57" s="50"/>
    </row>
    <row r="58" spans="3:25">
      <c r="C58" s="30" t="s">
        <v>39</v>
      </c>
      <c r="D58" s="51" t="str" cm="1">
        <f t="array" aca="1" ref="D58" ca="1">INDIRECT("["&amp;datatable!$C$2&amp;"]"&amp;datatable!$B4&amp;"!"&amp;"I2")</f>
        <v>High Correct</v>
      </c>
      <c r="E58" s="51" t="str" cm="1">
        <f t="array" aca="1" ref="E58" ca="1">INDIRECT("["&amp;datatable!$C$2&amp;"]"&amp;datatable!$B4&amp;"!"&amp;"I3")</f>
        <v>High Correct</v>
      </c>
      <c r="F58" s="51" t="str" cm="1">
        <f t="array" aca="1" ref="F58" ca="1">INDIRECT("["&amp;datatable!$C$2&amp;"]"&amp;datatable!$B4&amp;"!"&amp;"I4")</f>
        <v>Low Correct</v>
      </c>
      <c r="G58" s="51" t="str" cm="1">
        <f t="array" aca="1" ref="G58" ca="1">INDIRECT("["&amp;datatable!$C$2&amp;"]"&amp;datatable!$B4&amp;"!"&amp;"I5")</f>
        <v>Medium Incorrect</v>
      </c>
      <c r="H58" s="51" t="str" cm="1">
        <f t="array" aca="1" ref="H58" ca="1">INDIRECT("["&amp;datatable!$C$2&amp;"]"&amp;datatable!$B4&amp;"!"&amp;"I6")</f>
        <v>High Correct</v>
      </c>
      <c r="I58" s="51" t="str" cm="1">
        <f t="array" aca="1" ref="I58" ca="1">INDIRECT("["&amp;datatable!$C$2&amp;"]"&amp;datatable!$B4&amp;"!"&amp;"I7")</f>
        <v>High Correct</v>
      </c>
      <c r="J58" s="51" t="str" cm="1">
        <f t="array" aca="1" ref="J58" ca="1">INDIRECT("["&amp;datatable!$C$2&amp;"]"&amp;datatable!$B4&amp;"!"&amp;"I8")</f>
        <v>High Correct</v>
      </c>
      <c r="K58" s="51" t="str" cm="1">
        <f t="array" aca="1" ref="K58" ca="1">INDIRECT("["&amp;datatable!$C$2&amp;"]"&amp;datatable!$B4&amp;"!"&amp;"I9")</f>
        <v>High Correct</v>
      </c>
      <c r="L58" s="51" t="str" cm="1">
        <f t="array" aca="1" ref="L58" ca="1">INDIRECT("["&amp;datatable!$C$2&amp;"]"&amp;datatable!$B4&amp;"!"&amp;"I10")</f>
        <v>High Correct</v>
      </c>
      <c r="M58" s="51" t="str" cm="1">
        <f t="array" aca="1" ref="M58" ca="1">INDIRECT("["&amp;datatable!$C$2&amp;"]"&amp;datatable!$B4&amp;"!"&amp;"I11")</f>
        <v>High Correct</v>
      </c>
      <c r="N58" s="51" t="str" cm="1">
        <f t="array" aca="1" ref="N58" ca="1">INDIRECT("["&amp;datatable!$C$2&amp;"]"&amp;datatable!$B4&amp;"!"&amp;"I46")</f>
        <v>High Correct</v>
      </c>
      <c r="O58" s="51" t="str" cm="1">
        <f t="array" aca="1" ref="O58" ca="1">INDIRECT("["&amp;datatable!$C$2&amp;"]"&amp;datatable!$B4&amp;"!"&amp;"I47")</f>
        <v>High Correct</v>
      </c>
      <c r="P58" s="51" t="str" cm="1">
        <f t="array" aca="1" ref="P58" ca="1">INDIRECT("["&amp;datatable!$C$2&amp;"]"&amp;datatable!$B4&amp;"!"&amp;"I48")</f>
        <v>High Correct</v>
      </c>
      <c r="Q58" s="51" t="str" cm="1">
        <f t="array" aca="1" ref="Q58" ca="1">INDIRECT("["&amp;datatable!$C$2&amp;"]"&amp;datatable!$B4&amp;"!"&amp;"I49")</f>
        <v>High Correct</v>
      </c>
      <c r="R58" s="51" t="str" cm="1">
        <f t="array" aca="1" ref="R58" ca="1">INDIRECT("["&amp;datatable!$C$2&amp;"]"&amp;datatable!$B4&amp;"!"&amp;"I50")</f>
        <v>High Correct</v>
      </c>
      <c r="S58" s="51" t="str" cm="1">
        <f t="array" aca="1" ref="S58" ca="1">INDIRECT("["&amp;datatable!$C$2&amp;"]"&amp;datatable!$B4&amp;"!"&amp;"I51")</f>
        <v>High Incorrect</v>
      </c>
      <c r="T58" s="51" t="str" cm="1">
        <f t="array" aca="1" ref="T58" ca="1">INDIRECT("["&amp;datatable!$C$2&amp;"]"&amp;datatable!$B4&amp;"!"&amp;"I52")</f>
        <v>N/A</v>
      </c>
      <c r="U58" s="51" t="str" cm="1">
        <f t="array" aca="1" ref="U58" ca="1">INDIRECT("["&amp;datatable!$C$2&amp;"]"&amp;datatable!$B4&amp;"!"&amp;"I53")</f>
        <v>Medium Correct</v>
      </c>
      <c r="V58" s="51" t="str" cm="1">
        <f t="array" aca="1" ref="V58" ca="1">INDIRECT("["&amp;datatable!$C$2&amp;"]"&amp;datatable!$B4&amp;"!"&amp;"I54")</f>
        <v>Medium Maybe</v>
      </c>
      <c r="W58" s="51" t="str" cm="1">
        <f t="array" aca="1" ref="W58" ca="1">INDIRECT("["&amp;datatable!$C$2&amp;"]"&amp;datatable!$B4&amp;"!"&amp;"I55")</f>
        <v>Low Correct</v>
      </c>
      <c r="X58" s="51" t="str" cm="1">
        <f t="array" aca="1" ref="X58" ca="1">INDIRECT("["&amp;datatable!$C$2&amp;"]"&amp;datatable!$B4&amp;"!"&amp;"I56")</f>
        <v>N/A</v>
      </c>
      <c r="Y58" s="50"/>
    </row>
    <row r="59" spans="3:25">
      <c r="C59" s="30" t="s">
        <v>40</v>
      </c>
      <c r="D59" s="51" t="str" cm="1">
        <f t="array" aca="1" ref="D59" ca="1">INDIRECT("["&amp;datatable!$C$2&amp;"]"&amp;datatable!$B5&amp;"!"&amp;"I2")</f>
        <v>High Correct</v>
      </c>
      <c r="E59" s="51" t="str" cm="1">
        <f t="array" aca="1" ref="E59" ca="1">INDIRECT("["&amp;datatable!$C$2&amp;"]"&amp;datatable!$B5&amp;"!"&amp;"I3")</f>
        <v>High Maybe</v>
      </c>
      <c r="F59" s="51" t="str" cm="1">
        <f t="array" aca="1" ref="F59" ca="1">INDIRECT("["&amp;datatable!$C$2&amp;"]"&amp;datatable!$B5&amp;"!"&amp;"I4")</f>
        <v>High Correct</v>
      </c>
      <c r="G59" s="51" t="str" cm="1">
        <f t="array" aca="1" ref="G59" ca="1">INDIRECT("["&amp;datatable!$C$2&amp;"]"&amp;datatable!$B5&amp;"!"&amp;"I5")</f>
        <v>High Correct</v>
      </c>
      <c r="H59" s="51" t="str" cm="1">
        <f t="array" aca="1" ref="H59" ca="1">INDIRECT("["&amp;datatable!$C$2&amp;"]"&amp;datatable!$B5&amp;"!"&amp;"I6")</f>
        <v>Medium Correct</v>
      </c>
      <c r="I59" s="51" t="str" cm="1">
        <f t="array" aca="1" ref="I59" ca="1">INDIRECT("["&amp;datatable!$C$2&amp;"]"&amp;datatable!$B5&amp;"!"&amp;"I7")</f>
        <v>High Correct</v>
      </c>
      <c r="J59" s="51" t="str" cm="1">
        <f t="array" aca="1" ref="J59" ca="1">INDIRECT("["&amp;datatable!$C$2&amp;"]"&amp;datatable!$B5&amp;"!"&amp;"I8")</f>
        <v>Medium Incorrect</v>
      </c>
      <c r="K59" s="51" t="str" cm="1">
        <f t="array" aca="1" ref="K59" ca="1">INDIRECT("["&amp;datatable!$C$2&amp;"]"&amp;datatable!$B5&amp;"!"&amp;"I9")</f>
        <v>High Correct</v>
      </c>
      <c r="L59" s="51" t="str" cm="1">
        <f t="array" aca="1" ref="L59" ca="1">INDIRECT("["&amp;datatable!$C$2&amp;"]"&amp;datatable!$B5&amp;"!"&amp;"I10")</f>
        <v>Medium Maybe</v>
      </c>
      <c r="M59" s="51" t="str" cm="1">
        <f t="array" aca="1" ref="M59" ca="1">INDIRECT("["&amp;datatable!$C$2&amp;"]"&amp;datatable!$B5&amp;"!"&amp;"I11")</f>
        <v>High Correct</v>
      </c>
      <c r="N59" s="51" t="str" cm="1">
        <f t="array" aca="1" ref="N59" ca="1">INDIRECT("["&amp;datatable!$C$2&amp;"]"&amp;datatable!$B5&amp;"!"&amp;"I46")</f>
        <v>High Correct</v>
      </c>
      <c r="O59" s="51" t="str" cm="1">
        <f t="array" aca="1" ref="O59" ca="1">INDIRECT("["&amp;datatable!$C$2&amp;"]"&amp;datatable!$B5&amp;"!"&amp;"I47")</f>
        <v>High Correct</v>
      </c>
      <c r="P59" s="51" t="str" cm="1">
        <f t="array" aca="1" ref="P59" ca="1">INDIRECT("["&amp;datatable!$C$2&amp;"]"&amp;datatable!$B5&amp;"!"&amp;"I48")</f>
        <v>High Correct</v>
      </c>
      <c r="Q59" s="51" t="str" cm="1">
        <f t="array" aca="1" ref="Q59" ca="1">INDIRECT("["&amp;datatable!$C$2&amp;"]"&amp;datatable!$B5&amp;"!"&amp;"I49")</f>
        <v>High Correct</v>
      </c>
      <c r="R59" s="51" t="str" cm="1">
        <f t="array" aca="1" ref="R59" ca="1">INDIRECT("["&amp;datatable!$C$2&amp;"]"&amp;datatable!$B5&amp;"!"&amp;"I50")</f>
        <v>High Correct</v>
      </c>
      <c r="S59" s="51" t="str" cm="1">
        <f t="array" aca="1" ref="S59" ca="1">INDIRECT("["&amp;datatable!$C$2&amp;"]"&amp;datatable!$B5&amp;"!"&amp;"I51")</f>
        <v>High Correct</v>
      </c>
      <c r="T59" s="51" t="str" cm="1">
        <f t="array" aca="1" ref="T59" ca="1">INDIRECT("["&amp;datatable!$C$2&amp;"]"&amp;datatable!$B5&amp;"!"&amp;"I52")</f>
        <v>Low Correct</v>
      </c>
      <c r="U59" s="51" t="str" cm="1">
        <f t="array" aca="1" ref="U59" ca="1">INDIRECT("["&amp;datatable!$C$2&amp;"]"&amp;datatable!$B5&amp;"!"&amp;"I53")</f>
        <v>Medium Correct</v>
      </c>
      <c r="V59" s="51" t="str" cm="1">
        <f t="array" aca="1" ref="V59" ca="1">INDIRECT("["&amp;datatable!$C$2&amp;"]"&amp;datatable!$B5&amp;"!"&amp;"I54")</f>
        <v>High Correct</v>
      </c>
      <c r="W59" s="51" t="str" cm="1">
        <f t="array" aca="1" ref="W59" ca="1">INDIRECT("["&amp;datatable!$C$2&amp;"]"&amp;datatable!$B5&amp;"!"&amp;"I55")</f>
        <v>High Correct</v>
      </c>
      <c r="X59" s="51" t="str" cm="1">
        <f t="array" aca="1" ref="X59" ca="1">INDIRECT("["&amp;datatable!$C$2&amp;"]"&amp;datatable!$B5&amp;"!"&amp;"I56")</f>
        <v>Medium Correct</v>
      </c>
      <c r="Y59" s="50"/>
    </row>
    <row r="60" spans="3:25">
      <c r="C60" s="30" t="s">
        <v>41</v>
      </c>
      <c r="D60" s="51" t="str" cm="1">
        <f t="array" aca="1" ref="D60" ca="1">INDIRECT("["&amp;datatable!$C$2&amp;"]"&amp;datatable!$B6&amp;"!"&amp;"I2")</f>
        <v>Medium Correct</v>
      </c>
      <c r="E60" s="51" t="str" cm="1">
        <f t="array" aca="1" ref="E60" ca="1">INDIRECT("["&amp;datatable!$C$2&amp;"]"&amp;datatable!$B6&amp;"!"&amp;"I3")</f>
        <v>High Correct</v>
      </c>
      <c r="F60" s="51" t="str" cm="1">
        <f t="array" aca="1" ref="F60" ca="1">INDIRECT("["&amp;datatable!$C$2&amp;"]"&amp;datatable!$B6&amp;"!"&amp;"I4")</f>
        <v>High Incorrect</v>
      </c>
      <c r="G60" s="51" t="str" cm="1">
        <f t="array" aca="1" ref="G60" ca="1">INDIRECT("["&amp;datatable!$C$2&amp;"]"&amp;datatable!$B6&amp;"!"&amp;"I5")</f>
        <v>Medium Incorrect</v>
      </c>
      <c r="H60" s="51" t="str" cm="1">
        <f t="array" aca="1" ref="H60" ca="1">INDIRECT("["&amp;datatable!$C$2&amp;"]"&amp;datatable!$B6&amp;"!"&amp;"I6")</f>
        <v>High Correct</v>
      </c>
      <c r="I60" s="51" t="str" cm="1">
        <f t="array" aca="1" ref="I60" ca="1">INDIRECT("["&amp;datatable!$C$2&amp;"]"&amp;datatable!$B6&amp;"!"&amp;"I7")</f>
        <v>High Correct</v>
      </c>
      <c r="J60" s="51" t="str" cm="1">
        <f t="array" aca="1" ref="J60" ca="1">INDIRECT("["&amp;datatable!$C$2&amp;"]"&amp;datatable!$B6&amp;"!"&amp;"I8")</f>
        <v>Low Incorrect</v>
      </c>
      <c r="K60" s="51" t="str" cm="1">
        <f t="array" aca="1" ref="K60" ca="1">INDIRECT("["&amp;datatable!$C$2&amp;"]"&amp;datatable!$B6&amp;"!"&amp;"I9")</f>
        <v>High Correct</v>
      </c>
      <c r="L60" s="51" t="str" cm="1">
        <f t="array" aca="1" ref="L60" ca="1">INDIRECT("["&amp;datatable!$C$2&amp;"]"&amp;datatable!$B6&amp;"!"&amp;"I10")</f>
        <v>Medium Correct</v>
      </c>
      <c r="M60" s="51" t="str" cm="1">
        <f t="array" aca="1" ref="M60" ca="1">INDIRECT("["&amp;datatable!$C$2&amp;"]"&amp;datatable!$B6&amp;"!"&amp;"I11")</f>
        <v>High Correct</v>
      </c>
      <c r="N60" s="51" t="str" cm="1">
        <f t="array" aca="1" ref="N60" ca="1">INDIRECT("["&amp;datatable!$C$2&amp;"]"&amp;datatable!$B6&amp;"!"&amp;"I46")</f>
        <v>High Correct</v>
      </c>
      <c r="O60" s="51" t="str" cm="1">
        <f t="array" aca="1" ref="O60" ca="1">INDIRECT("["&amp;datatable!$C$2&amp;"]"&amp;datatable!$B6&amp;"!"&amp;"I47")</f>
        <v>High Correct</v>
      </c>
      <c r="P60" s="51" t="str" cm="1">
        <f t="array" aca="1" ref="P60" ca="1">INDIRECT("["&amp;datatable!$C$2&amp;"]"&amp;datatable!$B6&amp;"!"&amp;"I48")</f>
        <v>High Correct</v>
      </c>
      <c r="Q60" s="51" t="str" cm="1">
        <f t="array" aca="1" ref="Q60" ca="1">INDIRECT("["&amp;datatable!$C$2&amp;"]"&amp;datatable!$B6&amp;"!"&amp;"I49")</f>
        <v>High Correct</v>
      </c>
      <c r="R60" s="51" t="str" cm="1">
        <f t="array" aca="1" ref="R60" ca="1">INDIRECT("["&amp;datatable!$C$2&amp;"]"&amp;datatable!$B6&amp;"!"&amp;"I50")</f>
        <v>High Correct</v>
      </c>
      <c r="S60" s="51" t="str" cm="1">
        <f t="array" aca="1" ref="S60" ca="1">INDIRECT("["&amp;datatable!$C$2&amp;"]"&amp;datatable!$B6&amp;"!"&amp;"I51")</f>
        <v>High Incorrect</v>
      </c>
      <c r="T60" s="51" t="str" cm="1">
        <f t="array" aca="1" ref="T60" ca="1">INDIRECT("["&amp;datatable!$C$2&amp;"]"&amp;datatable!$B6&amp;"!"&amp;"I52")</f>
        <v>Medium Correct</v>
      </c>
      <c r="U60" s="51" t="str" cm="1">
        <f t="array" aca="1" ref="U60" ca="1">INDIRECT("["&amp;datatable!$C$2&amp;"]"&amp;datatable!$B6&amp;"!"&amp;"I53")</f>
        <v>Medium Correct</v>
      </c>
      <c r="V60" s="51" t="str" cm="1">
        <f t="array" aca="1" ref="V60" ca="1">INDIRECT("["&amp;datatable!$C$2&amp;"]"&amp;datatable!$B6&amp;"!"&amp;"I54")</f>
        <v>Low Incorrect</v>
      </c>
      <c r="W60" s="51" t="str" cm="1">
        <f t="array" aca="1" ref="W60" ca="1">INDIRECT("["&amp;datatable!$C$2&amp;"]"&amp;datatable!$B6&amp;"!"&amp;"I55")</f>
        <v>Medium Correct</v>
      </c>
      <c r="X60" s="51" t="str" cm="1">
        <f t="array" aca="1" ref="X60" ca="1">INDIRECT("["&amp;datatable!$C$2&amp;"]"&amp;datatable!$B6&amp;"!"&amp;"I56")</f>
        <v>N/A</v>
      </c>
      <c r="Y60" s="50"/>
    </row>
    <row r="61" spans="3:25">
      <c r="C61" s="30" t="s">
        <v>42</v>
      </c>
      <c r="D61" s="51" t="str" cm="1">
        <f t="array" aca="1" ref="D61" ca="1">INDIRECT("["&amp;datatable!$C$2&amp;"]"&amp;datatable!$B7&amp;"!"&amp;"I2")</f>
        <v>High Correct</v>
      </c>
      <c r="E61" s="51" t="str" cm="1">
        <f t="array" aca="1" ref="E61" ca="1">INDIRECT("["&amp;datatable!$C$2&amp;"]"&amp;datatable!$B7&amp;"!"&amp;"I3")</f>
        <v>High Correct</v>
      </c>
      <c r="F61" s="51" t="str" cm="1">
        <f t="array" aca="1" ref="F61" ca="1">INDIRECT("["&amp;datatable!$C$2&amp;"]"&amp;datatable!$B7&amp;"!"&amp;"I4")</f>
        <v>Low Incorrect</v>
      </c>
      <c r="G61" s="51" t="str" cm="1">
        <f t="array" aca="1" ref="G61" ca="1">INDIRECT("["&amp;datatable!$C$2&amp;"]"&amp;datatable!$B7&amp;"!"&amp;"I5")</f>
        <v>High Correct</v>
      </c>
      <c r="H61" s="51" t="str" cm="1">
        <f t="array" aca="1" ref="H61" ca="1">INDIRECT("["&amp;datatable!$C$2&amp;"]"&amp;datatable!$B7&amp;"!"&amp;"I6")</f>
        <v>Medium Correct</v>
      </c>
      <c r="I61" s="51" t="str" cm="1">
        <f t="array" aca="1" ref="I61" ca="1">INDIRECT("["&amp;datatable!$C$2&amp;"]"&amp;datatable!$B7&amp;"!"&amp;"I7")</f>
        <v>High Correct</v>
      </c>
      <c r="J61" s="51" t="str" cm="1">
        <f t="array" aca="1" ref="J61" ca="1">INDIRECT("["&amp;datatable!$C$2&amp;"]"&amp;datatable!$B7&amp;"!"&amp;"I8")</f>
        <v>Low Correct</v>
      </c>
      <c r="K61" s="51" t="str" cm="1">
        <f t="array" aca="1" ref="K61" ca="1">INDIRECT("["&amp;datatable!$C$2&amp;"]"&amp;datatable!$B7&amp;"!"&amp;"I9")</f>
        <v>High Correct</v>
      </c>
      <c r="L61" s="51" t="str" cm="1">
        <f t="array" aca="1" ref="L61" ca="1">INDIRECT("["&amp;datatable!$C$2&amp;"]"&amp;datatable!$B7&amp;"!"&amp;"I10")</f>
        <v>Low Maybe</v>
      </c>
      <c r="M61" s="51" t="str" cm="1">
        <f t="array" aca="1" ref="M61" ca="1">INDIRECT("["&amp;datatable!$C$2&amp;"]"&amp;datatable!$B7&amp;"!"&amp;"I11")</f>
        <v>High Correct</v>
      </c>
      <c r="N61" s="51" t="str" cm="1">
        <f t="array" aca="1" ref="N61" ca="1">INDIRECT("["&amp;datatable!$C$2&amp;"]"&amp;datatable!$B7&amp;"!"&amp;"I46")</f>
        <v>N/A</v>
      </c>
      <c r="O61" s="51" t="str" cm="1">
        <f t="array" aca="1" ref="O61" ca="1">INDIRECT("["&amp;datatable!$C$2&amp;"]"&amp;datatable!$B7&amp;"!"&amp;"I47")</f>
        <v>N/A</v>
      </c>
      <c r="P61" s="51" t="str" cm="1">
        <f t="array" aca="1" ref="P61" ca="1">INDIRECT("["&amp;datatable!$C$2&amp;"]"&amp;datatable!$B7&amp;"!"&amp;"I48")</f>
        <v>N/A</v>
      </c>
      <c r="Q61" s="51" t="str" cm="1">
        <f t="array" aca="1" ref="Q61" ca="1">INDIRECT("["&amp;datatable!$C$2&amp;"]"&amp;datatable!$B7&amp;"!"&amp;"I49")</f>
        <v>N/A</v>
      </c>
      <c r="R61" s="51" t="str" cm="1">
        <f t="array" aca="1" ref="R61" ca="1">INDIRECT("["&amp;datatable!$C$2&amp;"]"&amp;datatable!$B7&amp;"!"&amp;"I50")</f>
        <v>N/A</v>
      </c>
      <c r="S61" s="51" t="str" cm="1">
        <f t="array" aca="1" ref="S61" ca="1">INDIRECT("["&amp;datatable!$C$2&amp;"]"&amp;datatable!$B7&amp;"!"&amp;"I51")</f>
        <v>N/A</v>
      </c>
      <c r="T61" s="51" t="str" cm="1">
        <f t="array" aca="1" ref="T61" ca="1">INDIRECT("["&amp;datatable!$C$2&amp;"]"&amp;datatable!$B7&amp;"!"&amp;"I52")</f>
        <v>N/A</v>
      </c>
      <c r="U61" s="51" t="str" cm="1">
        <f t="array" aca="1" ref="U61" ca="1">INDIRECT("["&amp;datatable!$C$2&amp;"]"&amp;datatable!$B7&amp;"!"&amp;"I53")</f>
        <v>Medium Correct</v>
      </c>
      <c r="V61" s="51" t="str" cm="1">
        <f t="array" aca="1" ref="V61" ca="1">INDIRECT("["&amp;datatable!$C$2&amp;"]"&amp;datatable!$B7&amp;"!"&amp;"I54")</f>
        <v>Low Correct</v>
      </c>
      <c r="W61" s="51" t="str" cm="1">
        <f t="array" aca="1" ref="W61" ca="1">INDIRECT("["&amp;datatable!$C$2&amp;"]"&amp;datatable!$B7&amp;"!"&amp;"I55")</f>
        <v>N/A</v>
      </c>
      <c r="X61" s="51" t="str" cm="1">
        <f t="array" aca="1" ref="X61" ca="1">INDIRECT("["&amp;datatable!$C$2&amp;"]"&amp;datatable!$B7&amp;"!"&amp;"I56")</f>
        <v>N/A</v>
      </c>
      <c r="Y61" s="50"/>
    </row>
    <row r="62" spans="3:25">
      <c r="C62" s="30" t="s">
        <v>43</v>
      </c>
      <c r="D62" s="51" t="str" cm="1">
        <f t="array" aca="1" ref="D62" ca="1">INDIRECT("["&amp;datatable!$C$2&amp;"]"&amp;datatable!$B8&amp;"!"&amp;"I2")</f>
        <v>High Correct</v>
      </c>
      <c r="E62" s="51" t="str" cm="1">
        <f t="array" aca="1" ref="E62" ca="1">INDIRECT("["&amp;datatable!$C$2&amp;"]"&amp;datatable!$B8&amp;"!"&amp;"I3")</f>
        <v>High Correct</v>
      </c>
      <c r="F62" s="51" t="str" cm="1">
        <f t="array" aca="1" ref="F62" ca="1">INDIRECT("["&amp;datatable!$C$2&amp;"]"&amp;datatable!$B8&amp;"!"&amp;"I4")</f>
        <v>High Incorrect</v>
      </c>
      <c r="G62" s="51" t="str" cm="1">
        <f t="array" aca="1" ref="G62" ca="1">INDIRECT("["&amp;datatable!$C$2&amp;"]"&amp;datatable!$B8&amp;"!"&amp;"I5")</f>
        <v>High Correct</v>
      </c>
      <c r="H62" s="51" t="str" cm="1">
        <f t="array" aca="1" ref="H62" ca="1">INDIRECT("["&amp;datatable!$C$2&amp;"]"&amp;datatable!$B8&amp;"!"&amp;"I6")</f>
        <v>High Correct</v>
      </c>
      <c r="I62" s="51" t="str" cm="1">
        <f t="array" aca="1" ref="I62" ca="1">INDIRECT("["&amp;datatable!$C$2&amp;"]"&amp;datatable!$B8&amp;"!"&amp;"I7")</f>
        <v>High Correct</v>
      </c>
      <c r="J62" s="51" t="str" cm="1">
        <f t="array" aca="1" ref="J62" ca="1">INDIRECT("["&amp;datatable!$C$2&amp;"]"&amp;datatable!$B8&amp;"!"&amp;"I8")</f>
        <v>Low Correct</v>
      </c>
      <c r="K62" s="51" t="str" cm="1">
        <f t="array" aca="1" ref="K62" ca="1">INDIRECT("["&amp;datatable!$C$2&amp;"]"&amp;datatable!$B8&amp;"!"&amp;"I9")</f>
        <v>High Correct</v>
      </c>
      <c r="L62" s="51" t="str" cm="1">
        <f t="array" aca="1" ref="L62" ca="1">INDIRECT("["&amp;datatable!$C$2&amp;"]"&amp;datatable!$B8&amp;"!"&amp;"I10")</f>
        <v>Medium Correct</v>
      </c>
      <c r="M62" s="51" t="str" cm="1">
        <f t="array" aca="1" ref="M62" ca="1">INDIRECT("["&amp;datatable!$C$2&amp;"]"&amp;datatable!$B8&amp;"!"&amp;"I11")</f>
        <v>High Correct</v>
      </c>
      <c r="N62" s="51" t="str" cm="1">
        <f t="array" aca="1" ref="N62" ca="1">INDIRECT("["&amp;datatable!$C$2&amp;"]"&amp;datatable!$B8&amp;"!"&amp;"I46")</f>
        <v>High Correct</v>
      </c>
      <c r="O62" s="51" t="str" cm="1">
        <f t="array" aca="1" ref="O62" ca="1">INDIRECT("["&amp;datatable!$C$2&amp;"]"&amp;datatable!$B8&amp;"!"&amp;"I47")</f>
        <v>High Correct</v>
      </c>
      <c r="P62" s="51" t="str" cm="1">
        <f t="array" aca="1" ref="P62" ca="1">INDIRECT("["&amp;datatable!$C$2&amp;"]"&amp;datatable!$B8&amp;"!"&amp;"I48")</f>
        <v>Low Correct</v>
      </c>
      <c r="Q62" s="51" t="str" cm="1">
        <f t="array" aca="1" ref="Q62" ca="1">INDIRECT("["&amp;datatable!$C$2&amp;"]"&amp;datatable!$B8&amp;"!"&amp;"I49")</f>
        <v>High Correct</v>
      </c>
      <c r="R62" s="51" t="str" cm="1">
        <f t="array" aca="1" ref="R62" ca="1">INDIRECT("["&amp;datatable!$C$2&amp;"]"&amp;datatable!$B8&amp;"!"&amp;"I50")</f>
        <v>High Correct</v>
      </c>
      <c r="S62" s="51" t="str" cm="1">
        <f t="array" aca="1" ref="S62" ca="1">INDIRECT("["&amp;datatable!$C$2&amp;"]"&amp;datatable!$B8&amp;"!"&amp;"I51")</f>
        <v>High Correct</v>
      </c>
      <c r="T62" s="51" t="str" cm="1">
        <f t="array" aca="1" ref="T62" ca="1">INDIRECT("["&amp;datatable!$C$2&amp;"]"&amp;datatable!$B8&amp;"!"&amp;"I52")</f>
        <v>N/A</v>
      </c>
      <c r="U62" s="51" t="str" cm="1">
        <f t="array" aca="1" ref="U62" ca="1">INDIRECT("["&amp;datatable!$C$2&amp;"]"&amp;datatable!$B8&amp;"!"&amp;"I53")</f>
        <v>Low Correct</v>
      </c>
      <c r="V62" s="51" t="str" cm="1">
        <f t="array" aca="1" ref="V62" ca="1">INDIRECT("["&amp;datatable!$C$2&amp;"]"&amp;datatable!$B8&amp;"!"&amp;"I54")</f>
        <v>Low Incorrect</v>
      </c>
      <c r="W62" s="51" t="str" cm="1">
        <f t="array" aca="1" ref="W62" ca="1">INDIRECT("["&amp;datatable!$C$2&amp;"]"&amp;datatable!$B8&amp;"!"&amp;"I55")</f>
        <v>High Correct</v>
      </c>
      <c r="X62" s="51" t="str" cm="1">
        <f t="array" aca="1" ref="X62" ca="1">INDIRECT("["&amp;datatable!$C$2&amp;"]"&amp;datatable!$B8&amp;"!"&amp;"I56")</f>
        <v>N/A</v>
      </c>
      <c r="Y62" s="50"/>
    </row>
    <row r="63" spans="3:25">
      <c r="C63" s="30" t="s">
        <v>44</v>
      </c>
      <c r="D63" s="51" t="str" cm="1">
        <f t="array" aca="1" ref="D63" ca="1">INDIRECT("["&amp;datatable!$C$2&amp;"]"&amp;datatable!$B9&amp;"!"&amp;"I2")</f>
        <v>High Correct</v>
      </c>
      <c r="E63" s="51" t="str" cm="1">
        <f t="array" aca="1" ref="E63" ca="1">INDIRECT("["&amp;datatable!$C$2&amp;"]"&amp;datatable!$B9&amp;"!"&amp;"I3")</f>
        <v>High Correct</v>
      </c>
      <c r="F63" s="51" t="str" cm="1">
        <f t="array" aca="1" ref="F63" ca="1">INDIRECT("["&amp;datatable!$C$2&amp;"]"&amp;datatable!$B9&amp;"!"&amp;"I4")</f>
        <v>High Incorrect</v>
      </c>
      <c r="G63" s="51" t="str" cm="1">
        <f t="array" aca="1" ref="G63" ca="1">INDIRECT("["&amp;datatable!$C$2&amp;"]"&amp;datatable!$B9&amp;"!"&amp;"I5")</f>
        <v>High Correct</v>
      </c>
      <c r="H63" s="51" t="str" cm="1">
        <f t="array" aca="1" ref="H63" ca="1">INDIRECT("["&amp;datatable!$C$2&amp;"]"&amp;datatable!$B9&amp;"!"&amp;"I6")</f>
        <v>High Correct</v>
      </c>
      <c r="I63" s="51" t="str" cm="1">
        <f t="array" aca="1" ref="I63" ca="1">INDIRECT("["&amp;datatable!$C$2&amp;"]"&amp;datatable!$B9&amp;"!"&amp;"I7")</f>
        <v>High Correct</v>
      </c>
      <c r="J63" s="51" t="str" cm="1">
        <f t="array" aca="1" ref="J63" ca="1">INDIRECT("["&amp;datatable!$C$2&amp;"]"&amp;datatable!$B9&amp;"!"&amp;"I8")</f>
        <v>Low Incorrect</v>
      </c>
      <c r="K63" s="51" t="str" cm="1">
        <f t="array" aca="1" ref="K63" ca="1">INDIRECT("["&amp;datatable!$C$2&amp;"]"&amp;datatable!$B9&amp;"!"&amp;"I9")</f>
        <v>High Correct</v>
      </c>
      <c r="L63" s="51" t="str" cm="1">
        <f t="array" aca="1" ref="L63" ca="1">INDIRECT("["&amp;datatable!$C$2&amp;"]"&amp;datatable!$B9&amp;"!"&amp;"I10")</f>
        <v>High Correct</v>
      </c>
      <c r="M63" s="51" t="str" cm="1">
        <f t="array" aca="1" ref="M63" ca="1">INDIRECT("["&amp;datatable!$C$2&amp;"]"&amp;datatable!$B9&amp;"!"&amp;"I11")</f>
        <v>High Correct</v>
      </c>
      <c r="N63" s="51" t="str" cm="1">
        <f t="array" aca="1" ref="N63" ca="1">INDIRECT("["&amp;datatable!$C$2&amp;"]"&amp;datatable!$B9&amp;"!"&amp;"I46")</f>
        <v>Medium Correct</v>
      </c>
      <c r="O63" s="51" t="str" cm="1">
        <f t="array" aca="1" ref="O63" ca="1">INDIRECT("["&amp;datatable!$C$2&amp;"]"&amp;datatable!$B9&amp;"!"&amp;"I47")</f>
        <v>Medium Maybe</v>
      </c>
      <c r="P63" s="51" t="str" cm="1">
        <f t="array" aca="1" ref="P63" ca="1">INDIRECT("["&amp;datatable!$C$2&amp;"]"&amp;datatable!$B9&amp;"!"&amp;"I48")</f>
        <v>High Correct</v>
      </c>
      <c r="Q63" s="51" t="str" cm="1">
        <f t="array" aca="1" ref="Q63" ca="1">INDIRECT("["&amp;datatable!$C$2&amp;"]"&amp;datatable!$B9&amp;"!"&amp;"I49")</f>
        <v>Low Correct</v>
      </c>
      <c r="R63" s="51" t="str" cm="1">
        <f t="array" aca="1" ref="R63" ca="1">INDIRECT("["&amp;datatable!$C$2&amp;"]"&amp;datatable!$B9&amp;"!"&amp;"I50")</f>
        <v>High Correct</v>
      </c>
      <c r="S63" s="51" t="str" cm="1">
        <f t="array" aca="1" ref="S63" ca="1">INDIRECT("["&amp;datatable!$C$2&amp;"]"&amp;datatable!$B9&amp;"!"&amp;"I51")</f>
        <v>High Correct</v>
      </c>
      <c r="T63" s="51" t="str" cm="1">
        <f t="array" aca="1" ref="T63" ca="1">INDIRECT("["&amp;datatable!$C$2&amp;"]"&amp;datatable!$B9&amp;"!"&amp;"I52")</f>
        <v>Medium Maybe</v>
      </c>
      <c r="U63" s="51" t="str" cm="1">
        <f t="array" aca="1" ref="U63" ca="1">INDIRECT("["&amp;datatable!$C$2&amp;"]"&amp;datatable!$B9&amp;"!"&amp;"I53")</f>
        <v>High Correct</v>
      </c>
      <c r="V63" s="51" t="str" cm="1">
        <f t="array" aca="1" ref="V63" ca="1">INDIRECT("["&amp;datatable!$C$2&amp;"]"&amp;datatable!$B9&amp;"!"&amp;"I54")</f>
        <v>Low Correct</v>
      </c>
      <c r="W63" s="51" t="str" cm="1">
        <f t="array" aca="1" ref="W63" ca="1">INDIRECT("["&amp;datatable!$C$2&amp;"]"&amp;datatable!$B9&amp;"!"&amp;"I55")</f>
        <v>High Correct</v>
      </c>
      <c r="X63" s="51" t="str" cm="1">
        <f t="array" aca="1" ref="X63" ca="1">INDIRECT("["&amp;datatable!$C$2&amp;"]"&amp;datatable!$B9&amp;"!"&amp;"I56")</f>
        <v>N/A</v>
      </c>
      <c r="Y63" s="50"/>
    </row>
    <row r="64" spans="3:25">
      <c r="C64" s="30" t="s">
        <v>45</v>
      </c>
      <c r="D64" s="51" t="str" cm="1">
        <f t="array" aca="1" ref="D64" ca="1">INDIRECT("["&amp;datatable!$C$2&amp;"]"&amp;datatable!$B10&amp;"!"&amp;"I2")</f>
        <v>High Correct</v>
      </c>
      <c r="E64" s="51" t="str" cm="1">
        <f t="array" aca="1" ref="E64" ca="1">INDIRECT("["&amp;datatable!$C$2&amp;"]"&amp;datatable!$B10&amp;"!"&amp;"I3")</f>
        <v>High Correct</v>
      </c>
      <c r="F64" s="51" t="str" cm="1">
        <f t="array" aca="1" ref="F64" ca="1">INDIRECT("["&amp;datatable!$C$2&amp;"]"&amp;datatable!$B10&amp;"!"&amp;"I4")</f>
        <v>Medium Correct</v>
      </c>
      <c r="G64" s="51" t="str" cm="1">
        <f t="array" aca="1" ref="G64" ca="1">INDIRECT("["&amp;datatable!$C$2&amp;"]"&amp;datatable!$B10&amp;"!"&amp;"I5")</f>
        <v>High Correct</v>
      </c>
      <c r="H64" s="51" t="str" cm="1">
        <f t="array" aca="1" ref="H64" ca="1">INDIRECT("["&amp;datatable!$C$2&amp;"]"&amp;datatable!$B10&amp;"!"&amp;"I6")</f>
        <v>N/A</v>
      </c>
      <c r="I64" s="51" t="str" cm="1">
        <f t="array" aca="1" ref="I64" ca="1">INDIRECT("["&amp;datatable!$C$2&amp;"]"&amp;datatable!$B10&amp;"!"&amp;"I7")</f>
        <v>High Correct</v>
      </c>
      <c r="J64" s="51" t="str" cm="1">
        <f t="array" aca="1" ref="J64" ca="1">INDIRECT("["&amp;datatable!$C$2&amp;"]"&amp;datatable!$B10&amp;"!"&amp;"I8")</f>
        <v>Medium Maybe</v>
      </c>
      <c r="K64" s="51" t="str" cm="1">
        <f t="array" aca="1" ref="K64" ca="1">INDIRECT("["&amp;datatable!$C$2&amp;"]"&amp;datatable!$B10&amp;"!"&amp;"I9")</f>
        <v>Medium Incorrect</v>
      </c>
      <c r="L64" s="51" t="str" cm="1">
        <f t="array" aca="1" ref="L64" ca="1">INDIRECT("["&amp;datatable!$C$2&amp;"]"&amp;datatable!$B10&amp;"!"&amp;"I10")</f>
        <v>Medium Correct</v>
      </c>
      <c r="M64" s="51" t="str" cm="1">
        <f t="array" aca="1" ref="M64" ca="1">INDIRECT("["&amp;datatable!$C$2&amp;"]"&amp;datatable!$B10&amp;"!"&amp;"I11")</f>
        <v>High Maybe</v>
      </c>
      <c r="N64" s="51" t="str" cm="1">
        <f t="array" aca="1" ref="N64" ca="1">INDIRECT("["&amp;datatable!$C$2&amp;"]"&amp;datatable!$B10&amp;"!"&amp;"I46")</f>
        <v>High Correct</v>
      </c>
      <c r="O64" s="51" t="str" cm="1">
        <f t="array" aca="1" ref="O64" ca="1">INDIRECT("["&amp;datatable!$C$2&amp;"]"&amp;datatable!$B10&amp;"!"&amp;"I47")</f>
        <v>N/A</v>
      </c>
      <c r="P64" s="51" t="str" cm="1">
        <f t="array" aca="1" ref="P64" ca="1">INDIRECT("["&amp;datatable!$C$2&amp;"]"&amp;datatable!$B10&amp;"!"&amp;"I48")</f>
        <v>High Correct</v>
      </c>
      <c r="Q64" s="51" t="str" cm="1">
        <f t="array" aca="1" ref="Q64" ca="1">INDIRECT("["&amp;datatable!$C$2&amp;"]"&amp;datatable!$B10&amp;"!"&amp;"I49")</f>
        <v>High Maybe</v>
      </c>
      <c r="R64" s="51" t="str" cm="1">
        <f t="array" aca="1" ref="R64" ca="1">INDIRECT("["&amp;datatable!$C$2&amp;"]"&amp;datatable!$B10&amp;"!"&amp;"I50")</f>
        <v>High Correct</v>
      </c>
      <c r="S64" s="51" t="str" cm="1">
        <f t="array" aca="1" ref="S64" ca="1">INDIRECT("["&amp;datatable!$C$2&amp;"]"&amp;datatable!$B10&amp;"!"&amp;"I51")</f>
        <v>High Correct</v>
      </c>
      <c r="T64" s="51" t="str" cm="1">
        <f t="array" aca="1" ref="T64" ca="1">INDIRECT("["&amp;datatable!$C$2&amp;"]"&amp;datatable!$B10&amp;"!"&amp;"I52")</f>
        <v>N/A</v>
      </c>
      <c r="U64" s="51" t="str" cm="1">
        <f t="array" aca="1" ref="U64" ca="1">INDIRECT("["&amp;datatable!$C$2&amp;"]"&amp;datatable!$B10&amp;"!"&amp;"I53")</f>
        <v>Medium Incorrect</v>
      </c>
      <c r="V64" s="51" t="str" cm="1">
        <f t="array" aca="1" ref="V64" ca="1">INDIRECT("["&amp;datatable!$C$2&amp;"]"&amp;datatable!$B10&amp;"!"&amp;"I54")</f>
        <v>Low Correct</v>
      </c>
      <c r="W64" s="51" t="str" cm="1">
        <f t="array" aca="1" ref="W64" ca="1">INDIRECT("["&amp;datatable!$C$2&amp;"]"&amp;datatable!$B10&amp;"!"&amp;"I55")</f>
        <v>High Correct</v>
      </c>
      <c r="X64" s="51" t="str" cm="1">
        <f t="array" aca="1" ref="X64" ca="1">INDIRECT("["&amp;datatable!$C$2&amp;"]"&amp;datatable!$B10&amp;"!"&amp;"I56")</f>
        <v>Medium Maybe</v>
      </c>
      <c r="Y64" s="50"/>
    </row>
    <row r="65" spans="3:25">
      <c r="C65" s="30" t="s">
        <v>46</v>
      </c>
      <c r="D65" s="51" t="str" cm="1">
        <f t="array" aca="1" ref="D65" ca="1">INDIRECT("["&amp;datatable!$C$2&amp;"]"&amp;datatable!$B11&amp;"!"&amp;"I2")</f>
        <v>High Correct</v>
      </c>
      <c r="E65" s="51" t="str" cm="1">
        <f t="array" aca="1" ref="E65" ca="1">INDIRECT("["&amp;datatable!$C$2&amp;"]"&amp;datatable!$B11&amp;"!"&amp;"I3")</f>
        <v>High Correct</v>
      </c>
      <c r="F65" s="51" t="str" cm="1">
        <f t="array" aca="1" ref="F65" ca="1">INDIRECT("["&amp;datatable!$C$2&amp;"]"&amp;datatable!$B11&amp;"!"&amp;"I4")</f>
        <v>Low Maybe</v>
      </c>
      <c r="G65" s="51" t="str" cm="1">
        <f t="array" aca="1" ref="G65" ca="1">INDIRECT("["&amp;datatable!$C$2&amp;"]"&amp;datatable!$B11&amp;"!"&amp;"I5")</f>
        <v>High Correct</v>
      </c>
      <c r="H65" s="51" t="str" cm="1">
        <f t="array" aca="1" ref="H65" ca="1">INDIRECT("["&amp;datatable!$C$2&amp;"]"&amp;datatable!$B11&amp;"!"&amp;"I6")</f>
        <v>Medium Correct</v>
      </c>
      <c r="I65" s="51" t="str" cm="1">
        <f t="array" aca="1" ref="I65" ca="1">INDIRECT("["&amp;datatable!$C$2&amp;"]"&amp;datatable!$B11&amp;"!"&amp;"I7")</f>
        <v>High Correct</v>
      </c>
      <c r="J65" s="51" t="str" cm="1">
        <f t="array" aca="1" ref="J65" ca="1">INDIRECT("["&amp;datatable!$C$2&amp;"]"&amp;datatable!$B11&amp;"!"&amp;"I8")</f>
        <v>High Correct</v>
      </c>
      <c r="K65" s="51" t="str" cm="1">
        <f t="array" aca="1" ref="K65" ca="1">INDIRECT("["&amp;datatable!$C$2&amp;"]"&amp;datatable!$B11&amp;"!"&amp;"I9")</f>
        <v>High Correct</v>
      </c>
      <c r="L65" s="51" t="str" cm="1">
        <f t="array" aca="1" ref="L65" ca="1">INDIRECT("["&amp;datatable!$C$2&amp;"]"&amp;datatable!$B11&amp;"!"&amp;"I10")</f>
        <v>High Correct</v>
      </c>
      <c r="M65" s="51" t="str" cm="1">
        <f t="array" aca="1" ref="M65" ca="1">INDIRECT("["&amp;datatable!$C$2&amp;"]"&amp;datatable!$B11&amp;"!"&amp;"I11")</f>
        <v>High Correct</v>
      </c>
      <c r="N65" s="51" t="str" cm="1">
        <f t="array" aca="1" ref="N65" ca="1">INDIRECT("["&amp;datatable!$C$2&amp;"]"&amp;datatable!$B11&amp;"!"&amp;"I46")</f>
        <v>High Correct</v>
      </c>
      <c r="O65" s="51" t="str" cm="1">
        <f t="array" aca="1" ref="O65" ca="1">INDIRECT("["&amp;datatable!$C$2&amp;"]"&amp;datatable!$B11&amp;"!"&amp;"I47")</f>
        <v>Medium Maybe</v>
      </c>
      <c r="P65" s="51" t="str" cm="1">
        <f t="array" aca="1" ref="P65" ca="1">INDIRECT("["&amp;datatable!$C$2&amp;"]"&amp;datatable!$B11&amp;"!"&amp;"I48")</f>
        <v>High Correct</v>
      </c>
      <c r="Q65" s="51" t="str" cm="1">
        <f t="array" aca="1" ref="Q65" ca="1">INDIRECT("["&amp;datatable!$C$2&amp;"]"&amp;datatable!$B11&amp;"!"&amp;"I49")</f>
        <v>Medium Correct</v>
      </c>
      <c r="R65" s="51" t="str" cm="1">
        <f t="array" aca="1" ref="R65" ca="1">INDIRECT("["&amp;datatable!$C$2&amp;"]"&amp;datatable!$B11&amp;"!"&amp;"I50")</f>
        <v>High Correct</v>
      </c>
      <c r="S65" s="51" t="str" cm="1">
        <f t="array" aca="1" ref="S65" ca="1">INDIRECT("["&amp;datatable!$C$2&amp;"]"&amp;datatable!$B11&amp;"!"&amp;"I51")</f>
        <v>High Correct</v>
      </c>
      <c r="T65" s="51" t="str" cm="1">
        <f t="array" aca="1" ref="T65" ca="1">INDIRECT("["&amp;datatable!$C$2&amp;"]"&amp;datatable!$B11&amp;"!"&amp;"I52")</f>
        <v>Medium Correct</v>
      </c>
      <c r="U65" s="51" t="str" cm="1">
        <f t="array" aca="1" ref="U65" ca="1">INDIRECT("["&amp;datatable!$C$2&amp;"]"&amp;datatable!$B11&amp;"!"&amp;"I53")</f>
        <v>High Correct</v>
      </c>
      <c r="V65" s="51" t="str" cm="1">
        <f t="array" aca="1" ref="V65" ca="1">INDIRECT("["&amp;datatable!$C$2&amp;"]"&amp;datatable!$B11&amp;"!"&amp;"I54")</f>
        <v>Medium Incorrect</v>
      </c>
      <c r="W65" s="51" t="str" cm="1">
        <f t="array" aca="1" ref="W65" ca="1">INDIRECT("["&amp;datatable!$C$2&amp;"]"&amp;datatable!$B11&amp;"!"&amp;"I55")</f>
        <v>High Incorrect</v>
      </c>
      <c r="X65" s="51" t="str" cm="1">
        <f t="array" aca="1" ref="X65" ca="1">INDIRECT("["&amp;datatable!$C$2&amp;"]"&amp;datatable!$B11&amp;"!"&amp;"I56")</f>
        <v>High Incorrect</v>
      </c>
      <c r="Y65" s="50"/>
    </row>
    <row r="66" spans="3:25">
      <c r="C66" s="30" t="s">
        <v>47</v>
      </c>
      <c r="D66" s="51" t="str" cm="1">
        <f t="array" aca="1" ref="D66" ca="1">INDIRECT("["&amp;datatable!$C$2&amp;"]"&amp;datatable!$B12&amp;"!"&amp;"I2")</f>
        <v>High Correct</v>
      </c>
      <c r="E66" s="51" t="str" cm="1">
        <f t="array" aca="1" ref="E66" ca="1">INDIRECT("["&amp;datatable!$C$2&amp;"]"&amp;datatable!$B12&amp;"!"&amp;"I3")</f>
        <v>High Correct</v>
      </c>
      <c r="F66" s="51" t="str" cm="1">
        <f t="array" aca="1" ref="F66" ca="1">INDIRECT("["&amp;datatable!$C$2&amp;"]"&amp;datatable!$B12&amp;"!"&amp;"I4")</f>
        <v>High Incorrect</v>
      </c>
      <c r="G66" s="51" t="str" cm="1">
        <f t="array" aca="1" ref="G66" ca="1">INDIRECT("["&amp;datatable!$C$2&amp;"]"&amp;datatable!$B12&amp;"!"&amp;"I5")</f>
        <v>High Correct</v>
      </c>
      <c r="H66" s="51" t="str" cm="1">
        <f t="array" aca="1" ref="H66" ca="1">INDIRECT("["&amp;datatable!$C$2&amp;"]"&amp;datatable!$B12&amp;"!"&amp;"I6")</f>
        <v>Low Correct</v>
      </c>
      <c r="I66" s="51" t="str" cm="1">
        <f t="array" aca="1" ref="I66" ca="1">INDIRECT("["&amp;datatable!$C$2&amp;"]"&amp;datatable!$B12&amp;"!"&amp;"I7")</f>
        <v>High Correct</v>
      </c>
      <c r="J66" s="51" t="str" cm="1">
        <f t="array" aca="1" ref="J66" ca="1">INDIRECT("["&amp;datatable!$C$2&amp;"]"&amp;datatable!$B12&amp;"!"&amp;"I8")</f>
        <v>High Correct</v>
      </c>
      <c r="K66" s="51" t="str" cm="1">
        <f t="array" aca="1" ref="K66" ca="1">INDIRECT("["&amp;datatable!$C$2&amp;"]"&amp;datatable!$B12&amp;"!"&amp;"I9")</f>
        <v>High Correct</v>
      </c>
      <c r="L66" s="51" t="str" cm="1">
        <f t="array" aca="1" ref="L66" ca="1">INDIRECT("["&amp;datatable!$C$2&amp;"]"&amp;datatable!$B12&amp;"!"&amp;"I10")</f>
        <v>High Correct</v>
      </c>
      <c r="M66" s="51" t="str" cm="1">
        <f t="array" aca="1" ref="M66" ca="1">INDIRECT("["&amp;datatable!$C$2&amp;"]"&amp;datatable!$B12&amp;"!"&amp;"I11")</f>
        <v>High Correct</v>
      </c>
      <c r="N66" s="51" t="str" cm="1">
        <f t="array" aca="1" ref="N66" ca="1">INDIRECT("["&amp;datatable!$C$2&amp;"]"&amp;datatable!$B12&amp;"!"&amp;"I46")</f>
        <v>High Correct</v>
      </c>
      <c r="O66" s="51" t="str" cm="1">
        <f t="array" aca="1" ref="O66" ca="1">INDIRECT("["&amp;datatable!$C$2&amp;"]"&amp;datatable!$B12&amp;"!"&amp;"I47")</f>
        <v>High Correct</v>
      </c>
      <c r="P66" s="51" t="str" cm="1">
        <f t="array" aca="1" ref="P66" ca="1">INDIRECT("["&amp;datatable!$C$2&amp;"]"&amp;datatable!$B12&amp;"!"&amp;"I48")</f>
        <v>High Correct</v>
      </c>
      <c r="Q66" s="51" t="str" cm="1">
        <f t="array" aca="1" ref="Q66" ca="1">INDIRECT("["&amp;datatable!$C$2&amp;"]"&amp;datatable!$B12&amp;"!"&amp;"I49")</f>
        <v>Medium Maybe</v>
      </c>
      <c r="R66" s="51" t="str" cm="1">
        <f t="array" aca="1" ref="R66" ca="1">INDIRECT("["&amp;datatable!$C$2&amp;"]"&amp;datatable!$B12&amp;"!"&amp;"I50")</f>
        <v>High Correct</v>
      </c>
      <c r="S66" s="51" t="str" cm="1">
        <f t="array" aca="1" ref="S66" ca="1">INDIRECT("["&amp;datatable!$C$2&amp;"]"&amp;datatable!$B12&amp;"!"&amp;"I51")</f>
        <v>High Correct</v>
      </c>
      <c r="T66" s="51" t="str" cm="1">
        <f t="array" aca="1" ref="T66" ca="1">INDIRECT("["&amp;datatable!$C$2&amp;"]"&amp;datatable!$B12&amp;"!"&amp;"I52")</f>
        <v>Medium Maybe</v>
      </c>
      <c r="U66" s="51" t="str" cm="1">
        <f t="array" aca="1" ref="U66" ca="1">INDIRECT("["&amp;datatable!$C$2&amp;"]"&amp;datatable!$B12&amp;"!"&amp;"I53")</f>
        <v>Medium Correct</v>
      </c>
      <c r="V66" s="51" t="str" cm="1">
        <f t="array" aca="1" ref="V66" ca="1">INDIRECT("["&amp;datatable!$C$2&amp;"]"&amp;datatable!$B12&amp;"!"&amp;"I54")</f>
        <v>Medium Correct</v>
      </c>
      <c r="W66" s="51" t="str" cm="1">
        <f t="array" aca="1" ref="W66" ca="1">INDIRECT("["&amp;datatable!$C$2&amp;"]"&amp;datatable!$B12&amp;"!"&amp;"I55")</f>
        <v>Low Incorrect</v>
      </c>
      <c r="X66" s="51" t="str" cm="1">
        <f t="array" aca="1" ref="X66" ca="1">INDIRECT("["&amp;datatable!$C$2&amp;"]"&amp;datatable!$B12&amp;"!"&amp;"I56")</f>
        <v>Medium Maybe</v>
      </c>
      <c r="Y66" s="50"/>
    </row>
    <row r="67" spans="3:25">
      <c r="C67" s="30" t="s">
        <v>48</v>
      </c>
      <c r="D67" s="51" t="str" cm="1">
        <f t="array" aca="1" ref="D67" ca="1">INDIRECT("["&amp;datatable!$C$2&amp;"]"&amp;datatable!$B13&amp;"!"&amp;"I2")</f>
        <v>High Correct</v>
      </c>
      <c r="E67" s="51" t="str" cm="1">
        <f t="array" aca="1" ref="E67" ca="1">INDIRECT("["&amp;datatable!$C$2&amp;"]"&amp;datatable!$B13&amp;"!"&amp;"I3")</f>
        <v>High Correct</v>
      </c>
      <c r="F67" s="51" t="str" cm="1">
        <f t="array" aca="1" ref="F67" ca="1">INDIRECT("["&amp;datatable!$C$2&amp;"]"&amp;datatable!$B13&amp;"!"&amp;"I4")</f>
        <v>High Incorrect</v>
      </c>
      <c r="G67" s="51" t="str" cm="1">
        <f t="array" aca="1" ref="G67" ca="1">INDIRECT("["&amp;datatable!$C$2&amp;"]"&amp;datatable!$B13&amp;"!"&amp;"I5")</f>
        <v>High Correct</v>
      </c>
      <c r="H67" s="51" t="str" cm="1">
        <f t="array" aca="1" ref="H67" ca="1">INDIRECT("["&amp;datatable!$C$2&amp;"]"&amp;datatable!$B13&amp;"!"&amp;"I6")</f>
        <v>Medium Correct</v>
      </c>
      <c r="I67" s="51" t="str" cm="1">
        <f t="array" aca="1" ref="I67" ca="1">INDIRECT("["&amp;datatable!$C$2&amp;"]"&amp;datatable!$B13&amp;"!"&amp;"I7")</f>
        <v>High Correct</v>
      </c>
      <c r="J67" s="51" t="str" cm="1">
        <f t="array" aca="1" ref="J67" ca="1">INDIRECT("["&amp;datatable!$C$2&amp;"]"&amp;datatable!$B13&amp;"!"&amp;"I8")</f>
        <v>Low Maybe</v>
      </c>
      <c r="K67" s="51" t="str" cm="1">
        <f t="array" aca="1" ref="K67" ca="1">INDIRECT("["&amp;datatable!$C$2&amp;"]"&amp;datatable!$B13&amp;"!"&amp;"I9")</f>
        <v>High Correct</v>
      </c>
      <c r="L67" s="51" t="str" cm="1">
        <f t="array" aca="1" ref="L67" ca="1">INDIRECT("["&amp;datatable!$C$2&amp;"]"&amp;datatable!$B13&amp;"!"&amp;"I10")</f>
        <v>High Correct</v>
      </c>
      <c r="M67" s="51" t="str" cm="1">
        <f t="array" aca="1" ref="M67" ca="1">INDIRECT("["&amp;datatable!$C$2&amp;"]"&amp;datatable!$B13&amp;"!"&amp;"I11")</f>
        <v>High Correct</v>
      </c>
      <c r="N67" s="51" t="str" cm="1">
        <f t="array" aca="1" ref="N67" ca="1">INDIRECT("["&amp;datatable!$C$2&amp;"]"&amp;datatable!$B13&amp;"!"&amp;"I46")</f>
        <v>Low Correct</v>
      </c>
      <c r="O67" s="51" t="str" cm="1">
        <f t="array" aca="1" ref="O67" ca="1">INDIRECT("["&amp;datatable!$C$2&amp;"]"&amp;datatable!$B13&amp;"!"&amp;"I47")</f>
        <v>High Correct</v>
      </c>
      <c r="P67" s="51" t="str" cm="1">
        <f t="array" aca="1" ref="P67" ca="1">INDIRECT("["&amp;datatable!$C$2&amp;"]"&amp;datatable!$B13&amp;"!"&amp;"I48")</f>
        <v>High Correct</v>
      </c>
      <c r="Q67" s="51" t="str" cm="1">
        <f t="array" aca="1" ref="Q67" ca="1">INDIRECT("["&amp;datatable!$C$2&amp;"]"&amp;datatable!$B13&amp;"!"&amp;"I49")</f>
        <v>High Correct</v>
      </c>
      <c r="R67" s="51" t="str" cm="1">
        <f t="array" aca="1" ref="R67" ca="1">INDIRECT("["&amp;datatable!$C$2&amp;"]"&amp;datatable!$B13&amp;"!"&amp;"I50")</f>
        <v>High Correct</v>
      </c>
      <c r="S67" s="51" t="str" cm="1">
        <f t="array" aca="1" ref="S67" ca="1">INDIRECT("["&amp;datatable!$C$2&amp;"]"&amp;datatable!$B13&amp;"!"&amp;"I51")</f>
        <v>High Correct</v>
      </c>
      <c r="T67" s="51" t="str" cm="1">
        <f t="array" aca="1" ref="T67" ca="1">INDIRECT("["&amp;datatable!$C$2&amp;"]"&amp;datatable!$B13&amp;"!"&amp;"I52")</f>
        <v>Medium Correct</v>
      </c>
      <c r="U67" s="51" t="str" cm="1">
        <f t="array" aca="1" ref="U67" ca="1">INDIRECT("["&amp;datatable!$C$2&amp;"]"&amp;datatable!$B13&amp;"!"&amp;"I53")</f>
        <v>High Correct</v>
      </c>
      <c r="V67" s="51" t="str" cm="1">
        <f t="array" aca="1" ref="V67" ca="1">INDIRECT("["&amp;datatable!$C$2&amp;"]"&amp;datatable!$B13&amp;"!"&amp;"I54")</f>
        <v>High Incorrect</v>
      </c>
      <c r="W67" s="51" t="str" cm="1">
        <f t="array" aca="1" ref="W67" ca="1">INDIRECT("["&amp;datatable!$C$2&amp;"]"&amp;datatable!$B13&amp;"!"&amp;"I55")</f>
        <v>High Correct</v>
      </c>
      <c r="X67" s="51" t="str" cm="1">
        <f t="array" aca="1" ref="X67" ca="1">INDIRECT("["&amp;datatable!$C$2&amp;"]"&amp;datatable!$B13&amp;"!"&amp;"I56")</f>
        <v>High Incorrect</v>
      </c>
      <c r="Y67" s="50"/>
    </row>
    <row r="68" spans="3:25">
      <c r="C68" s="30" t="s">
        <v>49</v>
      </c>
      <c r="D68" s="51" t="str" cm="1">
        <f t="array" aca="1" ref="D68" ca="1">INDIRECT("["&amp;datatable!$C$2&amp;"]"&amp;datatable!$B14&amp;"!"&amp;"I2")</f>
        <v>Low Incorrect</v>
      </c>
      <c r="E68" s="51" t="str" cm="1">
        <f t="array" aca="1" ref="E68" ca="1">INDIRECT("["&amp;datatable!$C$2&amp;"]"&amp;datatable!$B14&amp;"!"&amp;"I3")</f>
        <v>High Correct</v>
      </c>
      <c r="F68" s="51" t="str" cm="1">
        <f t="array" aca="1" ref="F68" ca="1">INDIRECT("["&amp;datatable!$C$2&amp;"]"&amp;datatable!$B14&amp;"!"&amp;"I4")</f>
        <v>High Incorrect</v>
      </c>
      <c r="G68" s="51" t="str" cm="1">
        <f t="array" aca="1" ref="G68" ca="1">INDIRECT("["&amp;datatable!$C$2&amp;"]"&amp;datatable!$B14&amp;"!"&amp;"I5")</f>
        <v>Low Maybe</v>
      </c>
      <c r="H68" s="51" t="str" cm="1">
        <f t="array" aca="1" ref="H68" ca="1">INDIRECT("["&amp;datatable!$C$2&amp;"]"&amp;datatable!$B14&amp;"!"&amp;"I6")</f>
        <v>Medium Correct</v>
      </c>
      <c r="I68" s="51" t="str" cm="1">
        <f t="array" aca="1" ref="I68" ca="1">INDIRECT("["&amp;datatable!$C$2&amp;"]"&amp;datatable!$B14&amp;"!"&amp;"I7")</f>
        <v>Medium Incorrect</v>
      </c>
      <c r="J68" s="51" t="str" cm="1">
        <f t="array" aca="1" ref="J68" ca="1">INDIRECT("["&amp;datatable!$C$2&amp;"]"&amp;datatable!$B14&amp;"!"&amp;"I8")</f>
        <v>Low Correct</v>
      </c>
      <c r="K68" s="51" t="str" cm="1">
        <f t="array" aca="1" ref="K68" ca="1">INDIRECT("["&amp;datatable!$C$2&amp;"]"&amp;datatable!$B14&amp;"!"&amp;"I9")</f>
        <v>N/A</v>
      </c>
      <c r="L68" s="51" t="str" cm="1">
        <f t="array" aca="1" ref="L68" ca="1">INDIRECT("["&amp;datatable!$C$2&amp;"]"&amp;datatable!$B14&amp;"!"&amp;"I10")</f>
        <v>N/A</v>
      </c>
      <c r="M68" s="51" t="str" cm="1">
        <f t="array" aca="1" ref="M68" ca="1">INDIRECT("["&amp;datatable!$C$2&amp;"]"&amp;datatable!$B14&amp;"!"&amp;"I11")</f>
        <v>High Correct</v>
      </c>
      <c r="N68" s="51" t="str" cm="1">
        <f t="array" aca="1" ref="N68" ca="1">INDIRECT("["&amp;datatable!$C$2&amp;"]"&amp;datatable!$B14&amp;"!"&amp;"I46")</f>
        <v>High Correct</v>
      </c>
      <c r="O68" s="51" t="str" cm="1">
        <f t="array" aca="1" ref="O68" ca="1">INDIRECT("["&amp;datatable!$C$2&amp;"]"&amp;datatable!$B14&amp;"!"&amp;"I47")</f>
        <v>High Incorrect</v>
      </c>
      <c r="P68" s="51" t="str" cm="1">
        <f t="array" aca="1" ref="P68" ca="1">INDIRECT("["&amp;datatable!$C$2&amp;"]"&amp;datatable!$B14&amp;"!"&amp;"I48")</f>
        <v>Low Correct</v>
      </c>
      <c r="Q68" s="51" t="str" cm="1">
        <f t="array" aca="1" ref="Q68" ca="1">INDIRECT("["&amp;datatable!$C$2&amp;"]"&amp;datatable!$B14&amp;"!"&amp;"I49")</f>
        <v>High Correct</v>
      </c>
      <c r="R68" s="51" t="str" cm="1">
        <f t="array" aca="1" ref="R68" ca="1">INDIRECT("["&amp;datatable!$C$2&amp;"]"&amp;datatable!$B14&amp;"!"&amp;"I50")</f>
        <v>High Correct</v>
      </c>
      <c r="S68" s="51" t="str" cm="1">
        <f t="array" aca="1" ref="S68" ca="1">INDIRECT("["&amp;datatable!$C$2&amp;"]"&amp;datatable!$B14&amp;"!"&amp;"I51")</f>
        <v>High Correct</v>
      </c>
      <c r="T68" s="51" t="str" cm="1">
        <f t="array" aca="1" ref="T68" ca="1">INDIRECT("["&amp;datatable!$C$2&amp;"]"&amp;datatable!$B14&amp;"!"&amp;"I52")</f>
        <v>Low Correct</v>
      </c>
      <c r="U68" s="51" t="str" cm="1">
        <f t="array" aca="1" ref="U68" ca="1">INDIRECT("["&amp;datatable!$C$2&amp;"]"&amp;datatable!$B14&amp;"!"&amp;"I53")</f>
        <v>Medium Correct</v>
      </c>
      <c r="V68" s="51" t="str" cm="1">
        <f t="array" aca="1" ref="V68" ca="1">INDIRECT("["&amp;datatable!$C$2&amp;"]"&amp;datatable!$B14&amp;"!"&amp;"I54")</f>
        <v>High Incorrect</v>
      </c>
      <c r="W68" s="51" t="str" cm="1">
        <f t="array" aca="1" ref="W68" ca="1">INDIRECT("["&amp;datatable!$C$2&amp;"]"&amp;datatable!$B14&amp;"!"&amp;"I55")</f>
        <v>Medium Maybe</v>
      </c>
      <c r="X68" s="51" t="str" cm="1">
        <f t="array" aca="1" ref="X68" ca="1">INDIRECT("["&amp;datatable!$C$2&amp;"]"&amp;datatable!$B14&amp;"!"&amp;"I56")</f>
        <v>N/A</v>
      </c>
      <c r="Y68" s="50"/>
    </row>
    <row r="69" spans="3:25">
      <c r="C69" s="30" t="s">
        <v>50</v>
      </c>
      <c r="D69" s="51" t="str" cm="1">
        <f t="array" aca="1" ref="D69" ca="1">INDIRECT("["&amp;datatable!$C$2&amp;"]"&amp;datatable!$B15&amp;"!"&amp;"I2")</f>
        <v>High Correct</v>
      </c>
      <c r="E69" s="51" t="str" cm="1">
        <f t="array" aca="1" ref="E69" ca="1">INDIRECT("["&amp;datatable!$C$2&amp;"]"&amp;datatable!$B15&amp;"!"&amp;"I3")</f>
        <v>High Correct</v>
      </c>
      <c r="F69" s="51" t="str" cm="1">
        <f t="array" aca="1" ref="F69" ca="1">INDIRECT("["&amp;datatable!$C$2&amp;"]"&amp;datatable!$B15&amp;"!"&amp;"I4")</f>
        <v>High Incorrect</v>
      </c>
      <c r="G69" s="51" t="str" cm="1">
        <f t="array" aca="1" ref="G69" ca="1">INDIRECT("["&amp;datatable!$C$2&amp;"]"&amp;datatable!$B15&amp;"!"&amp;"I5")</f>
        <v>High Maybe</v>
      </c>
      <c r="H69" s="51" t="str" cm="1">
        <f t="array" aca="1" ref="H69" ca="1">INDIRECT("["&amp;datatable!$C$2&amp;"]"&amp;datatable!$B15&amp;"!"&amp;"I6")</f>
        <v>Low Incorrect</v>
      </c>
      <c r="I69" s="51" t="str" cm="1">
        <f t="array" aca="1" ref="I69" ca="1">INDIRECT("["&amp;datatable!$C$2&amp;"]"&amp;datatable!$B15&amp;"!"&amp;"I7")</f>
        <v>High Correct</v>
      </c>
      <c r="J69" s="51" t="str" cm="1">
        <f t="array" aca="1" ref="J69" ca="1">INDIRECT("["&amp;datatable!$C$2&amp;"]"&amp;datatable!$B15&amp;"!"&amp;"I8")</f>
        <v>Medium Incorrect</v>
      </c>
      <c r="K69" s="51" t="str" cm="1">
        <f t="array" aca="1" ref="K69" ca="1">INDIRECT("["&amp;datatable!$C$2&amp;"]"&amp;datatable!$B15&amp;"!"&amp;"I9")</f>
        <v>Medium Maybe</v>
      </c>
      <c r="L69" s="51" t="str" cm="1">
        <f t="array" aca="1" ref="L69" ca="1">INDIRECT("["&amp;datatable!$C$2&amp;"]"&amp;datatable!$B15&amp;"!"&amp;"I10")</f>
        <v>High Incorrect</v>
      </c>
      <c r="M69" s="51" t="str" cm="1">
        <f t="array" aca="1" ref="M69" ca="1">INDIRECT("["&amp;datatable!$C$2&amp;"]"&amp;datatable!$B15&amp;"!"&amp;"I11")</f>
        <v>High Correct</v>
      </c>
      <c r="N69" s="51" t="str" cm="1">
        <f t="array" aca="1" ref="N69" ca="1">INDIRECT("["&amp;datatable!$C$2&amp;"]"&amp;datatable!$B15&amp;"!"&amp;"I46")</f>
        <v>High Correct</v>
      </c>
      <c r="O69" s="51" t="str" cm="1">
        <f t="array" aca="1" ref="O69" ca="1">INDIRECT("["&amp;datatable!$C$2&amp;"]"&amp;datatable!$B15&amp;"!"&amp;"I47")</f>
        <v>High Correct</v>
      </c>
      <c r="P69" s="51" t="str" cm="1">
        <f t="array" aca="1" ref="P69" ca="1">INDIRECT("["&amp;datatable!$C$2&amp;"]"&amp;datatable!$B15&amp;"!"&amp;"I48")</f>
        <v>High Correct</v>
      </c>
      <c r="Q69" s="51" t="str" cm="1">
        <f t="array" aca="1" ref="Q69" ca="1">INDIRECT("["&amp;datatable!$C$2&amp;"]"&amp;datatable!$B15&amp;"!"&amp;"I49")</f>
        <v>High Correct</v>
      </c>
      <c r="R69" s="51" t="str" cm="1">
        <f t="array" aca="1" ref="R69" ca="1">INDIRECT("["&amp;datatable!$C$2&amp;"]"&amp;datatable!$B15&amp;"!"&amp;"I50")</f>
        <v>High Correct</v>
      </c>
      <c r="S69" s="51" t="str" cm="1">
        <f t="array" aca="1" ref="S69" ca="1">INDIRECT("["&amp;datatable!$C$2&amp;"]"&amp;datatable!$B15&amp;"!"&amp;"I51")</f>
        <v>High Correct</v>
      </c>
      <c r="T69" s="51" t="str" cm="1">
        <f t="array" aca="1" ref="T69" ca="1">INDIRECT("["&amp;datatable!$C$2&amp;"]"&amp;datatable!$B15&amp;"!"&amp;"I52")</f>
        <v>Medium Correct</v>
      </c>
      <c r="U69" s="51" t="str" cm="1">
        <f t="array" aca="1" ref="U69" ca="1">INDIRECT("["&amp;datatable!$C$2&amp;"]"&amp;datatable!$B15&amp;"!"&amp;"I53")</f>
        <v>Medium Correct</v>
      </c>
      <c r="V69" s="51" t="str" cm="1">
        <f t="array" aca="1" ref="V69" ca="1">INDIRECT("["&amp;datatable!$C$2&amp;"]"&amp;datatable!$B15&amp;"!"&amp;"I54")</f>
        <v>High Correct</v>
      </c>
      <c r="W69" s="51" t="str" cm="1">
        <f t="array" aca="1" ref="W69" ca="1">INDIRECT("["&amp;datatable!$C$2&amp;"]"&amp;datatable!$B15&amp;"!"&amp;"I55")</f>
        <v>High Correct</v>
      </c>
      <c r="X69" s="51" t="str" cm="1">
        <f t="array" aca="1" ref="X69" ca="1">INDIRECT("["&amp;datatable!$C$2&amp;"]"&amp;datatable!$B15&amp;"!"&amp;"I56")</f>
        <v>High Incorrect</v>
      </c>
      <c r="Y69" s="50"/>
    </row>
    <row r="70" spans="3:25">
      <c r="C70" s="30" t="s">
        <v>51</v>
      </c>
      <c r="D70" s="51" t="str" cm="1">
        <f t="array" aca="1" ref="D70" ca="1">INDIRECT("["&amp;datatable!$C$2&amp;"]"&amp;datatable!$B16&amp;"!"&amp;"I2")</f>
        <v>High Correct</v>
      </c>
      <c r="E70" s="51" t="str" cm="1">
        <f t="array" aca="1" ref="E70" ca="1">INDIRECT("["&amp;datatable!$C$2&amp;"]"&amp;datatable!$B16&amp;"!"&amp;"I3")</f>
        <v>High Incorrect</v>
      </c>
      <c r="F70" s="51" t="str" cm="1">
        <f t="array" aca="1" ref="F70" ca="1">INDIRECT("["&amp;datatable!$C$2&amp;"]"&amp;datatable!$B16&amp;"!"&amp;"I4")</f>
        <v>High Incorrect</v>
      </c>
      <c r="G70" s="51" t="str" cm="1">
        <f t="array" aca="1" ref="G70" ca="1">INDIRECT("["&amp;datatable!$C$2&amp;"]"&amp;datatable!$B16&amp;"!"&amp;"I5")</f>
        <v>High Incorrect</v>
      </c>
      <c r="H70" s="51" t="str" cm="1">
        <f t="array" aca="1" ref="H70" ca="1">INDIRECT("["&amp;datatable!$C$2&amp;"]"&amp;datatable!$B16&amp;"!"&amp;"I6")</f>
        <v>High Incorrect</v>
      </c>
      <c r="I70" s="51" t="str" cm="1">
        <f t="array" aca="1" ref="I70" ca="1">INDIRECT("["&amp;datatable!$C$2&amp;"]"&amp;datatable!$B16&amp;"!"&amp;"I7")</f>
        <v>High Correct</v>
      </c>
      <c r="J70" s="51" t="str" cm="1">
        <f t="array" aca="1" ref="J70" ca="1">INDIRECT("["&amp;datatable!$C$2&amp;"]"&amp;datatable!$B16&amp;"!"&amp;"I8")</f>
        <v>High Incorrect</v>
      </c>
      <c r="K70" s="51" t="str" cm="1">
        <f t="array" aca="1" ref="K70" ca="1">INDIRECT("["&amp;datatable!$C$2&amp;"]"&amp;datatable!$B16&amp;"!"&amp;"I9")</f>
        <v>High Correct</v>
      </c>
      <c r="L70" s="51" t="str" cm="1">
        <f t="array" aca="1" ref="L70" ca="1">INDIRECT("["&amp;datatable!$C$2&amp;"]"&amp;datatable!$B16&amp;"!"&amp;"I10")</f>
        <v>High Incorrect</v>
      </c>
      <c r="M70" s="51" t="str" cm="1">
        <f t="array" aca="1" ref="M70" ca="1">INDIRECT("["&amp;datatable!$C$2&amp;"]"&amp;datatable!$B16&amp;"!"&amp;"I11")</f>
        <v>Medium Incorrect</v>
      </c>
      <c r="N70" s="51" t="str" cm="1">
        <f t="array" aca="1" ref="N70" ca="1">INDIRECT("["&amp;datatable!$C$2&amp;"]"&amp;datatable!$B16&amp;"!"&amp;"I46")</f>
        <v>High Correct</v>
      </c>
      <c r="O70" s="51" t="str" cm="1">
        <f t="array" aca="1" ref="O70" ca="1">INDIRECT("["&amp;datatable!$C$2&amp;"]"&amp;datatable!$B16&amp;"!"&amp;"I47")</f>
        <v>High Maybe</v>
      </c>
      <c r="P70" s="51" t="str" cm="1">
        <f t="array" aca="1" ref="P70" ca="1">INDIRECT("["&amp;datatable!$C$2&amp;"]"&amp;datatable!$B16&amp;"!"&amp;"I48")</f>
        <v>High Correct</v>
      </c>
      <c r="Q70" s="51" t="str" cm="1">
        <f t="array" aca="1" ref="Q70" ca="1">INDIRECT("["&amp;datatable!$C$2&amp;"]"&amp;datatable!$B16&amp;"!"&amp;"I49")</f>
        <v>High Correct</v>
      </c>
      <c r="R70" s="51" t="str" cm="1">
        <f t="array" aca="1" ref="R70" ca="1">INDIRECT("["&amp;datatable!$C$2&amp;"]"&amp;datatable!$B16&amp;"!"&amp;"I50")</f>
        <v>High Incorrect</v>
      </c>
      <c r="S70" s="51" t="str" cm="1">
        <f t="array" aca="1" ref="S70" ca="1">INDIRECT("["&amp;datatable!$C$2&amp;"]"&amp;datatable!$B16&amp;"!"&amp;"I51")</f>
        <v>High Incorrect</v>
      </c>
      <c r="T70" s="51" t="str" cm="1">
        <f t="array" aca="1" ref="T70" ca="1">INDIRECT("["&amp;datatable!$C$2&amp;"]"&amp;datatable!$B16&amp;"!"&amp;"I52")</f>
        <v>Medium Correct</v>
      </c>
      <c r="U70" s="51" t="str" cm="1">
        <f t="array" aca="1" ref="U70" ca="1">INDIRECT("["&amp;datatable!$C$2&amp;"]"&amp;datatable!$B16&amp;"!"&amp;"I53")</f>
        <v>Low Correct</v>
      </c>
      <c r="V70" s="51" t="str" cm="1">
        <f t="array" aca="1" ref="V70" ca="1">INDIRECT("["&amp;datatable!$C$2&amp;"]"&amp;datatable!$B16&amp;"!"&amp;"I54")</f>
        <v>Medium Correct</v>
      </c>
      <c r="W70" s="51" t="str" cm="1">
        <f t="array" aca="1" ref="W70" ca="1">INDIRECT("["&amp;datatable!$C$2&amp;"]"&amp;datatable!$B16&amp;"!"&amp;"I55")</f>
        <v>Medium Maybe</v>
      </c>
      <c r="X70" s="51" t="str" cm="1">
        <f t="array" aca="1" ref="X70" ca="1">INDIRECT("["&amp;datatable!$C$2&amp;"]"&amp;datatable!$B16&amp;"!"&amp;"I56")</f>
        <v>High Incorrect</v>
      </c>
      <c r="Y70" s="50"/>
    </row>
    <row r="71" spans="3:25">
      <c r="C71" s="30" t="s">
        <v>52</v>
      </c>
      <c r="D71" s="51" t="str" cm="1">
        <f t="array" aca="1" ref="D71" ca="1">INDIRECT("["&amp;datatable!$C$2&amp;"]"&amp;datatable!$B17&amp;"!"&amp;"I2")</f>
        <v>High Correct</v>
      </c>
      <c r="E71" s="51" t="str" cm="1">
        <f t="array" aca="1" ref="E71" ca="1">INDIRECT("["&amp;datatable!$C$2&amp;"]"&amp;datatable!$B17&amp;"!"&amp;"I3")</f>
        <v>High Correct</v>
      </c>
      <c r="F71" s="51" t="str" cm="1">
        <f t="array" aca="1" ref="F71" ca="1">INDIRECT("["&amp;datatable!$C$2&amp;"]"&amp;datatable!$B17&amp;"!"&amp;"I4")</f>
        <v>High Incorrect</v>
      </c>
      <c r="G71" s="51" t="str" cm="1">
        <f t="array" aca="1" ref="G71" ca="1">INDIRECT("["&amp;datatable!$C$2&amp;"]"&amp;datatable!$B17&amp;"!"&amp;"I5")</f>
        <v>High Correct</v>
      </c>
      <c r="H71" s="51" t="str" cm="1">
        <f t="array" aca="1" ref="H71" ca="1">INDIRECT("["&amp;datatable!$C$2&amp;"]"&amp;datatable!$B17&amp;"!"&amp;"I6")</f>
        <v>High Correct</v>
      </c>
      <c r="I71" s="51" t="str" cm="1">
        <f t="array" aca="1" ref="I71" ca="1">INDIRECT("["&amp;datatable!$C$2&amp;"]"&amp;datatable!$B17&amp;"!"&amp;"I7")</f>
        <v>High Correct</v>
      </c>
      <c r="J71" s="51" t="str" cm="1">
        <f t="array" aca="1" ref="J71" ca="1">INDIRECT("["&amp;datatable!$C$2&amp;"]"&amp;datatable!$B17&amp;"!"&amp;"I8")</f>
        <v>Low Maybe</v>
      </c>
      <c r="K71" s="51" t="str" cm="1">
        <f t="array" aca="1" ref="K71" ca="1">INDIRECT("["&amp;datatable!$C$2&amp;"]"&amp;datatable!$B17&amp;"!"&amp;"I9")</f>
        <v>High Correct</v>
      </c>
      <c r="L71" s="51" t="str" cm="1">
        <f t="array" aca="1" ref="L71" ca="1">INDIRECT("["&amp;datatable!$C$2&amp;"]"&amp;datatable!$B17&amp;"!"&amp;"I10")</f>
        <v>High Correct</v>
      </c>
      <c r="M71" s="51" t="str" cm="1">
        <f t="array" aca="1" ref="M71" ca="1">INDIRECT("["&amp;datatable!$C$2&amp;"]"&amp;datatable!$B17&amp;"!"&amp;"I11")</f>
        <v>Medium Maybe</v>
      </c>
      <c r="N71" s="51" t="str" cm="1">
        <f t="array" aca="1" ref="N71" ca="1">INDIRECT("["&amp;datatable!$C$2&amp;"]"&amp;datatable!$B17&amp;"!"&amp;"I46")</f>
        <v>High Correct</v>
      </c>
      <c r="O71" s="51" t="str" cm="1">
        <f t="array" aca="1" ref="O71" ca="1">INDIRECT("["&amp;datatable!$C$2&amp;"]"&amp;datatable!$B17&amp;"!"&amp;"I47")</f>
        <v>Medium Correct</v>
      </c>
      <c r="P71" s="51" t="str" cm="1">
        <f t="array" aca="1" ref="P71" ca="1">INDIRECT("["&amp;datatable!$C$2&amp;"]"&amp;datatable!$B17&amp;"!"&amp;"I48")</f>
        <v>High Correct</v>
      </c>
      <c r="Q71" s="51" t="str" cm="1">
        <f t="array" aca="1" ref="Q71" ca="1">INDIRECT("["&amp;datatable!$C$2&amp;"]"&amp;datatable!$B17&amp;"!"&amp;"I49")</f>
        <v>Medium Maybe</v>
      </c>
      <c r="R71" s="51" t="str" cm="1">
        <f t="array" aca="1" ref="R71" ca="1">INDIRECT("["&amp;datatable!$C$2&amp;"]"&amp;datatable!$B17&amp;"!"&amp;"I50")</f>
        <v>High Correct</v>
      </c>
      <c r="S71" s="51" t="str" cm="1">
        <f t="array" aca="1" ref="S71" ca="1">INDIRECT("["&amp;datatable!$C$2&amp;"]"&amp;datatable!$B17&amp;"!"&amp;"I51")</f>
        <v>High Correct</v>
      </c>
      <c r="T71" s="51" t="str" cm="1">
        <f t="array" aca="1" ref="T71" ca="1">INDIRECT("["&amp;datatable!$C$2&amp;"]"&amp;datatable!$B17&amp;"!"&amp;"I52")</f>
        <v>Medium Correct</v>
      </c>
      <c r="U71" s="51" t="str" cm="1">
        <f t="array" aca="1" ref="U71" ca="1">INDIRECT("["&amp;datatable!$C$2&amp;"]"&amp;datatable!$B17&amp;"!"&amp;"I53")</f>
        <v>Medium Correct</v>
      </c>
      <c r="V71" s="51" t="str" cm="1">
        <f t="array" aca="1" ref="V71" ca="1">INDIRECT("["&amp;datatable!$C$2&amp;"]"&amp;datatable!$B17&amp;"!"&amp;"I54")</f>
        <v>High Correct</v>
      </c>
      <c r="W71" s="51" t="str" cm="1">
        <f t="array" aca="1" ref="W71" ca="1">INDIRECT("["&amp;datatable!$C$2&amp;"]"&amp;datatable!$B17&amp;"!"&amp;"I55")</f>
        <v>High Correct</v>
      </c>
      <c r="X71" s="51" t="str" cm="1">
        <f t="array" aca="1" ref="X71" ca="1">INDIRECT("["&amp;datatable!$C$2&amp;"]"&amp;datatable!$B17&amp;"!"&amp;"I56")</f>
        <v>N/A</v>
      </c>
      <c r="Y71" s="50"/>
    </row>
    <row r="72" spans="3:25">
      <c r="C72" s="30" t="s">
        <v>53</v>
      </c>
      <c r="D72" s="51" t="str" cm="1">
        <f t="array" aca="1" ref="D72" ca="1">INDIRECT("["&amp;datatable!$C$2&amp;"]"&amp;datatable!$B18&amp;"!"&amp;"I2")</f>
        <v>High Incorrect</v>
      </c>
      <c r="E72" s="51" t="str" cm="1">
        <f t="array" aca="1" ref="E72" ca="1">INDIRECT("["&amp;datatable!$C$2&amp;"]"&amp;datatable!$B18&amp;"!"&amp;"I3")</f>
        <v>Low Maybe</v>
      </c>
      <c r="F72" s="51" t="str" cm="1">
        <f t="array" aca="1" ref="F72" ca="1">INDIRECT("["&amp;datatable!$C$2&amp;"]"&amp;datatable!$B18&amp;"!"&amp;"I4")</f>
        <v>High Incorrect</v>
      </c>
      <c r="G72" s="51" t="str" cm="1">
        <f t="array" aca="1" ref="G72" ca="1">INDIRECT("["&amp;datatable!$C$2&amp;"]"&amp;datatable!$B18&amp;"!"&amp;"I5")</f>
        <v>High Incorrect</v>
      </c>
      <c r="H72" s="51" t="str" cm="1">
        <f t="array" aca="1" ref="H72" ca="1">INDIRECT("["&amp;datatable!$C$2&amp;"]"&amp;datatable!$B18&amp;"!"&amp;"I6")</f>
        <v>Low Correct</v>
      </c>
      <c r="I72" s="51" t="str" cm="1">
        <f t="array" aca="1" ref="I72" ca="1">INDIRECT("["&amp;datatable!$C$2&amp;"]"&amp;datatable!$B18&amp;"!"&amp;"I7")</f>
        <v>High Incorrect</v>
      </c>
      <c r="J72" s="51" t="str" cm="1">
        <f t="array" aca="1" ref="J72" ca="1">INDIRECT("["&amp;datatable!$C$2&amp;"]"&amp;datatable!$B18&amp;"!"&amp;"I8")</f>
        <v>Low Maybe</v>
      </c>
      <c r="K72" s="51" t="str" cm="1">
        <f t="array" aca="1" ref="K72" ca="1">INDIRECT("["&amp;datatable!$C$2&amp;"]"&amp;datatable!$B18&amp;"!"&amp;"I9")</f>
        <v>High Correct</v>
      </c>
      <c r="L72" s="51" t="str" cm="1">
        <f t="array" aca="1" ref="L72" ca="1">INDIRECT("["&amp;datatable!$C$2&amp;"]"&amp;datatable!$B18&amp;"!"&amp;"I10")</f>
        <v>High Incorrect</v>
      </c>
      <c r="M72" s="51" t="str" cm="1">
        <f t="array" aca="1" ref="M72" ca="1">INDIRECT("["&amp;datatable!$C$2&amp;"]"&amp;datatable!$B18&amp;"!"&amp;"I11")</f>
        <v>High Correct</v>
      </c>
      <c r="N72" s="51" t="str" cm="1">
        <f t="array" aca="1" ref="N72" ca="1">INDIRECT("["&amp;datatable!$C$2&amp;"]"&amp;datatable!$B18&amp;"!"&amp;"I46")</f>
        <v>High Correct</v>
      </c>
      <c r="O72" s="51" t="str" cm="1">
        <f t="array" aca="1" ref="O72" ca="1">INDIRECT("["&amp;datatable!$C$2&amp;"]"&amp;datatable!$B18&amp;"!"&amp;"I47")</f>
        <v>High Correct</v>
      </c>
      <c r="P72" s="51" t="str" cm="1">
        <f t="array" aca="1" ref="P72" ca="1">INDIRECT("["&amp;datatable!$C$2&amp;"]"&amp;datatable!$B18&amp;"!"&amp;"I48")</f>
        <v>High Incorrect</v>
      </c>
      <c r="Q72" s="51" t="str" cm="1">
        <f t="array" aca="1" ref="Q72" ca="1">INDIRECT("["&amp;datatable!$C$2&amp;"]"&amp;datatable!$B18&amp;"!"&amp;"I49")</f>
        <v>Medium Maybe</v>
      </c>
      <c r="R72" s="51" t="str" cm="1">
        <f t="array" aca="1" ref="R72" ca="1">INDIRECT("["&amp;datatable!$C$2&amp;"]"&amp;datatable!$B18&amp;"!"&amp;"I50")</f>
        <v>High Correct</v>
      </c>
      <c r="S72" s="51" t="str" cm="1">
        <f t="array" aca="1" ref="S72" ca="1">INDIRECT("["&amp;datatable!$C$2&amp;"]"&amp;datatable!$B18&amp;"!"&amp;"I51")</f>
        <v>High Incorrect</v>
      </c>
      <c r="T72" s="51" t="str" cm="1">
        <f t="array" aca="1" ref="T72" ca="1">INDIRECT("["&amp;datatable!$C$2&amp;"]"&amp;datatable!$B18&amp;"!"&amp;"I52")</f>
        <v>N/A</v>
      </c>
      <c r="U72" s="51" t="str" cm="1">
        <f t="array" aca="1" ref="U72" ca="1">INDIRECT("["&amp;datatable!$C$2&amp;"]"&amp;datatable!$B18&amp;"!"&amp;"I53")</f>
        <v>High Incorrect</v>
      </c>
      <c r="V72" s="51" t="str" cm="1">
        <f t="array" aca="1" ref="V72" ca="1">INDIRECT("["&amp;datatable!$C$2&amp;"]"&amp;datatable!$B18&amp;"!"&amp;"I54")</f>
        <v>Medium Maybe</v>
      </c>
      <c r="W72" s="51" t="str" cm="1">
        <f t="array" aca="1" ref="W72" ca="1">INDIRECT("["&amp;datatable!$C$2&amp;"]"&amp;datatable!$B18&amp;"!"&amp;"I55")</f>
        <v>Medium Incorrect</v>
      </c>
      <c r="X72" s="51" t="str" cm="1">
        <f t="array" aca="1" ref="X72" ca="1">INDIRECT("["&amp;datatable!$C$2&amp;"]"&amp;datatable!$B18&amp;"!"&amp;"I56")</f>
        <v>N/A</v>
      </c>
      <c r="Y72" s="50"/>
    </row>
    <row r="73" spans="3:25">
      <c r="C73" s="30" t="s">
        <v>54</v>
      </c>
      <c r="D73" s="51" t="str" cm="1">
        <f t="array" aca="1" ref="D73" ca="1">INDIRECT("["&amp;datatable!$C$2&amp;"]"&amp;datatable!$B19&amp;"!"&amp;"I2")</f>
        <v>High Correct</v>
      </c>
      <c r="E73" s="51" t="str" cm="1">
        <f t="array" aca="1" ref="E73" ca="1">INDIRECT("["&amp;datatable!$C$2&amp;"]"&amp;datatable!$B19&amp;"!"&amp;"I3")</f>
        <v>Low Correct</v>
      </c>
      <c r="F73" s="51" t="str" cm="1">
        <f t="array" aca="1" ref="F73" ca="1">INDIRECT("["&amp;datatable!$C$2&amp;"]"&amp;datatable!$B19&amp;"!"&amp;"I4")</f>
        <v>High Correct</v>
      </c>
      <c r="G73" s="51" t="str" cm="1">
        <f t="array" aca="1" ref="G73" ca="1">INDIRECT("["&amp;datatable!$C$2&amp;"]"&amp;datatable!$B19&amp;"!"&amp;"I5")</f>
        <v>High Correct</v>
      </c>
      <c r="H73" s="51" t="str" cm="1">
        <f t="array" aca="1" ref="H73" ca="1">INDIRECT("["&amp;datatable!$C$2&amp;"]"&amp;datatable!$B19&amp;"!"&amp;"I6")</f>
        <v>High Correct</v>
      </c>
      <c r="I73" s="51" t="str" cm="1">
        <f t="array" aca="1" ref="I73" ca="1">INDIRECT("["&amp;datatable!$C$2&amp;"]"&amp;datatable!$B19&amp;"!"&amp;"I7")</f>
        <v>High Correct</v>
      </c>
      <c r="J73" s="51" t="str" cm="1">
        <f t="array" aca="1" ref="J73" ca="1">INDIRECT("["&amp;datatable!$C$2&amp;"]"&amp;datatable!$B19&amp;"!"&amp;"I8")</f>
        <v>Low Correct</v>
      </c>
      <c r="K73" s="51" t="str" cm="1">
        <f t="array" aca="1" ref="K73" ca="1">INDIRECT("["&amp;datatable!$C$2&amp;"]"&amp;datatable!$B19&amp;"!"&amp;"I9")</f>
        <v>Low Correct</v>
      </c>
      <c r="L73" s="51" t="str" cm="1">
        <f t="array" aca="1" ref="L73" ca="1">INDIRECT("["&amp;datatable!$C$2&amp;"]"&amp;datatable!$B19&amp;"!"&amp;"I10")</f>
        <v>High Correct</v>
      </c>
      <c r="M73" s="51" t="str" cm="1">
        <f t="array" aca="1" ref="M73" ca="1">INDIRECT("["&amp;datatable!$C$2&amp;"]"&amp;datatable!$B19&amp;"!"&amp;"I11")</f>
        <v>High Correct</v>
      </c>
      <c r="N73" s="51" t="str" cm="1">
        <f t="array" aca="1" ref="N73" ca="1">INDIRECT("["&amp;datatable!$C$2&amp;"]"&amp;datatable!$B19&amp;"!"&amp;"I46")</f>
        <v>Low Correct</v>
      </c>
      <c r="O73" s="51" t="str" cm="1">
        <f t="array" aca="1" ref="O73" ca="1">INDIRECT("["&amp;datatable!$C$2&amp;"]"&amp;datatable!$B19&amp;"!"&amp;"I47")</f>
        <v>Low Correct</v>
      </c>
      <c r="P73" s="51" t="str" cm="1">
        <f t="array" aca="1" ref="P73" ca="1">INDIRECT("["&amp;datatable!$C$2&amp;"]"&amp;datatable!$B19&amp;"!"&amp;"I48")</f>
        <v>High Correct</v>
      </c>
      <c r="Q73" s="51" t="str" cm="1">
        <f t="array" aca="1" ref="Q73" ca="1">INDIRECT("["&amp;datatable!$C$2&amp;"]"&amp;datatable!$B19&amp;"!"&amp;"I49")</f>
        <v>High Correct</v>
      </c>
      <c r="R73" s="51" t="str" cm="1">
        <f t="array" aca="1" ref="R73" ca="1">INDIRECT("["&amp;datatable!$C$2&amp;"]"&amp;datatable!$B19&amp;"!"&amp;"I50")</f>
        <v>Low Correct</v>
      </c>
      <c r="S73" s="51" t="str" cm="1">
        <f t="array" aca="1" ref="S73" ca="1">INDIRECT("["&amp;datatable!$C$2&amp;"]"&amp;datatable!$B19&amp;"!"&amp;"I51")</f>
        <v>High Correct</v>
      </c>
      <c r="T73" s="51" t="str" cm="1">
        <f t="array" aca="1" ref="T73" ca="1">INDIRECT("["&amp;datatable!$C$2&amp;"]"&amp;datatable!$B19&amp;"!"&amp;"I52")</f>
        <v>High Correct</v>
      </c>
      <c r="U73" s="51" t="str" cm="1">
        <f t="array" aca="1" ref="U73" ca="1">INDIRECT("["&amp;datatable!$C$2&amp;"]"&amp;datatable!$B19&amp;"!"&amp;"I53")</f>
        <v>High Incorrect</v>
      </c>
      <c r="V73" s="51" t="str" cm="1">
        <f t="array" aca="1" ref="V73" ca="1">INDIRECT("["&amp;datatable!$C$2&amp;"]"&amp;datatable!$B19&amp;"!"&amp;"I54")</f>
        <v>Low Maybe</v>
      </c>
      <c r="W73" s="51" t="str" cm="1">
        <f t="array" aca="1" ref="W73" ca="1">INDIRECT("["&amp;datatable!$C$2&amp;"]"&amp;datatable!$B19&amp;"!"&amp;"I55")</f>
        <v>Low Correct</v>
      </c>
      <c r="X73" s="51" t="str" cm="1">
        <f t="array" aca="1" ref="X73" ca="1">INDIRECT("["&amp;datatable!$C$2&amp;"]"&amp;datatable!$B19&amp;"!"&amp;"I56")</f>
        <v>High Incorrect</v>
      </c>
      <c r="Y73" s="50"/>
    </row>
    <row r="74" spans="3:25">
      <c r="C74" s="50"/>
      <c r="D74" s="53"/>
      <c r="E74" s="53"/>
      <c r="F74" s="50"/>
      <c r="G74" s="50"/>
      <c r="H74" s="50"/>
      <c r="I74" s="50"/>
      <c r="J74" s="50"/>
      <c r="K74" s="50"/>
      <c r="L74" s="50"/>
      <c r="M74" s="50"/>
      <c r="N74" s="50"/>
      <c r="O74" s="50"/>
      <c r="P74" s="50"/>
      <c r="Q74" s="50"/>
      <c r="R74" s="50"/>
      <c r="S74" s="50"/>
      <c r="T74" s="50"/>
      <c r="U74" s="50"/>
      <c r="V74" s="50"/>
      <c r="W74" s="50"/>
      <c r="X74" s="50"/>
      <c r="Y74" s="50"/>
    </row>
  </sheetData>
  <phoneticPr fontId="4" type="noConversion"/>
  <conditionalFormatting sqref="D55:X73">
    <cfRule type="cellIs" dxfId="89" priority="4" operator="equal">
      <formula>"Medium Correct"</formula>
    </cfRule>
    <cfRule type="cellIs" dxfId="88" priority="5" operator="equal">
      <formula>"Low Correct"</formula>
    </cfRule>
    <cfRule type="cellIs" dxfId="87" priority="6" operator="equal">
      <formula>"Medium Maybe"</formula>
    </cfRule>
    <cfRule type="cellIs" dxfId="86" priority="7" operator="equal">
      <formula>"Low Maybe"</formula>
    </cfRule>
    <cfRule type="cellIs" dxfId="85" priority="8" operator="equal">
      <formula>"Medium Incorrect"</formula>
    </cfRule>
    <cfRule type="cellIs" dxfId="84" priority="9" operator="equal">
      <formula>"Low Incorrect"</formula>
    </cfRule>
    <cfRule type="cellIs" dxfId="83" priority="10" operator="equal">
      <formula>"N/A"</formula>
    </cfRule>
  </conditionalFormatting>
  <conditionalFormatting sqref="D56:X73">
    <cfRule type="cellIs" dxfId="82" priority="1" operator="equal">
      <formula>"High Correct"</formula>
    </cfRule>
    <cfRule type="cellIs" dxfId="81" priority="2" operator="equal">
      <formula>"High Incorrect"</formula>
    </cfRule>
    <cfRule type="cellIs" dxfId="80" priority="3" operator="equal">
      <formula>"High Maybe"</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976C-D358-415E-8EAA-75DA98831148}">
  <dimension ref="C5:Y73"/>
  <sheetViews>
    <sheetView topLeftCell="G7" zoomScale="80" zoomScaleNormal="80" workbookViewId="0">
      <selection activeCell="L71" sqref="L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14.6640625" bestFit="1"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7">
      <c r="C5" t="s">
        <v>0</v>
      </c>
    </row>
    <row r="6" spans="3:17">
      <c r="D6" s="7" t="s">
        <v>1</v>
      </c>
      <c r="E6" s="10" t="s">
        <v>2</v>
      </c>
      <c r="F6" s="12" t="s">
        <v>3</v>
      </c>
      <c r="G6" s="14" t="s">
        <v>4</v>
      </c>
      <c r="H6" s="16" t="s">
        <v>5</v>
      </c>
      <c r="I6" s="18" t="s">
        <v>6</v>
      </c>
      <c r="J6" s="20" t="s">
        <v>7</v>
      </c>
      <c r="K6" s="22" t="s">
        <v>8</v>
      </c>
      <c r="L6" s="24" t="s">
        <v>9</v>
      </c>
      <c r="M6" s="26" t="s">
        <v>10</v>
      </c>
      <c r="N6" s="28" t="s">
        <v>11</v>
      </c>
      <c r="O6" s="28" t="s">
        <v>12</v>
      </c>
    </row>
    <row r="7" spans="3:17">
      <c r="C7" s="5" t="s">
        <v>13</v>
      </c>
      <c r="D7" s="8">
        <f ca="1">COUNTIF(INDIRECT("["&amp;datatable!$C$2&amp;"]"&amp;datatable!$A2&amp;"!"&amp;"Q:Q"),"High Correct")</f>
        <v>13</v>
      </c>
      <c r="E7" s="11">
        <f ca="1">COUNTIF(INDIRECT("["&amp;datatable!$C$2&amp;"]"&amp;datatable!$A2&amp;"!"&amp;"Q:Q"),"Medium Correct")</f>
        <v>1</v>
      </c>
      <c r="F7" s="13">
        <f ca="1">COUNTIF(INDIRECT("["&amp;datatable!$C$2&amp;"]"&amp;datatable!$A2&amp;"!"&amp;"Q:Q"),"Low Correct")</f>
        <v>0</v>
      </c>
      <c r="G7" s="15">
        <f ca="1">COUNTIF(INDIRECT("["&amp;datatable!$C$2&amp;"]"&amp;datatable!$A2&amp;"!"&amp;"Q:Q"),"High Maybe")</f>
        <v>0</v>
      </c>
      <c r="H7" s="17">
        <f ca="1">COUNTIF(INDIRECT("["&amp;datatable!$C$2&amp;"]"&amp;datatable!$A2&amp;"!"&amp;"Q:Q"),"Medium Maybe")</f>
        <v>0</v>
      </c>
      <c r="I7" s="19">
        <f ca="1">COUNTIF(INDIRECT("["&amp;datatable!$C$2&amp;"]"&amp;datatable!$A2&amp;"!"&amp;"Q:Q"),"Low Maybe")</f>
        <v>1</v>
      </c>
      <c r="J7" s="21">
        <f ca="1">COUNTIF(INDIRECT("["&amp;datatable!$C$2&amp;"]"&amp;datatable!$A2&amp;"!"&amp;"Q:Q"),"Low Incorrect")</f>
        <v>0</v>
      </c>
      <c r="K7" s="23">
        <f ca="1">COUNTIF(INDIRECT("["&amp;datatable!$C$2&amp;"]"&amp;datatable!$A2&amp;"!"&amp;"Q:Q"),"Medium Incorrect")</f>
        <v>1</v>
      </c>
      <c r="L7" s="25">
        <f ca="1">COUNTIF(INDIRECT("["&amp;datatable!$C$2&amp;"]"&amp;datatable!$A2&amp;"!"&amp;"Q:Q"),"High Incorrect")</f>
        <v>1</v>
      </c>
      <c r="M7" s="27">
        <f ca="1">COUNTIF(INDIRECT("["&amp;datatable!$C$2&amp;"]"&amp;datatable!$A2&amp;"!"&amp;"Q:Q"),"N/A")</f>
        <v>1</v>
      </c>
      <c r="N7" s="29">
        <f t="shared" ref="N7:N28" ca="1" si="0">SUM(D7:M7)</f>
        <v>18</v>
      </c>
      <c r="O7" s="29">
        <f t="shared" ref="O7:O28" ca="1" si="1">SUM(D7:L7)</f>
        <v>17</v>
      </c>
    </row>
    <row r="8" spans="3:17">
      <c r="C8" s="5" t="s">
        <v>14</v>
      </c>
      <c r="D8" s="8">
        <f ca="1">COUNTIF(INDIRECT("["&amp;datatable!$C$2&amp;"]"&amp;datatable!$A3&amp;"!"&amp;"Q:Q"),"High Correct")</f>
        <v>4</v>
      </c>
      <c r="E8" s="11">
        <f ca="1">COUNTIF(INDIRECT("["&amp;datatable!$C$2&amp;"]"&amp;datatable!$A3&amp;"!"&amp;"Q:Q"),"Medium Correct")</f>
        <v>2</v>
      </c>
      <c r="F8" s="13">
        <f ca="1">COUNTIF(INDIRECT("["&amp;datatable!$C$2&amp;"]"&amp;datatable!$A3&amp;"!"&amp;"Q:Q"),"Low Correct")</f>
        <v>0</v>
      </c>
      <c r="G8" s="15">
        <f ca="1">COUNTIF(INDIRECT("["&amp;datatable!$C$2&amp;"]"&amp;datatable!$A3&amp;"!"&amp;"Q:Q"),"High Maybe")</f>
        <v>1</v>
      </c>
      <c r="H8" s="17">
        <f ca="1">COUNTIF(INDIRECT("["&amp;datatable!$C$2&amp;"]"&amp;datatable!$A3&amp;"!"&amp;"Q:Q"),"Medium Maybe")</f>
        <v>1</v>
      </c>
      <c r="I8" s="19">
        <f ca="1">COUNTIF(INDIRECT("["&amp;datatable!$C$2&amp;"]"&amp;datatable!$A3&amp;"!"&amp;"Q:Q"),"Low Maybe")</f>
        <v>2</v>
      </c>
      <c r="J8" s="21">
        <f ca="1">COUNTIF(INDIRECT("["&amp;datatable!$C$2&amp;"]"&amp;datatable!$A3&amp;"!"&amp;"Q:Q"),"Low Incorrect")</f>
        <v>2</v>
      </c>
      <c r="K8" s="23">
        <f ca="1">COUNTIF(INDIRECT("["&amp;datatable!$C$2&amp;"]"&amp;datatable!$A3&amp;"!"&amp;"Q:Q"),"Medium Incorrect")</f>
        <v>1</v>
      </c>
      <c r="L8" s="25">
        <f ca="1">COUNTIF(INDIRECT("["&amp;datatable!$C$2&amp;"]"&amp;datatable!$A3&amp;"!"&amp;"Q:Q"),"High Incorrect")</f>
        <v>5</v>
      </c>
      <c r="M8" s="27">
        <f ca="1">COUNTIF(INDIRECT("["&amp;datatable!$C$2&amp;"]"&amp;datatable!$A3&amp;"!"&amp;"Q:Q"),"N/A")</f>
        <v>0</v>
      </c>
      <c r="N8" s="29">
        <f t="shared" ca="1" si="0"/>
        <v>18</v>
      </c>
      <c r="O8" s="29">
        <f t="shared" ca="1" si="1"/>
        <v>18</v>
      </c>
    </row>
    <row r="9" spans="3:17">
      <c r="C9" s="5" t="s">
        <v>15</v>
      </c>
      <c r="D9" s="8">
        <f ca="1">COUNTIF(INDIRECT("["&amp;datatable!$C$2&amp;"]"&amp;datatable!$A4&amp;"!"&amp;"Q:Q"),"High Correct")</f>
        <v>5</v>
      </c>
      <c r="E9" s="11">
        <f ca="1">COUNTIF(INDIRECT("["&amp;datatable!$C$2&amp;"]"&amp;datatable!$A4&amp;"!"&amp;"Q:Q"),"Medium Correct")</f>
        <v>1</v>
      </c>
      <c r="F9" s="13">
        <f ca="1">COUNTIF(INDIRECT("["&amp;datatable!$C$2&amp;"]"&amp;datatable!$A4&amp;"!"&amp;"Q:Q"),"Low Correct")</f>
        <v>1</v>
      </c>
      <c r="G9" s="15">
        <f ca="1">COUNTIF(INDIRECT("["&amp;datatable!$C$2&amp;"]"&amp;datatable!$A4&amp;"!"&amp;"Q:Q"),"High Maybe")</f>
        <v>0</v>
      </c>
      <c r="H9" s="17">
        <f ca="1">COUNTIF(INDIRECT("["&amp;datatable!$C$2&amp;"]"&amp;datatable!$A4&amp;"!"&amp;"Q:Q"),"Medium Maybe")</f>
        <v>1</v>
      </c>
      <c r="I9" s="19">
        <f ca="1">COUNTIF(INDIRECT("["&amp;datatable!$C$2&amp;"]"&amp;datatable!$A4&amp;"!"&amp;"Q:Q"),"Low Maybe")</f>
        <v>1</v>
      </c>
      <c r="J9" s="21">
        <f ca="1">COUNTIF(INDIRECT("["&amp;datatable!$C$2&amp;"]"&amp;datatable!$A4&amp;"!"&amp;"Q:Q"),"Low Incorrect")</f>
        <v>1</v>
      </c>
      <c r="K9" s="23">
        <f ca="1">COUNTIF(INDIRECT("["&amp;datatable!$C$2&amp;"]"&amp;datatable!$A4&amp;"!"&amp;"Q:Q"),"Medium Incorrect")</f>
        <v>1</v>
      </c>
      <c r="L9" s="25">
        <f ca="1">COUNTIF(INDIRECT("["&amp;datatable!$C$2&amp;"]"&amp;datatable!$A4&amp;"!"&amp;"Q:Q"),"High Incorrect")</f>
        <v>7</v>
      </c>
      <c r="M9" s="27">
        <f ca="1">COUNTIF(INDIRECT("["&amp;datatable!$C$2&amp;"]"&amp;datatable!$A4&amp;"!"&amp;"Q:Q"),"N/A")</f>
        <v>0</v>
      </c>
      <c r="N9" s="29">
        <f t="shared" ca="1" si="0"/>
        <v>18</v>
      </c>
      <c r="O9" s="29">
        <f t="shared" ca="1" si="1"/>
        <v>18</v>
      </c>
      <c r="Q9" t="s">
        <v>55</v>
      </c>
    </row>
    <row r="10" spans="3:17">
      <c r="C10" s="5" t="s">
        <v>16</v>
      </c>
      <c r="D10" s="8">
        <f ca="1">COUNTIF(INDIRECT("["&amp;datatable!$C$2&amp;"]"&amp;datatable!$A5&amp;"!"&amp;"Q:Q"),"High Correct")</f>
        <v>5</v>
      </c>
      <c r="E10" s="11">
        <f ca="1">COUNTIF(INDIRECT("["&amp;datatable!$C$2&amp;"]"&amp;datatable!$A5&amp;"!"&amp;"Q:Q"),"Medium Correct")</f>
        <v>2</v>
      </c>
      <c r="F10" s="13">
        <f ca="1">COUNTIF(INDIRECT("["&amp;datatable!$C$2&amp;"]"&amp;datatable!$A5&amp;"!"&amp;"Q:Q"),"Low Correct")</f>
        <v>3</v>
      </c>
      <c r="G10" s="15">
        <f ca="1">COUNTIF(INDIRECT("["&amp;datatable!$C$2&amp;"]"&amp;datatable!$A5&amp;"!"&amp;"Q:Q"),"High Maybe")</f>
        <v>2</v>
      </c>
      <c r="H10" s="17">
        <f ca="1">COUNTIF(INDIRECT("["&amp;datatable!$C$2&amp;"]"&amp;datatable!$A5&amp;"!"&amp;"Q:Q"),"Medium Maybe")</f>
        <v>4</v>
      </c>
      <c r="I10" s="19">
        <f ca="1">COUNTIF(INDIRECT("["&amp;datatable!$C$2&amp;"]"&amp;datatable!$A5&amp;"!"&amp;"Q:Q"),"Low Maybe")</f>
        <v>0</v>
      </c>
      <c r="J10" s="21">
        <f ca="1">COUNTIF(INDIRECT("["&amp;datatable!$C$2&amp;"]"&amp;datatable!$A5&amp;"!"&amp;"Q:Q"),"Low Incorrect")</f>
        <v>1</v>
      </c>
      <c r="K10" s="23">
        <f ca="1">COUNTIF(INDIRECT("["&amp;datatable!$C$2&amp;"]"&amp;datatable!$A5&amp;"!"&amp;"Q:Q"),"Medium Incorrect")</f>
        <v>1</v>
      </c>
      <c r="L10" s="25">
        <f ca="1">COUNTIF(INDIRECT("["&amp;datatable!$C$2&amp;"]"&amp;datatable!$A5&amp;"!"&amp;"Q:Q"),"High Incorrect")</f>
        <v>0</v>
      </c>
      <c r="M10" s="27">
        <f ca="1">COUNTIF(INDIRECT("["&amp;datatable!$C$2&amp;"]"&amp;datatable!$A5&amp;"!"&amp;"Q:Q"),"N/A")</f>
        <v>0</v>
      </c>
      <c r="N10" s="29">
        <f t="shared" ca="1" si="0"/>
        <v>18</v>
      </c>
      <c r="O10" s="29">
        <f t="shared" ca="1" si="1"/>
        <v>18</v>
      </c>
    </row>
    <row r="11" spans="3:17">
      <c r="C11" s="5" t="s">
        <v>17</v>
      </c>
      <c r="D11" s="8">
        <f ca="1">COUNTIF(INDIRECT("["&amp;datatable!$C$2&amp;"]"&amp;datatable!$A6&amp;"!"&amp;"Q:Q"),"High Correct")</f>
        <v>8</v>
      </c>
      <c r="E11" s="11">
        <f ca="1">COUNTIF(INDIRECT("["&amp;datatable!$C$2&amp;"]"&amp;datatable!$A6&amp;"!"&amp;"Q:Q"),"Medium Correct")</f>
        <v>4</v>
      </c>
      <c r="F11" s="13">
        <f ca="1">COUNTIF(INDIRECT("["&amp;datatable!$C$2&amp;"]"&amp;datatable!$A6&amp;"!"&amp;"Q:Q"),"Low Correct")</f>
        <v>2</v>
      </c>
      <c r="G11" s="15">
        <f ca="1">COUNTIF(INDIRECT("["&amp;datatable!$C$2&amp;"]"&amp;datatable!$A6&amp;"!"&amp;"Q:Q"),"High Maybe")</f>
        <v>1</v>
      </c>
      <c r="H11" s="17">
        <f ca="1">COUNTIF(INDIRECT("["&amp;datatable!$C$2&amp;"]"&amp;datatable!$A6&amp;"!"&amp;"Q:Q"),"Medium Maybe")</f>
        <v>0</v>
      </c>
      <c r="I11" s="19">
        <f ca="1">COUNTIF(INDIRECT("["&amp;datatable!$C$2&amp;"]"&amp;datatable!$A6&amp;"!"&amp;"Q:Q"),"Low Maybe")</f>
        <v>0</v>
      </c>
      <c r="J11" s="21">
        <f ca="1">COUNTIF(INDIRECT("["&amp;datatable!$C$2&amp;"]"&amp;datatable!$A6&amp;"!"&amp;"Q:Q"),"Low Incorrect")</f>
        <v>0</v>
      </c>
      <c r="K11" s="23">
        <f ca="1">COUNTIF(INDIRECT("["&amp;datatable!$C$2&amp;"]"&amp;datatable!$A6&amp;"!"&amp;"Q:Q"),"Medium Incorrect")</f>
        <v>0</v>
      </c>
      <c r="L11" s="25">
        <f ca="1">COUNTIF(INDIRECT("["&amp;datatable!$C$2&amp;"]"&amp;datatable!$A6&amp;"!"&amp;"Q:Q"),"High Incorrect")</f>
        <v>2</v>
      </c>
      <c r="M11" s="27">
        <f ca="1">COUNTIF(INDIRECT("["&amp;datatable!$C$2&amp;"]"&amp;datatable!$A6&amp;"!"&amp;"Q:Q"),"N/A")</f>
        <v>1</v>
      </c>
      <c r="N11" s="29">
        <f t="shared" ca="1" si="0"/>
        <v>18</v>
      </c>
      <c r="O11" s="29">
        <f t="shared" ca="1" si="1"/>
        <v>17</v>
      </c>
    </row>
    <row r="12" spans="3:17">
      <c r="C12" s="5" t="s">
        <v>18</v>
      </c>
      <c r="D12" s="8">
        <f ca="1">COUNTIF(INDIRECT("["&amp;datatable!$C$2&amp;"]"&amp;datatable!$A7&amp;"!"&amp;"Q:Q"),"High Correct")</f>
        <v>10</v>
      </c>
      <c r="E12" s="11">
        <f ca="1">COUNTIF(INDIRECT("["&amp;datatable!$C$2&amp;"]"&amp;datatable!$A7&amp;"!"&amp;"Q:Q"),"Medium Correct")</f>
        <v>0</v>
      </c>
      <c r="F12" s="13">
        <f ca="1">COUNTIF(INDIRECT("["&amp;datatable!$C$2&amp;"]"&amp;datatable!$A7&amp;"!"&amp;"Q:Q"),"Low Correct")</f>
        <v>0</v>
      </c>
      <c r="G12" s="15">
        <f ca="1">COUNTIF(INDIRECT("["&amp;datatable!$C$2&amp;"]"&amp;datatable!$A7&amp;"!"&amp;"Q:Q"),"High Maybe")</f>
        <v>1</v>
      </c>
      <c r="H12" s="17">
        <f ca="1">COUNTIF(INDIRECT("["&amp;datatable!$C$2&amp;"]"&amp;datatable!$A7&amp;"!"&amp;"Q:Q"),"Medium Maybe")</f>
        <v>1</v>
      </c>
      <c r="I12" s="19">
        <f ca="1">COUNTIF(INDIRECT("["&amp;datatable!$C$2&amp;"]"&amp;datatable!$A7&amp;"!"&amp;"Q:Q"),"Low Maybe")</f>
        <v>0</v>
      </c>
      <c r="J12" s="21">
        <f ca="1">COUNTIF(INDIRECT("["&amp;datatable!$C$2&amp;"]"&amp;datatable!$A7&amp;"!"&amp;"Q:Q"),"Low Incorrect")</f>
        <v>0</v>
      </c>
      <c r="K12" s="23">
        <f ca="1">COUNTIF(INDIRECT("["&amp;datatable!$C$2&amp;"]"&amp;datatable!$A7&amp;"!"&amp;"Q:Q"),"Medium Incorrect")</f>
        <v>2</v>
      </c>
      <c r="L12" s="25">
        <f ca="1">COUNTIF(INDIRECT("["&amp;datatable!$C$2&amp;"]"&amp;datatable!$A7&amp;"!"&amp;"Q:Q"),"High Incorrect")</f>
        <v>4</v>
      </c>
      <c r="M12" s="27">
        <f ca="1">COUNTIF(INDIRECT("["&amp;datatable!$C$2&amp;"]"&amp;datatable!$A7&amp;"!"&amp;"Q:Q"),"N/A")</f>
        <v>0</v>
      </c>
      <c r="N12" s="29">
        <f t="shared" ca="1" si="0"/>
        <v>18</v>
      </c>
      <c r="O12" s="29">
        <f t="shared" ca="1" si="1"/>
        <v>18</v>
      </c>
    </row>
    <row r="13" spans="3:17">
      <c r="C13" s="5" t="s">
        <v>19</v>
      </c>
      <c r="D13" s="8">
        <f ca="1">COUNTIF(INDIRECT("["&amp;datatable!$C$2&amp;"]"&amp;datatable!$A8&amp;"!"&amp;"Q:Q"),"High Correct")</f>
        <v>3</v>
      </c>
      <c r="E13" s="11">
        <f ca="1">COUNTIF(INDIRECT("["&amp;datatable!$C$2&amp;"]"&amp;datatable!$A8&amp;"!"&amp;"Q:Q"),"Medium Correct")</f>
        <v>3</v>
      </c>
      <c r="F13" s="13">
        <f ca="1">COUNTIF(INDIRECT("["&amp;datatable!$C$2&amp;"]"&amp;datatable!$A8&amp;"!"&amp;"Q:Q"),"Low Correct")</f>
        <v>0</v>
      </c>
      <c r="G13" s="15">
        <f ca="1">COUNTIF(INDIRECT("["&amp;datatable!$C$2&amp;"]"&amp;datatable!$A8&amp;"!"&amp;"Q:Q"),"High Maybe")</f>
        <v>4</v>
      </c>
      <c r="H13" s="17">
        <f ca="1">COUNTIF(INDIRECT("["&amp;datatable!$C$2&amp;"]"&amp;datatable!$A8&amp;"!"&amp;"Q:Q"),"Medium Maybe")</f>
        <v>3</v>
      </c>
      <c r="I13" s="19">
        <f ca="1">COUNTIF(INDIRECT("["&amp;datatable!$C$2&amp;"]"&amp;datatable!$A8&amp;"!"&amp;"Q:Q"),"Low Maybe")</f>
        <v>1</v>
      </c>
      <c r="J13" s="21">
        <f ca="1">COUNTIF(INDIRECT("["&amp;datatable!$C$2&amp;"]"&amp;datatable!$A8&amp;"!"&amp;"Q:Q"),"Low Incorrect")</f>
        <v>0</v>
      </c>
      <c r="K13" s="23">
        <f ca="1">COUNTIF(INDIRECT("["&amp;datatable!$C$2&amp;"]"&amp;datatable!$A8&amp;"!"&amp;"Q:Q"),"Medium Incorrect")</f>
        <v>3</v>
      </c>
      <c r="L13" s="25">
        <f ca="1">COUNTIF(INDIRECT("["&amp;datatable!$C$2&amp;"]"&amp;datatable!$A8&amp;"!"&amp;"Q:Q"),"High Incorrect")</f>
        <v>1</v>
      </c>
      <c r="M13" s="27">
        <f ca="1">COUNTIF(INDIRECT("["&amp;datatable!$C$2&amp;"]"&amp;datatable!$A8&amp;"!"&amp;"Q:Q"),"N/A")</f>
        <v>0</v>
      </c>
      <c r="N13" s="29">
        <f t="shared" ca="1" si="0"/>
        <v>18</v>
      </c>
      <c r="O13" s="29">
        <f t="shared" ca="1" si="1"/>
        <v>18</v>
      </c>
    </row>
    <row r="14" spans="3:17">
      <c r="C14" s="5" t="s">
        <v>20</v>
      </c>
      <c r="D14" s="8">
        <f ca="1">COUNTIF(INDIRECT("["&amp;datatable!$C$2&amp;"]"&amp;datatable!$A9&amp;"!"&amp;"Q:Q"),"High Correct")</f>
        <v>8</v>
      </c>
      <c r="E14" s="11">
        <f ca="1">COUNTIF(INDIRECT("["&amp;datatable!$C$2&amp;"]"&amp;datatable!$A9&amp;"!"&amp;"Q:Q"),"Medium Correct")</f>
        <v>2</v>
      </c>
      <c r="F14" s="13">
        <f ca="1">COUNTIF(INDIRECT("["&amp;datatable!$C$2&amp;"]"&amp;datatable!$A9&amp;"!"&amp;"Q:Q"),"Low Correct")</f>
        <v>1</v>
      </c>
      <c r="G14" s="15">
        <f ca="1">COUNTIF(INDIRECT("["&amp;datatable!$C$2&amp;"]"&amp;datatable!$A9&amp;"!"&amp;"Q:Q"),"High Maybe")</f>
        <v>0</v>
      </c>
      <c r="H14" s="17">
        <f ca="1">COUNTIF(INDIRECT("["&amp;datatable!$C$2&amp;"]"&amp;datatable!$A9&amp;"!"&amp;"Q:Q"),"Medium Maybe")</f>
        <v>1</v>
      </c>
      <c r="I14" s="19">
        <f ca="1">COUNTIF(INDIRECT("["&amp;datatable!$C$2&amp;"]"&amp;datatable!$A9&amp;"!"&amp;"Q:Q"),"Low Maybe")</f>
        <v>0</v>
      </c>
      <c r="J14" s="21">
        <f ca="1">COUNTIF(INDIRECT("["&amp;datatable!$C$2&amp;"]"&amp;datatable!$A9&amp;"!"&amp;"Q:Q"),"Low Incorrect")</f>
        <v>0</v>
      </c>
      <c r="K14" s="23">
        <f ca="1">COUNTIF(INDIRECT("["&amp;datatable!$C$2&amp;"]"&amp;datatable!$A9&amp;"!"&amp;"Q:Q"),"Medium Incorrect")</f>
        <v>1</v>
      </c>
      <c r="L14" s="25">
        <f ca="1">COUNTIF(INDIRECT("["&amp;datatable!$C$2&amp;"]"&amp;datatable!$A9&amp;"!"&amp;"Q:Q"),"High Incorrect")</f>
        <v>4</v>
      </c>
      <c r="M14" s="27">
        <f ca="1">COUNTIF(INDIRECT("["&amp;datatable!$C$2&amp;"]"&amp;datatable!$A9&amp;"!"&amp;"Q:Q"),"N/A")</f>
        <v>1</v>
      </c>
      <c r="N14" s="29">
        <f t="shared" ca="1" si="0"/>
        <v>18</v>
      </c>
      <c r="O14" s="29">
        <f t="shared" ca="1" si="1"/>
        <v>17</v>
      </c>
    </row>
    <row r="15" spans="3:17">
      <c r="C15" s="5" t="s">
        <v>21</v>
      </c>
      <c r="D15" s="8">
        <f ca="1">COUNTIF(INDIRECT("["&amp;datatable!$C$2&amp;"]"&amp;datatable!$A10&amp;"!"&amp;"Q:Q"),"High Correct")</f>
        <v>11</v>
      </c>
      <c r="E15" s="11">
        <f ca="1">COUNTIF(INDIRECT("["&amp;datatable!$C$2&amp;"]"&amp;datatable!$A10&amp;"!"&amp;"Q:Q"),"Medium Correct")</f>
        <v>0</v>
      </c>
      <c r="F15" s="13">
        <f ca="1">COUNTIF(INDIRECT("["&amp;datatable!$C$2&amp;"]"&amp;datatable!$A10&amp;"!"&amp;"Q:Q"),"Low Correct")</f>
        <v>1</v>
      </c>
      <c r="G15" s="15">
        <f ca="1">COUNTIF(INDIRECT("["&amp;datatable!$C$2&amp;"]"&amp;datatable!$A10&amp;"!"&amp;"Q:Q"),"High Maybe")</f>
        <v>2</v>
      </c>
      <c r="H15" s="17">
        <f ca="1">COUNTIF(INDIRECT("["&amp;datatable!$C$2&amp;"]"&amp;datatable!$A10&amp;"!"&amp;"Q:Q"),"Medium Maybe")</f>
        <v>0</v>
      </c>
      <c r="I15" s="19">
        <f ca="1">COUNTIF(INDIRECT("["&amp;datatable!$C$2&amp;"]"&amp;datatable!$A10&amp;"!"&amp;"Q:Q"),"Low Maybe")</f>
        <v>1</v>
      </c>
      <c r="J15" s="21">
        <f ca="1">COUNTIF(INDIRECT("["&amp;datatable!$C$2&amp;"]"&amp;datatable!$A10&amp;"!"&amp;"Q:Q"),"Low Incorrect")</f>
        <v>0</v>
      </c>
      <c r="K15" s="23">
        <f ca="1">COUNTIF(INDIRECT("["&amp;datatable!$C$2&amp;"]"&amp;datatable!$A10&amp;"!"&amp;"Q:Q"),"Medium Incorrect")</f>
        <v>1</v>
      </c>
      <c r="L15" s="25">
        <f ca="1">COUNTIF(INDIRECT("["&amp;datatable!$C$2&amp;"]"&amp;datatable!$A10&amp;"!"&amp;"Q:Q"),"High Incorrect")</f>
        <v>1</v>
      </c>
      <c r="M15" s="27">
        <f ca="1">COUNTIF(INDIRECT("["&amp;datatable!$C$2&amp;"]"&amp;datatable!$A10&amp;"!"&amp;"Q:Q"),"N/A")</f>
        <v>1</v>
      </c>
      <c r="N15" s="29">
        <f t="shared" ca="1" si="0"/>
        <v>18</v>
      </c>
      <c r="O15" s="29">
        <f t="shared" ca="1" si="1"/>
        <v>17</v>
      </c>
    </row>
    <row r="16" spans="3:17">
      <c r="C16" s="5" t="s">
        <v>22</v>
      </c>
      <c r="D16" s="8">
        <f ca="1">COUNTIF(INDIRECT("["&amp;datatable!$C$2&amp;"]"&amp;datatable!$A11&amp;"!"&amp;"Q:Q"),"High Correct")</f>
        <v>14</v>
      </c>
      <c r="E16" s="11">
        <f ca="1">COUNTIF(INDIRECT("["&amp;datatable!$C$2&amp;"]"&amp;datatable!$A11&amp;"!"&amp;"Q:Q"),"Medium Correct")</f>
        <v>1</v>
      </c>
      <c r="F16" s="13">
        <f ca="1">COUNTIF(INDIRECT("["&amp;datatable!$C$2&amp;"]"&amp;datatable!$A11&amp;"!"&amp;"Q:Q"),"Low Correct")</f>
        <v>2</v>
      </c>
      <c r="G16" s="15">
        <f ca="1">COUNTIF(INDIRECT("["&amp;datatable!$C$2&amp;"]"&amp;datatable!$A11&amp;"!"&amp;"Q:Q"),"High Maybe")</f>
        <v>0</v>
      </c>
      <c r="H16" s="17">
        <f ca="1">COUNTIF(INDIRECT("["&amp;datatable!$C$2&amp;"]"&amp;datatable!$A11&amp;"!"&amp;"Q:Q"),"Medium Maybe")</f>
        <v>0</v>
      </c>
      <c r="I16" s="19">
        <f ca="1">COUNTIF(INDIRECT("["&amp;datatable!$C$2&amp;"]"&amp;datatable!$A11&amp;"!"&amp;"Q:Q"),"Low Maybe")</f>
        <v>0</v>
      </c>
      <c r="J16" s="21">
        <f ca="1">COUNTIF(INDIRECT("["&amp;datatable!$C$2&amp;"]"&amp;datatable!$A11&amp;"!"&amp;"Q:Q"),"Low Incorrect")</f>
        <v>0</v>
      </c>
      <c r="K16" s="23">
        <f ca="1">COUNTIF(INDIRECT("["&amp;datatable!$C$2&amp;"]"&amp;datatable!$A11&amp;"!"&amp;"Q:Q"),"Medium Incorrect")</f>
        <v>0</v>
      </c>
      <c r="L16" s="25">
        <f ca="1">COUNTIF(INDIRECT("["&amp;datatable!$C$2&amp;"]"&amp;datatable!$A11&amp;"!"&amp;"Q:Q"),"High Incorrect")</f>
        <v>1</v>
      </c>
      <c r="M16" s="27">
        <f ca="1">COUNTIF(INDIRECT("["&amp;datatable!$C$2&amp;"]"&amp;datatable!$A11&amp;"!"&amp;"Q:Q"),"N/A")</f>
        <v>0</v>
      </c>
      <c r="N16" s="29">
        <f t="shared" ca="1" si="0"/>
        <v>18</v>
      </c>
      <c r="O16" s="29">
        <f t="shared" ca="1" si="1"/>
        <v>18</v>
      </c>
    </row>
    <row r="17" spans="3:15">
      <c r="C17" s="5" t="s">
        <v>23</v>
      </c>
      <c r="D17" s="8">
        <f ca="1">COUNTIF(INDIRECT("["&amp;datatable!$C$2&amp;"]"&amp;datatable!$A12&amp;"!"&amp;"Q:Q"),"High Correct")</f>
        <v>14</v>
      </c>
      <c r="E17" s="11">
        <f ca="1">COUNTIF(INDIRECT("["&amp;datatable!$C$2&amp;"]"&amp;datatable!$A12&amp;"!"&amp;"Q:Q"),"Medium Correct")</f>
        <v>2</v>
      </c>
      <c r="F17" s="13">
        <f ca="1">COUNTIF(INDIRECT("["&amp;datatable!$C$2&amp;"]"&amp;datatable!$A12&amp;"!"&amp;"Q:Q"),"Low Correct")</f>
        <v>0</v>
      </c>
      <c r="G17" s="15">
        <f ca="1">COUNTIF(INDIRECT("["&amp;datatable!$C$2&amp;"]"&amp;datatable!$A12&amp;"!"&amp;"Q:Q"),"High Maybe")</f>
        <v>0</v>
      </c>
      <c r="H17" s="17">
        <f ca="1">COUNTIF(INDIRECT("["&amp;datatable!$C$2&amp;"]"&amp;datatable!$A12&amp;"!"&amp;"Q:Q"),"Medium Maybe")</f>
        <v>0</v>
      </c>
      <c r="I17" s="19">
        <f ca="1">COUNTIF(INDIRECT("["&amp;datatable!$C$2&amp;"]"&amp;datatable!$A12&amp;"!"&amp;"Q:Q"),"Low Maybe")</f>
        <v>0</v>
      </c>
      <c r="J17" s="21">
        <f ca="1">COUNTIF(INDIRECT("["&amp;datatable!$C$2&amp;"]"&amp;datatable!$A12&amp;"!"&amp;"Q:Q"),"Low Incorrect")</f>
        <v>0</v>
      </c>
      <c r="K17" s="23">
        <f ca="1">COUNTIF(INDIRECT("["&amp;datatable!$C$2&amp;"]"&amp;datatable!$A12&amp;"!"&amp;"Q:Q"),"Medium Incorrect")</f>
        <v>0</v>
      </c>
      <c r="L17" s="25">
        <f ca="1">COUNTIF(INDIRECT("["&amp;datatable!$C$2&amp;"]"&amp;datatable!$A12&amp;"!"&amp;"Q:Q"),"High Incorrect")</f>
        <v>1</v>
      </c>
      <c r="M17" s="27">
        <f ca="1">COUNTIF(INDIRECT("["&amp;datatable!$C$2&amp;"]"&amp;datatable!$A12&amp;"!"&amp;"Q:Q"),"N/A")</f>
        <v>1</v>
      </c>
      <c r="N17" s="29">
        <f t="shared" ca="1" si="0"/>
        <v>18</v>
      </c>
      <c r="O17" s="29">
        <f t="shared" ca="1" si="1"/>
        <v>17</v>
      </c>
    </row>
    <row r="18" spans="3:15">
      <c r="C18" s="5" t="s">
        <v>24</v>
      </c>
      <c r="D18" s="8">
        <f ca="1">COUNTIF(INDIRECT("["&amp;datatable!$C$2&amp;"]"&amp;datatable!$A13&amp;"!"&amp;"Q:Q"),"High Correct")</f>
        <v>9</v>
      </c>
      <c r="E18" s="11">
        <f ca="1">COUNTIF(INDIRECT("["&amp;datatable!$C$2&amp;"]"&amp;datatable!$A13&amp;"!"&amp;"Q:Q"),"Medium Correct")</f>
        <v>2</v>
      </c>
      <c r="F18" s="13">
        <f ca="1">COUNTIF(INDIRECT("["&amp;datatable!$C$2&amp;"]"&amp;datatable!$A13&amp;"!"&amp;"Q:Q"),"Low Correct")</f>
        <v>1</v>
      </c>
      <c r="G18" s="15">
        <f ca="1">COUNTIF(INDIRECT("["&amp;datatable!$C$2&amp;"]"&amp;datatable!$A13&amp;"!"&amp;"Q:Q"),"High Maybe")</f>
        <v>0</v>
      </c>
      <c r="H18" s="17">
        <f ca="1">COUNTIF(INDIRECT("["&amp;datatable!$C$2&amp;"]"&amp;datatable!$A13&amp;"!"&amp;"Q:Q"),"Medium Maybe")</f>
        <v>1</v>
      </c>
      <c r="I18" s="19">
        <f ca="1">COUNTIF(INDIRECT("["&amp;datatable!$C$2&amp;"]"&amp;datatable!$A13&amp;"!"&amp;"Q:Q"),"Low Maybe")</f>
        <v>0</v>
      </c>
      <c r="J18" s="21">
        <f ca="1">COUNTIF(INDIRECT("["&amp;datatable!$C$2&amp;"]"&amp;datatable!$A13&amp;"!"&amp;"Q:Q"),"Low Incorrect")</f>
        <v>0</v>
      </c>
      <c r="K18" s="23">
        <f ca="1">COUNTIF(INDIRECT("["&amp;datatable!$C$2&amp;"]"&amp;datatable!$A13&amp;"!"&amp;"Q:Q"),"Medium Incorrect")</f>
        <v>0</v>
      </c>
      <c r="L18" s="25">
        <f ca="1">COUNTIF(INDIRECT("["&amp;datatable!$C$2&amp;"]"&amp;datatable!$A13&amp;"!"&amp;"Q:Q"),"High Incorrect")</f>
        <v>3</v>
      </c>
      <c r="M18" s="27">
        <f ca="1">COUNTIF(INDIRECT("["&amp;datatable!$C$2&amp;"]"&amp;datatable!$A13&amp;"!"&amp;"Q:Q"),"N/A")</f>
        <v>2</v>
      </c>
      <c r="N18" s="29">
        <f t="shared" ca="1" si="0"/>
        <v>18</v>
      </c>
      <c r="O18" s="29">
        <f t="shared" ca="1" si="1"/>
        <v>16</v>
      </c>
    </row>
    <row r="19" spans="3:15">
      <c r="C19" s="5" t="s">
        <v>25</v>
      </c>
      <c r="D19" s="8">
        <f ca="1">COUNTIF(INDIRECT("["&amp;datatable!$C$2&amp;"]"&amp;datatable!$A14&amp;"!"&amp;"Q:Q"),"High Correct")</f>
        <v>11</v>
      </c>
      <c r="E19" s="11">
        <f ca="1">COUNTIF(INDIRECT("["&amp;datatable!$C$2&amp;"]"&amp;datatable!$A14&amp;"!"&amp;"Q:Q"),"Medium Correct")</f>
        <v>2</v>
      </c>
      <c r="F19" s="13">
        <f ca="1">COUNTIF(INDIRECT("["&amp;datatable!$C$2&amp;"]"&amp;datatable!$A14&amp;"!"&amp;"Q:Q"),"Low Correct")</f>
        <v>2</v>
      </c>
      <c r="G19" s="15">
        <f ca="1">COUNTIF(INDIRECT("["&amp;datatable!$C$2&amp;"]"&amp;datatable!$A14&amp;"!"&amp;"Q:Q"),"High Maybe")</f>
        <v>1</v>
      </c>
      <c r="H19" s="17">
        <f ca="1">COUNTIF(INDIRECT("["&amp;datatable!$C$2&amp;"]"&amp;datatable!$A14&amp;"!"&amp;"Q:Q"),"Medium Maybe")</f>
        <v>0</v>
      </c>
      <c r="I19" s="19">
        <f ca="1">COUNTIF(INDIRECT("["&amp;datatable!$C$2&amp;"]"&amp;datatable!$A14&amp;"!"&amp;"Q:Q"),"Low Maybe")</f>
        <v>0</v>
      </c>
      <c r="J19" s="21">
        <f ca="1">COUNTIF(INDIRECT("["&amp;datatable!$C$2&amp;"]"&amp;datatable!$A14&amp;"!"&amp;"Q:Q"),"Low Incorrect")</f>
        <v>0</v>
      </c>
      <c r="K19" s="23">
        <f ca="1">COUNTIF(INDIRECT("["&amp;datatable!$C$2&amp;"]"&amp;datatable!$A14&amp;"!"&amp;"Q:Q"),"Medium Incorrect")</f>
        <v>0</v>
      </c>
      <c r="L19" s="25">
        <f ca="1">COUNTIF(INDIRECT("["&amp;datatable!$C$2&amp;"]"&amp;datatable!$A14&amp;"!"&amp;"Q:Q"),"High Incorrect")</f>
        <v>1</v>
      </c>
      <c r="M19" s="27">
        <f ca="1">COUNTIF(INDIRECT("["&amp;datatable!$C$2&amp;"]"&amp;datatable!$A14&amp;"!"&amp;"Q:Q"),"N/A")</f>
        <v>1</v>
      </c>
      <c r="N19" s="29">
        <f t="shared" ca="1" si="0"/>
        <v>18</v>
      </c>
      <c r="O19" s="29">
        <f t="shared" ca="1" si="1"/>
        <v>17</v>
      </c>
    </row>
    <row r="20" spans="3:15">
      <c r="C20" s="5" t="s">
        <v>26</v>
      </c>
      <c r="D20" s="8">
        <f ca="1">COUNTIF(INDIRECT("["&amp;datatable!$C$2&amp;"]"&amp;datatable!$A15&amp;"!"&amp;"Q:Q"),"High Correct")</f>
        <v>6</v>
      </c>
      <c r="E20" s="11">
        <f ca="1">COUNTIF(INDIRECT("["&amp;datatable!$C$2&amp;"]"&amp;datatable!$A15&amp;"!"&amp;"Q:Q"),"Medium Correct")</f>
        <v>1</v>
      </c>
      <c r="F20" s="13">
        <f ca="1">COUNTIF(INDIRECT("["&amp;datatable!$C$2&amp;"]"&amp;datatable!$A15&amp;"!"&amp;"Q:Q"),"Low Correct")</f>
        <v>0</v>
      </c>
      <c r="G20" s="15">
        <f ca="1">COUNTIF(INDIRECT("["&amp;datatable!$C$2&amp;"]"&amp;datatable!$A15&amp;"!"&amp;"Q:Q"),"High Maybe")</f>
        <v>1</v>
      </c>
      <c r="H20" s="17">
        <f ca="1">COUNTIF(INDIRECT("["&amp;datatable!$C$2&amp;"]"&amp;datatable!$A15&amp;"!"&amp;"Q:Q"),"Medium Maybe")</f>
        <v>3</v>
      </c>
      <c r="I20" s="19">
        <f ca="1">COUNTIF(INDIRECT("["&amp;datatable!$C$2&amp;"]"&amp;datatable!$A15&amp;"!"&amp;"Q:Q"),"Low Maybe")</f>
        <v>1</v>
      </c>
      <c r="J20" s="21">
        <f ca="1">COUNTIF(INDIRECT("["&amp;datatable!$C$2&amp;"]"&amp;datatable!$A15&amp;"!"&amp;"Q:Q"),"Low Incorrect")</f>
        <v>1</v>
      </c>
      <c r="K20" s="23">
        <f ca="1">COUNTIF(INDIRECT("["&amp;datatable!$C$2&amp;"]"&amp;datatable!$A15&amp;"!"&amp;"Q:Q"),"Medium Incorrect")</f>
        <v>1</v>
      </c>
      <c r="L20" s="25">
        <f ca="1">COUNTIF(INDIRECT("["&amp;datatable!$C$2&amp;"]"&amp;datatable!$A15&amp;"!"&amp;"Q:Q"),"High Incorrect")</f>
        <v>3</v>
      </c>
      <c r="M20" s="27">
        <f ca="1">COUNTIF(INDIRECT("["&amp;datatable!$C$2&amp;"]"&amp;datatable!$A15&amp;"!"&amp;"Q:Q"),"N/A")</f>
        <v>1</v>
      </c>
      <c r="N20" s="29">
        <f t="shared" ca="1" si="0"/>
        <v>18</v>
      </c>
      <c r="O20" s="29">
        <f t="shared" ca="1" si="1"/>
        <v>17</v>
      </c>
    </row>
    <row r="21" spans="3:15">
      <c r="C21" s="5" t="s">
        <v>27</v>
      </c>
      <c r="D21" s="8">
        <f ca="1">COUNTIF(INDIRECT("["&amp;datatable!$C$2&amp;"]"&amp;datatable!$A16&amp;"!"&amp;"Q:Q"),"High Correct")</f>
        <v>12</v>
      </c>
      <c r="E21" s="11">
        <f ca="1">COUNTIF(INDIRECT("["&amp;datatable!$C$2&amp;"]"&amp;datatable!$A16&amp;"!"&amp;"Q:Q"),"Medium Correct")</f>
        <v>1</v>
      </c>
      <c r="F21" s="13">
        <f ca="1">COUNTIF(INDIRECT("["&amp;datatable!$C$2&amp;"]"&amp;datatable!$A16&amp;"!"&amp;"Q:Q"),"Low Correct")</f>
        <v>1</v>
      </c>
      <c r="G21" s="15">
        <f ca="1">COUNTIF(INDIRECT("["&amp;datatable!$C$2&amp;"]"&amp;datatable!$A16&amp;"!"&amp;"Q:Q"),"High Maybe")</f>
        <v>0</v>
      </c>
      <c r="H21" s="17">
        <f ca="1">COUNTIF(INDIRECT("["&amp;datatable!$C$2&amp;"]"&amp;datatable!$A16&amp;"!"&amp;"Q:Q"),"Medium Maybe")</f>
        <v>0</v>
      </c>
      <c r="I21" s="19">
        <f ca="1">COUNTIF(INDIRECT("["&amp;datatable!$C$2&amp;"]"&amp;datatable!$A16&amp;"!"&amp;"Q:Q"),"Low Maybe")</f>
        <v>1</v>
      </c>
      <c r="J21" s="21">
        <f ca="1">COUNTIF(INDIRECT("["&amp;datatable!$C$2&amp;"]"&amp;datatable!$A16&amp;"!"&amp;"Q:Q"),"Low Incorrect")</f>
        <v>0</v>
      </c>
      <c r="K21" s="23">
        <f ca="1">COUNTIF(INDIRECT("["&amp;datatable!$C$2&amp;"]"&amp;datatable!$A16&amp;"!"&amp;"Q:Q"),"Medium Incorrect")</f>
        <v>1</v>
      </c>
      <c r="L21" s="25">
        <f ca="1">COUNTIF(INDIRECT("["&amp;datatable!$C$2&amp;"]"&amp;datatable!$A16&amp;"!"&amp;"Q:Q"),"High Incorrect")</f>
        <v>1</v>
      </c>
      <c r="M21" s="27">
        <f ca="1">COUNTIF(INDIRECT("["&amp;datatable!$C$2&amp;"]"&amp;datatable!$A16&amp;"!"&amp;"Q:Q"),"N/A")</f>
        <v>1</v>
      </c>
      <c r="N21" s="29">
        <f t="shared" ca="1" si="0"/>
        <v>18</v>
      </c>
      <c r="O21" s="29">
        <f t="shared" ca="1" si="1"/>
        <v>17</v>
      </c>
    </row>
    <row r="22" spans="3:15">
      <c r="C22" s="5" t="s">
        <v>28</v>
      </c>
      <c r="D22" s="8">
        <f ca="1">COUNTIF(INDIRECT("["&amp;datatable!$C$2&amp;"]"&amp;datatable!$A17&amp;"!"&amp;"Q:Q"),"High Correct")</f>
        <v>11</v>
      </c>
      <c r="E22" s="11">
        <f ca="1">COUNTIF(INDIRECT("["&amp;datatable!$C$2&amp;"]"&amp;datatable!$A17&amp;"!"&amp;"Q:Q"),"Medium Correct")</f>
        <v>0</v>
      </c>
      <c r="F22" s="13">
        <f ca="1">COUNTIF(INDIRECT("["&amp;datatable!$C$2&amp;"]"&amp;datatable!$A17&amp;"!"&amp;"Q:Q"),"Low Correct")</f>
        <v>0</v>
      </c>
      <c r="G22" s="15">
        <f ca="1">COUNTIF(INDIRECT("["&amp;datatable!$C$2&amp;"]"&amp;datatable!$A17&amp;"!"&amp;"Q:Q"),"High Maybe")</f>
        <v>0</v>
      </c>
      <c r="H22" s="17">
        <f ca="1">COUNTIF(INDIRECT("["&amp;datatable!$C$2&amp;"]"&amp;datatable!$A17&amp;"!"&amp;"Q:Q"),"Medium Maybe")</f>
        <v>0</v>
      </c>
      <c r="I22" s="19">
        <f ca="1">COUNTIF(INDIRECT("["&amp;datatable!$C$2&amp;"]"&amp;datatable!$A17&amp;"!"&amp;"Q:Q"),"Low Maybe")</f>
        <v>0</v>
      </c>
      <c r="J22" s="21">
        <f ca="1">COUNTIF(INDIRECT("["&amp;datatable!$C$2&amp;"]"&amp;datatable!$A17&amp;"!"&amp;"Q:Q"),"Low Incorrect")</f>
        <v>0</v>
      </c>
      <c r="K22" s="23">
        <f ca="1">COUNTIF(INDIRECT("["&amp;datatable!$C$2&amp;"]"&amp;datatable!$A17&amp;"!"&amp;"Q:Q"),"Medium Incorrect")</f>
        <v>2</v>
      </c>
      <c r="L22" s="25">
        <f ca="1">COUNTIF(INDIRECT("["&amp;datatable!$C$2&amp;"]"&amp;datatable!$A17&amp;"!"&amp;"Q:Q"),"High Incorrect")</f>
        <v>4</v>
      </c>
      <c r="M22" s="27">
        <f ca="1">COUNTIF(INDIRECT("["&amp;datatable!$C$2&amp;"]"&amp;datatable!$A17&amp;"!"&amp;"Q:Q"),"N/A")</f>
        <v>1</v>
      </c>
      <c r="N22" s="29">
        <f t="shared" ca="1" si="0"/>
        <v>18</v>
      </c>
      <c r="O22" s="29">
        <f t="shared" ca="1" si="1"/>
        <v>17</v>
      </c>
    </row>
    <row r="23" spans="3:15">
      <c r="C23" s="5" t="s">
        <v>29</v>
      </c>
      <c r="D23" s="8">
        <f ca="1">COUNTIF(INDIRECT("["&amp;datatable!$C$2&amp;"]"&amp;datatable!$A18&amp;"!"&amp;"Q:Q"),"High Correct")</f>
        <v>1</v>
      </c>
      <c r="E23" s="11">
        <f ca="1">COUNTIF(INDIRECT("["&amp;datatable!$C$2&amp;"]"&amp;datatable!$A18&amp;"!"&amp;"Q:Q"),"Medium Correct")</f>
        <v>6</v>
      </c>
      <c r="F23" s="13">
        <f ca="1">COUNTIF(INDIRECT("["&amp;datatable!$C$2&amp;"]"&amp;datatable!$A18&amp;"!"&amp;"Q:Q"),"Low Correct")</f>
        <v>2</v>
      </c>
      <c r="G23" s="15">
        <f ca="1">COUNTIF(INDIRECT("["&amp;datatable!$C$2&amp;"]"&amp;datatable!$A18&amp;"!"&amp;"Q:Q"),"High Maybe")</f>
        <v>0</v>
      </c>
      <c r="H23" s="17">
        <f ca="1">COUNTIF(INDIRECT("["&amp;datatable!$C$2&amp;"]"&amp;datatable!$A18&amp;"!"&amp;"Q:Q"),"Medium Maybe")</f>
        <v>0</v>
      </c>
      <c r="I23" s="19">
        <f ca="1">COUNTIF(INDIRECT("["&amp;datatable!$C$2&amp;"]"&amp;datatable!$A18&amp;"!"&amp;"Q:Q"),"Low Maybe")</f>
        <v>0</v>
      </c>
      <c r="J23" s="21">
        <f ca="1">COUNTIF(INDIRECT("["&amp;datatable!$C$2&amp;"]"&amp;datatable!$A18&amp;"!"&amp;"Q:Q"),"Low Incorrect")</f>
        <v>2</v>
      </c>
      <c r="K23" s="23">
        <f ca="1">COUNTIF(INDIRECT("["&amp;datatable!$C$2&amp;"]"&amp;datatable!$A18&amp;"!"&amp;"Q:Q"),"Medium Incorrect")</f>
        <v>0</v>
      </c>
      <c r="L23" s="25">
        <f ca="1">COUNTIF(INDIRECT("["&amp;datatable!$C$2&amp;"]"&amp;datatable!$A18&amp;"!"&amp;"Q:Q"),"High Incorrect")</f>
        <v>1</v>
      </c>
      <c r="M23" s="27">
        <f ca="1">COUNTIF(INDIRECT("["&amp;datatable!$C$2&amp;"]"&amp;datatable!$A18&amp;"!"&amp;"Q:Q"),"N/A")</f>
        <v>6</v>
      </c>
      <c r="N23" s="29">
        <f t="shared" ca="1" si="0"/>
        <v>18</v>
      </c>
      <c r="O23" s="29">
        <f t="shared" ca="1" si="1"/>
        <v>12</v>
      </c>
    </row>
    <row r="24" spans="3:15">
      <c r="C24" s="5" t="s">
        <v>30</v>
      </c>
      <c r="D24" s="8">
        <f ca="1">COUNTIF(INDIRECT("["&amp;datatable!$C$2&amp;"]"&amp;datatable!$A19&amp;"!"&amp;"Q:Q"),"High Correct")</f>
        <v>0</v>
      </c>
      <c r="E24" s="11">
        <f ca="1">COUNTIF(INDIRECT("["&amp;datatable!$C$2&amp;"]"&amp;datatable!$A19&amp;"!"&amp;"Q:Q"),"Medium Correct")</f>
        <v>9</v>
      </c>
      <c r="F24" s="13">
        <f ca="1">COUNTIF(INDIRECT("["&amp;datatable!$C$2&amp;"]"&amp;datatable!$A19&amp;"!"&amp;"Q:Q"),"Low Correct")</f>
        <v>3</v>
      </c>
      <c r="G24" s="15">
        <f ca="1">COUNTIF(INDIRECT("["&amp;datatable!$C$2&amp;"]"&amp;datatable!$A19&amp;"!"&amp;"Q:Q"),"High Maybe")</f>
        <v>1</v>
      </c>
      <c r="H24" s="17">
        <f ca="1">COUNTIF(INDIRECT("["&amp;datatable!$C$2&amp;"]"&amp;datatable!$A19&amp;"!"&amp;"Q:Q"),"Medium Maybe")</f>
        <v>0</v>
      </c>
      <c r="I24" s="19">
        <f ca="1">COUNTIF(INDIRECT("["&amp;datatable!$C$2&amp;"]"&amp;datatable!$A19&amp;"!"&amp;"Q:Q"),"Low Maybe")</f>
        <v>1</v>
      </c>
      <c r="J24" s="21">
        <f ca="1">COUNTIF(INDIRECT("["&amp;datatable!$C$2&amp;"]"&amp;datatable!$A19&amp;"!"&amp;"Q:Q"),"Low Incorrect")</f>
        <v>0</v>
      </c>
      <c r="K24" s="23">
        <f ca="1">COUNTIF(INDIRECT("["&amp;datatable!$C$2&amp;"]"&amp;datatable!$A19&amp;"!"&amp;"Q:Q"),"Medium Incorrect")</f>
        <v>3</v>
      </c>
      <c r="L24" s="25">
        <f ca="1">COUNTIF(INDIRECT("["&amp;datatable!$C$2&amp;"]"&amp;datatable!$A19&amp;"!"&amp;"Q:Q"),"High Incorrect")</f>
        <v>1</v>
      </c>
      <c r="M24" s="27">
        <f ca="1">COUNTIF(INDIRECT("["&amp;datatable!$C$2&amp;"]"&amp;datatable!$A19&amp;"!"&amp;"Q:Q"),"N/A")</f>
        <v>0</v>
      </c>
      <c r="N24" s="29">
        <f t="shared" ca="1" si="0"/>
        <v>18</v>
      </c>
      <c r="O24" s="29">
        <f t="shared" ca="1" si="1"/>
        <v>18</v>
      </c>
    </row>
    <row r="25" spans="3:15">
      <c r="C25" s="5" t="s">
        <v>31</v>
      </c>
      <c r="D25" s="8">
        <f ca="1">COUNTIF(INDIRECT("["&amp;datatable!$C$2&amp;"]"&amp;datatable!$A20&amp;"!"&amp;"Q:Q"),"High Correct")</f>
        <v>6</v>
      </c>
      <c r="E25" s="11">
        <f ca="1">COUNTIF(INDIRECT("["&amp;datatable!$C$2&amp;"]"&amp;datatable!$A20&amp;"!"&amp;"Q:Q"),"Medium Correct")</f>
        <v>3</v>
      </c>
      <c r="F25" s="13">
        <f ca="1">COUNTIF(INDIRECT("["&amp;datatable!$C$2&amp;"]"&amp;datatable!$A20&amp;"!"&amp;"Q:Q"),"Low Correct")</f>
        <v>1</v>
      </c>
      <c r="G25" s="15">
        <f ca="1">COUNTIF(INDIRECT("["&amp;datatable!$C$2&amp;"]"&amp;datatable!$A20&amp;"!"&amp;"Q:Q"),"High Maybe")</f>
        <v>1</v>
      </c>
      <c r="H25" s="17">
        <f ca="1">COUNTIF(INDIRECT("["&amp;datatable!$C$2&amp;"]"&amp;datatable!$A20&amp;"!"&amp;"Q:Q"),"Medium Maybe")</f>
        <v>2</v>
      </c>
      <c r="I25" s="19">
        <f ca="1">COUNTIF(INDIRECT("["&amp;datatable!$C$2&amp;"]"&amp;datatable!$A20&amp;"!"&amp;"Q:Q"),"Low Maybe")</f>
        <v>0</v>
      </c>
      <c r="J25" s="21">
        <f ca="1">COUNTIF(INDIRECT("["&amp;datatable!$C$2&amp;"]"&amp;datatable!$A20&amp;"!"&amp;"Q:Q"),"Low Incorrect")</f>
        <v>0</v>
      </c>
      <c r="K25" s="23">
        <f ca="1">COUNTIF(INDIRECT("["&amp;datatable!$C$2&amp;"]"&amp;datatable!$A20&amp;"!"&amp;"Q:Q"),"Medium Incorrect")</f>
        <v>1</v>
      </c>
      <c r="L25" s="25">
        <f ca="1">COUNTIF(INDIRECT("["&amp;datatable!$C$2&amp;"]"&amp;datatable!$A20&amp;"!"&amp;"Q:Q"),"High Incorrect")</f>
        <v>4</v>
      </c>
      <c r="M25" s="27">
        <f ca="1">COUNTIF(INDIRECT("["&amp;datatable!$C$2&amp;"]"&amp;datatable!$A20&amp;"!"&amp;"Q:Q"),"N/A")</f>
        <v>0</v>
      </c>
      <c r="N25" s="29">
        <f t="shared" ca="1" si="0"/>
        <v>18</v>
      </c>
      <c r="O25" s="29">
        <f t="shared" ca="1" si="1"/>
        <v>18</v>
      </c>
    </row>
    <row r="26" spans="3:15">
      <c r="C26" s="5" t="s">
        <v>32</v>
      </c>
      <c r="D26" s="8">
        <f ca="1">COUNTIF(INDIRECT("["&amp;datatable!$C$2&amp;"]"&amp;datatable!$A21&amp;"!"&amp;"Q:Q"),"High Correct")</f>
        <v>3</v>
      </c>
      <c r="E26" s="11">
        <f ca="1">COUNTIF(INDIRECT("["&amp;datatable!$C$2&amp;"]"&amp;datatable!$A21&amp;"!"&amp;"Q:Q"),"Medium Correct")</f>
        <v>3</v>
      </c>
      <c r="F26" s="13">
        <f ca="1">COUNTIF(INDIRECT("["&amp;datatable!$C$2&amp;"]"&amp;datatable!$A21&amp;"!"&amp;"Q:Q"),"Low Correct")</f>
        <v>2</v>
      </c>
      <c r="G26" s="15">
        <f ca="1">COUNTIF(INDIRECT("["&amp;datatable!$C$2&amp;"]"&amp;datatable!$A21&amp;"!"&amp;"Q:Q"),"High Maybe")</f>
        <v>4</v>
      </c>
      <c r="H26" s="17">
        <f ca="1">COUNTIF(INDIRECT("["&amp;datatable!$C$2&amp;"]"&amp;datatable!$A21&amp;"!"&amp;"Q:Q"),"Medium Maybe")</f>
        <v>3</v>
      </c>
      <c r="I26" s="19">
        <f ca="1">COUNTIF(INDIRECT("["&amp;datatable!$C$2&amp;"]"&amp;datatable!$A21&amp;"!"&amp;"Q:Q"),"Low Maybe")</f>
        <v>0</v>
      </c>
      <c r="J26" s="21">
        <f ca="1">COUNTIF(INDIRECT("["&amp;datatable!$C$2&amp;"]"&amp;datatable!$A21&amp;"!"&amp;"Q:Q"),"Low Incorrect")</f>
        <v>0</v>
      </c>
      <c r="K26" s="23">
        <f ca="1">COUNTIF(INDIRECT("["&amp;datatable!$C$2&amp;"]"&amp;datatable!$A21&amp;"!"&amp;"Q:Q"),"Medium Incorrect")</f>
        <v>1</v>
      </c>
      <c r="L26" s="25">
        <f ca="1">COUNTIF(INDIRECT("["&amp;datatable!$C$2&amp;"]"&amp;datatable!$A21&amp;"!"&amp;"Q:Q"),"High Incorrect")</f>
        <v>1</v>
      </c>
      <c r="M26" s="27">
        <f ca="1">COUNTIF(INDIRECT("["&amp;datatable!$C$2&amp;"]"&amp;datatable!$A21&amp;"!"&amp;"Q:Q"),"N/A")</f>
        <v>1</v>
      </c>
      <c r="N26" s="29">
        <f t="shared" ca="1" si="0"/>
        <v>18</v>
      </c>
      <c r="O26" s="29">
        <f t="shared" ca="1" si="1"/>
        <v>17</v>
      </c>
    </row>
    <row r="27" spans="3:15">
      <c r="C27" s="5" t="s">
        <v>33</v>
      </c>
      <c r="D27" s="8">
        <f ca="1">COUNTIF(INDIRECT("["&amp;datatable!$C$2&amp;"]"&amp;datatable!$A22&amp;"!"&amp;"Q:Q"),"High Correct")</f>
        <v>2</v>
      </c>
      <c r="E27" s="11">
        <f ca="1">COUNTIF(INDIRECT("["&amp;datatable!$C$2&amp;"]"&amp;datatable!$A22&amp;"!"&amp;"Q:Q"),"Medium Correct")</f>
        <v>0</v>
      </c>
      <c r="F27" s="13">
        <f ca="1">COUNTIF(INDIRECT("["&amp;datatable!$C$2&amp;"]"&amp;datatable!$A22&amp;"!"&amp;"Q:Q"),"Low Correct")</f>
        <v>1</v>
      </c>
      <c r="G27" s="15">
        <f ca="1">COUNTIF(INDIRECT("["&amp;datatable!$C$2&amp;"]"&amp;datatable!$A22&amp;"!"&amp;"Q:Q"),"High Maybe")</f>
        <v>1</v>
      </c>
      <c r="H27" s="17">
        <f ca="1">COUNTIF(INDIRECT("["&amp;datatable!$C$2&amp;"]"&amp;datatable!$A22&amp;"!"&amp;"Q:Q"),"Medium Maybe")</f>
        <v>0</v>
      </c>
      <c r="I27" s="19">
        <f ca="1">COUNTIF(INDIRECT("["&amp;datatable!$C$2&amp;"]"&amp;datatable!$A22&amp;"!"&amp;"Q:Q"),"Low Maybe")</f>
        <v>0</v>
      </c>
      <c r="J27" s="21">
        <f ca="1">COUNTIF(INDIRECT("["&amp;datatable!$C$2&amp;"]"&amp;datatable!$A22&amp;"!"&amp;"Q:Q"),"Low Incorrect")</f>
        <v>0</v>
      </c>
      <c r="K27" s="23">
        <f ca="1">COUNTIF(INDIRECT("["&amp;datatable!$C$2&amp;"]"&amp;datatable!$A22&amp;"!"&amp;"Q:Q"),"Medium Incorrect")</f>
        <v>1</v>
      </c>
      <c r="L27" s="25">
        <f ca="1">COUNTIF(INDIRECT("["&amp;datatable!$C$2&amp;"]"&amp;datatable!$A22&amp;"!"&amp;"Q:Q"),"High Incorrect")</f>
        <v>4</v>
      </c>
      <c r="M27" s="27">
        <f ca="1">COUNTIF(INDIRECT("["&amp;datatable!$C$2&amp;"]"&amp;datatable!$A22&amp;"!"&amp;"Q:Q"),"N/A")</f>
        <v>9</v>
      </c>
      <c r="N27" s="29">
        <f t="shared" ca="1" si="0"/>
        <v>18</v>
      </c>
      <c r="O27" s="29">
        <f t="shared" ca="1" si="1"/>
        <v>9</v>
      </c>
    </row>
    <row r="28" spans="3:15">
      <c r="C28" s="6" t="s">
        <v>34</v>
      </c>
      <c r="D28" s="9">
        <f t="shared" ref="D28:M28" ca="1" si="2">SUM(D7:D27)</f>
        <v>156</v>
      </c>
      <c r="E28" s="9">
        <f t="shared" ca="1" si="2"/>
        <v>45</v>
      </c>
      <c r="F28" s="9">
        <f t="shared" ca="1" si="2"/>
        <v>23</v>
      </c>
      <c r="G28" s="9">
        <f t="shared" ca="1" si="2"/>
        <v>20</v>
      </c>
      <c r="H28" s="9">
        <f t="shared" ca="1" si="2"/>
        <v>20</v>
      </c>
      <c r="I28" s="9">
        <f t="shared" ca="1" si="2"/>
        <v>9</v>
      </c>
      <c r="J28" s="9">
        <f t="shared" ca="1" si="2"/>
        <v>7</v>
      </c>
      <c r="K28" s="9">
        <f t="shared" ca="1" si="2"/>
        <v>21</v>
      </c>
      <c r="L28" s="9">
        <f t="shared" ca="1" si="2"/>
        <v>50</v>
      </c>
      <c r="M28" s="9">
        <f t="shared" ca="1" si="2"/>
        <v>27</v>
      </c>
      <c r="N28" s="29">
        <f t="shared" ca="1" si="0"/>
        <v>378</v>
      </c>
      <c r="O28" s="29">
        <f t="shared" ca="1" si="1"/>
        <v>351</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f ca="1">COUNTIF(INDIRECT("["&amp;datatable!$C$2&amp;"]"&amp;datatable!$B2&amp;"!"&amp;"Q:Q"),"High Correct")</f>
        <v>11</v>
      </c>
      <c r="E32" s="11">
        <f ca="1">COUNTIF(INDIRECT("["&amp;datatable!$C$2&amp;"]"&amp;datatable!$B2&amp;"!"&amp;"Q:Q"),"Medium Correct")</f>
        <v>2</v>
      </c>
      <c r="F32" s="13">
        <f ca="1">COUNTIF(INDIRECT("["&amp;datatable!$C$2&amp;"]"&amp;datatable!$B2&amp;"!"&amp;"Q:Q"),"Low Correct")</f>
        <v>1</v>
      </c>
      <c r="G32" s="15">
        <f ca="1">COUNTIF(INDIRECT("["&amp;datatable!$C$2&amp;"]"&amp;datatable!$B2&amp;"!"&amp;"Q:Q"),"High Maybe")</f>
        <v>1</v>
      </c>
      <c r="H32" s="17">
        <f ca="1">COUNTIF(INDIRECT("["&amp;datatable!$C$2&amp;"]"&amp;datatable!$B2&amp;"!"&amp;"Q:Q"),"Medium Maybe")</f>
        <v>0</v>
      </c>
      <c r="I32" s="19">
        <f ca="1">COUNTIF(INDIRECT("["&amp;datatable!$C$2&amp;"]"&amp;datatable!$B2&amp;"!"&amp;"Q:Q"),"Low Maybe")</f>
        <v>0</v>
      </c>
      <c r="J32" s="21">
        <f ca="1">COUNTIF(INDIRECT("["&amp;datatable!$C$2&amp;"]"&amp;datatable!$B2&amp;"!"&amp;"Q:Q"),"Low Incorrect")</f>
        <v>0</v>
      </c>
      <c r="K32" s="23">
        <f ca="1">COUNTIF(INDIRECT("["&amp;datatable!$C$2&amp;"]"&amp;datatable!$B2&amp;"!"&amp;"Q:Q"),"Medium Incorrect")</f>
        <v>3</v>
      </c>
      <c r="L32" s="25">
        <f ca="1">COUNTIF(INDIRECT("["&amp;datatable!$C$2&amp;"]"&amp;datatable!$B2&amp;"!"&amp;"Q:Q"),"High Incorrect")</f>
        <v>0</v>
      </c>
      <c r="M32" s="27">
        <f ca="1">COUNTIF(INDIRECT("["&amp;datatable!$C$2&amp;"]"&amp;datatable!$B2&amp;"!"&amp;"Q:Q"),"N/A")</f>
        <v>3</v>
      </c>
      <c r="N32" s="43">
        <f t="shared" ref="N32:N47" ca="1" si="3">SUM(D32:M32)</f>
        <v>21</v>
      </c>
      <c r="O32" s="43">
        <f t="shared" ref="O32:O47" ca="1" si="4">SUM(D32:L32)</f>
        <v>18</v>
      </c>
    </row>
    <row r="33" spans="3:15">
      <c r="C33" s="44" t="s">
        <v>38</v>
      </c>
      <c r="D33" s="8">
        <f ca="1">COUNTIF(INDIRECT("["&amp;datatable!$C$2&amp;"]"&amp;datatable!$B3&amp;"!"&amp;"Q:Q"),"High Correct")</f>
        <v>8</v>
      </c>
      <c r="E33" s="11">
        <f ca="1">COUNTIF(INDIRECT("["&amp;datatable!$C$2&amp;"]"&amp;datatable!$B3&amp;"!"&amp;"Q:Q"),"Medium Correct")</f>
        <v>3</v>
      </c>
      <c r="F33" s="13">
        <f ca="1">COUNTIF(INDIRECT("["&amp;datatable!$C$2&amp;"]"&amp;datatable!$B3&amp;"!"&amp;"Q:Q"),"Low Correct")</f>
        <v>1</v>
      </c>
      <c r="G33" s="15">
        <f ca="1">COUNTIF(INDIRECT("["&amp;datatable!$C$2&amp;"]"&amp;datatable!$B3&amp;"!"&amp;"Q:Q"),"High Maybe")</f>
        <v>0</v>
      </c>
      <c r="H33" s="17">
        <f ca="1">COUNTIF(INDIRECT("["&amp;datatable!$C$2&amp;"]"&amp;datatable!$B3&amp;"!"&amp;"Q:Q"),"Medium Maybe")</f>
        <v>3</v>
      </c>
      <c r="I33" s="19">
        <f ca="1">COUNTIF(INDIRECT("["&amp;datatable!$C$2&amp;"]"&amp;datatable!$B3&amp;"!"&amp;"Q:Q"),"Low Maybe")</f>
        <v>0</v>
      </c>
      <c r="J33" s="21">
        <f ca="1">COUNTIF(INDIRECT("["&amp;datatable!$C$2&amp;"]"&amp;datatable!$B3&amp;"!"&amp;"Q:Q"),"Low Incorrect")</f>
        <v>0</v>
      </c>
      <c r="K33" s="23">
        <f ca="1">COUNTIF(INDIRECT("["&amp;datatable!$C$2&amp;"]"&amp;datatable!$B3&amp;"!"&amp;"Q:Q"),"Medium Incorrect")</f>
        <v>1</v>
      </c>
      <c r="L33" s="25">
        <f ca="1">COUNTIF(INDIRECT("["&amp;datatable!$C$2&amp;"]"&amp;datatable!$B3&amp;"!"&amp;"Q:Q"),"High Incorrect")</f>
        <v>5</v>
      </c>
      <c r="M33" s="27">
        <f ca="1">COUNTIF(INDIRECT("["&amp;datatable!$C$2&amp;"]"&amp;datatable!$B3&amp;"!"&amp;"Q:Q"),"N/A")</f>
        <v>0</v>
      </c>
      <c r="N33" s="43">
        <f t="shared" ca="1" si="3"/>
        <v>21</v>
      </c>
      <c r="O33" s="43">
        <f t="shared" ca="1" si="4"/>
        <v>21</v>
      </c>
    </row>
    <row r="34" spans="3:15">
      <c r="C34" s="44" t="s">
        <v>39</v>
      </c>
      <c r="D34" s="8">
        <f ca="1">COUNTIF(INDIRECT("["&amp;datatable!$C$2&amp;"]"&amp;datatable!$B4&amp;"!"&amp;"Q:Q"),"High Correct")</f>
        <v>7</v>
      </c>
      <c r="E34" s="11">
        <f ca="1">COUNTIF(INDIRECT("["&amp;datatable!$C$2&amp;"]"&amp;datatable!$B4&amp;"!"&amp;"Q:Q"),"Medium Correct")</f>
        <v>2</v>
      </c>
      <c r="F34" s="13">
        <f ca="1">COUNTIF(INDIRECT("["&amp;datatable!$C$2&amp;"]"&amp;datatable!$B4&amp;"!"&amp;"Q:Q"),"Low Correct")</f>
        <v>3</v>
      </c>
      <c r="G34" s="15">
        <f ca="1">COUNTIF(INDIRECT("["&amp;datatable!$C$2&amp;"]"&amp;datatable!$B4&amp;"!"&amp;"Q:Q"),"High Maybe")</f>
        <v>1</v>
      </c>
      <c r="H34" s="17">
        <f ca="1">COUNTIF(INDIRECT("["&amp;datatable!$C$2&amp;"]"&amp;datatable!$B4&amp;"!"&amp;"Q:Q"),"Medium Maybe")</f>
        <v>3</v>
      </c>
      <c r="I34" s="19">
        <f ca="1">COUNTIF(INDIRECT("["&amp;datatable!$C$2&amp;"]"&amp;datatable!$B4&amp;"!"&amp;"Q:Q"),"Low Maybe")</f>
        <v>0</v>
      </c>
      <c r="J34" s="21">
        <f ca="1">COUNTIF(INDIRECT("["&amp;datatable!$C$2&amp;"]"&amp;datatable!$B4&amp;"!"&amp;"Q:Q"),"Low Incorrect")</f>
        <v>0</v>
      </c>
      <c r="K34" s="23">
        <f ca="1">COUNTIF(INDIRECT("["&amp;datatable!$C$2&amp;"]"&amp;datatable!$B4&amp;"!"&amp;"Q:Q"),"Medium Incorrect")</f>
        <v>1</v>
      </c>
      <c r="L34" s="25">
        <f ca="1">COUNTIF(INDIRECT("["&amp;datatable!$C$2&amp;"]"&amp;datatable!$B4&amp;"!"&amp;"Q:Q"),"High Incorrect")</f>
        <v>2</v>
      </c>
      <c r="M34" s="27">
        <f ca="1">COUNTIF(INDIRECT("["&amp;datatable!$C$2&amp;"]"&amp;datatable!$B4&amp;"!"&amp;"Q:Q"),"N/A")</f>
        <v>2</v>
      </c>
      <c r="N34" s="43">
        <f t="shared" ca="1" si="3"/>
        <v>21</v>
      </c>
      <c r="O34" s="43">
        <f t="shared" ca="1" si="4"/>
        <v>19</v>
      </c>
    </row>
    <row r="35" spans="3:15">
      <c r="C35" s="44" t="s">
        <v>40</v>
      </c>
      <c r="D35" s="8">
        <f ca="1">COUNTIF(INDIRECT("["&amp;datatable!$C$2&amp;"]"&amp;datatable!$B5&amp;"!"&amp;"Q:Q"),"High Correct")</f>
        <v>9</v>
      </c>
      <c r="E35" s="11">
        <f ca="1">COUNTIF(INDIRECT("["&amp;datatable!$C$2&amp;"]"&amp;datatable!$B5&amp;"!"&amp;"Q:Q"),"Medium Correct")</f>
        <v>4</v>
      </c>
      <c r="F35" s="13">
        <f ca="1">COUNTIF(INDIRECT("["&amp;datatable!$C$2&amp;"]"&amp;datatable!$B5&amp;"!"&amp;"Q:Q"),"Low Correct")</f>
        <v>2</v>
      </c>
      <c r="G35" s="15">
        <f ca="1">COUNTIF(INDIRECT("["&amp;datatable!$C$2&amp;"]"&amp;datatable!$B5&amp;"!"&amp;"Q:Q"),"High Maybe")</f>
        <v>1</v>
      </c>
      <c r="H35" s="17">
        <f ca="1">COUNTIF(INDIRECT("["&amp;datatable!$C$2&amp;"]"&amp;datatable!$B5&amp;"!"&amp;"Q:Q"),"Medium Maybe")</f>
        <v>0</v>
      </c>
      <c r="I35" s="19">
        <f ca="1">COUNTIF(INDIRECT("["&amp;datatable!$C$2&amp;"]"&amp;datatable!$B5&amp;"!"&amp;"Q:Q"),"Low Maybe")</f>
        <v>2</v>
      </c>
      <c r="J35" s="21">
        <f ca="1">COUNTIF(INDIRECT("["&amp;datatable!$C$2&amp;"]"&amp;datatable!$B5&amp;"!"&amp;"Q:Q"),"Low Incorrect")</f>
        <v>0</v>
      </c>
      <c r="K35" s="23">
        <f ca="1">COUNTIF(INDIRECT("["&amp;datatable!$C$2&amp;"]"&amp;datatable!$B5&amp;"!"&amp;"Q:Q"),"Medium Incorrect")</f>
        <v>0</v>
      </c>
      <c r="L35" s="25">
        <f ca="1">COUNTIF(INDIRECT("["&amp;datatable!$C$2&amp;"]"&amp;datatable!$B5&amp;"!"&amp;"Q:Q"),"High Incorrect")</f>
        <v>3</v>
      </c>
      <c r="M35" s="27">
        <f ca="1">COUNTIF(INDIRECT("["&amp;datatable!$C$2&amp;"]"&amp;datatable!$B5&amp;"!"&amp;"Q:Q"),"N/A")</f>
        <v>0</v>
      </c>
      <c r="N35" s="43">
        <f t="shared" ca="1" si="3"/>
        <v>21</v>
      </c>
      <c r="O35" s="43">
        <f t="shared" ca="1" si="4"/>
        <v>21</v>
      </c>
    </row>
    <row r="36" spans="3:15">
      <c r="C36" s="44" t="s">
        <v>41</v>
      </c>
      <c r="D36" s="8">
        <f ca="1">COUNTIF(INDIRECT("["&amp;datatable!$C$2&amp;"]"&amp;datatable!$B6&amp;"!"&amp;"Q:Q"),"High Correct")</f>
        <v>9</v>
      </c>
      <c r="E36" s="11">
        <f ca="1">COUNTIF(INDIRECT("["&amp;datatable!$C$2&amp;"]"&amp;datatable!$B6&amp;"!"&amp;"Q:Q"),"Medium Correct")</f>
        <v>4</v>
      </c>
      <c r="F36" s="13">
        <f ca="1">COUNTIF(INDIRECT("["&amp;datatable!$C$2&amp;"]"&amp;datatable!$B6&amp;"!"&amp;"Q:Q"),"Low Correct")</f>
        <v>1</v>
      </c>
      <c r="G36" s="15">
        <f ca="1">COUNTIF(INDIRECT("["&amp;datatable!$C$2&amp;"]"&amp;datatable!$B6&amp;"!"&amp;"Q:Q"),"High Maybe")</f>
        <v>0</v>
      </c>
      <c r="H36" s="17">
        <f ca="1">COUNTIF(INDIRECT("["&amp;datatable!$C$2&amp;"]"&amp;datatable!$B6&amp;"!"&amp;"Q:Q"),"Medium Maybe")</f>
        <v>2</v>
      </c>
      <c r="I36" s="19">
        <f ca="1">COUNTIF(INDIRECT("["&amp;datatable!$C$2&amp;"]"&amp;datatable!$B6&amp;"!"&amp;"Q:Q"),"Low Maybe")</f>
        <v>0</v>
      </c>
      <c r="J36" s="21">
        <f ca="1">COUNTIF(INDIRECT("["&amp;datatable!$C$2&amp;"]"&amp;datatable!$B6&amp;"!"&amp;"Q:Q"),"Low Incorrect")</f>
        <v>0</v>
      </c>
      <c r="K36" s="23">
        <f ca="1">COUNTIF(INDIRECT("["&amp;datatable!$C$2&amp;"]"&amp;datatable!$B6&amp;"!"&amp;"Q:Q"),"Medium Incorrect")</f>
        <v>2</v>
      </c>
      <c r="L36" s="25">
        <f ca="1">COUNTIF(INDIRECT("["&amp;datatable!$C$2&amp;"]"&amp;datatable!$B6&amp;"!"&amp;"Q:Q"),"High Incorrect")</f>
        <v>2</v>
      </c>
      <c r="M36" s="27">
        <f ca="1">COUNTIF(INDIRECT("["&amp;datatable!$C$2&amp;"]"&amp;datatable!$B6&amp;"!"&amp;"Q:Q"),"N/A")</f>
        <v>1</v>
      </c>
      <c r="N36" s="43">
        <f t="shared" ca="1" si="3"/>
        <v>21</v>
      </c>
      <c r="O36" s="43">
        <f t="shared" ca="1" si="4"/>
        <v>20</v>
      </c>
    </row>
    <row r="37" spans="3:15">
      <c r="C37" s="44" t="s">
        <v>42</v>
      </c>
      <c r="D37" s="8">
        <f ca="1">COUNTIF(INDIRECT("["&amp;datatable!$C$2&amp;"]"&amp;datatable!$B7&amp;"!"&amp;"Q:Q"),"High Correct")</f>
        <v>7</v>
      </c>
      <c r="E37" s="11">
        <f ca="1">COUNTIF(INDIRECT("["&amp;datatable!$C$2&amp;"]"&amp;datatable!$B7&amp;"!"&amp;"Q:Q"),"Medium Correct")</f>
        <v>1</v>
      </c>
      <c r="F37" s="13">
        <f ca="1">COUNTIF(INDIRECT("["&amp;datatable!$C$2&amp;"]"&amp;datatable!$B7&amp;"!"&amp;"Q:Q"),"Low Correct")</f>
        <v>0</v>
      </c>
      <c r="G37" s="15">
        <f ca="1">COUNTIF(INDIRECT("["&amp;datatable!$C$2&amp;"]"&amp;datatable!$B7&amp;"!"&amp;"Q:Q"),"High Maybe")</f>
        <v>2</v>
      </c>
      <c r="H37" s="17">
        <f ca="1">COUNTIF(INDIRECT("["&amp;datatable!$C$2&amp;"]"&amp;datatable!$B7&amp;"!"&amp;"Q:Q"),"Medium Maybe")</f>
        <v>0</v>
      </c>
      <c r="I37" s="19">
        <f ca="1">COUNTIF(INDIRECT("["&amp;datatable!$C$2&amp;"]"&amp;datatable!$B7&amp;"!"&amp;"Q:Q"),"Low Maybe")</f>
        <v>1</v>
      </c>
      <c r="J37" s="21">
        <f ca="1">COUNTIF(INDIRECT("["&amp;datatable!$C$2&amp;"]"&amp;datatable!$B7&amp;"!"&amp;"Q:Q"),"Low Incorrect")</f>
        <v>0</v>
      </c>
      <c r="K37" s="23">
        <f ca="1">COUNTIF(INDIRECT("["&amp;datatable!$C$2&amp;"]"&amp;datatable!$B7&amp;"!"&amp;"Q:Q"),"Medium Incorrect")</f>
        <v>1</v>
      </c>
      <c r="L37" s="25">
        <f ca="1">COUNTIF(INDIRECT("["&amp;datatable!$C$2&amp;"]"&amp;datatable!$B7&amp;"!"&amp;"Q:Q"),"High Incorrect")</f>
        <v>0</v>
      </c>
      <c r="M37" s="27">
        <f ca="1">COUNTIF(INDIRECT("["&amp;datatable!$C$2&amp;"]"&amp;datatable!$B7&amp;"!"&amp;"Q:Q"),"N/A")</f>
        <v>9</v>
      </c>
      <c r="N37" s="43">
        <f t="shared" ca="1" si="3"/>
        <v>21</v>
      </c>
      <c r="O37" s="43">
        <f t="shared" ca="1" si="4"/>
        <v>12</v>
      </c>
    </row>
    <row r="38" spans="3:15">
      <c r="C38" s="44" t="s">
        <v>43</v>
      </c>
      <c r="D38" s="8">
        <f ca="1">COUNTIF(INDIRECT("["&amp;datatable!$C$2&amp;"]"&amp;datatable!$B8&amp;"!"&amp;"Q:Q"),"High Correct")</f>
        <v>8</v>
      </c>
      <c r="E38" s="11">
        <f ca="1">COUNTIF(INDIRECT("["&amp;datatable!$C$2&amp;"]"&amp;datatable!$B8&amp;"!"&amp;"Q:Q"),"Medium Correct")</f>
        <v>4</v>
      </c>
      <c r="F38" s="13">
        <f ca="1">COUNTIF(INDIRECT("["&amp;datatable!$C$2&amp;"]"&amp;datatable!$B8&amp;"!"&amp;"Q:Q"),"Low Correct")</f>
        <v>1</v>
      </c>
      <c r="G38" s="15">
        <f ca="1">COUNTIF(INDIRECT("["&amp;datatable!$C$2&amp;"]"&amp;datatable!$B8&amp;"!"&amp;"Q:Q"),"High Maybe")</f>
        <v>2</v>
      </c>
      <c r="H38" s="17">
        <f ca="1">COUNTIF(INDIRECT("["&amp;datatable!$C$2&amp;"]"&amp;datatable!$B8&amp;"!"&amp;"Q:Q"),"Medium Maybe")</f>
        <v>1</v>
      </c>
      <c r="I38" s="19">
        <f ca="1">COUNTIF(INDIRECT("["&amp;datatable!$C$2&amp;"]"&amp;datatable!$B8&amp;"!"&amp;"Q:Q"),"Low Maybe")</f>
        <v>1</v>
      </c>
      <c r="J38" s="21">
        <f ca="1">COUNTIF(INDIRECT("["&amp;datatable!$C$2&amp;"]"&amp;datatable!$B8&amp;"!"&amp;"Q:Q"),"Low Incorrect")</f>
        <v>0</v>
      </c>
      <c r="K38" s="23">
        <f ca="1">COUNTIF(INDIRECT("["&amp;datatable!$C$2&amp;"]"&amp;datatable!$B8&amp;"!"&amp;"Q:Q"),"Medium Incorrect")</f>
        <v>1</v>
      </c>
      <c r="L38" s="25">
        <f ca="1">COUNTIF(INDIRECT("["&amp;datatable!$C$2&amp;"]"&amp;datatable!$B8&amp;"!"&amp;"Q:Q"),"High Incorrect")</f>
        <v>1</v>
      </c>
      <c r="M38" s="27">
        <f ca="1">COUNTIF(INDIRECT("["&amp;datatable!$C$2&amp;"]"&amp;datatable!$B8&amp;"!"&amp;"Q:Q"),"N/A")</f>
        <v>2</v>
      </c>
      <c r="N38" s="43">
        <f t="shared" ca="1" si="3"/>
        <v>21</v>
      </c>
      <c r="O38" s="43">
        <f t="shared" ca="1" si="4"/>
        <v>19</v>
      </c>
    </row>
    <row r="39" spans="3:15">
      <c r="C39" s="44" t="s">
        <v>44</v>
      </c>
      <c r="D39" s="8">
        <f ca="1">COUNTIF(INDIRECT("["&amp;datatable!$C$2&amp;"]"&amp;datatable!$B9&amp;"!"&amp;"Q:Q"),"High Correct")</f>
        <v>10</v>
      </c>
      <c r="E39" s="11">
        <f ca="1">COUNTIF(INDIRECT("["&amp;datatable!$C$2&amp;"]"&amp;datatable!$B9&amp;"!"&amp;"Q:Q"),"Medium Correct")</f>
        <v>5</v>
      </c>
      <c r="F39" s="13">
        <f ca="1">COUNTIF(INDIRECT("["&amp;datatable!$C$2&amp;"]"&amp;datatable!$B9&amp;"!"&amp;"Q:Q"),"Low Correct")</f>
        <v>0</v>
      </c>
      <c r="G39" s="15">
        <f ca="1">COUNTIF(INDIRECT("["&amp;datatable!$C$2&amp;"]"&amp;datatable!$B9&amp;"!"&amp;"Q:Q"),"High Maybe")</f>
        <v>0</v>
      </c>
      <c r="H39" s="17">
        <f ca="1">COUNTIF(INDIRECT("["&amp;datatable!$C$2&amp;"]"&amp;datatable!$B9&amp;"!"&amp;"Q:Q"),"Medium Maybe")</f>
        <v>1</v>
      </c>
      <c r="I39" s="19">
        <f ca="1">COUNTIF(INDIRECT("["&amp;datatable!$C$2&amp;"]"&amp;datatable!$B9&amp;"!"&amp;"Q:Q"),"Low Maybe")</f>
        <v>0</v>
      </c>
      <c r="J39" s="21">
        <f ca="1">COUNTIF(INDIRECT("["&amp;datatable!$C$2&amp;"]"&amp;datatable!$B9&amp;"!"&amp;"Q:Q"),"Low Incorrect")</f>
        <v>2</v>
      </c>
      <c r="K39" s="23">
        <f ca="1">COUNTIF(INDIRECT("["&amp;datatable!$C$2&amp;"]"&amp;datatable!$B9&amp;"!"&amp;"Q:Q"),"Medium Incorrect")</f>
        <v>0</v>
      </c>
      <c r="L39" s="25">
        <f ca="1">COUNTIF(INDIRECT("["&amp;datatable!$C$2&amp;"]"&amp;datatable!$B9&amp;"!"&amp;"Q:Q"),"High Incorrect")</f>
        <v>2</v>
      </c>
      <c r="M39" s="27">
        <f ca="1">COUNTIF(INDIRECT("["&amp;datatable!$C$2&amp;"]"&amp;datatable!$B9&amp;"!"&amp;"Q:Q"),"N/A")</f>
        <v>1</v>
      </c>
      <c r="N39" s="43">
        <f t="shared" ca="1" si="3"/>
        <v>21</v>
      </c>
      <c r="O39" s="43">
        <f t="shared" ca="1" si="4"/>
        <v>20</v>
      </c>
    </row>
    <row r="40" spans="3:15">
      <c r="C40" s="44" t="s">
        <v>45</v>
      </c>
      <c r="D40" s="8">
        <f ca="1">COUNTIF(INDIRECT("["&amp;datatable!$C$2&amp;"]"&amp;datatable!$B10&amp;"!"&amp;"Q:Q"),"High Correct")</f>
        <v>8</v>
      </c>
      <c r="E40" s="11">
        <f ca="1">COUNTIF(INDIRECT("["&amp;datatable!$C$2&amp;"]"&amp;datatable!$B10&amp;"!"&amp;"Q:Q"),"Medium Correct")</f>
        <v>2</v>
      </c>
      <c r="F40" s="13">
        <f ca="1">COUNTIF(INDIRECT("["&amp;datatable!$C$2&amp;"]"&amp;datatable!$B10&amp;"!"&amp;"Q:Q"),"Low Correct")</f>
        <v>0</v>
      </c>
      <c r="G40" s="15">
        <f ca="1">COUNTIF(INDIRECT("["&amp;datatable!$C$2&amp;"]"&amp;datatable!$B10&amp;"!"&amp;"Q:Q"),"High Maybe")</f>
        <v>0</v>
      </c>
      <c r="H40" s="17">
        <f ca="1">COUNTIF(INDIRECT("["&amp;datatable!$C$2&amp;"]"&amp;datatable!$B10&amp;"!"&amp;"Q:Q"),"Medium Maybe")</f>
        <v>1</v>
      </c>
      <c r="I40" s="19">
        <f ca="1">COUNTIF(INDIRECT("["&amp;datatable!$C$2&amp;"]"&amp;datatable!$B10&amp;"!"&amp;"Q:Q"),"Low Maybe")</f>
        <v>1</v>
      </c>
      <c r="J40" s="21">
        <f ca="1">COUNTIF(INDIRECT("["&amp;datatable!$C$2&amp;"]"&amp;datatable!$B10&amp;"!"&amp;"Q:Q"),"Low Incorrect")</f>
        <v>0</v>
      </c>
      <c r="K40" s="23">
        <f ca="1">COUNTIF(INDIRECT("["&amp;datatable!$C$2&amp;"]"&amp;datatable!$B10&amp;"!"&amp;"Q:Q"),"Medium Incorrect")</f>
        <v>3</v>
      </c>
      <c r="L40" s="25">
        <f ca="1">COUNTIF(INDIRECT("["&amp;datatable!$C$2&amp;"]"&amp;datatable!$B10&amp;"!"&amp;"Q:Q"),"High Incorrect")</f>
        <v>3</v>
      </c>
      <c r="M40" s="27">
        <f ca="1">COUNTIF(INDIRECT("["&amp;datatable!$C$2&amp;"]"&amp;datatable!$B10&amp;"!"&amp;"Q:Q"),"N/A")</f>
        <v>3</v>
      </c>
      <c r="N40" s="43">
        <f t="shared" ca="1" si="3"/>
        <v>21</v>
      </c>
      <c r="O40" s="43">
        <f t="shared" ca="1" si="4"/>
        <v>18</v>
      </c>
    </row>
    <row r="41" spans="3:15">
      <c r="C41" s="44" t="s">
        <v>46</v>
      </c>
      <c r="D41" s="8">
        <f ca="1">COUNTIF(INDIRECT("["&amp;datatable!$C$2&amp;"]"&amp;datatable!$B11&amp;"!"&amp;"Q:Q"),"High Correct")</f>
        <v>13</v>
      </c>
      <c r="E41" s="11">
        <f ca="1">COUNTIF(INDIRECT("["&amp;datatable!$C$2&amp;"]"&amp;datatable!$B11&amp;"!"&amp;"Q:Q"),"Medium Correct")</f>
        <v>3</v>
      </c>
      <c r="F41" s="13">
        <f ca="1">COUNTIF(INDIRECT("["&amp;datatable!$C$2&amp;"]"&amp;datatable!$B11&amp;"!"&amp;"Q:Q"),"Low Correct")</f>
        <v>0</v>
      </c>
      <c r="G41" s="15">
        <f ca="1">COUNTIF(INDIRECT("["&amp;datatable!$C$2&amp;"]"&amp;datatable!$B11&amp;"!"&amp;"Q:Q"),"High Maybe")</f>
        <v>1</v>
      </c>
      <c r="H41" s="17">
        <f ca="1">COUNTIF(INDIRECT("["&amp;datatable!$C$2&amp;"]"&amp;datatable!$B11&amp;"!"&amp;"Q:Q"),"Medium Maybe")</f>
        <v>2</v>
      </c>
      <c r="I41" s="19">
        <f ca="1">COUNTIF(INDIRECT("["&amp;datatable!$C$2&amp;"]"&amp;datatable!$B11&amp;"!"&amp;"Q:Q"),"Low Maybe")</f>
        <v>0</v>
      </c>
      <c r="J41" s="21">
        <f ca="1">COUNTIF(INDIRECT("["&amp;datatable!$C$2&amp;"]"&amp;datatable!$B11&amp;"!"&amp;"Q:Q"),"Low Incorrect")</f>
        <v>1</v>
      </c>
      <c r="K41" s="23">
        <f ca="1">COUNTIF(INDIRECT("["&amp;datatable!$C$2&amp;"]"&amp;datatable!$B11&amp;"!"&amp;"Q:Q"),"Medium Incorrect")</f>
        <v>0</v>
      </c>
      <c r="L41" s="25">
        <f ca="1">COUNTIF(INDIRECT("["&amp;datatable!$C$2&amp;"]"&amp;datatable!$B11&amp;"!"&amp;"Q:Q"),"High Incorrect")</f>
        <v>1</v>
      </c>
      <c r="M41" s="27">
        <f ca="1">COUNTIF(INDIRECT("["&amp;datatable!$C$2&amp;"]"&amp;datatable!$B11&amp;"!"&amp;"Q:Q"),"N/A")</f>
        <v>0</v>
      </c>
      <c r="N41" s="43">
        <f t="shared" ca="1" si="3"/>
        <v>21</v>
      </c>
      <c r="O41" s="43">
        <f t="shared" ca="1" si="4"/>
        <v>21</v>
      </c>
    </row>
    <row r="42" spans="3:15">
      <c r="C42" s="44" t="s">
        <v>47</v>
      </c>
      <c r="D42" s="8">
        <f ca="1">COUNTIF(INDIRECT("["&amp;datatable!$C$2&amp;"]"&amp;datatable!$B12&amp;"!"&amp;"Q:Q"),"High Correct")</f>
        <v>10</v>
      </c>
      <c r="E42" s="11">
        <f ca="1">COUNTIF(INDIRECT("["&amp;datatable!$C$2&amp;"]"&amp;datatable!$B12&amp;"!"&amp;"Q:Q"),"Medium Correct")</f>
        <v>4</v>
      </c>
      <c r="F42" s="13">
        <f ca="1">COUNTIF(INDIRECT("["&amp;datatable!$C$2&amp;"]"&amp;datatable!$B12&amp;"!"&amp;"Q:Q"),"Low Correct")</f>
        <v>1</v>
      </c>
      <c r="G42" s="15">
        <f ca="1">COUNTIF(INDIRECT("["&amp;datatable!$C$2&amp;"]"&amp;datatable!$B12&amp;"!"&amp;"Q:Q"),"High Maybe")</f>
        <v>1</v>
      </c>
      <c r="H42" s="17">
        <f ca="1">COUNTIF(INDIRECT("["&amp;datatable!$C$2&amp;"]"&amp;datatable!$B12&amp;"!"&amp;"Q:Q"),"Medium Maybe")</f>
        <v>1</v>
      </c>
      <c r="I42" s="19">
        <f ca="1">COUNTIF(INDIRECT("["&amp;datatable!$C$2&amp;"]"&amp;datatable!$B12&amp;"!"&amp;"Q:Q"),"Low Maybe")</f>
        <v>0</v>
      </c>
      <c r="J42" s="21">
        <f ca="1">COUNTIF(INDIRECT("["&amp;datatable!$C$2&amp;"]"&amp;datatable!$B12&amp;"!"&amp;"Q:Q"),"Low Incorrect")</f>
        <v>1</v>
      </c>
      <c r="K42" s="23">
        <f ca="1">COUNTIF(INDIRECT("["&amp;datatable!$C$2&amp;"]"&amp;datatable!$B12&amp;"!"&amp;"Q:Q"),"Medium Incorrect")</f>
        <v>2</v>
      </c>
      <c r="L42" s="25">
        <f ca="1">COUNTIF(INDIRECT("["&amp;datatable!$C$2&amp;"]"&amp;datatable!$B12&amp;"!"&amp;"Q:Q"),"High Incorrect")</f>
        <v>1</v>
      </c>
      <c r="M42" s="27">
        <f ca="1">COUNTIF(INDIRECT("["&amp;datatable!$C$2&amp;"]"&amp;datatable!$B12&amp;"!"&amp;"Q:Q"),"N/A")</f>
        <v>0</v>
      </c>
      <c r="N42" s="43">
        <f t="shared" ca="1" si="3"/>
        <v>21</v>
      </c>
      <c r="O42" s="43">
        <f t="shared" ca="1" si="4"/>
        <v>21</v>
      </c>
    </row>
    <row r="43" spans="3:15">
      <c r="C43" s="44" t="s">
        <v>48</v>
      </c>
      <c r="D43" s="8">
        <f ca="1">COUNTIF(INDIRECT("["&amp;datatable!$C$2&amp;"]"&amp;datatable!$B13&amp;"!"&amp;"Q:Q"),"High Correct")</f>
        <v>13</v>
      </c>
      <c r="E43" s="11">
        <f ca="1">COUNTIF(INDIRECT("["&amp;datatable!$C$2&amp;"]"&amp;datatable!$B13&amp;"!"&amp;"Q:Q"),"Medium Correct")</f>
        <v>1</v>
      </c>
      <c r="F43" s="13">
        <f ca="1">COUNTIF(INDIRECT("["&amp;datatable!$C$2&amp;"]"&amp;datatable!$B13&amp;"!"&amp;"Q:Q"),"Low Correct")</f>
        <v>1</v>
      </c>
      <c r="G43" s="15">
        <f ca="1">COUNTIF(INDIRECT("["&amp;datatable!$C$2&amp;"]"&amp;datatable!$B13&amp;"!"&amp;"Q:Q"),"High Maybe")</f>
        <v>2</v>
      </c>
      <c r="H43" s="17">
        <f ca="1">COUNTIF(INDIRECT("["&amp;datatable!$C$2&amp;"]"&amp;datatable!$B13&amp;"!"&amp;"Q:Q"),"Medium Maybe")</f>
        <v>1</v>
      </c>
      <c r="I43" s="19">
        <f ca="1">COUNTIF(INDIRECT("["&amp;datatable!$C$2&amp;"]"&amp;datatable!$B13&amp;"!"&amp;"Q:Q"),"Low Maybe")</f>
        <v>0</v>
      </c>
      <c r="J43" s="21">
        <f ca="1">COUNTIF(INDIRECT("["&amp;datatable!$C$2&amp;"]"&amp;datatable!$B13&amp;"!"&amp;"Q:Q"),"Low Incorrect")</f>
        <v>1</v>
      </c>
      <c r="K43" s="23">
        <f ca="1">COUNTIF(INDIRECT("["&amp;datatable!$C$2&amp;"]"&amp;datatable!$B13&amp;"!"&amp;"Q:Q"),"Medium Incorrect")</f>
        <v>1</v>
      </c>
      <c r="L43" s="25">
        <f ca="1">COUNTIF(INDIRECT("["&amp;datatable!$C$2&amp;"]"&amp;datatable!$B13&amp;"!"&amp;"Q:Q"),"High Incorrect")</f>
        <v>1</v>
      </c>
      <c r="M43" s="27">
        <f ca="1">COUNTIF(INDIRECT("["&amp;datatable!$C$2&amp;"]"&amp;datatable!$B13&amp;"!"&amp;"Q:Q"),"N/A")</f>
        <v>0</v>
      </c>
      <c r="N43" s="43">
        <f t="shared" ca="1" si="3"/>
        <v>21</v>
      </c>
      <c r="O43" s="43">
        <f t="shared" ca="1" si="4"/>
        <v>21</v>
      </c>
    </row>
    <row r="44" spans="3:15">
      <c r="C44" s="44" t="s">
        <v>49</v>
      </c>
      <c r="D44" s="8">
        <f ca="1">COUNTIF(INDIRECT("["&amp;datatable!$C$2&amp;"]"&amp;datatable!$B14&amp;"!"&amp;"Q:Q"),"High Correct")</f>
        <v>5</v>
      </c>
      <c r="E44" s="11">
        <f ca="1">COUNTIF(INDIRECT("["&amp;datatable!$C$2&amp;"]"&amp;datatable!$B14&amp;"!"&amp;"Q:Q"),"Medium Correct")</f>
        <v>2</v>
      </c>
      <c r="F44" s="13">
        <f ca="1">COUNTIF(INDIRECT("["&amp;datatable!$C$2&amp;"]"&amp;datatable!$B14&amp;"!"&amp;"Q:Q"),"Low Correct")</f>
        <v>1</v>
      </c>
      <c r="G44" s="15">
        <f ca="1">COUNTIF(INDIRECT("["&amp;datatable!$C$2&amp;"]"&amp;datatable!$B14&amp;"!"&amp;"Q:Q"),"High Maybe")</f>
        <v>2</v>
      </c>
      <c r="H44" s="17">
        <f ca="1">COUNTIF(INDIRECT("["&amp;datatable!$C$2&amp;"]"&amp;datatable!$B14&amp;"!"&amp;"Q:Q"),"Medium Maybe")</f>
        <v>2</v>
      </c>
      <c r="I44" s="19">
        <f ca="1">COUNTIF(INDIRECT("["&amp;datatable!$C$2&amp;"]"&amp;datatable!$B14&amp;"!"&amp;"Q:Q"),"Low Maybe")</f>
        <v>0</v>
      </c>
      <c r="J44" s="21">
        <f ca="1">COUNTIF(INDIRECT("["&amp;datatable!$C$2&amp;"]"&amp;datatable!$B14&amp;"!"&amp;"Q:Q"),"Low Incorrect")</f>
        <v>1</v>
      </c>
      <c r="K44" s="23">
        <f ca="1">COUNTIF(INDIRECT("["&amp;datatable!$C$2&amp;"]"&amp;datatable!$B14&amp;"!"&amp;"Q:Q"),"Medium Incorrect")</f>
        <v>1</v>
      </c>
      <c r="L44" s="25">
        <f ca="1">COUNTIF(INDIRECT("["&amp;datatable!$C$2&amp;"]"&amp;datatable!$B14&amp;"!"&amp;"Q:Q"),"High Incorrect")</f>
        <v>4</v>
      </c>
      <c r="M44" s="27">
        <f ca="1">COUNTIF(INDIRECT("["&amp;datatable!$C$2&amp;"]"&amp;datatable!$B14&amp;"!"&amp;"Q:Q"),"N/A")</f>
        <v>3</v>
      </c>
      <c r="N44" s="43">
        <f t="shared" ca="1" si="3"/>
        <v>21</v>
      </c>
      <c r="O44" s="43">
        <f t="shared" ca="1" si="4"/>
        <v>18</v>
      </c>
    </row>
    <row r="45" spans="3:15">
      <c r="C45" s="44" t="s">
        <v>50</v>
      </c>
      <c r="D45" s="8">
        <f ca="1">COUNTIF(INDIRECT("["&amp;datatable!$C$2&amp;"]"&amp;datatable!$B15&amp;"!"&amp;"Q:Q"),"High Correct")</f>
        <v>7</v>
      </c>
      <c r="E45" s="11">
        <f ca="1">COUNTIF(INDIRECT("["&amp;datatable!$C$2&amp;"]"&amp;datatable!$B15&amp;"!"&amp;"Q:Q"),"Medium Correct")</f>
        <v>2</v>
      </c>
      <c r="F45" s="13">
        <f ca="1">COUNTIF(INDIRECT("["&amp;datatable!$C$2&amp;"]"&amp;datatable!$B15&amp;"!"&amp;"Q:Q"),"Low Correct")</f>
        <v>0</v>
      </c>
      <c r="G45" s="15">
        <f ca="1">COUNTIF(INDIRECT("["&amp;datatable!$C$2&amp;"]"&amp;datatable!$B15&amp;"!"&amp;"Q:Q"),"High Maybe")</f>
        <v>4</v>
      </c>
      <c r="H45" s="17">
        <f ca="1">COUNTIF(INDIRECT("["&amp;datatable!$C$2&amp;"]"&amp;datatable!$B15&amp;"!"&amp;"Q:Q"),"Medium Maybe")</f>
        <v>0</v>
      </c>
      <c r="I45" s="19">
        <f ca="1">COUNTIF(INDIRECT("["&amp;datatable!$C$2&amp;"]"&amp;datatable!$B15&amp;"!"&amp;"Q:Q"),"Low Maybe")</f>
        <v>2</v>
      </c>
      <c r="J45" s="21">
        <f ca="1">COUNTIF(INDIRECT("["&amp;datatable!$C$2&amp;"]"&amp;datatable!$B15&amp;"!"&amp;"Q:Q"),"Low Incorrect")</f>
        <v>0</v>
      </c>
      <c r="K45" s="23">
        <f ca="1">COUNTIF(INDIRECT("["&amp;datatable!$C$2&amp;"]"&amp;datatable!$B15&amp;"!"&amp;"Q:Q"),"Medium Incorrect")</f>
        <v>1</v>
      </c>
      <c r="L45" s="25">
        <f ca="1">COUNTIF(INDIRECT("["&amp;datatable!$C$2&amp;"]"&amp;datatable!$B15&amp;"!"&amp;"Q:Q"),"High Incorrect")</f>
        <v>5</v>
      </c>
      <c r="M45" s="27">
        <f ca="1">COUNTIF(INDIRECT("["&amp;datatable!$C$2&amp;"]"&amp;datatable!$B15&amp;"!"&amp;"Q:Q"),"N/A")</f>
        <v>0</v>
      </c>
      <c r="N45" s="43">
        <f t="shared" ca="1" si="3"/>
        <v>21</v>
      </c>
      <c r="O45" s="43">
        <f t="shared" ca="1" si="4"/>
        <v>21</v>
      </c>
    </row>
    <row r="46" spans="3:15">
      <c r="C46" s="45" t="s">
        <v>51</v>
      </c>
      <c r="D46" s="8">
        <f ca="1">COUNTIF(INDIRECT("["&amp;datatable!$C$2&amp;"]"&amp;datatable!$B16&amp;"!"&amp;"Q:Q"),"High Correct")</f>
        <v>3</v>
      </c>
      <c r="E46" s="11">
        <f ca="1">COUNTIF(INDIRECT("["&amp;datatable!$C$2&amp;"]"&amp;datatable!$B16&amp;"!"&amp;"Q:Q"),"Medium Correct")</f>
        <v>1</v>
      </c>
      <c r="F46" s="13">
        <f ca="1">COUNTIF(INDIRECT("["&amp;datatable!$C$2&amp;"]"&amp;datatable!$B16&amp;"!"&amp;"Q:Q"),"Low Correct")</f>
        <v>0</v>
      </c>
      <c r="G46" s="15">
        <f ca="1">COUNTIF(INDIRECT("["&amp;datatable!$C$2&amp;"]"&amp;datatable!$B16&amp;"!"&amp;"Q:Q"),"High Maybe")</f>
        <v>1</v>
      </c>
      <c r="H46" s="17">
        <f ca="1">COUNTIF(INDIRECT("["&amp;datatable!$C$2&amp;"]"&amp;datatable!$B16&amp;"!"&amp;"Q:Q"),"Medium Maybe")</f>
        <v>0</v>
      </c>
      <c r="I46" s="19">
        <f ca="1">COUNTIF(INDIRECT("["&amp;datatable!$C$2&amp;"]"&amp;datatable!$B16&amp;"!"&amp;"Q:Q"),"Low Maybe")</f>
        <v>0</v>
      </c>
      <c r="J46" s="21">
        <f ca="1">COUNTIF(INDIRECT("["&amp;datatable!$C$2&amp;"]"&amp;datatable!$B16&amp;"!"&amp;"Q:Q"),"Low Incorrect")</f>
        <v>1</v>
      </c>
      <c r="K46" s="23">
        <f ca="1">COUNTIF(INDIRECT("["&amp;datatable!$C$2&amp;"]"&amp;datatable!$B16&amp;"!"&amp;"Q:Q"),"Medium Incorrect")</f>
        <v>3</v>
      </c>
      <c r="L46" s="25">
        <f ca="1">COUNTIF(INDIRECT("["&amp;datatable!$C$2&amp;"]"&amp;datatable!$B16&amp;"!"&amp;"Q:Q"),"High Incorrect")</f>
        <v>12</v>
      </c>
      <c r="M46" s="27">
        <f ca="1">COUNTIF(INDIRECT("["&amp;datatable!$C$2&amp;"]"&amp;datatable!$B16&amp;"!"&amp;"Q:Q"),"N/A")</f>
        <v>0</v>
      </c>
      <c r="N46" s="43">
        <f t="shared" ca="1" si="3"/>
        <v>21</v>
      </c>
      <c r="O46" s="43">
        <f t="shared" ca="1" si="4"/>
        <v>21</v>
      </c>
    </row>
    <row r="47" spans="3:15">
      <c r="C47" s="44" t="s">
        <v>52</v>
      </c>
      <c r="D47" s="8">
        <f ca="1">COUNTIF(INDIRECT("["&amp;datatable!$C$2&amp;"]"&amp;datatable!$B17&amp;"!"&amp;"Q:Q"),"High Correct")</f>
        <v>13</v>
      </c>
      <c r="E47" s="11">
        <f ca="1">COUNTIF(INDIRECT("["&amp;datatable!$C$2&amp;"]"&amp;datatable!$B17&amp;"!"&amp;"Q:Q"),"Medium Correct")</f>
        <v>2</v>
      </c>
      <c r="F47" s="13">
        <f ca="1">COUNTIF(INDIRECT("["&amp;datatable!$C$2&amp;"]"&amp;datatable!$B17&amp;"!"&amp;"Q:Q"),"Low Correct")</f>
        <v>2</v>
      </c>
      <c r="G47" s="15">
        <f ca="1">COUNTIF(INDIRECT("["&amp;datatable!$C$2&amp;"]"&amp;datatable!$B17&amp;"!"&amp;"Q:Q"),"High Maybe")</f>
        <v>2</v>
      </c>
      <c r="H47" s="17">
        <f ca="1">COUNTIF(INDIRECT("["&amp;datatable!$C$2&amp;"]"&amp;datatable!$B17&amp;"!"&amp;"Q:Q"),"Medium Maybe")</f>
        <v>0</v>
      </c>
      <c r="I47" s="19">
        <f ca="1">COUNTIF(INDIRECT("["&amp;datatable!$C$2&amp;"]"&amp;datatable!$B17&amp;"!"&amp;"Q:Q"),"Low Maybe")</f>
        <v>0</v>
      </c>
      <c r="J47" s="21">
        <f ca="1">COUNTIF(INDIRECT("["&amp;datatable!$C$2&amp;"]"&amp;datatable!$B17&amp;"!"&amp;"Q:Q"),"Low Incorrect")</f>
        <v>0</v>
      </c>
      <c r="K47" s="23">
        <f ca="1">COUNTIF(INDIRECT("["&amp;datatable!$C$2&amp;"]"&amp;datatable!$B17&amp;"!"&amp;"Q:Q"),"Medium Incorrect")</f>
        <v>0</v>
      </c>
      <c r="L47" s="25">
        <f ca="1">COUNTIF(INDIRECT("["&amp;datatable!$C$2&amp;"]"&amp;datatable!$B17&amp;"!"&amp;"Q:Q"),"High Incorrect")</f>
        <v>1</v>
      </c>
      <c r="M47" s="27">
        <f ca="1">COUNTIF(INDIRECT("["&amp;datatable!$C$2&amp;"]"&amp;datatable!$B17&amp;"!"&amp;"Q:Q"),"N/A")</f>
        <v>1</v>
      </c>
      <c r="N47" s="43">
        <f t="shared" ca="1" si="3"/>
        <v>21</v>
      </c>
      <c r="O47" s="43">
        <f t="shared" ca="1" si="4"/>
        <v>20</v>
      </c>
    </row>
    <row r="48" spans="3:15">
      <c r="C48" s="44" t="s">
        <v>53</v>
      </c>
      <c r="D48" s="8">
        <f ca="1">COUNTIF(INDIRECT("["&amp;datatable!$C$2&amp;"]"&amp;datatable!$B18&amp;"!"&amp;"Q:Q"),"High Correct")</f>
        <v>3</v>
      </c>
      <c r="E48" s="11">
        <f ca="1">COUNTIF(INDIRECT("["&amp;datatable!$C$2&amp;"]"&amp;datatable!$B18&amp;"!"&amp;"Q:Q"),"Medium Correct")</f>
        <v>2</v>
      </c>
      <c r="F48" s="13">
        <f ca="1">COUNTIF(INDIRECT("["&amp;datatable!$C$2&amp;"]"&amp;datatable!$B18&amp;"!"&amp;"Q:Q"),"Low Correct")</f>
        <v>1</v>
      </c>
      <c r="G48" s="15">
        <f ca="1">COUNTIF(INDIRECT("["&amp;datatable!$C$2&amp;"]"&amp;datatable!$B18&amp;"!"&amp;"Q:Q"),"High Maybe")</f>
        <v>0</v>
      </c>
      <c r="H48" s="17">
        <f ca="1">COUNTIF(INDIRECT("["&amp;datatable!$C$2&amp;"]"&amp;datatable!$B18&amp;"!"&amp;"Q:Q"),"Medium Maybe")</f>
        <v>3</v>
      </c>
      <c r="I48" s="19">
        <f ca="1">COUNTIF(INDIRECT("["&amp;datatable!$C$2&amp;"]"&amp;datatable!$B18&amp;"!"&amp;"Q:Q"),"Low Maybe")</f>
        <v>2</v>
      </c>
      <c r="J48" s="21">
        <f ca="1">COUNTIF(INDIRECT("["&amp;datatable!$C$2&amp;"]"&amp;datatable!$B18&amp;"!"&amp;"Q:Q"),"Low Incorrect")</f>
        <v>0</v>
      </c>
      <c r="K48" s="23">
        <f ca="1">COUNTIF(INDIRECT("["&amp;datatable!$C$2&amp;"]"&amp;datatable!$B18&amp;"!"&amp;"Q:Q"),"Medium Incorrect")</f>
        <v>1</v>
      </c>
      <c r="L48" s="25">
        <f ca="1">COUNTIF(INDIRECT("["&amp;datatable!$C$2&amp;"]"&amp;datatable!$B18&amp;"!"&amp;"Q:Q"),"High Incorrect")</f>
        <v>7</v>
      </c>
      <c r="M48" s="27">
        <f ca="1">COUNTIF(INDIRECT("["&amp;datatable!$C$2&amp;"]"&amp;datatable!$B18&amp;"!"&amp;"Q:Q"),"N/A")</f>
        <v>2</v>
      </c>
      <c r="N48" s="43">
        <f t="shared" ref="N48" ca="1" si="5">SUM(D48:M48)</f>
        <v>21</v>
      </c>
      <c r="O48" s="43">
        <f t="shared" ref="O48" ca="1" si="6">SUM(D48:L48)</f>
        <v>19</v>
      </c>
    </row>
    <row r="49" spans="3:25">
      <c r="C49" s="44" t="s">
        <v>54</v>
      </c>
      <c r="D49" s="8">
        <f ca="1">COUNTIF(INDIRECT("["&amp;datatable!$C$2&amp;"]"&amp;datatable!$B19&amp;"!"&amp;"Q:Q"),"High Correct")</f>
        <v>12</v>
      </c>
      <c r="E49" s="11">
        <f ca="1">COUNTIF(INDIRECT("["&amp;datatable!$C$2&amp;"]"&amp;datatable!$B19&amp;"!"&amp;"Q:Q"),"Medium Correct")</f>
        <v>1</v>
      </c>
      <c r="F49" s="13">
        <f ca="1">COUNTIF(INDIRECT("["&amp;datatable!$C$2&amp;"]"&amp;datatable!$B19&amp;"!"&amp;"Q:Q"),"Low Correct")</f>
        <v>8</v>
      </c>
      <c r="G49" s="15">
        <f ca="1">COUNTIF(INDIRECT("["&amp;datatable!$C$2&amp;"]"&amp;datatable!$B19&amp;"!"&amp;"Q:Q"),"High Maybe")</f>
        <v>0</v>
      </c>
      <c r="H49" s="17">
        <f ca="1">COUNTIF(INDIRECT("["&amp;datatable!$C$2&amp;"]"&amp;datatable!$B19&amp;"!"&amp;"Q:Q"),"Medium Maybe")</f>
        <v>0</v>
      </c>
      <c r="I49" s="19">
        <f ca="1">COUNTIF(INDIRECT("["&amp;datatable!$C$2&amp;"]"&amp;datatable!$B19&amp;"!"&amp;"Q:Q"),"Low Maybe")</f>
        <v>0</v>
      </c>
      <c r="J49" s="21">
        <f ca="1">COUNTIF(INDIRECT("["&amp;datatable!$C$2&amp;"]"&amp;datatable!$B19&amp;"!"&amp;"Q:Q"),"Low Incorrect")</f>
        <v>0</v>
      </c>
      <c r="K49" s="23">
        <f ca="1">COUNTIF(INDIRECT("["&amp;datatable!$C$2&amp;"]"&amp;datatable!$B19&amp;"!"&amp;"Q:Q"),"Medium Incorrect")</f>
        <v>0</v>
      </c>
      <c r="L49" s="25">
        <f ca="1">COUNTIF(INDIRECT("["&amp;datatable!$C$2&amp;"]"&amp;datatable!$B19&amp;"!"&amp;"Q:Q"),"High Incorrect")</f>
        <v>0</v>
      </c>
      <c r="M49" s="27">
        <f ca="1">COUNTIF(INDIRECT("["&amp;datatable!$C$2&amp;"]"&amp;datatable!$B19&amp;"!"&amp;"Q:Q"),"N/A")</f>
        <v>0</v>
      </c>
      <c r="N49" s="43">
        <f t="shared" ref="N49" ca="1" si="7">SUM(D49:M49)</f>
        <v>21</v>
      </c>
      <c r="O49" s="43">
        <f t="shared" ref="O49" ca="1" si="8">SUM(D49:L49)</f>
        <v>21</v>
      </c>
    </row>
    <row r="50" spans="3:25">
      <c r="C50" s="46" t="s">
        <v>36</v>
      </c>
      <c r="D50" s="47">
        <f ca="1">SUM(D32:D49)</f>
        <v>156</v>
      </c>
      <c r="E50" s="47">
        <f t="shared" ref="E50:M50" ca="1" si="9">SUM(E32:E49)</f>
        <v>45</v>
      </c>
      <c r="F50" s="47">
        <f t="shared" ca="1" si="9"/>
        <v>23</v>
      </c>
      <c r="G50" s="47">
        <f t="shared" ca="1" si="9"/>
        <v>20</v>
      </c>
      <c r="H50" s="47">
        <f t="shared" ca="1" si="9"/>
        <v>20</v>
      </c>
      <c r="I50" s="47">
        <f t="shared" ca="1" si="9"/>
        <v>9</v>
      </c>
      <c r="J50" s="47">
        <f t="shared" ca="1" si="9"/>
        <v>7</v>
      </c>
      <c r="K50" s="47">
        <f t="shared" ca="1" si="9"/>
        <v>21</v>
      </c>
      <c r="L50" s="47">
        <f t="shared" ca="1" si="9"/>
        <v>50</v>
      </c>
      <c r="M50" s="47">
        <f t="shared" ca="1" si="9"/>
        <v>27</v>
      </c>
      <c r="N50" s="43">
        <f ca="1">SUM(D50:M50)</f>
        <v>378</v>
      </c>
      <c r="O50" s="43">
        <f ca="1">SUM(D50:L50)</f>
        <v>351</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INDIRECT("["&amp;datatable!$C$2&amp;"]"&amp;datatable!$B2&amp;"!"&amp;"Q2")</f>
        <v>N/A</v>
      </c>
      <c r="E55" s="51" t="str" cm="1">
        <f t="array" aca="1" ref="E55" ca="1">INDIRECT("["&amp;datatable!$C$2&amp;"]"&amp;datatable!$B2&amp;"!"&amp;"Q3")</f>
        <v>High Correct</v>
      </c>
      <c r="F55" s="51" t="str" cm="1">
        <f t="array" aca="1" ref="F55" ca="1">INDIRECT("["&amp;datatable!$C$2&amp;"]"&amp;datatable!$B2&amp;"!"&amp;"Q4")</f>
        <v>Medium Correct</v>
      </c>
      <c r="G55" s="51" t="str" cm="1">
        <f t="array" aca="1" ref="G55" ca="1">INDIRECT("["&amp;datatable!$C$2&amp;"]"&amp;datatable!$B2&amp;"!"&amp;"Q5")</f>
        <v>Medium Correct</v>
      </c>
      <c r="H55" s="51" t="str" cm="1">
        <f t="array" aca="1" ref="H55" ca="1">INDIRECT("["&amp;datatable!$C$2&amp;"]"&amp;datatable!$B2&amp;"!"&amp;"Q6")</f>
        <v>High Correct</v>
      </c>
      <c r="I55" s="51" t="str" cm="1">
        <f t="array" aca="1" ref="I55" ca="1">INDIRECT("["&amp;datatable!$C$2&amp;"]"&amp;datatable!$B2&amp;"!"&amp;"Q7")</f>
        <v>High Maybe</v>
      </c>
      <c r="J55" s="51" t="str" cm="1">
        <f t="array" aca="1" ref="J55" ca="1">INDIRECT("["&amp;datatable!$C$2&amp;"]"&amp;datatable!$B2&amp;"!"&amp;"Q8")</f>
        <v>High Correct</v>
      </c>
      <c r="K55" s="51" t="str" cm="1">
        <f t="array" aca="1" ref="K55" ca="1">INDIRECT("["&amp;datatable!$C$2&amp;"]"&amp;datatable!$B2&amp;"!"&amp;"Q9")</f>
        <v>High Correct</v>
      </c>
      <c r="L55" s="51" t="str" cm="1">
        <f t="array" aca="1" ref="L55" ca="1">INDIRECT("["&amp;datatable!$C$2&amp;"]"&amp;datatable!$B2&amp;"!"&amp;"Q10")</f>
        <v>High Correct</v>
      </c>
      <c r="M55" s="51" t="str" cm="1">
        <f t="array" aca="1" ref="M55" ca="1">INDIRECT("["&amp;datatable!$C$2&amp;"]"&amp;datatable!$B2&amp;"!"&amp;"Q11")</f>
        <v>Low Correct</v>
      </c>
      <c r="N55" s="51" t="str" cm="1">
        <f t="array" aca="1" ref="N55" ca="1">INDIRECT("["&amp;datatable!$C$2&amp;"]"&amp;datatable!$B2&amp;"!"&amp;"Q46")</f>
        <v>High Correct</v>
      </c>
      <c r="O55" s="51" t="str" cm="1">
        <f t="array" aca="1" ref="O55" ca="1">INDIRECT("["&amp;datatable!$C$2&amp;"]"&amp;datatable!$B2&amp;"!"&amp;"Q47")</f>
        <v>High Correct</v>
      </c>
      <c r="P55" s="51" t="str" cm="1">
        <f t="array" aca="1" ref="P55" ca="1">INDIRECT("["&amp;datatable!$C$2&amp;"]"&amp;datatable!$B2&amp;"!"&amp;"Q48")</f>
        <v>High Correct</v>
      </c>
      <c r="Q55" s="51" t="str" cm="1">
        <f t="array" aca="1" ref="Q55" ca="1">INDIRECT("["&amp;datatable!$C$2&amp;"]"&amp;datatable!$B2&amp;"!"&amp;"Q49")</f>
        <v>High Correct</v>
      </c>
      <c r="R55" s="51" t="str" cm="1">
        <f t="array" aca="1" ref="R55" ca="1">INDIRECT("["&amp;datatable!$C$2&amp;"]"&amp;datatable!$B2&amp;"!"&amp;"Q50")</f>
        <v>High Correct</v>
      </c>
      <c r="S55" s="51" t="str" cm="1">
        <f t="array" aca="1" ref="S55" ca="1">INDIRECT("["&amp;datatable!$C$2&amp;"]"&amp;datatable!$B2&amp;"!"&amp;"Q51")</f>
        <v>High Correct</v>
      </c>
      <c r="T55" s="51" t="str" cm="1">
        <f t="array" aca="1" ref="T55" ca="1">INDIRECT("["&amp;datatable!$C$2&amp;"]"&amp;datatable!$B2&amp;"!"&amp;"Q52")</f>
        <v>N/A</v>
      </c>
      <c r="U55" s="51" t="str" cm="1">
        <f t="array" aca="1" ref="U55" ca="1">INDIRECT("["&amp;datatable!$C$2&amp;"]"&amp;datatable!$B2&amp;"!"&amp;"Q53")</f>
        <v>Medium Incorrect</v>
      </c>
      <c r="V55" s="51" t="str" cm="1">
        <f t="array" aca="1" ref="V55" ca="1">INDIRECT("["&amp;datatable!$C$2&amp;"]"&amp;datatable!$B2&amp;"!"&amp;"Q54")</f>
        <v>Medium Incorrect</v>
      </c>
      <c r="W55" s="51" t="str" cm="1">
        <f t="array" aca="1" ref="W55" ca="1">INDIRECT("["&amp;datatable!$C$2&amp;"]"&amp;datatable!$B2&amp;"!"&amp;"Q55")</f>
        <v>Medium Incorrect</v>
      </c>
      <c r="X55" s="51" t="str" cm="1">
        <f t="array" aca="1" ref="X55" ca="1">INDIRECT("["&amp;datatable!$C$2&amp;"]"&amp;datatable!$B2&amp;"!"&amp;"Q56")</f>
        <v>N/A</v>
      </c>
      <c r="Y55" s="50"/>
    </row>
    <row r="56" spans="3:25">
      <c r="C56" s="30" t="s">
        <v>38</v>
      </c>
      <c r="D56" s="51" t="str" cm="1">
        <f t="array" aca="1" ref="D56" ca="1">INDIRECT("["&amp;datatable!$C$2&amp;"]"&amp;datatable!$B3&amp;"!"&amp;"Q2")</f>
        <v>High Incorrect</v>
      </c>
      <c r="E56" s="51" t="str" cm="1">
        <f t="array" aca="1" ref="E56" ca="1">INDIRECT("["&amp;datatable!$C$2&amp;"]"&amp;datatable!$B3&amp;"!"&amp;"Q3")</f>
        <v>Medium Maybe</v>
      </c>
      <c r="F56" s="51" t="str" cm="1">
        <f t="array" aca="1" ref="F56" ca="1">INDIRECT("["&amp;datatable!$C$2&amp;"]"&amp;datatable!$B3&amp;"!"&amp;"Q4")</f>
        <v>High Incorrect</v>
      </c>
      <c r="G56" s="51" t="str" cm="1">
        <f t="array" aca="1" ref="G56" ca="1">INDIRECT("["&amp;datatable!$C$2&amp;"]"&amp;datatable!$B3&amp;"!"&amp;"Q5")</f>
        <v>Medium Maybe</v>
      </c>
      <c r="H56" s="51" t="str" cm="1">
        <f t="array" aca="1" ref="H56" ca="1">INDIRECT("["&amp;datatable!$C$2&amp;"]"&amp;datatable!$B3&amp;"!"&amp;"Q6")</f>
        <v>High Correct</v>
      </c>
      <c r="I56" s="51" t="str" cm="1">
        <f t="array" aca="1" ref="I56" ca="1">INDIRECT("["&amp;datatable!$C$2&amp;"]"&amp;datatable!$B3&amp;"!"&amp;"Q7")</f>
        <v>High Correct</v>
      </c>
      <c r="J56" s="51" t="str" cm="1">
        <f t="array" aca="1" ref="J56" ca="1">INDIRECT("["&amp;datatable!$C$2&amp;"]"&amp;datatable!$B3&amp;"!"&amp;"Q8")</f>
        <v>Medium Maybe</v>
      </c>
      <c r="K56" s="51" t="str" cm="1">
        <f t="array" aca="1" ref="K56" ca="1">INDIRECT("["&amp;datatable!$C$2&amp;"]"&amp;datatable!$B3&amp;"!"&amp;"Q9")</f>
        <v>High Correct</v>
      </c>
      <c r="L56" s="51" t="str" cm="1">
        <f t="array" aca="1" ref="L56" ca="1">INDIRECT("["&amp;datatable!$C$2&amp;"]"&amp;datatable!$B3&amp;"!"&amp;"Q10")</f>
        <v>High Correct</v>
      </c>
      <c r="M56" s="51" t="str" cm="1">
        <f t="array" aca="1" ref="M56" ca="1">INDIRECT("["&amp;datatable!$C$2&amp;"]"&amp;datatable!$B3&amp;"!"&amp;"Q11")</f>
        <v>High Correct</v>
      </c>
      <c r="N56" s="51" t="str" cm="1">
        <f t="array" aca="1" ref="N56" ca="1">INDIRECT("["&amp;datatable!$C$2&amp;"]"&amp;datatable!$B3&amp;"!"&amp;"Q46")</f>
        <v>High Correct</v>
      </c>
      <c r="O56" s="51" t="str" cm="1">
        <f t="array" aca="1" ref="O56" ca="1">INDIRECT("["&amp;datatable!$C$2&amp;"]"&amp;datatable!$B3&amp;"!"&amp;"Q47")</f>
        <v>High Correct</v>
      </c>
      <c r="P56" s="51" t="str" cm="1">
        <f t="array" aca="1" ref="P56" ca="1">INDIRECT("["&amp;datatable!$C$2&amp;"]"&amp;datatable!$B3&amp;"!"&amp;"Q48")</f>
        <v>Medium Correct</v>
      </c>
      <c r="Q56" s="51" t="str" cm="1">
        <f t="array" aca="1" ref="Q56" ca="1">INDIRECT("["&amp;datatable!$C$2&amp;"]"&amp;datatable!$B3&amp;"!"&amp;"Q49")</f>
        <v>High Incorrect</v>
      </c>
      <c r="R56" s="51" t="str" cm="1">
        <f t="array" aca="1" ref="R56" ca="1">INDIRECT("["&amp;datatable!$C$2&amp;"]"&amp;datatable!$B3&amp;"!"&amp;"Q50")</f>
        <v>High Incorrect</v>
      </c>
      <c r="S56" s="51" t="str" cm="1">
        <f t="array" aca="1" ref="S56" ca="1">INDIRECT("["&amp;datatable!$C$2&amp;"]"&amp;datatable!$B3&amp;"!"&amp;"Q51")</f>
        <v>High Correct</v>
      </c>
      <c r="T56" s="51" t="str" cm="1">
        <f t="array" aca="1" ref="T56" ca="1">INDIRECT("["&amp;datatable!$C$2&amp;"]"&amp;datatable!$B3&amp;"!"&amp;"Q52")</f>
        <v>Medium Correct</v>
      </c>
      <c r="U56" s="51" t="str" cm="1">
        <f t="array" aca="1" ref="U56" ca="1">INDIRECT("["&amp;datatable!$C$2&amp;"]"&amp;datatable!$B3&amp;"!"&amp;"Q53")</f>
        <v>Low Correct</v>
      </c>
      <c r="V56" s="51" t="str" cm="1">
        <f t="array" aca="1" ref="V56" ca="1">INDIRECT("["&amp;datatable!$C$2&amp;"]"&amp;datatable!$B3&amp;"!"&amp;"Q54")</f>
        <v>High Incorrect</v>
      </c>
      <c r="W56" s="51" t="str" cm="1">
        <f t="array" aca="1" ref="W56" ca="1">INDIRECT("["&amp;datatable!$C$2&amp;"]"&amp;datatable!$B3&amp;"!"&amp;"Q55")</f>
        <v>Medium Correct</v>
      </c>
      <c r="X56" s="51" t="str" cm="1">
        <f t="array" aca="1" ref="X56" ca="1">INDIRECT("["&amp;datatable!$C$2&amp;"]"&amp;datatable!$B3&amp;"!"&amp;"Q56")</f>
        <v>Medium Incorrect</v>
      </c>
      <c r="Y56" s="50"/>
    </row>
    <row r="57" spans="3:25">
      <c r="C57" s="30" t="s">
        <v>39</v>
      </c>
      <c r="D57" s="51" t="str" cm="1">
        <f t="array" aca="1" ref="D57" ca="1">INDIRECT("["&amp;datatable!$C$2&amp;"]"&amp;datatable!$B4&amp;"!"&amp;"Q2")</f>
        <v>High Correct</v>
      </c>
      <c r="E57" s="51" t="str" cm="1">
        <f t="array" aca="1" ref="E57" ca="1">INDIRECT("["&amp;datatable!$C$2&amp;"]"&amp;datatable!$B4&amp;"!"&amp;"Q3")</f>
        <v>High Correct</v>
      </c>
      <c r="F57" s="51" t="str" cm="1">
        <f t="array" aca="1" ref="F57" ca="1">INDIRECT("["&amp;datatable!$C$2&amp;"]"&amp;datatable!$B4&amp;"!"&amp;"Q4")</f>
        <v>Medium Incorrect</v>
      </c>
      <c r="G57" s="51" t="str" cm="1">
        <f t="array" aca="1" ref="G57" ca="1">INDIRECT("["&amp;datatable!$C$2&amp;"]"&amp;datatable!$B4&amp;"!"&amp;"Q5")</f>
        <v>Medium Maybe</v>
      </c>
      <c r="H57" s="51" t="str" cm="1">
        <f t="array" aca="1" ref="H57" ca="1">INDIRECT("["&amp;datatable!$C$2&amp;"]"&amp;datatable!$B4&amp;"!"&amp;"Q6")</f>
        <v>High Correct</v>
      </c>
      <c r="I57" s="51" t="str" cm="1">
        <f t="array" aca="1" ref="I57" ca="1">INDIRECT("["&amp;datatable!$C$2&amp;"]"&amp;datatable!$B4&amp;"!"&amp;"Q7")</f>
        <v>High Incorrect</v>
      </c>
      <c r="J57" s="51" t="str" cm="1">
        <f t="array" aca="1" ref="J57" ca="1">INDIRECT("["&amp;datatable!$C$2&amp;"]"&amp;datatable!$B4&amp;"!"&amp;"Q8")</f>
        <v>Medium Correct</v>
      </c>
      <c r="K57" s="51" t="str" cm="1">
        <f t="array" aca="1" ref="K57" ca="1">INDIRECT("["&amp;datatable!$C$2&amp;"]"&amp;datatable!$B4&amp;"!"&amp;"Q9")</f>
        <v>Medium Correct</v>
      </c>
      <c r="L57" s="51" t="str" cm="1">
        <f t="array" aca="1" ref="L57" ca="1">INDIRECT("["&amp;datatable!$C$2&amp;"]"&amp;datatable!$B4&amp;"!"&amp;"Q10")</f>
        <v>High Correct</v>
      </c>
      <c r="M57" s="51" t="str" cm="1">
        <f t="array" aca="1" ref="M57" ca="1">INDIRECT("["&amp;datatable!$C$2&amp;"]"&amp;datatable!$B4&amp;"!"&amp;"Q11")</f>
        <v>Low Correct</v>
      </c>
      <c r="N57" s="51" t="str" cm="1">
        <f t="array" aca="1" ref="N57" ca="1">INDIRECT("["&amp;datatable!$C$2&amp;"]"&amp;datatable!$B4&amp;"!"&amp;"Q46")</f>
        <v>High Correct</v>
      </c>
      <c r="O57" s="51" t="str" cm="1">
        <f t="array" aca="1" ref="O57" ca="1">INDIRECT("["&amp;datatable!$C$2&amp;"]"&amp;datatable!$B4&amp;"!"&amp;"Q47")</f>
        <v>High Correct</v>
      </c>
      <c r="P57" s="51" t="str" cm="1">
        <f t="array" aca="1" ref="P57" ca="1">INDIRECT("["&amp;datatable!$C$2&amp;"]"&amp;datatable!$B4&amp;"!"&amp;"Q48")</f>
        <v>Low Correct</v>
      </c>
      <c r="Q57" s="51" t="str" cm="1">
        <f t="array" aca="1" ref="Q57" ca="1">INDIRECT("["&amp;datatable!$C$2&amp;"]"&amp;datatable!$B4&amp;"!"&amp;"Q49")</f>
        <v>Medium Maybe</v>
      </c>
      <c r="R57" s="51" t="str" cm="1">
        <f t="array" aca="1" ref="R57" ca="1">INDIRECT("["&amp;datatable!$C$2&amp;"]"&amp;datatable!$B4&amp;"!"&amp;"Q50")</f>
        <v>High Correct</v>
      </c>
      <c r="S57" s="51" t="str" cm="1">
        <f t="array" aca="1" ref="S57" ca="1">INDIRECT("["&amp;datatable!$C$2&amp;"]"&amp;datatable!$B4&amp;"!"&amp;"Q51")</f>
        <v>High Incorrect</v>
      </c>
      <c r="T57" s="51" t="str" cm="1">
        <f t="array" aca="1" ref="T57" ca="1">INDIRECT("["&amp;datatable!$C$2&amp;"]"&amp;datatable!$B4&amp;"!"&amp;"Q52")</f>
        <v>N/A</v>
      </c>
      <c r="U57" s="51" t="str" cm="1">
        <f t="array" aca="1" ref="U57" ca="1">INDIRECT("["&amp;datatable!$C$2&amp;"]"&amp;datatable!$B4&amp;"!"&amp;"Q53")</f>
        <v>High Maybe</v>
      </c>
      <c r="V57" s="51" t="str" cm="1">
        <f t="array" aca="1" ref="V57" ca="1">INDIRECT("["&amp;datatable!$C$2&amp;"]"&amp;datatable!$B4&amp;"!"&amp;"Q54")</f>
        <v>Medium Maybe</v>
      </c>
      <c r="W57" s="51" t="str" cm="1">
        <f t="array" aca="1" ref="W57" ca="1">INDIRECT("["&amp;datatable!$C$2&amp;"]"&amp;datatable!$B4&amp;"!"&amp;"Q55")</f>
        <v>Low Correct</v>
      </c>
      <c r="X57" s="51" t="str" cm="1">
        <f t="array" aca="1" ref="X57" ca="1">INDIRECT("["&amp;datatable!$C$2&amp;"]"&amp;datatable!$B4&amp;"!"&amp;"Q56")</f>
        <v>N/A</v>
      </c>
      <c r="Y57" s="50"/>
    </row>
    <row r="58" spans="3:25">
      <c r="C58" s="30" t="s">
        <v>40</v>
      </c>
      <c r="D58" s="51" t="str" cm="1">
        <f t="array" aca="1" ref="D58" ca="1">INDIRECT("["&amp;datatable!$C$2&amp;"]"&amp;datatable!$B5&amp;"!"&amp;"Q2")</f>
        <v>High Correct</v>
      </c>
      <c r="E58" s="51" t="str" cm="1">
        <f t="array" aca="1" ref="E58" ca="1">INDIRECT("["&amp;datatable!$C$2&amp;"]"&amp;datatable!$B5&amp;"!"&amp;"Q3")</f>
        <v>Low Maybe</v>
      </c>
      <c r="F58" s="51" t="str" cm="1">
        <f t="array" aca="1" ref="F58" ca="1">INDIRECT("["&amp;datatable!$C$2&amp;"]"&amp;datatable!$B5&amp;"!"&amp;"Q4")</f>
        <v>High Incorrect</v>
      </c>
      <c r="G58" s="51" t="str" cm="1">
        <f t="array" aca="1" ref="G58" ca="1">INDIRECT("["&amp;datatable!$C$2&amp;"]"&amp;datatable!$B5&amp;"!"&amp;"Q5")</f>
        <v>High Maybe</v>
      </c>
      <c r="H58" s="51" t="str" cm="1">
        <f t="array" aca="1" ref="H58" ca="1">INDIRECT("["&amp;datatable!$C$2&amp;"]"&amp;datatable!$B5&amp;"!"&amp;"Q6")</f>
        <v>Medium Correct</v>
      </c>
      <c r="I58" s="51" t="str" cm="1">
        <f t="array" aca="1" ref="I58" ca="1">INDIRECT("["&amp;datatable!$C$2&amp;"]"&amp;datatable!$B5&amp;"!"&amp;"Q7")</f>
        <v>High Correct</v>
      </c>
      <c r="J58" s="51" t="str" cm="1">
        <f t="array" aca="1" ref="J58" ca="1">INDIRECT("["&amp;datatable!$C$2&amp;"]"&amp;datatable!$B5&amp;"!"&amp;"Q8")</f>
        <v>Medium Correct</v>
      </c>
      <c r="K58" s="51" t="str" cm="1">
        <f t="array" aca="1" ref="K58" ca="1">INDIRECT("["&amp;datatable!$C$2&amp;"]"&amp;datatable!$B5&amp;"!"&amp;"Q9")</f>
        <v>High Incorrect</v>
      </c>
      <c r="L58" s="51" t="str" cm="1">
        <f t="array" aca="1" ref="L58" ca="1">INDIRECT("["&amp;datatable!$C$2&amp;"]"&amp;datatable!$B5&amp;"!"&amp;"Q10")</f>
        <v>High Incorrect</v>
      </c>
      <c r="M58" s="51" t="str" cm="1">
        <f t="array" aca="1" ref="M58" ca="1">INDIRECT("["&amp;datatable!$C$2&amp;"]"&amp;datatable!$B5&amp;"!"&amp;"Q11")</f>
        <v>High Correct</v>
      </c>
      <c r="N58" s="51" t="str" cm="1">
        <f t="array" aca="1" ref="N58" ca="1">INDIRECT("["&amp;datatable!$C$2&amp;"]"&amp;datatable!$B5&amp;"!"&amp;"Q46")</f>
        <v>Medium Correct</v>
      </c>
      <c r="O58" s="51" t="str" cm="1">
        <f t="array" aca="1" ref="O58" ca="1">INDIRECT("["&amp;datatable!$C$2&amp;"]"&amp;datatable!$B5&amp;"!"&amp;"Q47")</f>
        <v>High Correct</v>
      </c>
      <c r="P58" s="51" t="str" cm="1">
        <f t="array" aca="1" ref="P58" ca="1">INDIRECT("["&amp;datatable!$C$2&amp;"]"&amp;datatable!$B5&amp;"!"&amp;"Q48")</f>
        <v>High Correct</v>
      </c>
      <c r="Q58" s="51" t="str" cm="1">
        <f t="array" aca="1" ref="Q58" ca="1">INDIRECT("["&amp;datatable!$C$2&amp;"]"&amp;datatable!$B5&amp;"!"&amp;"Q49")</f>
        <v>High Correct</v>
      </c>
      <c r="R58" s="51" t="str" cm="1">
        <f t="array" aca="1" ref="R58" ca="1">INDIRECT("["&amp;datatable!$C$2&amp;"]"&amp;datatable!$B5&amp;"!"&amp;"Q50")</f>
        <v>High Correct</v>
      </c>
      <c r="S58" s="51" t="str" cm="1">
        <f t="array" aca="1" ref="S58" ca="1">INDIRECT("["&amp;datatable!$C$2&amp;"]"&amp;datatable!$B5&amp;"!"&amp;"Q51")</f>
        <v>High Correct</v>
      </c>
      <c r="T58" s="51" t="str" cm="1">
        <f t="array" aca="1" ref="T58" ca="1">INDIRECT("["&amp;datatable!$C$2&amp;"]"&amp;datatable!$B5&amp;"!"&amp;"Q52")</f>
        <v>Low Correct</v>
      </c>
      <c r="U58" s="51" t="str" cm="1">
        <f t="array" aca="1" ref="U58" ca="1">INDIRECT("["&amp;datatable!$C$2&amp;"]"&amp;datatable!$B5&amp;"!"&amp;"Q53")</f>
        <v>Low Maybe</v>
      </c>
      <c r="V58" s="51" t="str" cm="1">
        <f t="array" aca="1" ref="V58" ca="1">INDIRECT("["&amp;datatable!$C$2&amp;"]"&amp;datatable!$B5&amp;"!"&amp;"Q54")</f>
        <v>Medium Correct</v>
      </c>
      <c r="W58" s="51" t="str" cm="1">
        <f t="array" aca="1" ref="W58" ca="1">INDIRECT("["&amp;datatable!$C$2&amp;"]"&amp;datatable!$B5&amp;"!"&amp;"Q55")</f>
        <v>Low Correct</v>
      </c>
      <c r="X58" s="51" t="str" cm="1">
        <f t="array" aca="1" ref="X58" ca="1">INDIRECT("["&amp;datatable!$C$2&amp;"]"&amp;datatable!$B5&amp;"!"&amp;"Q56")</f>
        <v>High Correct</v>
      </c>
      <c r="Y58" s="50"/>
    </row>
    <row r="59" spans="3:25">
      <c r="C59" s="30" t="s">
        <v>41</v>
      </c>
      <c r="D59" s="51" t="str" cm="1">
        <f t="array" aca="1" ref="D59" ca="1">INDIRECT("["&amp;datatable!$C$2&amp;"]"&amp;datatable!$B6&amp;"!"&amp;"Q2")</f>
        <v>High Correct</v>
      </c>
      <c r="E59" s="51" t="str" cm="1">
        <f t="array" aca="1" ref="E59" ca="1">INDIRECT("["&amp;datatable!$C$2&amp;"]"&amp;datatable!$B6&amp;"!"&amp;"Q3")</f>
        <v>Medium Correct</v>
      </c>
      <c r="F59" s="51" t="str" cm="1">
        <f t="array" aca="1" ref="F59" ca="1">INDIRECT("["&amp;datatable!$C$2&amp;"]"&amp;datatable!$B6&amp;"!"&amp;"Q4")</f>
        <v>Low Correct</v>
      </c>
      <c r="G59" s="51" t="str" cm="1">
        <f t="array" aca="1" ref="G59" ca="1">INDIRECT("["&amp;datatable!$C$2&amp;"]"&amp;datatable!$B6&amp;"!"&amp;"Q5")</f>
        <v>Medium Incorrect</v>
      </c>
      <c r="H59" s="51" t="str" cm="1">
        <f t="array" aca="1" ref="H59" ca="1">INDIRECT("["&amp;datatable!$C$2&amp;"]"&amp;datatable!$B6&amp;"!"&amp;"Q6")</f>
        <v>High Correct</v>
      </c>
      <c r="I59" s="51" t="str" cm="1">
        <f t="array" aca="1" ref="I59" ca="1">INDIRECT("["&amp;datatable!$C$2&amp;"]"&amp;datatable!$B6&amp;"!"&amp;"Q7")</f>
        <v>High Correct</v>
      </c>
      <c r="J59" s="51" t="str" cm="1">
        <f t="array" aca="1" ref="J59" ca="1">INDIRECT("["&amp;datatable!$C$2&amp;"]"&amp;datatable!$B6&amp;"!"&amp;"Q8")</f>
        <v>Medium Maybe</v>
      </c>
      <c r="K59" s="51" t="str" cm="1">
        <f t="array" aca="1" ref="K59" ca="1">INDIRECT("["&amp;datatable!$C$2&amp;"]"&amp;datatable!$B6&amp;"!"&amp;"Q9")</f>
        <v>High Incorrect</v>
      </c>
      <c r="L59" s="51" t="str" cm="1">
        <f t="array" aca="1" ref="L59" ca="1">INDIRECT("["&amp;datatable!$C$2&amp;"]"&amp;datatable!$B6&amp;"!"&amp;"Q10")</f>
        <v>Medium Incorrect</v>
      </c>
      <c r="M59" s="51" t="str" cm="1">
        <f t="array" aca="1" ref="M59" ca="1">INDIRECT("["&amp;datatable!$C$2&amp;"]"&amp;datatable!$B6&amp;"!"&amp;"Q11")</f>
        <v>High Correct</v>
      </c>
      <c r="N59" s="51" t="str" cm="1">
        <f t="array" aca="1" ref="N59" ca="1">INDIRECT("["&amp;datatable!$C$2&amp;"]"&amp;datatable!$B6&amp;"!"&amp;"Q46")</f>
        <v>High Correct</v>
      </c>
      <c r="O59" s="51" t="str" cm="1">
        <f t="array" aca="1" ref="O59" ca="1">INDIRECT("["&amp;datatable!$C$2&amp;"]"&amp;datatable!$B6&amp;"!"&amp;"Q47")</f>
        <v>High Correct</v>
      </c>
      <c r="P59" s="51" t="str" cm="1">
        <f t="array" aca="1" ref="P59" ca="1">INDIRECT("["&amp;datatable!$C$2&amp;"]"&amp;datatable!$B6&amp;"!"&amp;"Q48")</f>
        <v>High Correct</v>
      </c>
      <c r="Q59" s="51" t="str" cm="1">
        <f t="array" aca="1" ref="Q59" ca="1">INDIRECT("["&amp;datatable!$C$2&amp;"]"&amp;datatable!$B6&amp;"!"&amp;"Q49")</f>
        <v>High Correct</v>
      </c>
      <c r="R59" s="51" t="str" cm="1">
        <f t="array" aca="1" ref="R59" ca="1">INDIRECT("["&amp;datatable!$C$2&amp;"]"&amp;datatable!$B6&amp;"!"&amp;"Q50")</f>
        <v>High Correct</v>
      </c>
      <c r="S59" s="51" t="str" cm="1">
        <f t="array" aca="1" ref="S59" ca="1">INDIRECT("["&amp;datatable!$C$2&amp;"]"&amp;datatable!$B6&amp;"!"&amp;"Q51")</f>
        <v>High Incorrect</v>
      </c>
      <c r="T59" s="51" t="str" cm="1">
        <f t="array" aca="1" ref="T59" ca="1">INDIRECT("["&amp;datatable!$C$2&amp;"]"&amp;datatable!$B6&amp;"!"&amp;"Q52")</f>
        <v>Medium Correct</v>
      </c>
      <c r="U59" s="51" t="str" cm="1">
        <f t="array" aca="1" ref="U59" ca="1">INDIRECT("["&amp;datatable!$C$2&amp;"]"&amp;datatable!$B6&amp;"!"&amp;"Q53")</f>
        <v>Medium Correct</v>
      </c>
      <c r="V59" s="51" t="str" cm="1">
        <f t="array" aca="1" ref="V59" ca="1">INDIRECT("["&amp;datatable!$C$2&amp;"]"&amp;datatable!$B6&amp;"!"&amp;"Q54")</f>
        <v>Medium Correct</v>
      </c>
      <c r="W59" s="51" t="str" cm="1">
        <f t="array" aca="1" ref="W59" ca="1">INDIRECT("["&amp;datatable!$C$2&amp;"]"&amp;datatable!$B6&amp;"!"&amp;"Q55")</f>
        <v>Medium Maybe</v>
      </c>
      <c r="X59" s="51" t="str" cm="1">
        <f t="array" aca="1" ref="X59" ca="1">INDIRECT("["&amp;datatable!$C$2&amp;"]"&amp;datatable!$B6&amp;"!"&amp;"Q56")</f>
        <v>N/A</v>
      </c>
      <c r="Y59" s="50"/>
    </row>
    <row r="60" spans="3:25">
      <c r="C60" s="30" t="s">
        <v>42</v>
      </c>
      <c r="D60" s="51" t="str" cm="1">
        <f t="array" aca="1" ref="D60" ca="1">INDIRECT("["&amp;datatable!$C$2&amp;"]"&amp;datatable!$B7&amp;"!"&amp;"Q2")</f>
        <v>High Correct</v>
      </c>
      <c r="E60" s="51" t="str" cm="1">
        <f t="array" aca="1" ref="E60" ca="1">INDIRECT("["&amp;datatable!$C$2&amp;"]"&amp;datatable!$B7&amp;"!"&amp;"Q3")</f>
        <v>Low Maybe</v>
      </c>
      <c r="F60" s="51" t="str" cm="1">
        <f t="array" aca="1" ref="F60" ca="1">INDIRECT("["&amp;datatable!$C$2&amp;"]"&amp;datatable!$B7&amp;"!"&amp;"Q4")</f>
        <v>High Correct</v>
      </c>
      <c r="G60" s="51" t="str" cm="1">
        <f t="array" aca="1" ref="G60" ca="1">INDIRECT("["&amp;datatable!$C$2&amp;"]"&amp;datatable!$B7&amp;"!"&amp;"Q5")</f>
        <v>High Correct</v>
      </c>
      <c r="H60" s="51" t="str" cm="1">
        <f t="array" aca="1" ref="H60" ca="1">INDIRECT("["&amp;datatable!$C$2&amp;"]"&amp;datatable!$B7&amp;"!"&amp;"Q6")</f>
        <v>High Correct</v>
      </c>
      <c r="I60" s="51" t="str" cm="1">
        <f t="array" aca="1" ref="I60" ca="1">INDIRECT("["&amp;datatable!$C$2&amp;"]"&amp;datatable!$B7&amp;"!"&amp;"Q7")</f>
        <v>High Correct</v>
      </c>
      <c r="J60" s="51" t="str" cm="1">
        <f t="array" aca="1" ref="J60" ca="1">INDIRECT("["&amp;datatable!$C$2&amp;"]"&amp;datatable!$B7&amp;"!"&amp;"Q8")</f>
        <v>Medium Incorrect</v>
      </c>
      <c r="K60" s="51" t="str" cm="1">
        <f t="array" aca="1" ref="K60" ca="1">INDIRECT("["&amp;datatable!$C$2&amp;"]"&amp;datatable!$B7&amp;"!"&amp;"Q9")</f>
        <v>High Correct</v>
      </c>
      <c r="L60" s="51" t="str" cm="1">
        <f t="array" aca="1" ref="L60" ca="1">INDIRECT("["&amp;datatable!$C$2&amp;"]"&amp;datatable!$B7&amp;"!"&amp;"Q10")</f>
        <v>High Maybe</v>
      </c>
      <c r="M60" s="51" t="str" cm="1">
        <f t="array" aca="1" ref="M60" ca="1">INDIRECT("["&amp;datatable!$C$2&amp;"]"&amp;datatable!$B7&amp;"!"&amp;"Q11")</f>
        <v>High Correct</v>
      </c>
      <c r="N60" s="51" t="str" cm="1">
        <f t="array" aca="1" ref="N60" ca="1">INDIRECT("["&amp;datatable!$C$2&amp;"]"&amp;datatable!$B7&amp;"!"&amp;"Q46")</f>
        <v>N/A</v>
      </c>
      <c r="O60" s="51" t="str" cm="1">
        <f t="array" aca="1" ref="O60" ca="1">INDIRECT("["&amp;datatable!$C$2&amp;"]"&amp;datatable!$B7&amp;"!"&amp;"Q47")</f>
        <v>N/A</v>
      </c>
      <c r="P60" s="51" t="str" cm="1">
        <f t="array" aca="1" ref="P60" ca="1">INDIRECT("["&amp;datatable!$C$2&amp;"]"&amp;datatable!$B7&amp;"!"&amp;"Q48")</f>
        <v>N/A</v>
      </c>
      <c r="Q60" s="51" t="str" cm="1">
        <f t="array" aca="1" ref="Q60" ca="1">INDIRECT("["&amp;datatable!$C$2&amp;"]"&amp;datatable!$B7&amp;"!"&amp;"Q49")</f>
        <v>N/A</v>
      </c>
      <c r="R60" s="51" t="str" cm="1">
        <f t="array" aca="1" ref="R60" ca="1">INDIRECT("["&amp;datatable!$C$2&amp;"]"&amp;datatable!$B7&amp;"!"&amp;"Q50")</f>
        <v>N/A</v>
      </c>
      <c r="S60" s="51" t="str" cm="1">
        <f t="array" aca="1" ref="S60" ca="1">INDIRECT("["&amp;datatable!$C$2&amp;"]"&amp;datatable!$B7&amp;"!"&amp;"Q51")</f>
        <v>N/A</v>
      </c>
      <c r="T60" s="51" t="str" cm="1">
        <f t="array" aca="1" ref="T60" ca="1">INDIRECT("["&amp;datatable!$C$2&amp;"]"&amp;datatable!$B7&amp;"!"&amp;"Q52")</f>
        <v>N/A</v>
      </c>
      <c r="U60" s="51" t="str" cm="1">
        <f t="array" aca="1" ref="U60" ca="1">INDIRECT("["&amp;datatable!$C$2&amp;"]"&amp;datatable!$B7&amp;"!"&amp;"Q53")</f>
        <v>Medium Correct</v>
      </c>
      <c r="V60" s="51" t="str" cm="1">
        <f t="array" aca="1" ref="V60" ca="1">INDIRECT("["&amp;datatable!$C$2&amp;"]"&amp;datatable!$B7&amp;"!"&amp;"Q54")</f>
        <v>High Maybe</v>
      </c>
      <c r="W60" s="51" t="str" cm="1">
        <f t="array" aca="1" ref="W60" ca="1">INDIRECT("["&amp;datatable!$C$2&amp;"]"&amp;datatable!$B7&amp;"!"&amp;"Q55")</f>
        <v>N/A</v>
      </c>
      <c r="X60" s="51" t="str" cm="1">
        <f t="array" aca="1" ref="X60" ca="1">INDIRECT("["&amp;datatable!$C$2&amp;"]"&amp;datatable!$B7&amp;"!"&amp;"Q56")</f>
        <v>N/A</v>
      </c>
      <c r="Y60" s="50"/>
    </row>
    <row r="61" spans="3:25">
      <c r="C61" s="30" t="s">
        <v>43</v>
      </c>
      <c r="D61" s="51" t="str" cm="1">
        <f t="array" aca="1" ref="D61" ca="1">INDIRECT("["&amp;datatable!$C$2&amp;"]"&amp;datatable!$B8&amp;"!"&amp;"Q2")</f>
        <v>Medium Incorrect</v>
      </c>
      <c r="E61" s="51" t="str" cm="1">
        <f t="array" aca="1" ref="E61" ca="1">INDIRECT("["&amp;datatable!$C$2&amp;"]"&amp;datatable!$B8&amp;"!"&amp;"Q3")</f>
        <v>Medium Correct</v>
      </c>
      <c r="F61" s="51" t="str" cm="1">
        <f t="array" aca="1" ref="F61" ca="1">INDIRECT("["&amp;datatable!$C$2&amp;"]"&amp;datatable!$B8&amp;"!"&amp;"Q4")</f>
        <v>High Correct</v>
      </c>
      <c r="G61" s="51" t="str" cm="1">
        <f t="array" aca="1" ref="G61" ca="1">INDIRECT("["&amp;datatable!$C$2&amp;"]"&amp;datatable!$B8&amp;"!"&amp;"Q5")</f>
        <v>Low Correct</v>
      </c>
      <c r="H61" s="51" t="str" cm="1">
        <f t="array" aca="1" ref="H61" ca="1">INDIRECT("["&amp;datatable!$C$2&amp;"]"&amp;datatable!$B8&amp;"!"&amp;"Q6")</f>
        <v>High Correct</v>
      </c>
      <c r="I61" s="51" t="str" cm="1">
        <f t="array" aca="1" ref="I61" ca="1">INDIRECT("["&amp;datatable!$C$2&amp;"]"&amp;datatable!$B8&amp;"!"&amp;"Q7")</f>
        <v>High Correct</v>
      </c>
      <c r="J61" s="51" t="str" cm="1">
        <f t="array" aca="1" ref="J61" ca="1">INDIRECT("["&amp;datatable!$C$2&amp;"]"&amp;datatable!$B8&amp;"!"&amp;"Q8")</f>
        <v>High Maybe</v>
      </c>
      <c r="K61" s="51" t="str" cm="1">
        <f t="array" aca="1" ref="K61" ca="1">INDIRECT("["&amp;datatable!$C$2&amp;"]"&amp;datatable!$B8&amp;"!"&amp;"Q9")</f>
        <v>Medium Correct</v>
      </c>
      <c r="L61" s="51" t="str" cm="1">
        <f t="array" aca="1" ref="L61" ca="1">INDIRECT("["&amp;datatable!$C$2&amp;"]"&amp;datatable!$B8&amp;"!"&amp;"Q10")</f>
        <v>High Correct</v>
      </c>
      <c r="M61" s="51" t="str" cm="1">
        <f t="array" aca="1" ref="M61" ca="1">INDIRECT("["&amp;datatable!$C$2&amp;"]"&amp;datatable!$B8&amp;"!"&amp;"Q11")</f>
        <v>Medium Correct</v>
      </c>
      <c r="N61" s="51" t="str" cm="1">
        <f t="array" aca="1" ref="N61" ca="1">INDIRECT("["&amp;datatable!$C$2&amp;"]"&amp;datatable!$B8&amp;"!"&amp;"Q46")</f>
        <v>High Correct</v>
      </c>
      <c r="O61" s="51" t="str" cm="1">
        <f t="array" aca="1" ref="O61" ca="1">INDIRECT("["&amp;datatable!$C$2&amp;"]"&amp;datatable!$B8&amp;"!"&amp;"Q47")</f>
        <v>High Correct</v>
      </c>
      <c r="P61" s="51" t="str" cm="1">
        <f t="array" aca="1" ref="P61" ca="1">INDIRECT("["&amp;datatable!$C$2&amp;"]"&amp;datatable!$B8&amp;"!"&amp;"Q48")</f>
        <v>High Correct</v>
      </c>
      <c r="Q61" s="51" t="str" cm="1">
        <f t="array" aca="1" ref="Q61" ca="1">INDIRECT("["&amp;datatable!$C$2&amp;"]"&amp;datatable!$B8&amp;"!"&amp;"Q49")</f>
        <v>High Maybe</v>
      </c>
      <c r="R61" s="51" t="str" cm="1">
        <f t="array" aca="1" ref="R61" ca="1">INDIRECT("["&amp;datatable!$C$2&amp;"]"&amp;datatable!$B8&amp;"!"&amp;"Q50")</f>
        <v>Low Maybe</v>
      </c>
      <c r="S61" s="51" t="str" cm="1">
        <f t="array" aca="1" ref="S61" ca="1">INDIRECT("["&amp;datatable!$C$2&amp;"]"&amp;datatable!$B8&amp;"!"&amp;"Q51")</f>
        <v>High Correct</v>
      </c>
      <c r="T61" s="51" t="str" cm="1">
        <f t="array" aca="1" ref="T61" ca="1">INDIRECT("["&amp;datatable!$C$2&amp;"]"&amp;datatable!$B8&amp;"!"&amp;"Q52")</f>
        <v>N/A</v>
      </c>
      <c r="U61" s="51" t="str" cm="1">
        <f t="array" aca="1" ref="U61" ca="1">INDIRECT("["&amp;datatable!$C$2&amp;"]"&amp;datatable!$B8&amp;"!"&amp;"Q53")</f>
        <v>Medium Correct</v>
      </c>
      <c r="V61" s="51" t="str" cm="1">
        <f t="array" aca="1" ref="V61" ca="1">INDIRECT("["&amp;datatable!$C$2&amp;"]"&amp;datatable!$B8&amp;"!"&amp;"Q54")</f>
        <v>High Incorrect</v>
      </c>
      <c r="W61" s="51" t="str" cm="1">
        <f t="array" aca="1" ref="W61" ca="1">INDIRECT("["&amp;datatable!$C$2&amp;"]"&amp;datatable!$B8&amp;"!"&amp;"Q55")</f>
        <v>Medium Maybe</v>
      </c>
      <c r="X61" s="51" t="str" cm="1">
        <f t="array" aca="1" ref="X61" ca="1">INDIRECT("["&amp;datatable!$C$2&amp;"]"&amp;datatable!$B8&amp;"!"&amp;"Q56")</f>
        <v>N/A</v>
      </c>
      <c r="Y61" s="50"/>
    </row>
    <row r="62" spans="3:25">
      <c r="C62" s="30" t="s">
        <v>44</v>
      </c>
      <c r="D62" s="51" t="str" cm="1">
        <f t="array" aca="1" ref="D62" ca="1">INDIRECT("["&amp;datatable!$C$2&amp;"]"&amp;datatable!$B9&amp;"!"&amp;"Q2")</f>
        <v>High Correct</v>
      </c>
      <c r="E62" s="51" t="str" cm="1">
        <f t="array" aca="1" ref="E62" ca="1">INDIRECT("["&amp;datatable!$C$2&amp;"]"&amp;datatable!$B9&amp;"!"&amp;"Q3")</f>
        <v>Low Incorrect</v>
      </c>
      <c r="F62" s="51" t="str" cm="1">
        <f t="array" aca="1" ref="F62" ca="1">INDIRECT("["&amp;datatable!$C$2&amp;"]"&amp;datatable!$B9&amp;"!"&amp;"Q4")</f>
        <v>High Incorrect</v>
      </c>
      <c r="G62" s="51" t="str" cm="1">
        <f t="array" aca="1" ref="G62" ca="1">INDIRECT("["&amp;datatable!$C$2&amp;"]"&amp;datatable!$B9&amp;"!"&amp;"Q5")</f>
        <v>Medium Correct</v>
      </c>
      <c r="H62" s="51" t="str" cm="1">
        <f t="array" aca="1" ref="H62" ca="1">INDIRECT("["&amp;datatable!$C$2&amp;"]"&amp;datatable!$B9&amp;"!"&amp;"Q6")</f>
        <v>Medium Correct</v>
      </c>
      <c r="I62" s="51" t="str" cm="1">
        <f t="array" aca="1" ref="I62" ca="1">INDIRECT("["&amp;datatable!$C$2&amp;"]"&amp;datatable!$B9&amp;"!"&amp;"Q7")</f>
        <v>High Correct</v>
      </c>
      <c r="J62" s="51" t="str" cm="1">
        <f t="array" aca="1" ref="J62" ca="1">INDIRECT("["&amp;datatable!$C$2&amp;"]"&amp;datatable!$B9&amp;"!"&amp;"Q8")</f>
        <v>High Correct</v>
      </c>
      <c r="K62" s="51" t="str" cm="1">
        <f t="array" aca="1" ref="K62" ca="1">INDIRECT("["&amp;datatable!$C$2&amp;"]"&amp;datatable!$B9&amp;"!"&amp;"Q9")</f>
        <v>High Correct</v>
      </c>
      <c r="L62" s="51" t="str" cm="1">
        <f t="array" aca="1" ref="L62" ca="1">INDIRECT("["&amp;datatable!$C$2&amp;"]"&amp;datatable!$B9&amp;"!"&amp;"Q10")</f>
        <v>High Correct</v>
      </c>
      <c r="M62" s="51" t="str" cm="1">
        <f t="array" aca="1" ref="M62" ca="1">INDIRECT("["&amp;datatable!$C$2&amp;"]"&amp;datatable!$B9&amp;"!"&amp;"Q11")</f>
        <v>High Correct</v>
      </c>
      <c r="N62" s="51" t="str" cm="1">
        <f t="array" aca="1" ref="N62" ca="1">INDIRECT("["&amp;datatable!$C$2&amp;"]"&amp;datatable!$B9&amp;"!"&amp;"Q46")</f>
        <v>High Correct</v>
      </c>
      <c r="O62" s="51" t="str" cm="1">
        <f t="array" aca="1" ref="O62" ca="1">INDIRECT("["&amp;datatable!$C$2&amp;"]"&amp;datatable!$B9&amp;"!"&amp;"Q47")</f>
        <v>Medium Correct</v>
      </c>
      <c r="P62" s="51" t="str" cm="1">
        <f t="array" aca="1" ref="P62" ca="1">INDIRECT("["&amp;datatable!$C$2&amp;"]"&amp;datatable!$B9&amp;"!"&amp;"Q48")</f>
        <v>High Correct</v>
      </c>
      <c r="Q62" s="51" t="str" cm="1">
        <f t="array" aca="1" ref="Q62" ca="1">INDIRECT("["&amp;datatable!$C$2&amp;"]"&amp;datatable!$B9&amp;"!"&amp;"Q49")</f>
        <v>Medium Maybe</v>
      </c>
      <c r="R62" s="51" t="str" cm="1">
        <f t="array" aca="1" ref="R62" ca="1">INDIRECT("["&amp;datatable!$C$2&amp;"]"&amp;datatable!$B9&amp;"!"&amp;"Q50")</f>
        <v>High Correct</v>
      </c>
      <c r="S62" s="51" t="str" cm="1">
        <f t="array" aca="1" ref="S62" ca="1">INDIRECT("["&amp;datatable!$C$2&amp;"]"&amp;datatable!$B9&amp;"!"&amp;"Q51")</f>
        <v>High Incorrect</v>
      </c>
      <c r="T62" s="51" t="str" cm="1">
        <f t="array" aca="1" ref="T62" ca="1">INDIRECT("["&amp;datatable!$C$2&amp;"]"&amp;datatable!$B9&amp;"!"&amp;"Q52")</f>
        <v>Low Incorrect</v>
      </c>
      <c r="U62" s="51" t="str" cm="1">
        <f t="array" aca="1" ref="U62" ca="1">INDIRECT("["&amp;datatable!$C$2&amp;"]"&amp;datatable!$B9&amp;"!"&amp;"Q53")</f>
        <v>Medium Correct</v>
      </c>
      <c r="V62" s="51" t="str" cm="1">
        <f t="array" aca="1" ref="V62" ca="1">INDIRECT("["&amp;datatable!$C$2&amp;"]"&amp;datatable!$B9&amp;"!"&amp;"Q54")</f>
        <v>High Correct</v>
      </c>
      <c r="W62" s="51" t="str" cm="1">
        <f t="array" aca="1" ref="W62" ca="1">INDIRECT("["&amp;datatable!$C$2&amp;"]"&amp;datatable!$B9&amp;"!"&amp;"Q55")</f>
        <v>Medium Correct</v>
      </c>
      <c r="X62" s="51" t="str" cm="1">
        <f t="array" aca="1" ref="X62" ca="1">INDIRECT("["&amp;datatable!$C$2&amp;"]"&amp;datatable!$B9&amp;"!"&amp;"Q56")</f>
        <v>N/A</v>
      </c>
      <c r="Y62" s="50"/>
    </row>
    <row r="63" spans="3:25">
      <c r="C63" s="30" t="s">
        <v>45</v>
      </c>
      <c r="D63" s="51" t="str" cm="1">
        <f t="array" aca="1" ref="D63" ca="1">INDIRECT("["&amp;datatable!$C$2&amp;"]"&amp;datatable!$B10&amp;"!"&amp;"Q2")</f>
        <v>High Correct</v>
      </c>
      <c r="E63" s="51" t="str" cm="1">
        <f t="array" aca="1" ref="E63" ca="1">INDIRECT("["&amp;datatable!$C$2&amp;"]"&amp;datatable!$B10&amp;"!"&amp;"Q3")</f>
        <v>Medium Incorrect</v>
      </c>
      <c r="F63" s="51" t="str" cm="1">
        <f t="array" aca="1" ref="F63" ca="1">INDIRECT("["&amp;datatable!$C$2&amp;"]"&amp;datatable!$B10&amp;"!"&amp;"Q4")</f>
        <v>Low Maybe</v>
      </c>
      <c r="G63" s="51" t="str" cm="1">
        <f t="array" aca="1" ref="G63" ca="1">INDIRECT("["&amp;datatable!$C$2&amp;"]"&amp;datatable!$B10&amp;"!"&amp;"Q5")</f>
        <v>High Correct</v>
      </c>
      <c r="H63" s="51" t="str" cm="1">
        <f t="array" aca="1" ref="H63" ca="1">INDIRECT("["&amp;datatable!$C$2&amp;"]"&amp;datatable!$B10&amp;"!"&amp;"Q6")</f>
        <v>N/A</v>
      </c>
      <c r="I63" s="51" t="str" cm="1">
        <f t="array" aca="1" ref="I63" ca="1">INDIRECT("["&amp;datatable!$C$2&amp;"]"&amp;datatable!$B10&amp;"!"&amp;"Q7")</f>
        <v>Medium Incorrect</v>
      </c>
      <c r="J63" s="51" t="str" cm="1">
        <f t="array" aca="1" ref="J63" ca="1">INDIRECT("["&amp;datatable!$C$2&amp;"]"&amp;datatable!$B10&amp;"!"&amp;"Q8")</f>
        <v>Medium Maybe</v>
      </c>
      <c r="K63" s="51" t="str" cm="1">
        <f t="array" aca="1" ref="K63" ca="1">INDIRECT("["&amp;datatable!$C$2&amp;"]"&amp;datatable!$B10&amp;"!"&amp;"Q9")</f>
        <v>Medium Incorrect</v>
      </c>
      <c r="L63" s="51" t="str" cm="1">
        <f t="array" aca="1" ref="L63" ca="1">INDIRECT("["&amp;datatable!$C$2&amp;"]"&amp;datatable!$B10&amp;"!"&amp;"Q10")</f>
        <v>High Correct</v>
      </c>
      <c r="M63" s="51" t="str" cm="1">
        <f t="array" aca="1" ref="M63" ca="1">INDIRECT("["&amp;datatable!$C$2&amp;"]"&amp;datatable!$B10&amp;"!"&amp;"Q11")</f>
        <v>High Correct</v>
      </c>
      <c r="N63" s="51" t="str" cm="1">
        <f t="array" aca="1" ref="N63" ca="1">INDIRECT("["&amp;datatable!$C$2&amp;"]"&amp;datatable!$B10&amp;"!"&amp;"Q46")</f>
        <v>Medium Correct</v>
      </c>
      <c r="O63" s="51" t="str" cm="1">
        <f t="array" aca="1" ref="O63" ca="1">INDIRECT("["&amp;datatable!$C$2&amp;"]"&amp;datatable!$B10&amp;"!"&amp;"Q47")</f>
        <v>N/A</v>
      </c>
      <c r="P63" s="51" t="str" cm="1">
        <f t="array" aca="1" ref="P63" ca="1">INDIRECT("["&amp;datatable!$C$2&amp;"]"&amp;datatable!$B10&amp;"!"&amp;"Q48")</f>
        <v>High Correct</v>
      </c>
      <c r="Q63" s="51" t="str" cm="1">
        <f t="array" aca="1" ref="Q63" ca="1">INDIRECT("["&amp;datatable!$C$2&amp;"]"&amp;datatable!$B10&amp;"!"&amp;"Q49")</f>
        <v>High Incorrect</v>
      </c>
      <c r="R63" s="51" t="str" cm="1">
        <f t="array" aca="1" ref="R63" ca="1">INDIRECT("["&amp;datatable!$C$2&amp;"]"&amp;datatable!$B10&amp;"!"&amp;"Q50")</f>
        <v>Medium Correct</v>
      </c>
      <c r="S63" s="51" t="str" cm="1">
        <f t="array" aca="1" ref="S63" ca="1">INDIRECT("["&amp;datatable!$C$2&amp;"]"&amp;datatable!$B10&amp;"!"&amp;"Q51")</f>
        <v>High Correct</v>
      </c>
      <c r="T63" s="51" t="str" cm="1">
        <f t="array" aca="1" ref="T63" ca="1">INDIRECT("["&amp;datatable!$C$2&amp;"]"&amp;datatable!$B10&amp;"!"&amp;"Q52")</f>
        <v>N/A</v>
      </c>
      <c r="U63" s="51" t="str" cm="1">
        <f t="array" aca="1" ref="U63" ca="1">INDIRECT("["&amp;datatable!$C$2&amp;"]"&amp;datatable!$B10&amp;"!"&amp;"Q53")</f>
        <v>High Incorrect</v>
      </c>
      <c r="V63" s="51" t="str" cm="1">
        <f t="array" aca="1" ref="V63" ca="1">INDIRECT("["&amp;datatable!$C$2&amp;"]"&amp;datatable!$B10&amp;"!"&amp;"Q54")</f>
        <v>High Correct</v>
      </c>
      <c r="W63" s="51" t="str" cm="1">
        <f t="array" aca="1" ref="W63" ca="1">INDIRECT("["&amp;datatable!$C$2&amp;"]"&amp;datatable!$B10&amp;"!"&amp;"Q55")</f>
        <v>High Correct</v>
      </c>
      <c r="X63" s="51" t="str" cm="1">
        <f t="array" aca="1" ref="X63" ca="1">INDIRECT("["&amp;datatable!$C$2&amp;"]"&amp;datatable!$B10&amp;"!"&amp;"Q56")</f>
        <v>High Incorrect</v>
      </c>
      <c r="Y63" s="50"/>
    </row>
    <row r="64" spans="3:25">
      <c r="C64" s="30" t="s">
        <v>46</v>
      </c>
      <c r="D64" s="51" t="str" cm="1">
        <f t="array" aca="1" ref="D64" ca="1">INDIRECT("["&amp;datatable!$C$2&amp;"]"&amp;datatable!$B11&amp;"!"&amp;"Q2")</f>
        <v>High Correct</v>
      </c>
      <c r="E64" s="51" t="str" cm="1">
        <f t="array" aca="1" ref="E64" ca="1">INDIRECT("["&amp;datatable!$C$2&amp;"]"&amp;datatable!$B11&amp;"!"&amp;"Q3")</f>
        <v>Low Incorrect</v>
      </c>
      <c r="F64" s="51" t="str" cm="1">
        <f t="array" aca="1" ref="F64" ca="1">INDIRECT("["&amp;datatable!$C$2&amp;"]"&amp;datatable!$B11&amp;"!"&amp;"Q4")</f>
        <v>High Correct</v>
      </c>
      <c r="G64" s="51" t="str" cm="1">
        <f t="array" aca="1" ref="G64" ca="1">INDIRECT("["&amp;datatable!$C$2&amp;"]"&amp;datatable!$B11&amp;"!"&amp;"Q5")</f>
        <v>High Correct</v>
      </c>
      <c r="H64" s="51" t="str" cm="1">
        <f t="array" aca="1" ref="H64" ca="1">INDIRECT("["&amp;datatable!$C$2&amp;"]"&amp;datatable!$B11&amp;"!"&amp;"Q6")</f>
        <v>Medium Correct</v>
      </c>
      <c r="I64" s="51" t="str" cm="1">
        <f t="array" aca="1" ref="I64" ca="1">INDIRECT("["&amp;datatable!$C$2&amp;"]"&amp;datatable!$B11&amp;"!"&amp;"Q7")</f>
        <v>Medium Maybe</v>
      </c>
      <c r="J64" s="51" t="str" cm="1">
        <f t="array" aca="1" ref="J64" ca="1">INDIRECT("["&amp;datatable!$C$2&amp;"]"&amp;datatable!$B11&amp;"!"&amp;"Q8")</f>
        <v>High Maybe</v>
      </c>
      <c r="K64" s="51" t="str" cm="1">
        <f t="array" aca="1" ref="K64" ca="1">INDIRECT("["&amp;datatable!$C$2&amp;"]"&amp;datatable!$B11&amp;"!"&amp;"Q9")</f>
        <v>High Correct</v>
      </c>
      <c r="L64" s="51" t="str" cm="1">
        <f t="array" aca="1" ref="L64" ca="1">INDIRECT("["&amp;datatable!$C$2&amp;"]"&amp;datatable!$B11&amp;"!"&amp;"Q10")</f>
        <v>High Correct</v>
      </c>
      <c r="M64" s="51" t="str" cm="1">
        <f t="array" aca="1" ref="M64" ca="1">INDIRECT("["&amp;datatable!$C$2&amp;"]"&amp;datatable!$B11&amp;"!"&amp;"Q11")</f>
        <v>High Correct</v>
      </c>
      <c r="N64" s="51" t="str" cm="1">
        <f t="array" aca="1" ref="N64" ca="1">INDIRECT("["&amp;datatable!$C$2&amp;"]"&amp;datatable!$B11&amp;"!"&amp;"Q46")</f>
        <v>High Correct</v>
      </c>
      <c r="O64" s="51" t="str" cm="1">
        <f t="array" aca="1" ref="O64" ca="1">INDIRECT("["&amp;datatable!$C$2&amp;"]"&amp;datatable!$B11&amp;"!"&amp;"Q47")</f>
        <v>High Correct</v>
      </c>
      <c r="P64" s="51" t="str" cm="1">
        <f t="array" aca="1" ref="P64" ca="1">INDIRECT("["&amp;datatable!$C$2&amp;"]"&amp;datatable!$B11&amp;"!"&amp;"Q48")</f>
        <v>High Correct</v>
      </c>
      <c r="Q64" s="51" t="str" cm="1">
        <f t="array" aca="1" ref="Q64" ca="1">INDIRECT("["&amp;datatable!$C$2&amp;"]"&amp;datatable!$B11&amp;"!"&amp;"Q49")</f>
        <v>High Correct</v>
      </c>
      <c r="R64" s="51" t="str" cm="1">
        <f t="array" aca="1" ref="R64" ca="1">INDIRECT("["&amp;datatable!$C$2&amp;"]"&amp;datatable!$B11&amp;"!"&amp;"Q50")</f>
        <v>High Correct</v>
      </c>
      <c r="S64" s="51" t="str" cm="1">
        <f t="array" aca="1" ref="S64" ca="1">INDIRECT("["&amp;datatable!$C$2&amp;"]"&amp;datatable!$B11&amp;"!"&amp;"Q51")</f>
        <v>High Correct</v>
      </c>
      <c r="T64" s="51" t="str" cm="1">
        <f t="array" aca="1" ref="T64" ca="1">INDIRECT("["&amp;datatable!$C$2&amp;"]"&amp;datatable!$B11&amp;"!"&amp;"Q52")</f>
        <v>Medium Correct</v>
      </c>
      <c r="U64" s="51" t="str" cm="1">
        <f t="array" aca="1" ref="U64" ca="1">INDIRECT("["&amp;datatable!$C$2&amp;"]"&amp;datatable!$B11&amp;"!"&amp;"Q53")</f>
        <v>Medium Correct</v>
      </c>
      <c r="V64" s="51" t="str" cm="1">
        <f t="array" aca="1" ref="V64" ca="1">INDIRECT("["&amp;datatable!$C$2&amp;"]"&amp;datatable!$B11&amp;"!"&amp;"Q54")</f>
        <v>High Correct</v>
      </c>
      <c r="W64" s="51" t="str" cm="1">
        <f t="array" aca="1" ref="W64" ca="1">INDIRECT("["&amp;datatable!$C$2&amp;"]"&amp;datatable!$B11&amp;"!"&amp;"Q55")</f>
        <v>Medium Maybe</v>
      </c>
      <c r="X64" s="51" t="str" cm="1">
        <f t="array" aca="1" ref="X64" ca="1">INDIRECT("["&amp;datatable!$C$2&amp;"]"&amp;datatable!$B11&amp;"!"&amp;"Q56")</f>
        <v>High Incorrect</v>
      </c>
      <c r="Y64" s="50"/>
    </row>
    <row r="65" spans="3:25">
      <c r="C65" s="30" t="s">
        <v>47</v>
      </c>
      <c r="D65" s="51" t="str" cm="1">
        <f t="array" aca="1" ref="D65" ca="1">INDIRECT("["&amp;datatable!$C$2&amp;"]"&amp;datatable!$B12&amp;"!"&amp;"Q2")</f>
        <v>High Correct</v>
      </c>
      <c r="E65" s="51" t="str" cm="1">
        <f t="array" aca="1" ref="E65" ca="1">INDIRECT("["&amp;datatable!$C$2&amp;"]"&amp;datatable!$B12&amp;"!"&amp;"Q3")</f>
        <v>High Incorrect</v>
      </c>
      <c r="F65" s="51" t="str" cm="1">
        <f t="array" aca="1" ref="F65" ca="1">INDIRECT("["&amp;datatable!$C$2&amp;"]"&amp;datatable!$B12&amp;"!"&amp;"Q4")</f>
        <v>Low Incorrect</v>
      </c>
      <c r="G65" s="51" t="str" cm="1">
        <f t="array" aca="1" ref="G65" ca="1">INDIRECT("["&amp;datatable!$C$2&amp;"]"&amp;datatable!$B12&amp;"!"&amp;"Q5")</f>
        <v>Medium Maybe</v>
      </c>
      <c r="H65" s="51" t="str" cm="1">
        <f t="array" aca="1" ref="H65" ca="1">INDIRECT("["&amp;datatable!$C$2&amp;"]"&amp;datatable!$B12&amp;"!"&amp;"Q6")</f>
        <v>High Correct</v>
      </c>
      <c r="I65" s="51" t="str" cm="1">
        <f t="array" aca="1" ref="I65" ca="1">INDIRECT("["&amp;datatable!$C$2&amp;"]"&amp;datatable!$B12&amp;"!"&amp;"Q7")</f>
        <v>High Correct</v>
      </c>
      <c r="J65" s="51" t="str" cm="1">
        <f t="array" aca="1" ref="J65" ca="1">INDIRECT("["&amp;datatable!$C$2&amp;"]"&amp;datatable!$B12&amp;"!"&amp;"Q8")</f>
        <v>Medium Incorrect</v>
      </c>
      <c r="K65" s="51" t="str" cm="1">
        <f t="array" aca="1" ref="K65" ca="1">INDIRECT("["&amp;datatable!$C$2&amp;"]"&amp;datatable!$B12&amp;"!"&amp;"Q9")</f>
        <v>High Correct</v>
      </c>
      <c r="L65" s="51" t="str" cm="1">
        <f t="array" aca="1" ref="L65" ca="1">INDIRECT("["&amp;datatable!$C$2&amp;"]"&amp;datatable!$B12&amp;"!"&amp;"Q10")</f>
        <v>High Correct</v>
      </c>
      <c r="M65" s="51" t="str" cm="1">
        <f t="array" aca="1" ref="M65" ca="1">INDIRECT("["&amp;datatable!$C$2&amp;"]"&amp;datatable!$B12&amp;"!"&amp;"Q11")</f>
        <v>High Correct</v>
      </c>
      <c r="N65" s="51" t="str" cm="1">
        <f t="array" aca="1" ref="N65" ca="1">INDIRECT("["&amp;datatable!$C$2&amp;"]"&amp;datatable!$B12&amp;"!"&amp;"Q46")</f>
        <v>High Correct</v>
      </c>
      <c r="O65" s="51" t="str" cm="1">
        <f t="array" aca="1" ref="O65" ca="1">INDIRECT("["&amp;datatable!$C$2&amp;"]"&amp;datatable!$B12&amp;"!"&amp;"Q47")</f>
        <v>Medium Correct</v>
      </c>
      <c r="P65" s="51" t="str" cm="1">
        <f t="array" aca="1" ref="P65" ca="1">INDIRECT("["&amp;datatable!$C$2&amp;"]"&amp;datatable!$B12&amp;"!"&amp;"Q48")</f>
        <v>High Correct</v>
      </c>
      <c r="Q65" s="51" t="str" cm="1">
        <f t="array" aca="1" ref="Q65" ca="1">INDIRECT("["&amp;datatable!$C$2&amp;"]"&amp;datatable!$B12&amp;"!"&amp;"Q49")</f>
        <v>Medium Incorrect</v>
      </c>
      <c r="R65" s="51" t="str" cm="1">
        <f t="array" aca="1" ref="R65" ca="1">INDIRECT("["&amp;datatable!$C$2&amp;"]"&amp;datatable!$B12&amp;"!"&amp;"Q50")</f>
        <v>High Correct</v>
      </c>
      <c r="S65" s="51" t="str" cm="1">
        <f t="array" aca="1" ref="S65" ca="1">INDIRECT("["&amp;datatable!$C$2&amp;"]"&amp;datatable!$B12&amp;"!"&amp;"Q51")</f>
        <v>High Correct</v>
      </c>
      <c r="T65" s="51" t="str" cm="1">
        <f t="array" aca="1" ref="T65" ca="1">INDIRECT("["&amp;datatable!$C$2&amp;"]"&amp;datatable!$B12&amp;"!"&amp;"Q52")</f>
        <v>Medium Correct</v>
      </c>
      <c r="U65" s="51" t="str" cm="1">
        <f t="array" aca="1" ref="U65" ca="1">INDIRECT("["&amp;datatable!$C$2&amp;"]"&amp;datatable!$B12&amp;"!"&amp;"Q53")</f>
        <v>Medium Correct</v>
      </c>
      <c r="V65" s="51" t="str" cm="1">
        <f t="array" aca="1" ref="V65" ca="1">INDIRECT("["&amp;datatable!$C$2&amp;"]"&amp;datatable!$B12&amp;"!"&amp;"Q54")</f>
        <v>Medium Correct</v>
      </c>
      <c r="W65" s="51" t="str" cm="1">
        <f t="array" aca="1" ref="W65" ca="1">INDIRECT("["&amp;datatable!$C$2&amp;"]"&amp;datatable!$B12&amp;"!"&amp;"Q55")</f>
        <v>High Maybe</v>
      </c>
      <c r="X65" s="51" t="str" cm="1">
        <f t="array" aca="1" ref="X65" ca="1">INDIRECT("["&amp;datatable!$C$2&amp;"]"&amp;datatable!$B12&amp;"!"&amp;"Q56")</f>
        <v>Low Correct</v>
      </c>
      <c r="Y65" s="50"/>
    </row>
    <row r="66" spans="3:25">
      <c r="C66" s="30" t="s">
        <v>48</v>
      </c>
      <c r="D66" s="51" t="str" cm="1">
        <f t="array" aca="1" ref="D66" ca="1">INDIRECT("["&amp;datatable!$C$2&amp;"]"&amp;datatable!$B13&amp;"!"&amp;"Q2")</f>
        <v>High Correct</v>
      </c>
      <c r="E66" s="51" t="str" cm="1">
        <f t="array" aca="1" ref="E66" ca="1">INDIRECT("["&amp;datatable!$C$2&amp;"]"&amp;datatable!$B13&amp;"!"&amp;"Q3")</f>
        <v>High Correct</v>
      </c>
      <c r="F66" s="51" t="str" cm="1">
        <f t="array" aca="1" ref="F66" ca="1">INDIRECT("["&amp;datatable!$C$2&amp;"]"&amp;datatable!$B13&amp;"!"&amp;"Q4")</f>
        <v>High Correct</v>
      </c>
      <c r="G66" s="51" t="str" cm="1">
        <f t="array" aca="1" ref="G66" ca="1">INDIRECT("["&amp;datatable!$C$2&amp;"]"&amp;datatable!$B13&amp;"!"&amp;"Q5")</f>
        <v>High Correct</v>
      </c>
      <c r="H66" s="51" t="str" cm="1">
        <f t="array" aca="1" ref="H66" ca="1">INDIRECT("["&amp;datatable!$C$2&amp;"]"&amp;datatable!$B13&amp;"!"&amp;"Q6")</f>
        <v>High Correct</v>
      </c>
      <c r="I66" s="51" t="str" cm="1">
        <f t="array" aca="1" ref="I66" ca="1">INDIRECT("["&amp;datatable!$C$2&amp;"]"&amp;datatable!$B13&amp;"!"&amp;"Q7")</f>
        <v>High Correct</v>
      </c>
      <c r="J66" s="51" t="str" cm="1">
        <f t="array" aca="1" ref="J66" ca="1">INDIRECT("["&amp;datatable!$C$2&amp;"]"&amp;datatable!$B13&amp;"!"&amp;"Q8")</f>
        <v>Medium Incorrect</v>
      </c>
      <c r="K66" s="51" t="str" cm="1">
        <f t="array" aca="1" ref="K66" ca="1">INDIRECT("["&amp;datatable!$C$2&amp;"]"&amp;datatable!$B13&amp;"!"&amp;"Q9")</f>
        <v>Medium Maybe</v>
      </c>
      <c r="L66" s="51" t="str" cm="1">
        <f t="array" aca="1" ref="L66" ca="1">INDIRECT("["&amp;datatable!$C$2&amp;"]"&amp;datatable!$B13&amp;"!"&amp;"Q10")</f>
        <v>High Maybe</v>
      </c>
      <c r="M66" s="51" t="str" cm="1">
        <f t="array" aca="1" ref="M66" ca="1">INDIRECT("["&amp;datatable!$C$2&amp;"]"&amp;datatable!$B13&amp;"!"&amp;"Q11")</f>
        <v>High Correct</v>
      </c>
      <c r="N66" s="51" t="str" cm="1">
        <f t="array" aca="1" ref="N66" ca="1">INDIRECT("["&amp;datatable!$C$2&amp;"]"&amp;datatable!$B13&amp;"!"&amp;"Q46")</f>
        <v>High Correct</v>
      </c>
      <c r="O66" s="51" t="str" cm="1">
        <f t="array" aca="1" ref="O66" ca="1">INDIRECT("["&amp;datatable!$C$2&amp;"]"&amp;datatable!$B13&amp;"!"&amp;"Q47")</f>
        <v>High Correct</v>
      </c>
      <c r="P66" s="51" t="str" cm="1">
        <f t="array" aca="1" ref="P66" ca="1">INDIRECT("["&amp;datatable!$C$2&amp;"]"&amp;datatable!$B13&amp;"!"&amp;"Q48")</f>
        <v>High Correct</v>
      </c>
      <c r="Q66" s="51" t="str" cm="1">
        <f t="array" aca="1" ref="Q66" ca="1">INDIRECT("["&amp;datatable!$C$2&amp;"]"&amp;datatable!$B13&amp;"!"&amp;"Q49")</f>
        <v>Low Incorrect</v>
      </c>
      <c r="R66" s="51" t="str" cm="1">
        <f t="array" aca="1" ref="R66" ca="1">INDIRECT("["&amp;datatable!$C$2&amp;"]"&amp;datatable!$B13&amp;"!"&amp;"Q50")</f>
        <v>High Correct</v>
      </c>
      <c r="S66" s="51" t="str" cm="1">
        <f t="array" aca="1" ref="S66" ca="1">INDIRECT("["&amp;datatable!$C$2&amp;"]"&amp;datatable!$B13&amp;"!"&amp;"Q51")</f>
        <v>High Correct</v>
      </c>
      <c r="T66" s="51" t="str" cm="1">
        <f t="array" aca="1" ref="T66" ca="1">INDIRECT("["&amp;datatable!$C$2&amp;"]"&amp;datatable!$B13&amp;"!"&amp;"Q52")</f>
        <v>Medium Correct</v>
      </c>
      <c r="U66" s="51" t="str" cm="1">
        <f t="array" aca="1" ref="U66" ca="1">INDIRECT("["&amp;datatable!$C$2&amp;"]"&amp;datatable!$B13&amp;"!"&amp;"Q53")</f>
        <v>Low Correct</v>
      </c>
      <c r="V66" s="51" t="str" cm="1">
        <f t="array" aca="1" ref="V66" ca="1">INDIRECT("["&amp;datatable!$C$2&amp;"]"&amp;datatable!$B13&amp;"!"&amp;"Q54")</f>
        <v>High Correct</v>
      </c>
      <c r="W66" s="51" t="str" cm="1">
        <f t="array" aca="1" ref="W66" ca="1">INDIRECT("["&amp;datatable!$C$2&amp;"]"&amp;datatable!$B13&amp;"!"&amp;"Q55")</f>
        <v>High Maybe</v>
      </c>
      <c r="X66" s="51" t="str" cm="1">
        <f t="array" aca="1" ref="X66" ca="1">INDIRECT("["&amp;datatable!$C$2&amp;"]"&amp;datatable!$B13&amp;"!"&amp;"Q56")</f>
        <v>High Incorrect</v>
      </c>
      <c r="Y66" s="50"/>
    </row>
    <row r="67" spans="3:25">
      <c r="C67" s="30" t="s">
        <v>49</v>
      </c>
      <c r="D67" s="51" t="str" cm="1">
        <f t="array" aca="1" ref="D67" ca="1">INDIRECT("["&amp;datatable!$C$2&amp;"]"&amp;datatable!$B14&amp;"!"&amp;"Q2")</f>
        <v>Medium Correct</v>
      </c>
      <c r="E67" s="51" t="str" cm="1">
        <f t="array" aca="1" ref="E67" ca="1">INDIRECT("["&amp;datatable!$C$2&amp;"]"&amp;datatable!$B14&amp;"!"&amp;"Q3")</f>
        <v>High Incorrect</v>
      </c>
      <c r="F67" s="51" t="str" cm="1">
        <f t="array" aca="1" ref="F67" ca="1">INDIRECT("["&amp;datatable!$C$2&amp;"]"&amp;datatable!$B14&amp;"!"&amp;"Q4")</f>
        <v>Medium Maybe</v>
      </c>
      <c r="G67" s="51" t="str" cm="1">
        <f t="array" aca="1" ref="G67" ca="1">INDIRECT("["&amp;datatable!$C$2&amp;"]"&amp;datatable!$B14&amp;"!"&amp;"Q5")</f>
        <v>High Correct</v>
      </c>
      <c r="H67" s="51" t="str" cm="1">
        <f t="array" aca="1" ref="H67" ca="1">INDIRECT("["&amp;datatable!$C$2&amp;"]"&amp;datatable!$B14&amp;"!"&amp;"Q6")</f>
        <v>Low Correct</v>
      </c>
      <c r="I67" s="51" t="str" cm="1">
        <f t="array" aca="1" ref="I67" ca="1">INDIRECT("["&amp;datatable!$C$2&amp;"]"&amp;datatable!$B14&amp;"!"&amp;"Q7")</f>
        <v>High Incorrect</v>
      </c>
      <c r="J67" s="51" t="str" cm="1">
        <f t="array" aca="1" ref="J67" ca="1">INDIRECT("["&amp;datatable!$C$2&amp;"]"&amp;datatable!$B14&amp;"!"&amp;"Q8")</f>
        <v>High Maybe</v>
      </c>
      <c r="K67" s="51" t="str" cm="1">
        <f t="array" aca="1" ref="K67" ca="1">INDIRECT("["&amp;datatable!$C$2&amp;"]"&amp;datatable!$B14&amp;"!"&amp;"Q9")</f>
        <v>N/A</v>
      </c>
      <c r="L67" s="51" t="str" cm="1">
        <f t="array" aca="1" ref="L67" ca="1">INDIRECT("["&amp;datatable!$C$2&amp;"]"&amp;datatable!$B14&amp;"!"&amp;"Q10")</f>
        <v>N/A</v>
      </c>
      <c r="M67" s="51" t="str" cm="1">
        <f t="array" aca="1" ref="M67" ca="1">INDIRECT("["&amp;datatable!$C$2&amp;"]"&amp;datatable!$B14&amp;"!"&amp;"Q11")</f>
        <v>High Correct</v>
      </c>
      <c r="N67" s="51" t="str" cm="1">
        <f t="array" aca="1" ref="N67" ca="1">INDIRECT("["&amp;datatable!$C$2&amp;"]"&amp;datatable!$B14&amp;"!"&amp;"Q46")</f>
        <v>High Correct</v>
      </c>
      <c r="O67" s="51" t="str" cm="1">
        <f t="array" aca="1" ref="O67" ca="1">INDIRECT("["&amp;datatable!$C$2&amp;"]"&amp;datatable!$B14&amp;"!"&amp;"Q47")</f>
        <v>Medium Maybe</v>
      </c>
      <c r="P67" s="51" t="str" cm="1">
        <f t="array" aca="1" ref="P67" ca="1">INDIRECT("["&amp;datatable!$C$2&amp;"]"&amp;datatable!$B14&amp;"!"&amp;"Q48")</f>
        <v>High Correct</v>
      </c>
      <c r="Q67" s="51" t="str" cm="1">
        <f t="array" aca="1" ref="Q67" ca="1">INDIRECT("["&amp;datatable!$C$2&amp;"]"&amp;datatable!$B14&amp;"!"&amp;"Q49")</f>
        <v>High Incorrect</v>
      </c>
      <c r="R67" s="51" t="str" cm="1">
        <f t="array" aca="1" ref="R67" ca="1">INDIRECT("["&amp;datatable!$C$2&amp;"]"&amp;datatable!$B14&amp;"!"&amp;"Q50")</f>
        <v>High Correct</v>
      </c>
      <c r="S67" s="51" t="str" cm="1">
        <f t="array" aca="1" ref="S67" ca="1">INDIRECT("["&amp;datatable!$C$2&amp;"]"&amp;datatable!$B14&amp;"!"&amp;"Q51")</f>
        <v>Medium Incorrect</v>
      </c>
      <c r="T67" s="51" t="str" cm="1">
        <f t="array" aca="1" ref="T67" ca="1">INDIRECT("["&amp;datatable!$C$2&amp;"]"&amp;datatable!$B14&amp;"!"&amp;"Q52")</f>
        <v>Low Incorrect</v>
      </c>
      <c r="U67" s="51" t="str" cm="1">
        <f t="array" aca="1" ref="U67" ca="1">INDIRECT("["&amp;datatable!$C$2&amp;"]"&amp;datatable!$B14&amp;"!"&amp;"Q53")</f>
        <v>Medium Correct</v>
      </c>
      <c r="V67" s="51" t="str" cm="1">
        <f t="array" aca="1" ref="V67" ca="1">INDIRECT("["&amp;datatable!$C$2&amp;"]"&amp;datatable!$B14&amp;"!"&amp;"Q54")</f>
        <v>High Incorrect</v>
      </c>
      <c r="W67" s="51" t="str" cm="1">
        <f t="array" aca="1" ref="W67" ca="1">INDIRECT("["&amp;datatable!$C$2&amp;"]"&amp;datatable!$B14&amp;"!"&amp;"Q55")</f>
        <v>High Maybe</v>
      </c>
      <c r="X67" s="51" t="str" cm="1">
        <f t="array" aca="1" ref="X67" ca="1">INDIRECT("["&amp;datatable!$C$2&amp;"]"&amp;datatable!$B14&amp;"!"&amp;"Q56")</f>
        <v>N/A</v>
      </c>
      <c r="Y67" s="50"/>
    </row>
    <row r="68" spans="3:25">
      <c r="C68" s="30" t="s">
        <v>50</v>
      </c>
      <c r="D68" s="51" t="str" cm="1">
        <f t="array" aca="1" ref="D68" ca="1">INDIRECT("["&amp;datatable!$C$2&amp;"]"&amp;datatable!$B15&amp;"!"&amp;"Q2")</f>
        <v>High Correct</v>
      </c>
      <c r="E68" s="51" t="str" cm="1">
        <f t="array" aca="1" ref="E68" ca="1">INDIRECT("["&amp;datatable!$C$2&amp;"]"&amp;datatable!$B15&amp;"!"&amp;"Q3")</f>
        <v>High Incorrect</v>
      </c>
      <c r="F68" s="51" t="str" cm="1">
        <f t="array" aca="1" ref="F68" ca="1">INDIRECT("["&amp;datatable!$C$2&amp;"]"&amp;datatable!$B15&amp;"!"&amp;"Q4")</f>
        <v>High Incorrect</v>
      </c>
      <c r="G68" s="51" t="str" cm="1">
        <f t="array" aca="1" ref="G68" ca="1">INDIRECT("["&amp;datatable!$C$2&amp;"]"&amp;datatable!$B15&amp;"!"&amp;"Q5")</f>
        <v>High Maybe</v>
      </c>
      <c r="H68" s="51" t="str" cm="1">
        <f t="array" aca="1" ref="H68" ca="1">INDIRECT("["&amp;datatable!$C$2&amp;"]"&amp;datatable!$B15&amp;"!"&amp;"Q6")</f>
        <v>High Incorrect</v>
      </c>
      <c r="I68" s="51" t="str" cm="1">
        <f t="array" aca="1" ref="I68" ca="1">INDIRECT("["&amp;datatable!$C$2&amp;"]"&amp;datatable!$B15&amp;"!"&amp;"Q7")</f>
        <v>Medium Incorrect</v>
      </c>
      <c r="J68" s="51" t="str" cm="1">
        <f t="array" aca="1" ref="J68" ca="1">INDIRECT("["&amp;datatable!$C$2&amp;"]"&amp;datatable!$B15&amp;"!"&amp;"Q8")</f>
        <v>High Maybe</v>
      </c>
      <c r="K68" s="51" t="str" cm="1">
        <f t="array" aca="1" ref="K68" ca="1">INDIRECT("["&amp;datatable!$C$2&amp;"]"&amp;datatable!$B15&amp;"!"&amp;"Q9")</f>
        <v>High Correct</v>
      </c>
      <c r="L68" s="51" t="str" cm="1">
        <f t="array" aca="1" ref="L68" ca="1">INDIRECT("["&amp;datatable!$C$2&amp;"]"&amp;datatable!$B15&amp;"!"&amp;"Q10")</f>
        <v>Low Maybe</v>
      </c>
      <c r="M68" s="51" t="str" cm="1">
        <f t="array" aca="1" ref="M68" ca="1">INDIRECT("["&amp;datatable!$C$2&amp;"]"&amp;datatable!$B15&amp;"!"&amp;"Q11")</f>
        <v>High Correct</v>
      </c>
      <c r="N68" s="51" t="str" cm="1">
        <f t="array" aca="1" ref="N68" ca="1">INDIRECT("["&amp;datatable!$C$2&amp;"]"&amp;datatable!$B15&amp;"!"&amp;"Q46")</f>
        <v>High Correct</v>
      </c>
      <c r="O68" s="51" t="str" cm="1">
        <f t="array" aca="1" ref="O68" ca="1">INDIRECT("["&amp;datatable!$C$2&amp;"]"&amp;datatable!$B15&amp;"!"&amp;"Q47")</f>
        <v>High Incorrect</v>
      </c>
      <c r="P68" s="51" t="str" cm="1">
        <f t="array" aca="1" ref="P68" ca="1">INDIRECT("["&amp;datatable!$C$2&amp;"]"&amp;datatable!$B15&amp;"!"&amp;"Q48")</f>
        <v>High Maybe</v>
      </c>
      <c r="Q68" s="51" t="str" cm="1">
        <f t="array" aca="1" ref="Q68" ca="1">INDIRECT("["&amp;datatable!$C$2&amp;"]"&amp;datatable!$B15&amp;"!"&amp;"Q49")</f>
        <v>Low Maybe</v>
      </c>
      <c r="R68" s="51" t="str" cm="1">
        <f t="array" aca="1" ref="R68" ca="1">INDIRECT("["&amp;datatable!$C$2&amp;"]"&amp;datatable!$B15&amp;"!"&amp;"Q50")</f>
        <v>High Correct</v>
      </c>
      <c r="S68" s="51" t="str" cm="1">
        <f t="array" aca="1" ref="S68" ca="1">INDIRECT("["&amp;datatable!$C$2&amp;"]"&amp;datatable!$B15&amp;"!"&amp;"Q51")</f>
        <v>High Correct</v>
      </c>
      <c r="T68" s="51" t="str" cm="1">
        <f t="array" aca="1" ref="T68" ca="1">INDIRECT("["&amp;datatable!$C$2&amp;"]"&amp;datatable!$B15&amp;"!"&amp;"Q52")</f>
        <v>Medium Correct</v>
      </c>
      <c r="U68" s="51" t="str" cm="1">
        <f t="array" aca="1" ref="U68" ca="1">INDIRECT("["&amp;datatable!$C$2&amp;"]"&amp;datatable!$B15&amp;"!"&amp;"Q53")</f>
        <v>Medium Correct</v>
      </c>
      <c r="V68" s="51" t="str" cm="1">
        <f t="array" aca="1" ref="V68" ca="1">INDIRECT("["&amp;datatable!$C$2&amp;"]"&amp;datatable!$B15&amp;"!"&amp;"Q54")</f>
        <v>High Correct</v>
      </c>
      <c r="W68" s="51" t="str" cm="1">
        <f t="array" aca="1" ref="W68" ca="1">INDIRECT("["&amp;datatable!$C$2&amp;"]"&amp;datatable!$B15&amp;"!"&amp;"Q55")</f>
        <v>High Maybe</v>
      </c>
      <c r="X68" s="51" t="str" cm="1">
        <f t="array" aca="1" ref="X68" ca="1">INDIRECT("["&amp;datatable!$C$2&amp;"]"&amp;datatable!$B15&amp;"!"&amp;"Q56")</f>
        <v>High Incorrect</v>
      </c>
      <c r="Y68" s="50"/>
    </row>
    <row r="69" spans="3:25">
      <c r="C69" s="30" t="s">
        <v>51</v>
      </c>
      <c r="D69" s="51" t="str" cm="1">
        <f t="array" aca="1" ref="D69" ca="1">INDIRECT("["&amp;datatable!$C$2&amp;"]"&amp;datatable!$B16&amp;"!"&amp;"Q2")</f>
        <v>High Correct</v>
      </c>
      <c r="E69" s="51" t="str" cm="1">
        <f t="array" aca="1" ref="E69" ca="1">INDIRECT("["&amp;datatable!$C$2&amp;"]"&amp;datatable!$B16&amp;"!"&amp;"Q3")</f>
        <v>High Incorrect</v>
      </c>
      <c r="F69" s="51" t="str" cm="1">
        <f t="array" aca="1" ref="F69" ca="1">INDIRECT("["&amp;datatable!$C$2&amp;"]"&amp;datatable!$B16&amp;"!"&amp;"Q4")</f>
        <v>High Incorrect</v>
      </c>
      <c r="G69" s="51" t="str" cm="1">
        <f t="array" aca="1" ref="G69" ca="1">INDIRECT("["&amp;datatable!$C$2&amp;"]"&amp;datatable!$B16&amp;"!"&amp;"Q5")</f>
        <v>Low Incorrect</v>
      </c>
      <c r="H69" s="51" t="str" cm="1">
        <f t="array" aca="1" ref="H69" ca="1">INDIRECT("["&amp;datatable!$C$2&amp;"]"&amp;datatable!$B16&amp;"!"&amp;"Q6")</f>
        <v>High Incorrect</v>
      </c>
      <c r="I69" s="51" t="str" cm="1">
        <f t="array" aca="1" ref="I69" ca="1">INDIRECT("["&amp;datatable!$C$2&amp;"]"&amp;datatable!$B16&amp;"!"&amp;"Q7")</f>
        <v>High Incorrect</v>
      </c>
      <c r="J69" s="51" t="str" cm="1">
        <f t="array" aca="1" ref="J69" ca="1">INDIRECT("["&amp;datatable!$C$2&amp;"]"&amp;datatable!$B16&amp;"!"&amp;"Q8")</f>
        <v>High Incorrect</v>
      </c>
      <c r="K69" s="51" t="str" cm="1">
        <f t="array" aca="1" ref="K69" ca="1">INDIRECT("["&amp;datatable!$C$2&amp;"]"&amp;datatable!$B16&amp;"!"&amp;"Q9")</f>
        <v>High Incorrect</v>
      </c>
      <c r="L69" s="51" t="str" cm="1">
        <f t="array" aca="1" ref="L69" ca="1">INDIRECT("["&amp;datatable!$C$2&amp;"]"&amp;datatable!$B16&amp;"!"&amp;"Q10")</f>
        <v>High Correct</v>
      </c>
      <c r="M69" s="51" t="str" cm="1">
        <f t="array" aca="1" ref="M69" ca="1">INDIRECT("["&amp;datatable!$C$2&amp;"]"&amp;datatable!$B16&amp;"!"&amp;"Q11")</f>
        <v>High Incorrect</v>
      </c>
      <c r="N69" s="51" t="str" cm="1">
        <f t="array" aca="1" ref="N69" ca="1">INDIRECT("["&amp;datatable!$C$2&amp;"]"&amp;datatable!$B16&amp;"!"&amp;"Q46")</f>
        <v>High Incorrect</v>
      </c>
      <c r="O69" s="51" t="str" cm="1">
        <f t="array" aca="1" ref="O69" ca="1">INDIRECT("["&amp;datatable!$C$2&amp;"]"&amp;datatable!$B16&amp;"!"&amp;"Q47")</f>
        <v>High Incorrect</v>
      </c>
      <c r="P69" s="51" t="str" cm="1">
        <f t="array" aca="1" ref="P69" ca="1">INDIRECT("["&amp;datatable!$C$2&amp;"]"&amp;datatable!$B16&amp;"!"&amp;"Q48")</f>
        <v>Medium Correct</v>
      </c>
      <c r="Q69" s="51" t="str" cm="1">
        <f t="array" aca="1" ref="Q69" ca="1">INDIRECT("["&amp;datatable!$C$2&amp;"]"&amp;datatable!$B16&amp;"!"&amp;"Q49")</f>
        <v>High Correct</v>
      </c>
      <c r="R69" s="51" t="str" cm="1">
        <f t="array" aca="1" ref="R69" ca="1">INDIRECT("["&amp;datatable!$C$2&amp;"]"&amp;datatable!$B16&amp;"!"&amp;"Q50")</f>
        <v>Medium Incorrect</v>
      </c>
      <c r="S69" s="51" t="str" cm="1">
        <f t="array" aca="1" ref="S69" ca="1">INDIRECT("["&amp;datatable!$C$2&amp;"]"&amp;datatable!$B16&amp;"!"&amp;"Q51")</f>
        <v>Medium Incorrect</v>
      </c>
      <c r="T69" s="51" t="str" cm="1">
        <f t="array" aca="1" ref="T69" ca="1">INDIRECT("["&amp;datatable!$C$2&amp;"]"&amp;datatable!$B16&amp;"!"&amp;"Q52")</f>
        <v>High Incorrect</v>
      </c>
      <c r="U69" s="51" t="str" cm="1">
        <f t="array" aca="1" ref="U69" ca="1">INDIRECT("["&amp;datatable!$C$2&amp;"]"&amp;datatable!$B16&amp;"!"&amp;"Q53")</f>
        <v>Medium Incorrect</v>
      </c>
      <c r="V69" s="51" t="str" cm="1">
        <f t="array" aca="1" ref="V69" ca="1">INDIRECT("["&amp;datatable!$C$2&amp;"]"&amp;datatable!$B16&amp;"!"&amp;"Q54")</f>
        <v>High Incorrect</v>
      </c>
      <c r="W69" s="51" t="str" cm="1">
        <f t="array" aca="1" ref="W69" ca="1">INDIRECT("["&amp;datatable!$C$2&amp;"]"&amp;datatable!$B16&amp;"!"&amp;"Q55")</f>
        <v>High Incorrect</v>
      </c>
      <c r="X69" s="51" t="str" cm="1">
        <f t="array" aca="1" ref="X69" ca="1">INDIRECT("["&amp;datatable!$C$2&amp;"]"&amp;datatable!$B16&amp;"!"&amp;"Q56")</f>
        <v>High Maybe</v>
      </c>
      <c r="Y69" s="50"/>
    </row>
    <row r="70" spans="3:25">
      <c r="C70" s="30" t="s">
        <v>52</v>
      </c>
      <c r="D70" s="51" t="str" cm="1">
        <f t="array" aca="1" ref="D70" ca="1">INDIRECT("["&amp;datatable!$C$2&amp;"]"&amp;datatable!$B17&amp;"!"&amp;"Q2")</f>
        <v>High Correct</v>
      </c>
      <c r="E70" s="51" t="str" cm="1">
        <f t="array" aca="1" ref="E70" ca="1">INDIRECT("["&amp;datatable!$C$2&amp;"]"&amp;datatable!$B17&amp;"!"&amp;"Q3")</f>
        <v>High Maybe</v>
      </c>
      <c r="F70" s="51" t="str" cm="1">
        <f t="array" aca="1" ref="F70" ca="1">INDIRECT("["&amp;datatable!$C$2&amp;"]"&amp;datatable!$B17&amp;"!"&amp;"Q4")</f>
        <v>High Incorrect</v>
      </c>
      <c r="G70" s="51" t="str" cm="1">
        <f t="array" aca="1" ref="G70" ca="1">INDIRECT("["&amp;datatable!$C$2&amp;"]"&amp;datatable!$B17&amp;"!"&amp;"Q5")</f>
        <v>Low Correct</v>
      </c>
      <c r="H70" s="51" t="str" cm="1">
        <f t="array" aca="1" ref="H70" ca="1">INDIRECT("["&amp;datatable!$C$2&amp;"]"&amp;datatable!$B17&amp;"!"&amp;"Q6")</f>
        <v>High Maybe</v>
      </c>
      <c r="I70" s="51" t="str" cm="1">
        <f t="array" aca="1" ref="I70" ca="1">INDIRECT("["&amp;datatable!$C$2&amp;"]"&amp;datatable!$B17&amp;"!"&amp;"Q7")</f>
        <v>High Correct</v>
      </c>
      <c r="J70" s="51" t="str" cm="1">
        <f t="array" aca="1" ref="J70" ca="1">INDIRECT("["&amp;datatable!$C$2&amp;"]"&amp;datatable!$B17&amp;"!"&amp;"Q8")</f>
        <v>Medium Correct</v>
      </c>
      <c r="K70" s="51" t="str" cm="1">
        <f t="array" aca="1" ref="K70" ca="1">INDIRECT("["&amp;datatable!$C$2&amp;"]"&amp;datatable!$B17&amp;"!"&amp;"Q9")</f>
        <v>High Correct</v>
      </c>
      <c r="L70" s="51" t="str" cm="1">
        <f t="array" aca="1" ref="L70" ca="1">INDIRECT("["&amp;datatable!$C$2&amp;"]"&amp;datatable!$B17&amp;"!"&amp;"Q10")</f>
        <v>High Correct</v>
      </c>
      <c r="M70" s="51" t="str" cm="1">
        <f t="array" aca="1" ref="M70" ca="1">INDIRECT("["&amp;datatable!$C$2&amp;"]"&amp;datatable!$B17&amp;"!"&amp;"Q11")</f>
        <v>High Correct</v>
      </c>
      <c r="N70" s="51" t="str" cm="1">
        <f t="array" aca="1" ref="N70" ca="1">INDIRECT("["&amp;datatable!$C$2&amp;"]"&amp;datatable!$B17&amp;"!"&amp;"Q46")</f>
        <v>High Correct</v>
      </c>
      <c r="O70" s="51" t="str" cm="1">
        <f t="array" aca="1" ref="O70" ca="1">INDIRECT("["&amp;datatable!$C$2&amp;"]"&amp;datatable!$B17&amp;"!"&amp;"Q47")</f>
        <v>High Correct</v>
      </c>
      <c r="P70" s="51" t="str" cm="1">
        <f t="array" aca="1" ref="P70" ca="1">INDIRECT("["&amp;datatable!$C$2&amp;"]"&amp;datatable!$B17&amp;"!"&amp;"Q48")</f>
        <v>High Correct</v>
      </c>
      <c r="Q70" s="51" t="str" cm="1">
        <f t="array" aca="1" ref="Q70" ca="1">INDIRECT("["&amp;datatable!$C$2&amp;"]"&amp;datatable!$B17&amp;"!"&amp;"Q49")</f>
        <v>High Correct</v>
      </c>
      <c r="R70" s="51" t="str" cm="1">
        <f t="array" aca="1" ref="R70" ca="1">INDIRECT("["&amp;datatable!$C$2&amp;"]"&amp;datatable!$B17&amp;"!"&amp;"Q50")</f>
        <v>High Correct</v>
      </c>
      <c r="S70" s="51" t="str" cm="1">
        <f t="array" aca="1" ref="S70" ca="1">INDIRECT("["&amp;datatable!$C$2&amp;"]"&amp;datatable!$B17&amp;"!"&amp;"Q51")</f>
        <v>High Correct</v>
      </c>
      <c r="T70" s="51" t="str" cm="1">
        <f t="array" aca="1" ref="T70" ca="1">INDIRECT("["&amp;datatable!$C$2&amp;"]"&amp;datatable!$B17&amp;"!"&amp;"Q52")</f>
        <v>Low Correct</v>
      </c>
      <c r="U70" s="51" t="str" cm="1">
        <f t="array" aca="1" ref="U70" ca="1">INDIRECT("["&amp;datatable!$C$2&amp;"]"&amp;datatable!$B17&amp;"!"&amp;"Q53")</f>
        <v>Medium Correct</v>
      </c>
      <c r="V70" s="51" t="str" cm="1">
        <f t="array" aca="1" ref="V70" ca="1">INDIRECT("["&amp;datatable!$C$2&amp;"]"&amp;datatable!$B17&amp;"!"&amp;"Q54")</f>
        <v>High Correct</v>
      </c>
      <c r="W70" s="51" t="str" cm="1">
        <f t="array" aca="1" ref="W70" ca="1">INDIRECT("["&amp;datatable!$C$2&amp;"]"&amp;datatable!$B17&amp;"!"&amp;"Q55")</f>
        <v>High Correct</v>
      </c>
      <c r="X70" s="51" t="str" cm="1">
        <f t="array" aca="1" ref="X70" ca="1">INDIRECT("["&amp;datatable!$C$2&amp;"]"&amp;datatable!$B17&amp;"!"&amp;"Q56")</f>
        <v>N/A</v>
      </c>
      <c r="Y70" s="50"/>
    </row>
    <row r="71" spans="3:25">
      <c r="C71" s="30" t="s">
        <v>53</v>
      </c>
      <c r="D71" s="51" t="str" cm="1">
        <f t="array" aca="1" ref="D71" ca="1">INDIRECT("["&amp;datatable!$C$2&amp;"]"&amp;datatable!$B18&amp;"!"&amp;"Q2")</f>
        <v>Low Maybe</v>
      </c>
      <c r="E71" s="51" t="str" cm="1">
        <f t="array" aca="1" ref="E71" ca="1">INDIRECT("["&amp;datatable!$C$2&amp;"]"&amp;datatable!$B18&amp;"!"&amp;"Q3")</f>
        <v>High Incorrect</v>
      </c>
      <c r="F71" s="51" t="str" cm="1">
        <f t="array" aca="1" ref="F71" ca="1">INDIRECT("["&amp;datatable!$C$2&amp;"]"&amp;datatable!$B18&amp;"!"&amp;"Q4")</f>
        <v>High Incorrect</v>
      </c>
      <c r="G71" s="51" t="str" cm="1">
        <f t="array" aca="1" ref="G71" ca="1">INDIRECT("["&amp;datatable!$C$2&amp;"]"&amp;datatable!$B18&amp;"!"&amp;"Q5")</f>
        <v>Medium Maybe</v>
      </c>
      <c r="H71" s="51" t="str" cm="1">
        <f t="array" aca="1" ref="H71" ca="1">INDIRECT("["&amp;datatable!$C$2&amp;"]"&amp;datatable!$B18&amp;"!"&amp;"Q6")</f>
        <v>Medium Correct</v>
      </c>
      <c r="I71" s="51" t="str" cm="1">
        <f t="array" aca="1" ref="I71" ca="1">INDIRECT("["&amp;datatable!$C$2&amp;"]"&amp;datatable!$B18&amp;"!"&amp;"Q7")</f>
        <v>High Incorrect</v>
      </c>
      <c r="J71" s="51" t="str" cm="1">
        <f t="array" aca="1" ref="J71" ca="1">INDIRECT("["&amp;datatable!$C$2&amp;"]"&amp;datatable!$B18&amp;"!"&amp;"Q8")</f>
        <v>Low Maybe</v>
      </c>
      <c r="K71" s="51" t="str" cm="1">
        <f t="array" aca="1" ref="K71" ca="1">INDIRECT("["&amp;datatable!$C$2&amp;"]"&amp;datatable!$B18&amp;"!"&amp;"Q9")</f>
        <v>High Incorrect</v>
      </c>
      <c r="L71" s="51" t="str" cm="1">
        <f t="array" aca="1" ref="L71" ca="1">INDIRECT("["&amp;datatable!$C$2&amp;"]"&amp;datatable!$B18&amp;"!"&amp;"Q10")</f>
        <v>Low Correct</v>
      </c>
      <c r="M71" s="51" t="str" cm="1">
        <f t="array" aca="1" ref="M71" ca="1">INDIRECT("["&amp;datatable!$C$2&amp;"]"&amp;datatable!$B18&amp;"!"&amp;"Q11")</f>
        <v>High Correct</v>
      </c>
      <c r="N71" s="51" t="str" cm="1">
        <f t="array" aca="1" ref="N71" ca="1">INDIRECT("["&amp;datatable!$C$2&amp;"]"&amp;datatable!$B18&amp;"!"&amp;"Q46")</f>
        <v>High Correct</v>
      </c>
      <c r="O71" s="51" t="str" cm="1">
        <f t="array" aca="1" ref="O71" ca="1">INDIRECT("["&amp;datatable!$C$2&amp;"]"&amp;datatable!$B18&amp;"!"&amp;"Q47")</f>
        <v>High Incorrect</v>
      </c>
      <c r="P71" s="51" t="str" cm="1">
        <f t="array" aca="1" ref="P71" ca="1">INDIRECT("["&amp;datatable!$C$2&amp;"]"&amp;datatable!$B18&amp;"!"&amp;"Q48")</f>
        <v>High Incorrect</v>
      </c>
      <c r="Q71" s="51" t="str" cm="1">
        <f t="array" aca="1" ref="Q71" ca="1">INDIRECT("["&amp;datatable!$C$2&amp;"]"&amp;datatable!$B18&amp;"!"&amp;"Q49")</f>
        <v>Medium Maybe</v>
      </c>
      <c r="R71" s="51" t="str" cm="1">
        <f t="array" aca="1" ref="R71" ca="1">INDIRECT("["&amp;datatable!$C$2&amp;"]"&amp;datatable!$B18&amp;"!"&amp;"Q50")</f>
        <v>High Correct</v>
      </c>
      <c r="S71" s="51" t="str" cm="1">
        <f t="array" aca="1" ref="S71" ca="1">INDIRECT("["&amp;datatable!$C$2&amp;"]"&amp;datatable!$B18&amp;"!"&amp;"Q51")</f>
        <v>High Incorrect</v>
      </c>
      <c r="T71" s="51" t="str" cm="1">
        <f t="array" aca="1" ref="T71" ca="1">INDIRECT("["&amp;datatable!$C$2&amp;"]"&amp;datatable!$B18&amp;"!"&amp;"Q52")</f>
        <v>N/A</v>
      </c>
      <c r="U71" s="51" t="str" cm="1">
        <f t="array" aca="1" ref="U71" ca="1">INDIRECT("["&amp;datatable!$C$2&amp;"]"&amp;datatable!$B18&amp;"!"&amp;"Q53")</f>
        <v>Medium Incorrect</v>
      </c>
      <c r="V71" s="51" t="str" cm="1">
        <f t="array" aca="1" ref="V71" ca="1">INDIRECT("["&amp;datatable!$C$2&amp;"]"&amp;datatable!$B18&amp;"!"&amp;"Q54")</f>
        <v>Medium Maybe</v>
      </c>
      <c r="W71" s="51" t="str" cm="1">
        <f t="array" aca="1" ref="W71" ca="1">INDIRECT("["&amp;datatable!$C$2&amp;"]"&amp;datatable!$B18&amp;"!"&amp;"Q55")</f>
        <v>Medium Correct</v>
      </c>
      <c r="X71" s="51" t="str" cm="1">
        <f t="array" aca="1" ref="X71" ca="1">INDIRECT("["&amp;datatable!$C$2&amp;"]"&amp;datatable!$B18&amp;"!"&amp;"Q56")</f>
        <v>N/A</v>
      </c>
      <c r="Y71" s="50"/>
    </row>
    <row r="72" spans="3:25">
      <c r="C72" s="30" t="s">
        <v>54</v>
      </c>
      <c r="D72" s="51" t="str" cm="1">
        <f t="array" aca="1" ref="D72" ca="1">INDIRECT("["&amp;datatable!$C$2&amp;"]"&amp;datatable!$B19&amp;"!"&amp;"Q2")</f>
        <v>High Correct</v>
      </c>
      <c r="E72" s="51" t="str" cm="1">
        <f t="array" aca="1" ref="E72" ca="1">INDIRECT("["&amp;datatable!$C$2&amp;"]"&amp;datatable!$B19&amp;"!"&amp;"Q3")</f>
        <v>High Correct</v>
      </c>
      <c r="F72" s="51" t="str" cm="1">
        <f t="array" aca="1" ref="F72" ca="1">INDIRECT("["&amp;datatable!$C$2&amp;"]"&amp;datatable!$B19&amp;"!"&amp;"Q4")</f>
        <v>High Correct</v>
      </c>
      <c r="G72" s="51" t="str" cm="1">
        <f t="array" aca="1" ref="G72" ca="1">INDIRECT("["&amp;datatable!$C$2&amp;"]"&amp;datatable!$B19&amp;"!"&amp;"Q5")</f>
        <v>Low Correct</v>
      </c>
      <c r="H72" s="51" t="str" cm="1">
        <f t="array" aca="1" ref="H72" ca="1">INDIRECT("["&amp;datatable!$C$2&amp;"]"&amp;datatable!$B19&amp;"!"&amp;"Q6")</f>
        <v>Low Correct</v>
      </c>
      <c r="I72" s="51" t="str" cm="1">
        <f t="array" aca="1" ref="I72" ca="1">INDIRECT("["&amp;datatable!$C$2&amp;"]"&amp;datatable!$B19&amp;"!"&amp;"Q7")</f>
        <v>High Correct</v>
      </c>
      <c r="J72" s="51" t="str" cm="1">
        <f t="array" aca="1" ref="J72" ca="1">INDIRECT("["&amp;datatable!$C$2&amp;"]"&amp;datatable!$B19&amp;"!"&amp;"Q8")</f>
        <v>High Correct</v>
      </c>
      <c r="K72" s="51" t="str" cm="1">
        <f t="array" aca="1" ref="K72" ca="1">INDIRECT("["&amp;datatable!$C$2&amp;"]"&amp;datatable!$B19&amp;"!"&amp;"Q9")</f>
        <v>Low Correct</v>
      </c>
      <c r="L72" s="51" t="str" cm="1">
        <f t="array" aca="1" ref="L72" ca="1">INDIRECT("["&amp;datatable!$C$2&amp;"]"&amp;datatable!$B19&amp;"!"&amp;"Q10")</f>
        <v>High Correct</v>
      </c>
      <c r="M72" s="51" t="str" cm="1">
        <f t="array" aca="1" ref="M72" ca="1">INDIRECT("["&amp;datatable!$C$2&amp;"]"&amp;datatable!$B19&amp;"!"&amp;"Q11")</f>
        <v>High Correct</v>
      </c>
      <c r="N72" s="51" t="str" cm="1">
        <f t="array" aca="1" ref="N72" ca="1">INDIRECT("["&amp;datatable!$C$2&amp;"]"&amp;datatable!$B19&amp;"!"&amp;"Q46")</f>
        <v>High Correct</v>
      </c>
      <c r="O72" s="51" t="str" cm="1">
        <f t="array" aca="1" ref="O72" ca="1">INDIRECT("["&amp;datatable!$C$2&amp;"]"&amp;datatable!$B19&amp;"!"&amp;"Q47")</f>
        <v>Low Correct</v>
      </c>
      <c r="P72" s="51" t="str" cm="1">
        <f t="array" aca="1" ref="P72" ca="1">INDIRECT("["&amp;datatable!$C$2&amp;"]"&amp;datatable!$B19&amp;"!"&amp;"Q48")</f>
        <v>Low Correct</v>
      </c>
      <c r="Q72" s="51" t="str" cm="1">
        <f t="array" aca="1" ref="Q72" ca="1">INDIRECT("["&amp;datatable!$C$2&amp;"]"&amp;datatable!$B19&amp;"!"&amp;"Q49")</f>
        <v>Medium Correct</v>
      </c>
      <c r="R72" s="51" t="str" cm="1">
        <f t="array" aca="1" ref="R72" ca="1">INDIRECT("["&amp;datatable!$C$2&amp;"]"&amp;datatable!$B19&amp;"!"&amp;"Q50")</f>
        <v>Low Correct</v>
      </c>
      <c r="S72" s="51" t="str" cm="1">
        <f t="array" aca="1" ref="S72" ca="1">INDIRECT("["&amp;datatable!$C$2&amp;"]"&amp;datatable!$B19&amp;"!"&amp;"Q51")</f>
        <v>High Correct</v>
      </c>
      <c r="T72" s="51" t="str" cm="1">
        <f t="array" aca="1" ref="T72" ca="1">INDIRECT("["&amp;datatable!$C$2&amp;"]"&amp;datatable!$B19&amp;"!"&amp;"Q52")</f>
        <v>High Correct</v>
      </c>
      <c r="U72" s="51" t="str" cm="1">
        <f t="array" aca="1" ref="U72" ca="1">INDIRECT("["&amp;datatable!$C$2&amp;"]"&amp;datatable!$B19&amp;"!"&amp;"Q53")</f>
        <v>Low Correct</v>
      </c>
      <c r="V72" s="51" t="str" cm="1">
        <f t="array" aca="1" ref="V72" ca="1">INDIRECT("["&amp;datatable!$C$2&amp;"]"&amp;datatable!$B19&amp;"!"&amp;"Q54")</f>
        <v>Low Correct</v>
      </c>
      <c r="W72" s="51" t="str" cm="1">
        <f t="array" aca="1" ref="W72" ca="1">INDIRECT("["&amp;datatable!$C$2&amp;"]"&amp;datatable!$B19&amp;"!"&amp;"Q55")</f>
        <v>High Correct</v>
      </c>
      <c r="X72" s="51" t="str" cm="1">
        <f t="array" aca="1" ref="X72" ca="1">INDIRECT("["&amp;datatable!$C$2&amp;"]"&amp;datatable!$B19&amp;"!"&amp;"Q56")</f>
        <v>High Correct</v>
      </c>
      <c r="Y72" s="50"/>
    </row>
    <row r="73" spans="3:25">
      <c r="C73" s="50"/>
      <c r="D73" s="53"/>
      <c r="E73" s="53"/>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79" priority="4" operator="equal">
      <formula>"Medium Correct"</formula>
    </cfRule>
    <cfRule type="cellIs" dxfId="78" priority="5" operator="equal">
      <formula>"Low Correct"</formula>
    </cfRule>
    <cfRule type="cellIs" dxfId="77" priority="6" operator="equal">
      <formula>"Medium Maybe"</formula>
    </cfRule>
    <cfRule type="cellIs" dxfId="76" priority="7" operator="equal">
      <formula>"Low Maybe"</formula>
    </cfRule>
    <cfRule type="cellIs" dxfId="75" priority="8" operator="equal">
      <formula>"Medium Incorrect"</formula>
    </cfRule>
    <cfRule type="cellIs" dxfId="74" priority="9" operator="equal">
      <formula>"Low Incorrect"</formula>
    </cfRule>
    <cfRule type="cellIs" dxfId="73" priority="10" operator="equal">
      <formula>"N/A"</formula>
    </cfRule>
  </conditionalFormatting>
  <conditionalFormatting sqref="D55:X72">
    <cfRule type="cellIs" dxfId="72" priority="1" operator="equal">
      <formula>"High Correct"</formula>
    </cfRule>
    <cfRule type="cellIs" dxfId="71" priority="2" operator="equal">
      <formula>"High Incorrect"</formula>
    </cfRule>
    <cfRule type="cellIs" dxfId="70" priority="3" operator="equal">
      <formula>"High Maybe"</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3D046-5825-42FC-BA12-CEC36691D93E}">
  <dimension ref="C5:Y73"/>
  <sheetViews>
    <sheetView topLeftCell="H7" zoomScale="80" zoomScaleNormal="80"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7.5546875"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5">
      <c r="C5" t="s">
        <v>0</v>
      </c>
    </row>
    <row r="6" spans="3:15">
      <c r="D6" s="7" t="s">
        <v>1</v>
      </c>
      <c r="E6" s="10" t="s">
        <v>2</v>
      </c>
      <c r="F6" s="12" t="s">
        <v>3</v>
      </c>
      <c r="G6" s="14" t="s">
        <v>4</v>
      </c>
      <c r="H6" s="16" t="s">
        <v>5</v>
      </c>
      <c r="I6" s="18" t="s">
        <v>6</v>
      </c>
      <c r="J6" s="20" t="s">
        <v>7</v>
      </c>
      <c r="K6" s="22" t="s">
        <v>8</v>
      </c>
      <c r="L6" s="24" t="s">
        <v>9</v>
      </c>
      <c r="M6" s="26" t="s">
        <v>10</v>
      </c>
      <c r="N6" s="28" t="s">
        <v>11</v>
      </c>
      <c r="O6" s="28" t="s">
        <v>12</v>
      </c>
    </row>
    <row r="7" spans="3:15">
      <c r="C7" s="5" t="s">
        <v>13</v>
      </c>
      <c r="D7" s="8">
        <f ca="1">COUNTIF(INDIRECT("["&amp;datatable!$C$2&amp;"]"&amp;datatable!$A2&amp;"!"&amp;"Y:Y"),"High Correct")</f>
        <v>5</v>
      </c>
      <c r="E7" s="11">
        <f ca="1">COUNTIF(INDIRECT("["&amp;datatable!$C$2&amp;"]"&amp;datatable!$A2&amp;"!"&amp;"Y:Y"),"Medium Correct")</f>
        <v>5</v>
      </c>
      <c r="F7" s="13">
        <f ca="1">COUNTIF(INDIRECT("["&amp;datatable!$C$2&amp;"]"&amp;datatable!$A2&amp;"!"&amp;"Y:Y"),"Low Correct")</f>
        <v>1</v>
      </c>
      <c r="G7" s="15">
        <f ca="1">COUNTIF(INDIRECT("["&amp;datatable!$C$2&amp;"]"&amp;datatable!$A2&amp;"!"&amp;"Y:Y"),"High Maybe")</f>
        <v>1</v>
      </c>
      <c r="H7" s="17">
        <f ca="1">COUNTIF(INDIRECT("["&amp;datatable!$C$2&amp;"]"&amp;datatable!$A2&amp;"!"&amp;"Y:Y"),"Medium Maybe")</f>
        <v>1</v>
      </c>
      <c r="I7" s="19">
        <f ca="1">COUNTIF(INDIRECT("["&amp;datatable!$C$2&amp;"]"&amp;datatable!$A2&amp;"!"&amp;"Y:Y"),"Low Maybe")</f>
        <v>0</v>
      </c>
      <c r="J7" s="21">
        <f ca="1">COUNTIF(INDIRECT("["&amp;datatable!$C$2&amp;"]"&amp;datatable!$A2&amp;"!"&amp;"Y:Y"),"Low Incorrect")</f>
        <v>0</v>
      </c>
      <c r="K7" s="23">
        <f ca="1">COUNTIF(INDIRECT("["&amp;datatable!$C$2&amp;"]"&amp;datatable!$A2&amp;"!"&amp;"Y:Y"),"Medium Incorrect")</f>
        <v>3</v>
      </c>
      <c r="L7" s="25">
        <f ca="1">COUNTIF(INDIRECT("["&amp;datatable!$C$2&amp;"]"&amp;datatable!$A2&amp;"!"&amp;"Y:Y"),"High Incorrect")</f>
        <v>1</v>
      </c>
      <c r="M7" s="27">
        <f ca="1">COUNTIF(INDIRECT("["&amp;datatable!$C$2&amp;"]"&amp;datatable!$A2&amp;"!"&amp;"Y:Y"),"N/A")</f>
        <v>1</v>
      </c>
      <c r="N7" s="29">
        <f t="shared" ref="N7:N28" ca="1" si="0">SUM(D7:M7)</f>
        <v>18</v>
      </c>
      <c r="O7" s="29">
        <f t="shared" ref="O7:O28" ca="1" si="1">SUM(D7:L7)</f>
        <v>17</v>
      </c>
    </row>
    <row r="8" spans="3:15">
      <c r="C8" s="5" t="s">
        <v>14</v>
      </c>
      <c r="D8" s="8">
        <f ca="1">COUNTIF(INDIRECT("["&amp;datatable!$C$2&amp;"]"&amp;datatable!$A3&amp;"!"&amp;"Y:Y"),"High Correct")</f>
        <v>5</v>
      </c>
      <c r="E8" s="11">
        <f ca="1">COUNTIF(INDIRECT("["&amp;datatable!$C$2&amp;"]"&amp;datatable!$A3&amp;"!"&amp;"Y:Y"),"Medium Correct")</f>
        <v>2</v>
      </c>
      <c r="F8" s="13">
        <f ca="1">COUNTIF(INDIRECT("["&amp;datatable!$C$2&amp;"]"&amp;datatable!$A3&amp;"!"&amp;"Y:Y"),"Low Correct")</f>
        <v>3</v>
      </c>
      <c r="G8" s="15">
        <f ca="1">COUNTIF(INDIRECT("["&amp;datatable!$C$2&amp;"]"&amp;datatable!$A3&amp;"!"&amp;"Y:Y"),"High Maybe")</f>
        <v>1</v>
      </c>
      <c r="H8" s="17">
        <f ca="1">COUNTIF(INDIRECT("["&amp;datatable!$C$2&amp;"]"&amp;datatable!$A3&amp;"!"&amp;"Y:Y"),"Medium Maybe")</f>
        <v>1</v>
      </c>
      <c r="I8" s="19">
        <f ca="1">COUNTIF(INDIRECT("["&amp;datatable!$C$2&amp;"]"&amp;datatable!$A3&amp;"!"&amp;"Y:Y"),"Low Maybe")</f>
        <v>1</v>
      </c>
      <c r="J8" s="21">
        <f ca="1">COUNTIF(INDIRECT("["&amp;datatable!$C$2&amp;"]"&amp;datatable!$A3&amp;"!"&amp;"Y:Y"),"Low Incorrect")</f>
        <v>1</v>
      </c>
      <c r="K8" s="23">
        <f ca="1">COUNTIF(INDIRECT("["&amp;datatable!$C$2&amp;"]"&amp;datatable!$A3&amp;"!"&amp;"Y:Y"),"Medium Incorrect")</f>
        <v>1</v>
      </c>
      <c r="L8" s="25">
        <f ca="1">COUNTIF(INDIRECT("["&amp;datatable!$C$2&amp;"]"&amp;datatable!$A3&amp;"!"&amp;"Y:Y"),"High Incorrect")</f>
        <v>3</v>
      </c>
      <c r="M8" s="27">
        <f ca="1">COUNTIF(INDIRECT("["&amp;datatable!$C$2&amp;"]"&amp;datatable!$A3&amp;"!"&amp;"Y:Y"),"N/A")</f>
        <v>0</v>
      </c>
      <c r="N8" s="29">
        <f t="shared" ca="1" si="0"/>
        <v>18</v>
      </c>
      <c r="O8" s="29">
        <f t="shared" ca="1" si="1"/>
        <v>18</v>
      </c>
    </row>
    <row r="9" spans="3:15">
      <c r="C9" s="5" t="s">
        <v>15</v>
      </c>
      <c r="D9" s="8">
        <f ca="1">COUNTIF(INDIRECT("["&amp;datatable!$C$2&amp;"]"&amp;datatable!$A4&amp;"!"&amp;"Y:Y"),"High Correct")</f>
        <v>4</v>
      </c>
      <c r="E9" s="11">
        <f ca="1">COUNTIF(INDIRECT("["&amp;datatable!$C$2&amp;"]"&amp;datatable!$A4&amp;"!"&amp;"Y:Y"),"Medium Correct")</f>
        <v>0</v>
      </c>
      <c r="F9" s="13">
        <f ca="1">COUNTIF(INDIRECT("["&amp;datatable!$C$2&amp;"]"&amp;datatable!$A4&amp;"!"&amp;"Y:Y"),"Low Correct")</f>
        <v>2</v>
      </c>
      <c r="G9" s="15">
        <f ca="1">COUNTIF(INDIRECT("["&amp;datatable!$C$2&amp;"]"&amp;datatable!$A4&amp;"!"&amp;"Y:Y"),"High Maybe")</f>
        <v>2</v>
      </c>
      <c r="H9" s="17">
        <f ca="1">COUNTIF(INDIRECT("["&amp;datatable!$C$2&amp;"]"&amp;datatable!$A4&amp;"!"&amp;"Y:Y"),"Medium Maybe")</f>
        <v>1</v>
      </c>
      <c r="I9" s="19">
        <f ca="1">COUNTIF(INDIRECT("["&amp;datatable!$C$2&amp;"]"&amp;datatable!$A4&amp;"!"&amp;"Y:Y"),"Low Maybe")</f>
        <v>0</v>
      </c>
      <c r="J9" s="21">
        <f ca="1">COUNTIF(INDIRECT("["&amp;datatable!$C$2&amp;"]"&amp;datatable!$A4&amp;"!"&amp;"Y:Y"),"Low Incorrect")</f>
        <v>1</v>
      </c>
      <c r="K9" s="23">
        <f ca="1">COUNTIF(INDIRECT("["&amp;datatable!$C$2&amp;"]"&amp;datatable!$A4&amp;"!"&amp;"Y:Y"),"Medium Incorrect")</f>
        <v>1</v>
      </c>
      <c r="L9" s="25">
        <f ca="1">COUNTIF(INDIRECT("["&amp;datatable!$C$2&amp;"]"&amp;datatable!$A4&amp;"!"&amp;"Y:Y"),"High Incorrect")</f>
        <v>7</v>
      </c>
      <c r="M9" s="27">
        <f ca="1">COUNTIF(INDIRECT("["&amp;datatable!$C$2&amp;"]"&amp;datatable!$A4&amp;"!"&amp;"Y:Y"),"N/A")</f>
        <v>0</v>
      </c>
      <c r="N9" s="29">
        <f t="shared" ca="1" si="0"/>
        <v>18</v>
      </c>
      <c r="O9" s="29">
        <f t="shared" ca="1" si="1"/>
        <v>18</v>
      </c>
    </row>
    <row r="10" spans="3:15">
      <c r="C10" s="5" t="s">
        <v>16</v>
      </c>
      <c r="D10" s="8">
        <f ca="1">COUNTIF(INDIRECT("["&amp;datatable!$C$2&amp;"]"&amp;datatable!$A5&amp;"!"&amp;"Y:Y"),"High Correct")</f>
        <v>8</v>
      </c>
      <c r="E10" s="11">
        <f ca="1">COUNTIF(INDIRECT("["&amp;datatable!$C$2&amp;"]"&amp;datatable!$A5&amp;"!"&amp;"Y:Y"),"Medium Correct")</f>
        <v>2</v>
      </c>
      <c r="F10" s="13">
        <f ca="1">COUNTIF(INDIRECT("["&amp;datatable!$C$2&amp;"]"&amp;datatable!$A5&amp;"!"&amp;"Y:Y"),"Low Correct")</f>
        <v>2</v>
      </c>
      <c r="G10" s="15">
        <f ca="1">COUNTIF(INDIRECT("["&amp;datatable!$C$2&amp;"]"&amp;datatable!$A5&amp;"!"&amp;"Y:Y"),"High Maybe")</f>
        <v>3</v>
      </c>
      <c r="H10" s="17">
        <f ca="1">COUNTIF(INDIRECT("["&amp;datatable!$C$2&amp;"]"&amp;datatable!$A5&amp;"!"&amp;"Y:Y"),"Medium Maybe")</f>
        <v>0</v>
      </c>
      <c r="I10" s="19">
        <f ca="1">COUNTIF(INDIRECT("["&amp;datatable!$C$2&amp;"]"&amp;datatable!$A5&amp;"!"&amp;"Y:Y"),"Low Maybe")</f>
        <v>0</v>
      </c>
      <c r="J10" s="21">
        <f ca="1">COUNTIF(INDIRECT("["&amp;datatable!$C$2&amp;"]"&amp;datatable!$A5&amp;"!"&amp;"Y:Y"),"Low Incorrect")</f>
        <v>0</v>
      </c>
      <c r="K10" s="23">
        <f ca="1">COUNTIF(INDIRECT("["&amp;datatable!$C$2&amp;"]"&amp;datatable!$A5&amp;"!"&amp;"Y:Y"),"Medium Incorrect")</f>
        <v>0</v>
      </c>
      <c r="L10" s="25">
        <f ca="1">COUNTIF(INDIRECT("["&amp;datatable!$C$2&amp;"]"&amp;datatable!$A5&amp;"!"&amp;"Y:Y"),"High Incorrect")</f>
        <v>3</v>
      </c>
      <c r="M10" s="27">
        <f ca="1">COUNTIF(INDIRECT("["&amp;datatable!$C$2&amp;"]"&amp;datatable!$A5&amp;"!"&amp;"Y:Y"),"N/A")</f>
        <v>0</v>
      </c>
      <c r="N10" s="29">
        <f t="shared" ca="1" si="0"/>
        <v>18</v>
      </c>
      <c r="O10" s="29">
        <f t="shared" ca="1" si="1"/>
        <v>18</v>
      </c>
    </row>
    <row r="11" spans="3:15">
      <c r="C11" s="5" t="s">
        <v>17</v>
      </c>
      <c r="D11" s="8">
        <f ca="1">COUNTIF(INDIRECT("["&amp;datatable!$C$2&amp;"]"&amp;datatable!$A6&amp;"!"&amp;"Y:Y"),"High Correct")</f>
        <v>9</v>
      </c>
      <c r="E11" s="11">
        <f ca="1">COUNTIF(INDIRECT("["&amp;datatable!$C$2&amp;"]"&amp;datatable!$A6&amp;"!"&amp;"Y:Y"),"Medium Correct")</f>
        <v>2</v>
      </c>
      <c r="F11" s="13">
        <f ca="1">COUNTIF(INDIRECT("["&amp;datatable!$C$2&amp;"]"&amp;datatable!$A6&amp;"!"&amp;"Y:Y"),"Low Correct")</f>
        <v>0</v>
      </c>
      <c r="G11" s="15">
        <f ca="1">COUNTIF(INDIRECT("["&amp;datatable!$C$2&amp;"]"&amp;datatable!$A6&amp;"!"&amp;"Y:Y"),"High Maybe")</f>
        <v>1</v>
      </c>
      <c r="H11" s="17">
        <f ca="1">COUNTIF(INDIRECT("["&amp;datatable!$C$2&amp;"]"&amp;datatable!$A6&amp;"!"&amp;"Y:Y"),"Medium Maybe")</f>
        <v>1</v>
      </c>
      <c r="I11" s="19">
        <f ca="1">COUNTIF(INDIRECT("["&amp;datatable!$C$2&amp;"]"&amp;datatable!$A6&amp;"!"&amp;"Y:Y"),"Low Maybe")</f>
        <v>0</v>
      </c>
      <c r="J11" s="21">
        <f ca="1">COUNTIF(INDIRECT("["&amp;datatable!$C$2&amp;"]"&amp;datatable!$A6&amp;"!"&amp;"Y:Y"),"Low Incorrect")</f>
        <v>1</v>
      </c>
      <c r="K11" s="23">
        <f ca="1">COUNTIF(INDIRECT("["&amp;datatable!$C$2&amp;"]"&amp;datatable!$A6&amp;"!"&amp;"Y:Y"),"Medium Incorrect")</f>
        <v>0</v>
      </c>
      <c r="L11" s="25">
        <f ca="1">COUNTIF(INDIRECT("["&amp;datatable!$C$2&amp;"]"&amp;datatable!$A6&amp;"!"&amp;"Y:Y"),"High Incorrect")</f>
        <v>3</v>
      </c>
      <c r="M11" s="27">
        <f ca="1">COUNTIF(INDIRECT("["&amp;datatable!$C$2&amp;"]"&amp;datatable!$A6&amp;"!"&amp;"Y:Y"),"N/A")</f>
        <v>1</v>
      </c>
      <c r="N11" s="29">
        <f t="shared" ca="1" si="0"/>
        <v>18</v>
      </c>
      <c r="O11" s="29">
        <f t="shared" ca="1" si="1"/>
        <v>17</v>
      </c>
    </row>
    <row r="12" spans="3:15">
      <c r="C12" s="5" t="s">
        <v>18</v>
      </c>
      <c r="D12" s="8">
        <f ca="1">COUNTIF(INDIRECT("["&amp;datatable!$C$2&amp;"]"&amp;datatable!$A7&amp;"!"&amp;"Y:Y"),"High Correct")</f>
        <v>11</v>
      </c>
      <c r="E12" s="11">
        <f ca="1">COUNTIF(INDIRECT("["&amp;datatable!$C$2&amp;"]"&amp;datatable!$A7&amp;"!"&amp;"Y:Y"),"Medium Correct")</f>
        <v>2</v>
      </c>
      <c r="F12" s="13">
        <f ca="1">COUNTIF(INDIRECT("["&amp;datatable!$C$2&amp;"]"&amp;datatable!$A7&amp;"!"&amp;"Y:Y"),"Low Correct")</f>
        <v>0</v>
      </c>
      <c r="G12" s="15">
        <f ca="1">COUNTIF(INDIRECT("["&amp;datatable!$C$2&amp;"]"&amp;datatable!$A7&amp;"!"&amp;"Y:Y"),"High Maybe")</f>
        <v>0</v>
      </c>
      <c r="H12" s="17">
        <f ca="1">COUNTIF(INDIRECT("["&amp;datatable!$C$2&amp;"]"&amp;datatable!$A7&amp;"!"&amp;"Y:Y"),"Medium Maybe")</f>
        <v>2</v>
      </c>
      <c r="I12" s="19">
        <f ca="1">COUNTIF(INDIRECT("["&amp;datatable!$C$2&amp;"]"&amp;datatable!$A7&amp;"!"&amp;"Y:Y"),"Low Maybe")</f>
        <v>0</v>
      </c>
      <c r="J12" s="21">
        <f ca="1">COUNTIF(INDIRECT("["&amp;datatable!$C$2&amp;"]"&amp;datatable!$A7&amp;"!"&amp;"Y:Y"),"Low Incorrect")</f>
        <v>0</v>
      </c>
      <c r="K12" s="23">
        <f ca="1">COUNTIF(INDIRECT("["&amp;datatable!$C$2&amp;"]"&amp;datatable!$A7&amp;"!"&amp;"Y:Y"),"Medium Incorrect")</f>
        <v>1</v>
      </c>
      <c r="L12" s="25">
        <f ca="1">COUNTIF(INDIRECT("["&amp;datatable!$C$2&amp;"]"&amp;datatable!$A7&amp;"!"&amp;"Y:Y"),"High Incorrect")</f>
        <v>2</v>
      </c>
      <c r="M12" s="27">
        <f ca="1">COUNTIF(INDIRECT("["&amp;datatable!$C$2&amp;"]"&amp;datatable!$A7&amp;"!"&amp;"Y:Y"),"N/A")</f>
        <v>0</v>
      </c>
      <c r="N12" s="29">
        <f t="shared" ca="1" si="0"/>
        <v>18</v>
      </c>
      <c r="O12" s="29">
        <f t="shared" ca="1" si="1"/>
        <v>18</v>
      </c>
    </row>
    <row r="13" spans="3:15">
      <c r="C13" s="5" t="s">
        <v>19</v>
      </c>
      <c r="D13" s="8">
        <f ca="1">COUNTIF(INDIRECT("["&amp;datatable!$C$2&amp;"]"&amp;datatable!$A8&amp;"!"&amp;"Y:Y"),"High Correct")</f>
        <v>0</v>
      </c>
      <c r="E13" s="11">
        <f ca="1">COUNTIF(INDIRECT("["&amp;datatable!$C$2&amp;"]"&amp;datatable!$A8&amp;"!"&amp;"Y:Y"),"Medium Correct")</f>
        <v>3</v>
      </c>
      <c r="F13" s="13">
        <f ca="1">COUNTIF(INDIRECT("["&amp;datatable!$C$2&amp;"]"&amp;datatable!$A8&amp;"!"&amp;"Y:Y"),"Low Correct")</f>
        <v>2</v>
      </c>
      <c r="G13" s="15">
        <f ca="1">COUNTIF(INDIRECT("["&amp;datatable!$C$2&amp;"]"&amp;datatable!$A8&amp;"!"&amp;"Y:Y"),"High Maybe")</f>
        <v>4</v>
      </c>
      <c r="H13" s="17">
        <f ca="1">COUNTIF(INDIRECT("["&amp;datatable!$C$2&amp;"]"&amp;datatable!$A8&amp;"!"&amp;"Y:Y"),"Medium Maybe")</f>
        <v>2</v>
      </c>
      <c r="I13" s="19">
        <f ca="1">COUNTIF(INDIRECT("["&amp;datatable!$C$2&amp;"]"&amp;datatable!$A8&amp;"!"&amp;"Y:Y"),"Low Maybe")</f>
        <v>1</v>
      </c>
      <c r="J13" s="21">
        <f ca="1">COUNTIF(INDIRECT("["&amp;datatable!$C$2&amp;"]"&amp;datatable!$A8&amp;"!"&amp;"Y:Y"),"Low Incorrect")</f>
        <v>3</v>
      </c>
      <c r="K13" s="23">
        <f ca="1">COUNTIF(INDIRECT("["&amp;datatable!$C$2&amp;"]"&amp;datatable!$A8&amp;"!"&amp;"Y:Y"),"Medium Incorrect")</f>
        <v>1</v>
      </c>
      <c r="L13" s="25">
        <f ca="1">COUNTIF(INDIRECT("["&amp;datatable!$C$2&amp;"]"&amp;datatable!$A8&amp;"!"&amp;"Y:Y"),"High Incorrect")</f>
        <v>2</v>
      </c>
      <c r="M13" s="27">
        <f ca="1">COUNTIF(INDIRECT("["&amp;datatable!$C$2&amp;"]"&amp;datatable!$A8&amp;"!"&amp;"Y:Y"),"N/A")</f>
        <v>0</v>
      </c>
      <c r="N13" s="29">
        <f t="shared" ca="1" si="0"/>
        <v>18</v>
      </c>
      <c r="O13" s="29">
        <f t="shared" ca="1" si="1"/>
        <v>18</v>
      </c>
    </row>
    <row r="14" spans="3:15">
      <c r="C14" s="5" t="s">
        <v>20</v>
      </c>
      <c r="D14" s="8">
        <f ca="1">COUNTIF(INDIRECT("["&amp;datatable!$C$2&amp;"]"&amp;datatable!$A9&amp;"!"&amp;"Y:Y"),"High Correct")</f>
        <v>10</v>
      </c>
      <c r="E14" s="11">
        <f ca="1">COUNTIF(INDIRECT("["&amp;datatable!$C$2&amp;"]"&amp;datatable!$A9&amp;"!"&amp;"Y:Y"),"Medium Correct")</f>
        <v>2</v>
      </c>
      <c r="F14" s="13">
        <f ca="1">COUNTIF(INDIRECT("["&amp;datatable!$C$2&amp;"]"&amp;datatable!$A9&amp;"!"&amp;"Y:Y"),"Low Correct")</f>
        <v>2</v>
      </c>
      <c r="G14" s="15">
        <f ca="1">COUNTIF(INDIRECT("["&amp;datatable!$C$2&amp;"]"&amp;datatable!$A9&amp;"!"&amp;"Y:Y"),"High Maybe")</f>
        <v>1</v>
      </c>
      <c r="H14" s="17">
        <f ca="1">COUNTIF(INDIRECT("["&amp;datatable!$C$2&amp;"]"&amp;datatable!$A9&amp;"!"&amp;"Y:Y"),"Medium Maybe")</f>
        <v>0</v>
      </c>
      <c r="I14" s="19">
        <f ca="1">COUNTIF(INDIRECT("["&amp;datatable!$C$2&amp;"]"&amp;datatable!$A9&amp;"!"&amp;"Y:Y"),"Low Maybe")</f>
        <v>0</v>
      </c>
      <c r="J14" s="21">
        <f ca="1">COUNTIF(INDIRECT("["&amp;datatable!$C$2&amp;"]"&amp;datatable!$A9&amp;"!"&amp;"Y:Y"),"Low Incorrect")</f>
        <v>0</v>
      </c>
      <c r="K14" s="23">
        <f ca="1">COUNTIF(INDIRECT("["&amp;datatable!$C$2&amp;"]"&amp;datatable!$A9&amp;"!"&amp;"Y:Y"),"Medium Incorrect")</f>
        <v>1</v>
      </c>
      <c r="L14" s="25">
        <f ca="1">COUNTIF(INDIRECT("["&amp;datatable!$C$2&amp;"]"&amp;datatable!$A9&amp;"!"&amp;"Y:Y"),"High Incorrect")</f>
        <v>1</v>
      </c>
      <c r="M14" s="27">
        <f ca="1">COUNTIF(INDIRECT("["&amp;datatable!$C$2&amp;"]"&amp;datatable!$A9&amp;"!"&amp;"Y:Y"),"N/A")</f>
        <v>1</v>
      </c>
      <c r="N14" s="29">
        <f t="shared" ca="1" si="0"/>
        <v>18</v>
      </c>
      <c r="O14" s="29">
        <f t="shared" ca="1" si="1"/>
        <v>17</v>
      </c>
    </row>
    <row r="15" spans="3:15">
      <c r="C15" s="5" t="s">
        <v>21</v>
      </c>
      <c r="D15" s="8">
        <f ca="1">COUNTIF(INDIRECT("["&amp;datatable!$C$2&amp;"]"&amp;datatable!$A10&amp;"!"&amp;"Y:Y"),"High Correct")</f>
        <v>10</v>
      </c>
      <c r="E15" s="11">
        <f ca="1">COUNTIF(INDIRECT("["&amp;datatable!$C$2&amp;"]"&amp;datatable!$A10&amp;"!"&amp;"Y:Y"),"Medium Correct")</f>
        <v>0</v>
      </c>
      <c r="F15" s="13">
        <f ca="1">COUNTIF(INDIRECT("["&amp;datatable!$C$2&amp;"]"&amp;datatable!$A10&amp;"!"&amp;"Y:Y"),"Low Correct")</f>
        <v>1</v>
      </c>
      <c r="G15" s="15">
        <f ca="1">COUNTIF(INDIRECT("["&amp;datatable!$C$2&amp;"]"&amp;datatable!$A10&amp;"!"&amp;"Y:Y"),"High Maybe")</f>
        <v>1</v>
      </c>
      <c r="H15" s="17">
        <f ca="1">COUNTIF(INDIRECT("["&amp;datatable!$C$2&amp;"]"&amp;datatable!$A10&amp;"!"&amp;"Y:Y"),"Medium Maybe")</f>
        <v>0</v>
      </c>
      <c r="I15" s="19">
        <f ca="1">COUNTIF(INDIRECT("["&amp;datatable!$C$2&amp;"]"&amp;datatable!$A10&amp;"!"&amp;"Y:Y"),"Low Maybe")</f>
        <v>1</v>
      </c>
      <c r="J15" s="21">
        <f ca="1">COUNTIF(INDIRECT("["&amp;datatable!$C$2&amp;"]"&amp;datatable!$A10&amp;"!"&amp;"Y:Y"),"Low Incorrect")</f>
        <v>0</v>
      </c>
      <c r="K15" s="23">
        <f ca="1">COUNTIF(INDIRECT("["&amp;datatable!$C$2&amp;"]"&amp;datatable!$A10&amp;"!"&amp;"Y:Y"),"Medium Incorrect")</f>
        <v>1</v>
      </c>
      <c r="L15" s="25">
        <f ca="1">COUNTIF(INDIRECT("["&amp;datatable!$C$2&amp;"]"&amp;datatable!$A10&amp;"!"&amp;"Y:Y"),"High Incorrect")</f>
        <v>3</v>
      </c>
      <c r="M15" s="27">
        <f ca="1">COUNTIF(INDIRECT("["&amp;datatable!$C$2&amp;"]"&amp;datatable!$A10&amp;"!"&amp;"Y:Y"),"N/A")</f>
        <v>1</v>
      </c>
      <c r="N15" s="29">
        <f t="shared" ca="1" si="0"/>
        <v>18</v>
      </c>
      <c r="O15" s="29">
        <f t="shared" ca="1" si="1"/>
        <v>17</v>
      </c>
    </row>
    <row r="16" spans="3:15">
      <c r="C16" s="5" t="s">
        <v>22</v>
      </c>
      <c r="D16" s="8">
        <f ca="1">COUNTIF(INDIRECT("["&amp;datatable!$C$2&amp;"]"&amp;datatable!$A11&amp;"!"&amp;"Y:Y"),"High Correct")</f>
        <v>11</v>
      </c>
      <c r="E16" s="11">
        <f ca="1">COUNTIF(INDIRECT("["&amp;datatable!$C$2&amp;"]"&amp;datatable!$A11&amp;"!"&amp;"Y:Y"),"Medium Correct")</f>
        <v>1</v>
      </c>
      <c r="F16" s="13">
        <f ca="1">COUNTIF(INDIRECT("["&amp;datatable!$C$2&amp;"]"&amp;datatable!$A11&amp;"!"&amp;"Y:Y"),"Low Correct")</f>
        <v>2</v>
      </c>
      <c r="G16" s="15">
        <f ca="1">COUNTIF(INDIRECT("["&amp;datatable!$C$2&amp;"]"&amp;datatable!$A11&amp;"!"&amp;"Y:Y"),"High Maybe")</f>
        <v>1</v>
      </c>
      <c r="H16" s="17">
        <f ca="1">COUNTIF(INDIRECT("["&amp;datatable!$C$2&amp;"]"&amp;datatable!$A11&amp;"!"&amp;"Y:Y"),"Medium Maybe")</f>
        <v>1</v>
      </c>
      <c r="I16" s="19">
        <f ca="1">COUNTIF(INDIRECT("["&amp;datatable!$C$2&amp;"]"&amp;datatable!$A11&amp;"!"&amp;"Y:Y"),"Low Maybe")</f>
        <v>0</v>
      </c>
      <c r="J16" s="21">
        <f ca="1">COUNTIF(INDIRECT("["&amp;datatable!$C$2&amp;"]"&amp;datatable!$A11&amp;"!"&amp;"Y:Y"),"Low Incorrect")</f>
        <v>0</v>
      </c>
      <c r="K16" s="23">
        <f ca="1">COUNTIF(INDIRECT("["&amp;datatable!$C$2&amp;"]"&amp;datatable!$A11&amp;"!"&amp;"Y:Y"),"Medium Incorrect")</f>
        <v>1</v>
      </c>
      <c r="L16" s="25">
        <f ca="1">COUNTIF(INDIRECT("["&amp;datatable!$C$2&amp;"]"&amp;datatable!$A11&amp;"!"&amp;"Y:Y"),"High Incorrect")</f>
        <v>1</v>
      </c>
      <c r="M16" s="27">
        <f ca="1">COUNTIF(INDIRECT("["&amp;datatable!$C$2&amp;"]"&amp;datatable!$A11&amp;"!"&amp;"Y:Y"),"N/A")</f>
        <v>0</v>
      </c>
      <c r="N16" s="29">
        <f t="shared" ca="1" si="0"/>
        <v>18</v>
      </c>
      <c r="O16" s="29">
        <f t="shared" ca="1" si="1"/>
        <v>18</v>
      </c>
    </row>
    <row r="17" spans="3:17">
      <c r="C17" s="5" t="s">
        <v>23</v>
      </c>
      <c r="D17" s="8">
        <f ca="1">COUNTIF(INDIRECT("["&amp;datatable!$C$2&amp;"]"&amp;datatable!$A12&amp;"!"&amp;"Y:Y"),"High Correct")</f>
        <v>1</v>
      </c>
      <c r="E17" s="11">
        <f ca="1">COUNTIF(INDIRECT("["&amp;datatable!$C$2&amp;"]"&amp;datatable!$A12&amp;"!"&amp;"Y:Y"),"Medium Correct")</f>
        <v>8</v>
      </c>
      <c r="F17" s="13">
        <f ca="1">COUNTIF(INDIRECT("["&amp;datatable!$C$2&amp;"]"&amp;datatable!$A12&amp;"!"&amp;"Y:Y"),"Low Correct")</f>
        <v>2</v>
      </c>
      <c r="G17" s="15">
        <f ca="1">COUNTIF(INDIRECT("["&amp;datatable!$C$2&amp;"]"&amp;datatable!$A12&amp;"!"&amp;"Y:Y"),"High Maybe")</f>
        <v>2</v>
      </c>
      <c r="H17" s="17">
        <f ca="1">COUNTIF(INDIRECT("["&amp;datatable!$C$2&amp;"]"&amp;datatable!$A12&amp;"!"&amp;"Y:Y"),"Medium Maybe")</f>
        <v>0</v>
      </c>
      <c r="I17" s="19">
        <f ca="1">COUNTIF(INDIRECT("["&amp;datatable!$C$2&amp;"]"&amp;datatable!$A12&amp;"!"&amp;"Y:Y"),"Low Maybe")</f>
        <v>1</v>
      </c>
      <c r="J17" s="21">
        <f ca="1">COUNTIF(INDIRECT("["&amp;datatable!$C$2&amp;"]"&amp;datatable!$A12&amp;"!"&amp;"Y:Y"),"Low Incorrect")</f>
        <v>1</v>
      </c>
      <c r="K17" s="23">
        <f ca="1">COUNTIF(INDIRECT("["&amp;datatable!$C$2&amp;"]"&amp;datatable!$A12&amp;"!"&amp;"Y:Y"),"Medium Incorrect")</f>
        <v>1</v>
      </c>
      <c r="L17" s="25">
        <f ca="1">COUNTIF(INDIRECT("["&amp;datatable!$C$2&amp;"]"&amp;datatable!$A12&amp;"!"&amp;"Y:Y"),"High Incorrect")</f>
        <v>1</v>
      </c>
      <c r="M17" s="27">
        <f ca="1">COUNTIF(INDIRECT("["&amp;datatable!$C$2&amp;"]"&amp;datatable!$A12&amp;"!"&amp;"Y:Y"),"N/A")</f>
        <v>1</v>
      </c>
      <c r="N17" s="29">
        <f t="shared" ca="1" si="0"/>
        <v>18</v>
      </c>
      <c r="O17" s="29">
        <f t="shared" ca="1" si="1"/>
        <v>17</v>
      </c>
    </row>
    <row r="18" spans="3:17">
      <c r="C18" s="5" t="s">
        <v>24</v>
      </c>
      <c r="D18" s="8">
        <f ca="1">COUNTIF(INDIRECT("["&amp;datatable!$C$2&amp;"]"&amp;datatable!$A13&amp;"!"&amp;"Y:Y"),"High Correct")</f>
        <v>6</v>
      </c>
      <c r="E18" s="11">
        <f ca="1">COUNTIF(INDIRECT("["&amp;datatable!$C$2&amp;"]"&amp;datatable!$A13&amp;"!"&amp;"Y:Y"),"Medium Correct")</f>
        <v>2</v>
      </c>
      <c r="F18" s="13">
        <f ca="1">COUNTIF(INDIRECT("["&amp;datatable!$C$2&amp;"]"&amp;datatable!$A13&amp;"!"&amp;"Y:Y"),"Low Correct")</f>
        <v>0</v>
      </c>
      <c r="G18" s="15">
        <f ca="1">COUNTIF(INDIRECT("["&amp;datatable!$C$2&amp;"]"&amp;datatable!$A13&amp;"!"&amp;"Y:Y"),"High Maybe")</f>
        <v>3</v>
      </c>
      <c r="H18" s="17">
        <f ca="1">COUNTIF(INDIRECT("["&amp;datatable!$C$2&amp;"]"&amp;datatable!$A13&amp;"!"&amp;"Y:Y"),"Medium Maybe")</f>
        <v>1</v>
      </c>
      <c r="I18" s="19">
        <f ca="1">COUNTIF(INDIRECT("["&amp;datatable!$C$2&amp;"]"&amp;datatable!$A13&amp;"!"&amp;"Y:Y"),"Low Maybe")</f>
        <v>0</v>
      </c>
      <c r="J18" s="21">
        <f ca="1">COUNTIF(INDIRECT("["&amp;datatable!$C$2&amp;"]"&amp;datatable!$A13&amp;"!"&amp;"Y:Y"),"Low Incorrect")</f>
        <v>1</v>
      </c>
      <c r="K18" s="23">
        <f ca="1">COUNTIF(INDIRECT("["&amp;datatable!$C$2&amp;"]"&amp;datatable!$A13&amp;"!"&amp;"Y:Y"),"Medium Incorrect")</f>
        <v>0</v>
      </c>
      <c r="L18" s="25">
        <f ca="1">COUNTIF(INDIRECT("["&amp;datatable!$C$2&amp;"]"&amp;datatable!$A13&amp;"!"&amp;"Y:Y"),"High Incorrect")</f>
        <v>3</v>
      </c>
      <c r="M18" s="27">
        <f ca="1">COUNTIF(INDIRECT("["&amp;datatable!$C$2&amp;"]"&amp;datatable!$A13&amp;"!"&amp;"Y:Y"),"N/A")</f>
        <v>2</v>
      </c>
      <c r="N18" s="29">
        <f t="shared" ca="1" si="0"/>
        <v>18</v>
      </c>
      <c r="O18" s="29">
        <f t="shared" ca="1" si="1"/>
        <v>16</v>
      </c>
    </row>
    <row r="19" spans="3:17">
      <c r="C19" s="5" t="s">
        <v>25</v>
      </c>
      <c r="D19" s="8">
        <f ca="1">COUNTIF(INDIRECT("["&amp;datatable!$C$2&amp;"]"&amp;datatable!$A14&amp;"!"&amp;"Y:Y"),"High Correct")</f>
        <v>5</v>
      </c>
      <c r="E19" s="11">
        <f ca="1">COUNTIF(INDIRECT("["&amp;datatable!$C$2&amp;"]"&amp;datatable!$A14&amp;"!"&amp;"Y:Y"),"Medium Correct")</f>
        <v>1</v>
      </c>
      <c r="F19" s="13">
        <f ca="1">COUNTIF(INDIRECT("["&amp;datatable!$C$2&amp;"]"&amp;datatable!$A14&amp;"!"&amp;"Y:Y"),"Low Correct")</f>
        <v>2</v>
      </c>
      <c r="G19" s="15">
        <f ca="1">COUNTIF(INDIRECT("["&amp;datatable!$C$2&amp;"]"&amp;datatable!$A14&amp;"!"&amp;"Y:Y"),"High Maybe")</f>
        <v>3</v>
      </c>
      <c r="H19" s="17">
        <f ca="1">COUNTIF(INDIRECT("["&amp;datatable!$C$2&amp;"]"&amp;datatable!$A14&amp;"!"&amp;"Y:Y"),"Medium Maybe")</f>
        <v>2</v>
      </c>
      <c r="I19" s="19">
        <f ca="1">COUNTIF(INDIRECT("["&amp;datatable!$C$2&amp;"]"&amp;datatable!$A14&amp;"!"&amp;"Y:Y"),"Low Maybe")</f>
        <v>0</v>
      </c>
      <c r="J19" s="21">
        <f ca="1">COUNTIF(INDIRECT("["&amp;datatable!$C$2&amp;"]"&amp;datatable!$A14&amp;"!"&amp;"Y:Y"),"Low Incorrect")</f>
        <v>1</v>
      </c>
      <c r="K19" s="23">
        <f ca="1">COUNTIF(INDIRECT("["&amp;datatable!$C$2&amp;"]"&amp;datatable!$A14&amp;"!"&amp;"Y:Y"),"Medium Incorrect")</f>
        <v>0</v>
      </c>
      <c r="L19" s="25">
        <f ca="1">COUNTIF(INDIRECT("["&amp;datatable!$C$2&amp;"]"&amp;datatable!$A14&amp;"!"&amp;"Y:Y"),"High Incorrect")</f>
        <v>3</v>
      </c>
      <c r="M19" s="27">
        <f ca="1">COUNTIF(INDIRECT("["&amp;datatable!$C$2&amp;"]"&amp;datatable!$A14&amp;"!"&amp;"Y:Y"),"N/A")</f>
        <v>1</v>
      </c>
      <c r="N19" s="29">
        <f t="shared" ca="1" si="0"/>
        <v>18</v>
      </c>
      <c r="O19" s="29">
        <f t="shared" ca="1" si="1"/>
        <v>17</v>
      </c>
    </row>
    <row r="20" spans="3:17">
      <c r="C20" s="5" t="s">
        <v>26</v>
      </c>
      <c r="D20" s="8">
        <f ca="1">COUNTIF(INDIRECT("["&amp;datatable!$C$2&amp;"]"&amp;datatable!$A15&amp;"!"&amp;"Y:Y"),"High Correct")</f>
        <v>8</v>
      </c>
      <c r="E20" s="11">
        <f ca="1">COUNTIF(INDIRECT("["&amp;datatable!$C$2&amp;"]"&amp;datatable!$A15&amp;"!"&amp;"Y:Y"),"Medium Correct")</f>
        <v>3</v>
      </c>
      <c r="F20" s="13">
        <f ca="1">COUNTIF(INDIRECT("["&amp;datatable!$C$2&amp;"]"&amp;datatable!$A15&amp;"!"&amp;"Y:Y"),"Low Correct")</f>
        <v>2</v>
      </c>
      <c r="G20" s="15">
        <f ca="1">COUNTIF(INDIRECT("["&amp;datatable!$C$2&amp;"]"&amp;datatable!$A15&amp;"!"&amp;"Y:Y"),"High Maybe")</f>
        <v>0</v>
      </c>
      <c r="H20" s="17">
        <f ca="1">COUNTIF(INDIRECT("["&amp;datatable!$C$2&amp;"]"&amp;datatable!$A15&amp;"!"&amp;"Y:Y"),"Medium Maybe")</f>
        <v>1</v>
      </c>
      <c r="I20" s="19">
        <f ca="1">COUNTIF(INDIRECT("["&amp;datatable!$C$2&amp;"]"&amp;datatable!$A15&amp;"!"&amp;"Y:Y"),"Low Maybe")</f>
        <v>0</v>
      </c>
      <c r="J20" s="21">
        <f ca="1">COUNTIF(INDIRECT("["&amp;datatable!$C$2&amp;"]"&amp;datatable!$A15&amp;"!"&amp;"Y:Y"),"Low Incorrect")</f>
        <v>0</v>
      </c>
      <c r="K20" s="23">
        <f ca="1">COUNTIF(INDIRECT("["&amp;datatable!$C$2&amp;"]"&amp;datatable!$A15&amp;"!"&amp;"Y:Y"),"Medium Incorrect")</f>
        <v>0</v>
      </c>
      <c r="L20" s="25">
        <f ca="1">COUNTIF(INDIRECT("["&amp;datatable!$C$2&amp;"]"&amp;datatable!$A15&amp;"!"&amp;"Y:Y"),"High Incorrect")</f>
        <v>3</v>
      </c>
      <c r="M20" s="27">
        <f ca="1">COUNTIF(INDIRECT("["&amp;datatable!$C$2&amp;"]"&amp;datatable!$A15&amp;"!"&amp;"Y:Y"),"N/A")</f>
        <v>1</v>
      </c>
      <c r="N20" s="29">
        <f t="shared" ca="1" si="0"/>
        <v>18</v>
      </c>
      <c r="O20" s="29">
        <f t="shared" ca="1" si="1"/>
        <v>17</v>
      </c>
    </row>
    <row r="21" spans="3:17">
      <c r="C21" s="5" t="s">
        <v>27</v>
      </c>
      <c r="D21" s="8">
        <f ca="1">COUNTIF(INDIRECT("["&amp;datatable!$C$2&amp;"]"&amp;datatable!$A16&amp;"!"&amp;"Y:Y"),"High Correct")</f>
        <v>9</v>
      </c>
      <c r="E21" s="11">
        <f ca="1">COUNTIF(INDIRECT("["&amp;datatable!$C$2&amp;"]"&amp;datatable!$A16&amp;"!"&amp;"Y:Y"),"Medium Correct")</f>
        <v>3</v>
      </c>
      <c r="F21" s="13">
        <f ca="1">COUNTIF(INDIRECT("["&amp;datatable!$C$2&amp;"]"&amp;datatable!$A16&amp;"!"&amp;"Y:Y"),"Low Correct")</f>
        <v>1</v>
      </c>
      <c r="G21" s="15">
        <f ca="1">COUNTIF(INDIRECT("["&amp;datatable!$C$2&amp;"]"&amp;datatable!$A16&amp;"!"&amp;"Y:Y"),"High Maybe")</f>
        <v>1</v>
      </c>
      <c r="H21" s="17">
        <f ca="1">COUNTIF(INDIRECT("["&amp;datatable!$C$2&amp;"]"&amp;datatable!$A16&amp;"!"&amp;"Y:Y"),"Medium Maybe")</f>
        <v>1</v>
      </c>
      <c r="I21" s="19">
        <f ca="1">COUNTIF(INDIRECT("["&amp;datatable!$C$2&amp;"]"&amp;datatable!$A16&amp;"!"&amp;"Y:Y"),"Low Maybe")</f>
        <v>0</v>
      </c>
      <c r="J21" s="21">
        <f ca="1">COUNTIF(INDIRECT("["&amp;datatable!$C$2&amp;"]"&amp;datatable!$A16&amp;"!"&amp;"Y:Y"),"Low Incorrect")</f>
        <v>0</v>
      </c>
      <c r="K21" s="23">
        <f ca="1">COUNTIF(INDIRECT("["&amp;datatable!$C$2&amp;"]"&amp;datatable!$A16&amp;"!"&amp;"Y:Y"),"Medium Incorrect")</f>
        <v>1</v>
      </c>
      <c r="L21" s="25">
        <f ca="1">COUNTIF(INDIRECT("["&amp;datatable!$C$2&amp;"]"&amp;datatable!$A16&amp;"!"&amp;"Y:Y"),"High Incorrect")</f>
        <v>1</v>
      </c>
      <c r="M21" s="27">
        <f ca="1">COUNTIF(INDIRECT("["&amp;datatable!$C$2&amp;"]"&amp;datatable!$A16&amp;"!"&amp;"Y:Y"),"N/A")</f>
        <v>1</v>
      </c>
      <c r="N21" s="29">
        <f t="shared" ca="1" si="0"/>
        <v>18</v>
      </c>
      <c r="O21" s="29">
        <f t="shared" ca="1" si="1"/>
        <v>17</v>
      </c>
    </row>
    <row r="22" spans="3:17">
      <c r="C22" s="5" t="s">
        <v>28</v>
      </c>
      <c r="D22" s="8">
        <f ca="1">COUNTIF(INDIRECT("["&amp;datatable!$C$2&amp;"]"&amp;datatable!$A17&amp;"!"&amp;"Y:Y"),"High Correct")</f>
        <v>7</v>
      </c>
      <c r="E22" s="11">
        <f ca="1">COUNTIF(INDIRECT("["&amp;datatable!$C$2&amp;"]"&amp;datatable!$A17&amp;"!"&amp;"Y:Y"),"Medium Correct")</f>
        <v>1</v>
      </c>
      <c r="F22" s="13">
        <f ca="1">COUNTIF(INDIRECT("["&amp;datatable!$C$2&amp;"]"&amp;datatable!$A17&amp;"!"&amp;"Y:Y"),"Low Correct")</f>
        <v>3</v>
      </c>
      <c r="G22" s="15">
        <f ca="1">COUNTIF(INDIRECT("["&amp;datatable!$C$2&amp;"]"&amp;datatable!$A17&amp;"!"&amp;"Y:Y"),"High Maybe")</f>
        <v>2</v>
      </c>
      <c r="H22" s="17">
        <f ca="1">COUNTIF(INDIRECT("["&amp;datatable!$C$2&amp;"]"&amp;datatable!$A17&amp;"!"&amp;"Y:Y"),"Medium Maybe")</f>
        <v>1</v>
      </c>
      <c r="I22" s="19">
        <f ca="1">COUNTIF(INDIRECT("["&amp;datatable!$C$2&amp;"]"&amp;datatable!$A17&amp;"!"&amp;"Y:Y"),"Low Maybe")</f>
        <v>0</v>
      </c>
      <c r="J22" s="21">
        <f ca="1">COUNTIF(INDIRECT("["&amp;datatable!$C$2&amp;"]"&amp;datatable!$A17&amp;"!"&amp;"Y:Y"),"Low Incorrect")</f>
        <v>1</v>
      </c>
      <c r="K22" s="23">
        <f ca="1">COUNTIF(INDIRECT("["&amp;datatable!$C$2&amp;"]"&amp;datatable!$A17&amp;"!"&amp;"Y:Y"),"Medium Incorrect")</f>
        <v>0</v>
      </c>
      <c r="L22" s="25">
        <f ca="1">COUNTIF(INDIRECT("["&amp;datatable!$C$2&amp;"]"&amp;datatable!$A17&amp;"!"&amp;"Y:Y"),"High Incorrect")</f>
        <v>2</v>
      </c>
      <c r="M22" s="27">
        <f ca="1">COUNTIF(INDIRECT("["&amp;datatable!$C$2&amp;"]"&amp;datatable!$A17&amp;"!"&amp;"Y:Y"),"N/A")</f>
        <v>1</v>
      </c>
      <c r="N22" s="29">
        <f t="shared" ca="1" si="0"/>
        <v>18</v>
      </c>
      <c r="O22" s="29">
        <f t="shared" ca="1" si="1"/>
        <v>17</v>
      </c>
    </row>
    <row r="23" spans="3:17">
      <c r="C23" s="5" t="s">
        <v>29</v>
      </c>
      <c r="D23" s="8">
        <f ca="1">COUNTIF(INDIRECT("["&amp;datatable!$C$2&amp;"]"&amp;datatable!$A18&amp;"!"&amp;"Y:Y"),"High Correct")</f>
        <v>0</v>
      </c>
      <c r="E23" s="11">
        <f ca="1">COUNTIF(INDIRECT("["&amp;datatable!$C$2&amp;"]"&amp;datatable!$A18&amp;"!"&amp;"Y:Y"),"Medium Correct")</f>
        <v>1</v>
      </c>
      <c r="F23" s="13">
        <f ca="1">COUNTIF(INDIRECT("["&amp;datatable!$C$2&amp;"]"&amp;datatable!$A18&amp;"!"&amp;"Y:Y"),"Low Correct")</f>
        <v>3</v>
      </c>
      <c r="G23" s="15">
        <f ca="1">COUNTIF(INDIRECT("["&amp;datatable!$C$2&amp;"]"&amp;datatable!$A18&amp;"!"&amp;"Y:Y"),"High Maybe")</f>
        <v>0</v>
      </c>
      <c r="H23" s="17">
        <f ca="1">COUNTIF(INDIRECT("["&amp;datatable!$C$2&amp;"]"&amp;datatable!$A18&amp;"!"&amp;"Y:Y"),"Medium Maybe")</f>
        <v>1</v>
      </c>
      <c r="I23" s="19">
        <f ca="1">COUNTIF(INDIRECT("["&amp;datatable!$C$2&amp;"]"&amp;datatable!$A18&amp;"!"&amp;"Y:Y"),"Low Maybe")</f>
        <v>1</v>
      </c>
      <c r="J23" s="21">
        <f ca="1">COUNTIF(INDIRECT("["&amp;datatable!$C$2&amp;"]"&amp;datatable!$A18&amp;"!"&amp;"Y:Y"),"Low Incorrect")</f>
        <v>2</v>
      </c>
      <c r="K23" s="23">
        <f ca="1">COUNTIF(INDIRECT("["&amp;datatable!$C$2&amp;"]"&amp;datatable!$A18&amp;"!"&amp;"Y:Y"),"Medium Incorrect")</f>
        <v>1</v>
      </c>
      <c r="L23" s="25">
        <f ca="1">COUNTIF(INDIRECT("["&amp;datatable!$C$2&amp;"]"&amp;datatable!$A18&amp;"!"&amp;"Y:Y"),"High Incorrect")</f>
        <v>3</v>
      </c>
      <c r="M23" s="27">
        <f ca="1">COUNTIF(INDIRECT("["&amp;datatable!$C$2&amp;"]"&amp;datatable!$A18&amp;"!"&amp;"Y:Y"),"N/A")</f>
        <v>6</v>
      </c>
      <c r="N23" s="29">
        <f t="shared" ca="1" si="0"/>
        <v>18</v>
      </c>
      <c r="O23" s="29">
        <f t="shared" ca="1" si="1"/>
        <v>12</v>
      </c>
      <c r="Q23" t="s">
        <v>56</v>
      </c>
    </row>
    <row r="24" spans="3:17">
      <c r="C24" s="5" t="s">
        <v>30</v>
      </c>
      <c r="D24" s="8">
        <f ca="1">COUNTIF(INDIRECT("["&amp;datatable!$C$2&amp;"]"&amp;datatable!$A19&amp;"!"&amp;"Y:Y"),"High Correct")</f>
        <v>0</v>
      </c>
      <c r="E24" s="11">
        <f ca="1">COUNTIF(INDIRECT("["&amp;datatable!$C$2&amp;"]"&amp;datatable!$A19&amp;"!"&amp;"Y:Y"),"Medium Correct")</f>
        <v>2</v>
      </c>
      <c r="F24" s="13">
        <f ca="1">COUNTIF(INDIRECT("["&amp;datatable!$C$2&amp;"]"&amp;datatable!$A19&amp;"!"&amp;"Y:Y"),"Low Correct")</f>
        <v>2</v>
      </c>
      <c r="G24" s="15">
        <f ca="1">COUNTIF(INDIRECT("["&amp;datatable!$C$2&amp;"]"&amp;datatable!$A19&amp;"!"&amp;"Y:Y"),"High Maybe")</f>
        <v>1</v>
      </c>
      <c r="H24" s="17">
        <f ca="1">COUNTIF(INDIRECT("["&amp;datatable!$C$2&amp;"]"&amp;datatable!$A19&amp;"!"&amp;"Y:Y"),"Medium Maybe")</f>
        <v>5</v>
      </c>
      <c r="I24" s="19">
        <f ca="1">COUNTIF(INDIRECT("["&amp;datatable!$C$2&amp;"]"&amp;datatable!$A19&amp;"!"&amp;"Y:Y"),"Low Maybe")</f>
        <v>0</v>
      </c>
      <c r="J24" s="21">
        <f ca="1">COUNTIF(INDIRECT("["&amp;datatable!$C$2&amp;"]"&amp;datatable!$A19&amp;"!"&amp;"Y:Y"),"Low Incorrect")</f>
        <v>2</v>
      </c>
      <c r="K24" s="23">
        <f ca="1">COUNTIF(INDIRECT("["&amp;datatable!$C$2&amp;"]"&amp;datatable!$A19&amp;"!"&amp;"Y:Y"),"Medium Incorrect")</f>
        <v>2</v>
      </c>
      <c r="L24" s="25">
        <f ca="1">COUNTIF(INDIRECT("["&amp;datatable!$C$2&amp;"]"&amp;datatable!$A19&amp;"!"&amp;"Y:Y"),"High Incorrect")</f>
        <v>4</v>
      </c>
      <c r="M24" s="27">
        <f ca="1">COUNTIF(INDIRECT("["&amp;datatable!$C$2&amp;"]"&amp;datatable!$A19&amp;"!"&amp;"Y:Y"),"N/A")</f>
        <v>0</v>
      </c>
      <c r="N24" s="29">
        <f t="shared" ca="1" si="0"/>
        <v>18</v>
      </c>
      <c r="O24" s="29">
        <f t="shared" ca="1" si="1"/>
        <v>18</v>
      </c>
    </row>
    <row r="25" spans="3:17">
      <c r="C25" s="5" t="s">
        <v>31</v>
      </c>
      <c r="D25" s="8">
        <f ca="1">COUNTIF(INDIRECT("["&amp;datatable!$C$2&amp;"]"&amp;datatable!$A20&amp;"!"&amp;"Y:Y"),"High Correct")</f>
        <v>0</v>
      </c>
      <c r="E25" s="11">
        <f ca="1">COUNTIF(INDIRECT("["&amp;datatable!$C$2&amp;"]"&amp;datatable!$A20&amp;"!"&amp;"Y:Y"),"Medium Correct")</f>
        <v>7</v>
      </c>
      <c r="F25" s="13">
        <f ca="1">COUNTIF(INDIRECT("["&amp;datatable!$C$2&amp;"]"&amp;datatable!$A20&amp;"!"&amp;"Y:Y"),"Low Correct")</f>
        <v>4</v>
      </c>
      <c r="G25" s="15">
        <f ca="1">COUNTIF(INDIRECT("["&amp;datatable!$C$2&amp;"]"&amp;datatable!$A20&amp;"!"&amp;"Y:Y"),"High Maybe")</f>
        <v>2</v>
      </c>
      <c r="H25" s="17">
        <f ca="1">COUNTIF(INDIRECT("["&amp;datatable!$C$2&amp;"]"&amp;datatable!$A20&amp;"!"&amp;"Y:Y"),"Medium Maybe")</f>
        <v>2</v>
      </c>
      <c r="I25" s="19">
        <f ca="1">COUNTIF(INDIRECT("["&amp;datatable!$C$2&amp;"]"&amp;datatable!$A20&amp;"!"&amp;"Y:Y"),"Low Maybe")</f>
        <v>0</v>
      </c>
      <c r="J25" s="21">
        <f ca="1">COUNTIF(INDIRECT("["&amp;datatable!$C$2&amp;"]"&amp;datatable!$A20&amp;"!"&amp;"Y:Y"),"Low Incorrect")</f>
        <v>0</v>
      </c>
      <c r="K25" s="23">
        <f ca="1">COUNTIF(INDIRECT("["&amp;datatable!$C$2&amp;"]"&amp;datatable!$A20&amp;"!"&amp;"Y:Y"),"Medium Incorrect")</f>
        <v>0</v>
      </c>
      <c r="L25" s="25">
        <f ca="1">COUNTIF(INDIRECT("["&amp;datatable!$C$2&amp;"]"&amp;datatable!$A20&amp;"!"&amp;"Y:Y"),"High Incorrect")</f>
        <v>3</v>
      </c>
      <c r="M25" s="27">
        <f ca="1">COUNTIF(INDIRECT("["&amp;datatable!$C$2&amp;"]"&amp;datatable!$A20&amp;"!"&amp;"Y:Y"),"N/A")</f>
        <v>0</v>
      </c>
      <c r="N25" s="29">
        <f t="shared" ca="1" si="0"/>
        <v>18</v>
      </c>
      <c r="O25" s="29">
        <f t="shared" ca="1" si="1"/>
        <v>18</v>
      </c>
      <c r="Q25" t="s">
        <v>57</v>
      </c>
    </row>
    <row r="26" spans="3:17">
      <c r="C26" s="5" t="s">
        <v>32</v>
      </c>
      <c r="D26" s="8">
        <f ca="1">COUNTIF(INDIRECT("["&amp;datatable!$C$2&amp;"]"&amp;datatable!$A21&amp;"!"&amp;"Y:Y"),"High Correct")</f>
        <v>3</v>
      </c>
      <c r="E26" s="11">
        <f ca="1">COUNTIF(INDIRECT("["&amp;datatable!$C$2&amp;"]"&amp;datatable!$A21&amp;"!"&amp;"Y:Y"),"Medium Correct")</f>
        <v>2</v>
      </c>
      <c r="F26" s="13">
        <f ca="1">COUNTIF(INDIRECT("["&amp;datatable!$C$2&amp;"]"&amp;datatable!$A21&amp;"!"&amp;"Y:Y"),"Low Correct")</f>
        <v>3</v>
      </c>
      <c r="G26" s="15">
        <f ca="1">COUNTIF(INDIRECT("["&amp;datatable!$C$2&amp;"]"&amp;datatable!$A21&amp;"!"&amp;"Y:Y"),"High Maybe")</f>
        <v>2</v>
      </c>
      <c r="H26" s="17">
        <f ca="1">COUNTIF(INDIRECT("["&amp;datatable!$C$2&amp;"]"&amp;datatable!$A21&amp;"!"&amp;"Y:Y"),"Medium Maybe")</f>
        <v>4</v>
      </c>
      <c r="I26" s="19">
        <f ca="1">COUNTIF(INDIRECT("["&amp;datatable!$C$2&amp;"]"&amp;datatable!$A21&amp;"!"&amp;"Y:Y"),"Low Maybe")</f>
        <v>0</v>
      </c>
      <c r="J26" s="21">
        <f ca="1">COUNTIF(INDIRECT("["&amp;datatable!$C$2&amp;"]"&amp;datatable!$A21&amp;"!"&amp;"Y:Y"),"Low Incorrect")</f>
        <v>0</v>
      </c>
      <c r="K26" s="23">
        <f ca="1">COUNTIF(INDIRECT("["&amp;datatable!$C$2&amp;"]"&amp;datatable!$A21&amp;"!"&amp;"Y:Y"),"Medium Incorrect")</f>
        <v>0</v>
      </c>
      <c r="L26" s="25">
        <f ca="1">COUNTIF(INDIRECT("["&amp;datatable!$C$2&amp;"]"&amp;datatable!$A21&amp;"!"&amp;"Y:Y"),"High Incorrect")</f>
        <v>3</v>
      </c>
      <c r="M26" s="27">
        <f ca="1">COUNTIF(INDIRECT("["&amp;datatable!$C$2&amp;"]"&amp;datatable!$A21&amp;"!"&amp;"Y:Y"),"N/A")</f>
        <v>1</v>
      </c>
      <c r="N26" s="29">
        <f t="shared" ca="1" si="0"/>
        <v>18</v>
      </c>
      <c r="O26" s="29">
        <f t="shared" ca="1" si="1"/>
        <v>17</v>
      </c>
    </row>
    <row r="27" spans="3:17">
      <c r="C27" s="5" t="s">
        <v>33</v>
      </c>
      <c r="D27" s="8">
        <f ca="1">COUNTIF(INDIRECT("["&amp;datatable!$C$2&amp;"]"&amp;datatable!$A22&amp;"!"&amp;"Y:Y"),"High Correct")</f>
        <v>1</v>
      </c>
      <c r="E27" s="11">
        <f ca="1">COUNTIF(INDIRECT("["&amp;datatable!$C$2&amp;"]"&amp;datatable!$A22&amp;"!"&amp;"Y:Y"),"Medium Correct")</f>
        <v>1</v>
      </c>
      <c r="F27" s="13">
        <f ca="1">COUNTIF(INDIRECT("["&amp;datatable!$C$2&amp;"]"&amp;datatable!$A22&amp;"!"&amp;"Y:Y"),"Low Correct")</f>
        <v>1</v>
      </c>
      <c r="G27" s="15">
        <f ca="1">COUNTIF(INDIRECT("["&amp;datatable!$C$2&amp;"]"&amp;datatable!$A22&amp;"!"&amp;"Y:Y"),"High Maybe")</f>
        <v>1</v>
      </c>
      <c r="H27" s="17">
        <f ca="1">COUNTIF(INDIRECT("["&amp;datatable!$C$2&amp;"]"&amp;datatable!$A22&amp;"!"&amp;"Y:Y"),"Medium Maybe")</f>
        <v>1</v>
      </c>
      <c r="I27" s="19">
        <f ca="1">COUNTIF(INDIRECT("["&amp;datatable!$C$2&amp;"]"&amp;datatable!$A22&amp;"!"&amp;"Y:Y"),"Low Maybe")</f>
        <v>0</v>
      </c>
      <c r="J27" s="21">
        <f ca="1">COUNTIF(INDIRECT("["&amp;datatable!$C$2&amp;"]"&amp;datatable!$A22&amp;"!"&amp;"Y:Y"),"Low Incorrect")</f>
        <v>0</v>
      </c>
      <c r="K27" s="23">
        <f ca="1">COUNTIF(INDIRECT("["&amp;datatable!$C$2&amp;"]"&amp;datatable!$A22&amp;"!"&amp;"Y:Y"),"Medium Incorrect")</f>
        <v>1</v>
      </c>
      <c r="L27" s="25">
        <f ca="1">COUNTIF(INDIRECT("["&amp;datatable!$C$2&amp;"]"&amp;datatable!$A22&amp;"!"&amp;"Y:Y"),"High Incorrect")</f>
        <v>3</v>
      </c>
      <c r="M27" s="27">
        <f ca="1">COUNTIF(INDIRECT("["&amp;datatable!$C$2&amp;"]"&amp;datatable!$A22&amp;"!"&amp;"Y:Y"),"N/A")</f>
        <v>9</v>
      </c>
      <c r="N27" s="29">
        <f t="shared" ca="1" si="0"/>
        <v>18</v>
      </c>
      <c r="O27" s="29">
        <f t="shared" ca="1" si="1"/>
        <v>9</v>
      </c>
    </row>
    <row r="28" spans="3:17">
      <c r="C28" s="6" t="s">
        <v>34</v>
      </c>
      <c r="D28" s="9">
        <f t="shared" ref="D28:M28" ca="1" si="2">SUM(D7:D27)</f>
        <v>113</v>
      </c>
      <c r="E28" s="9">
        <f t="shared" ca="1" si="2"/>
        <v>50</v>
      </c>
      <c r="F28" s="9">
        <f t="shared" ca="1" si="2"/>
        <v>38</v>
      </c>
      <c r="G28" s="9">
        <f t="shared" ca="1" si="2"/>
        <v>32</v>
      </c>
      <c r="H28" s="9">
        <f t="shared" ca="1" si="2"/>
        <v>28</v>
      </c>
      <c r="I28" s="9">
        <f t="shared" ca="1" si="2"/>
        <v>5</v>
      </c>
      <c r="J28" s="9">
        <f t="shared" ca="1" si="2"/>
        <v>14</v>
      </c>
      <c r="K28" s="9">
        <f t="shared" ca="1" si="2"/>
        <v>16</v>
      </c>
      <c r="L28" s="9">
        <f t="shared" ca="1" si="2"/>
        <v>55</v>
      </c>
      <c r="M28" s="9">
        <f t="shared" ca="1" si="2"/>
        <v>27</v>
      </c>
      <c r="N28" s="29">
        <f t="shared" ca="1" si="0"/>
        <v>378</v>
      </c>
      <c r="O28" s="29">
        <f t="shared" ca="1" si="1"/>
        <v>351</v>
      </c>
    </row>
    <row r="30" spans="3:17">
      <c r="C30" s="30" t="s">
        <v>35</v>
      </c>
    </row>
    <row r="31" spans="3:17">
      <c r="C31" s="30"/>
      <c r="D31" s="31" t="s">
        <v>1</v>
      </c>
      <c r="E31" s="32" t="s">
        <v>2</v>
      </c>
      <c r="F31" s="33" t="s">
        <v>3</v>
      </c>
      <c r="G31" s="34" t="s">
        <v>4</v>
      </c>
      <c r="H31" s="35" t="s">
        <v>5</v>
      </c>
      <c r="I31" s="36" t="s">
        <v>6</v>
      </c>
      <c r="J31" s="37" t="s">
        <v>7</v>
      </c>
      <c r="K31" s="38" t="s">
        <v>8</v>
      </c>
      <c r="L31" s="39" t="s">
        <v>9</v>
      </c>
      <c r="M31" s="40" t="s">
        <v>10</v>
      </c>
      <c r="N31" s="41" t="s">
        <v>36</v>
      </c>
      <c r="O31" s="41" t="s">
        <v>12</v>
      </c>
    </row>
    <row r="32" spans="3:17">
      <c r="C32" s="42" t="s">
        <v>37</v>
      </c>
      <c r="D32" s="8">
        <f ca="1">COUNTIF(INDIRECT("["&amp;datatable!$C$2&amp;"]"&amp;datatable!$B2&amp;"!"&amp;"Y:Y"),"High Correct")</f>
        <v>12</v>
      </c>
      <c r="E32" s="11">
        <f ca="1">COUNTIF(INDIRECT("["&amp;datatable!$C$2&amp;"]"&amp;datatable!$B2&amp;"!"&amp;"Y:Y"),"Medium Correct")</f>
        <v>3</v>
      </c>
      <c r="F32" s="13">
        <f ca="1">COUNTIF(INDIRECT("["&amp;datatable!$C$2&amp;"]"&amp;datatable!$B2&amp;"!"&amp;"Y:Y"),"Low Correct")</f>
        <v>0</v>
      </c>
      <c r="G32" s="15">
        <f ca="1">COUNTIF(INDIRECT("["&amp;datatable!$C$2&amp;"]"&amp;datatable!$B2&amp;"!"&amp;"Y:Y"),"High Maybe")</f>
        <v>2</v>
      </c>
      <c r="H32" s="17">
        <f ca="1">COUNTIF(INDIRECT("["&amp;datatable!$C$2&amp;"]"&amp;datatable!$B2&amp;"!"&amp;"Y:Y"),"Medium Maybe")</f>
        <v>0</v>
      </c>
      <c r="I32" s="19">
        <f ca="1">COUNTIF(INDIRECT("["&amp;datatable!$C$2&amp;"]"&amp;datatable!$B2&amp;"!"&amp;"Y:Y"),"Low Maybe")</f>
        <v>0</v>
      </c>
      <c r="J32" s="21">
        <f ca="1">COUNTIF(INDIRECT("["&amp;datatable!$C$2&amp;"]"&amp;datatable!$B2&amp;"!"&amp;"Y:Y"),"Low Incorrect")</f>
        <v>1</v>
      </c>
      <c r="K32" s="23">
        <f ca="1">COUNTIF(INDIRECT("["&amp;datatable!$C$2&amp;"]"&amp;datatable!$B2&amp;"!"&amp;"Y:Y"),"Medium Incorrect")</f>
        <v>0</v>
      </c>
      <c r="L32" s="25">
        <f ca="1">COUNTIF(INDIRECT("["&amp;datatable!$C$2&amp;"]"&amp;datatable!$B2&amp;"!"&amp;"Y:Y"),"High Incorrect")</f>
        <v>0</v>
      </c>
      <c r="M32" s="27">
        <f ca="1">COUNTIF(INDIRECT("["&amp;datatable!$C$2&amp;"]"&amp;datatable!$B2&amp;"!"&amp;"Y:Y"),"N/A")</f>
        <v>3</v>
      </c>
      <c r="N32" s="43">
        <f t="shared" ref="N32:N48" ca="1" si="3">SUM(D32:M32)</f>
        <v>21</v>
      </c>
      <c r="O32" s="43">
        <f t="shared" ref="O32:O48" ca="1" si="4">SUM(D32:L32)</f>
        <v>18</v>
      </c>
    </row>
    <row r="33" spans="3:15">
      <c r="C33" s="44" t="s">
        <v>38</v>
      </c>
      <c r="D33" s="8">
        <f ca="1">COUNTIF(INDIRECT("["&amp;datatable!$C$2&amp;"]"&amp;datatable!$B3&amp;"!"&amp;"Y:Y"),"High Correct")</f>
        <v>5</v>
      </c>
      <c r="E33" s="11">
        <f ca="1">COUNTIF(INDIRECT("["&amp;datatable!$C$2&amp;"]"&amp;datatable!$B3&amp;"!"&amp;"Y:Y"),"Medium Correct")</f>
        <v>1</v>
      </c>
      <c r="F33" s="13">
        <f ca="1">COUNTIF(INDIRECT("["&amp;datatable!$C$2&amp;"]"&amp;datatable!$B3&amp;"!"&amp;"Y:Y"),"Low Correct")</f>
        <v>3</v>
      </c>
      <c r="G33" s="15">
        <f ca="1">COUNTIF(INDIRECT("["&amp;datatable!$C$2&amp;"]"&amp;datatable!$B3&amp;"!"&amp;"Y:Y"),"High Maybe")</f>
        <v>3</v>
      </c>
      <c r="H33" s="17">
        <f ca="1">COUNTIF(INDIRECT("["&amp;datatable!$C$2&amp;"]"&amp;datatable!$B3&amp;"!"&amp;"Y:Y"),"Medium Maybe")</f>
        <v>1</v>
      </c>
      <c r="I33" s="19">
        <f ca="1">COUNTIF(INDIRECT("["&amp;datatable!$C$2&amp;"]"&amp;datatable!$B3&amp;"!"&amp;"Y:Y"),"Low Maybe")</f>
        <v>0</v>
      </c>
      <c r="J33" s="21">
        <f ca="1">COUNTIF(INDIRECT("["&amp;datatable!$C$2&amp;"]"&amp;datatable!$B3&amp;"!"&amp;"Y:Y"),"Low Incorrect")</f>
        <v>1</v>
      </c>
      <c r="K33" s="23">
        <f ca="1">COUNTIF(INDIRECT("["&amp;datatable!$C$2&amp;"]"&amp;datatable!$B3&amp;"!"&amp;"Y:Y"),"Medium Incorrect")</f>
        <v>2</v>
      </c>
      <c r="L33" s="25">
        <f ca="1">COUNTIF(INDIRECT("["&amp;datatable!$C$2&amp;"]"&amp;datatable!$B3&amp;"!"&amp;"Y:Y"),"High Incorrect")</f>
        <v>5</v>
      </c>
      <c r="M33" s="27">
        <f ca="1">COUNTIF(INDIRECT("["&amp;datatable!$C$2&amp;"]"&amp;datatable!$B3&amp;"!"&amp;"Y:Y"),"N/A")</f>
        <v>0</v>
      </c>
      <c r="N33" s="43">
        <f t="shared" ca="1" si="3"/>
        <v>21</v>
      </c>
      <c r="O33" s="43">
        <f t="shared" ca="1" si="4"/>
        <v>21</v>
      </c>
    </row>
    <row r="34" spans="3:15">
      <c r="C34" s="44" t="s">
        <v>39</v>
      </c>
      <c r="D34" s="8">
        <f ca="1">COUNTIF(INDIRECT("["&amp;datatable!$C$2&amp;"]"&amp;datatable!$B4&amp;"!"&amp;"Y:Y"),"High Correct")</f>
        <v>9</v>
      </c>
      <c r="E34" s="11">
        <f ca="1">COUNTIF(INDIRECT("["&amp;datatable!$C$2&amp;"]"&amp;datatable!$B4&amp;"!"&amp;"Y:Y"),"Medium Correct")</f>
        <v>2</v>
      </c>
      <c r="F34" s="13">
        <f ca="1">COUNTIF(INDIRECT("["&amp;datatable!$C$2&amp;"]"&amp;datatable!$B4&amp;"!"&amp;"Y:Y"),"Low Correct")</f>
        <v>2</v>
      </c>
      <c r="G34" s="15">
        <f ca="1">COUNTIF(INDIRECT("["&amp;datatable!$C$2&amp;"]"&amp;datatable!$B4&amp;"!"&amp;"Y:Y"),"High Maybe")</f>
        <v>2</v>
      </c>
      <c r="H34" s="17">
        <f ca="1">COUNTIF(INDIRECT("["&amp;datatable!$C$2&amp;"]"&amp;datatable!$B4&amp;"!"&amp;"Y:Y"),"Medium Maybe")</f>
        <v>2</v>
      </c>
      <c r="I34" s="19">
        <f ca="1">COUNTIF(INDIRECT("["&amp;datatable!$C$2&amp;"]"&amp;datatable!$B4&amp;"!"&amp;"Y:Y"),"Low Maybe")</f>
        <v>0</v>
      </c>
      <c r="J34" s="21">
        <f ca="1">COUNTIF(INDIRECT("["&amp;datatable!$C$2&amp;"]"&amp;datatable!$B4&amp;"!"&amp;"Y:Y"),"Low Incorrect")</f>
        <v>2</v>
      </c>
      <c r="K34" s="23">
        <f ca="1">COUNTIF(INDIRECT("["&amp;datatable!$C$2&amp;"]"&amp;datatable!$B4&amp;"!"&amp;"Y:Y"),"Medium Incorrect")</f>
        <v>0</v>
      </c>
      <c r="L34" s="25">
        <f ca="1">COUNTIF(INDIRECT("["&amp;datatable!$C$2&amp;"]"&amp;datatable!$B4&amp;"!"&amp;"Y:Y"),"High Incorrect")</f>
        <v>0</v>
      </c>
      <c r="M34" s="27">
        <f ca="1">COUNTIF(INDIRECT("["&amp;datatable!$C$2&amp;"]"&amp;datatable!$B4&amp;"!"&amp;"Y:Y"),"N/A")</f>
        <v>2</v>
      </c>
      <c r="N34" s="43">
        <f t="shared" ca="1" si="3"/>
        <v>21</v>
      </c>
      <c r="O34" s="43">
        <f t="shared" ca="1" si="4"/>
        <v>19</v>
      </c>
    </row>
    <row r="35" spans="3:15">
      <c r="C35" s="44" t="s">
        <v>40</v>
      </c>
      <c r="D35" s="8">
        <f ca="1">COUNTIF(INDIRECT("["&amp;datatable!$C$2&amp;"]"&amp;datatable!$B5&amp;"!"&amp;"Y:Y"),"High Correct")</f>
        <v>13</v>
      </c>
      <c r="E35" s="11">
        <f ca="1">COUNTIF(INDIRECT("["&amp;datatable!$C$2&amp;"]"&amp;datatable!$B5&amp;"!"&amp;"Y:Y"),"Medium Correct")</f>
        <v>4</v>
      </c>
      <c r="F35" s="13">
        <f ca="1">COUNTIF(INDIRECT("["&amp;datatable!$C$2&amp;"]"&amp;datatable!$B5&amp;"!"&amp;"Y:Y"),"Low Correct")</f>
        <v>0</v>
      </c>
      <c r="G35" s="15">
        <f ca="1">COUNTIF(INDIRECT("["&amp;datatable!$C$2&amp;"]"&amp;datatable!$B5&amp;"!"&amp;"Y:Y"),"High Maybe")</f>
        <v>1</v>
      </c>
      <c r="H35" s="17">
        <f ca="1">COUNTIF(INDIRECT("["&amp;datatable!$C$2&amp;"]"&amp;datatable!$B5&amp;"!"&amp;"Y:Y"),"Medium Maybe")</f>
        <v>1</v>
      </c>
      <c r="I35" s="19">
        <f ca="1">COUNTIF(INDIRECT("["&amp;datatable!$C$2&amp;"]"&amp;datatable!$B5&amp;"!"&amp;"Y:Y"),"Low Maybe")</f>
        <v>1</v>
      </c>
      <c r="J35" s="21">
        <f ca="1">COUNTIF(INDIRECT("["&amp;datatable!$C$2&amp;"]"&amp;datatable!$B5&amp;"!"&amp;"Y:Y"),"Low Incorrect")</f>
        <v>0</v>
      </c>
      <c r="K35" s="23">
        <f ca="1">COUNTIF(INDIRECT("["&amp;datatable!$C$2&amp;"]"&amp;datatable!$B5&amp;"!"&amp;"Y:Y"),"Medium Incorrect")</f>
        <v>1</v>
      </c>
      <c r="L35" s="25">
        <f ca="1">COUNTIF(INDIRECT("["&amp;datatable!$C$2&amp;"]"&amp;datatable!$B5&amp;"!"&amp;"Y:Y"),"High Incorrect")</f>
        <v>0</v>
      </c>
      <c r="M35" s="27">
        <f ca="1">COUNTIF(INDIRECT("["&amp;datatable!$C$2&amp;"]"&amp;datatable!$B5&amp;"!"&amp;"Y:Y"),"N/A")</f>
        <v>0</v>
      </c>
      <c r="N35" s="43">
        <f t="shared" ca="1" si="3"/>
        <v>21</v>
      </c>
      <c r="O35" s="43">
        <f t="shared" ca="1" si="4"/>
        <v>21</v>
      </c>
    </row>
    <row r="36" spans="3:15">
      <c r="C36" s="44" t="s">
        <v>41</v>
      </c>
      <c r="D36" s="8">
        <f ca="1">COUNTIF(INDIRECT("["&amp;datatable!$C$2&amp;"]"&amp;datatable!$B6&amp;"!"&amp;"Y:Y"),"High Correct")</f>
        <v>9</v>
      </c>
      <c r="E36" s="11">
        <f ca="1">COUNTIF(INDIRECT("["&amp;datatable!$C$2&amp;"]"&amp;datatable!$B6&amp;"!"&amp;"Y:Y"),"Medium Correct")</f>
        <v>2</v>
      </c>
      <c r="F36" s="13">
        <f ca="1">COUNTIF(INDIRECT("["&amp;datatable!$C$2&amp;"]"&amp;datatable!$B6&amp;"!"&amp;"Y:Y"),"Low Correct")</f>
        <v>1</v>
      </c>
      <c r="G36" s="15">
        <f ca="1">COUNTIF(INDIRECT("["&amp;datatable!$C$2&amp;"]"&amp;datatable!$B6&amp;"!"&amp;"Y:Y"),"High Maybe")</f>
        <v>1</v>
      </c>
      <c r="H36" s="17">
        <f ca="1">COUNTIF(INDIRECT("["&amp;datatable!$C$2&amp;"]"&amp;datatable!$B6&amp;"!"&amp;"Y:Y"),"Medium Maybe")</f>
        <v>4</v>
      </c>
      <c r="I36" s="19">
        <f ca="1">COUNTIF(INDIRECT("["&amp;datatable!$C$2&amp;"]"&amp;datatable!$B6&amp;"!"&amp;"Y:Y"),"Low Maybe")</f>
        <v>0</v>
      </c>
      <c r="J36" s="21">
        <f ca="1">COUNTIF(INDIRECT("["&amp;datatable!$C$2&amp;"]"&amp;datatable!$B6&amp;"!"&amp;"Y:Y"),"Low Incorrect")</f>
        <v>1</v>
      </c>
      <c r="K36" s="23">
        <f ca="1">COUNTIF(INDIRECT("["&amp;datatable!$C$2&amp;"]"&amp;datatable!$B6&amp;"!"&amp;"Y:Y"),"Medium Incorrect")</f>
        <v>1</v>
      </c>
      <c r="L36" s="25">
        <f ca="1">COUNTIF(INDIRECT("["&amp;datatable!$C$2&amp;"]"&amp;datatable!$B6&amp;"!"&amp;"Y:Y"),"High Incorrect")</f>
        <v>1</v>
      </c>
      <c r="M36" s="27">
        <f ca="1">COUNTIF(INDIRECT("["&amp;datatable!$C$2&amp;"]"&amp;datatable!$B6&amp;"!"&amp;"Y:Y"),"N/A")</f>
        <v>1</v>
      </c>
      <c r="N36" s="43">
        <f t="shared" ca="1" si="3"/>
        <v>21</v>
      </c>
      <c r="O36" s="43">
        <f t="shared" ca="1" si="4"/>
        <v>20</v>
      </c>
    </row>
    <row r="37" spans="3:15">
      <c r="C37" s="44" t="s">
        <v>42</v>
      </c>
      <c r="D37" s="8">
        <f ca="1">COUNTIF(INDIRECT("["&amp;datatable!$C$2&amp;"]"&amp;datatable!$B7&amp;"!"&amp;"Y:Y"),"High Correct")</f>
        <v>6</v>
      </c>
      <c r="E37" s="11">
        <f ca="1">COUNTIF(INDIRECT("["&amp;datatable!$C$2&amp;"]"&amp;datatable!$B7&amp;"!"&amp;"Y:Y"),"Medium Correct")</f>
        <v>2</v>
      </c>
      <c r="F37" s="13">
        <f ca="1">COUNTIF(INDIRECT("["&amp;datatable!$C$2&amp;"]"&amp;datatable!$B7&amp;"!"&amp;"Y:Y"),"Low Correct")</f>
        <v>0</v>
      </c>
      <c r="G37" s="15">
        <f ca="1">COUNTIF(INDIRECT("["&amp;datatable!$C$2&amp;"]"&amp;datatable!$B7&amp;"!"&amp;"Y:Y"),"High Maybe")</f>
        <v>2</v>
      </c>
      <c r="H37" s="17">
        <f ca="1">COUNTIF(INDIRECT("["&amp;datatable!$C$2&amp;"]"&amp;datatable!$B7&amp;"!"&amp;"Y:Y"),"Medium Maybe")</f>
        <v>0</v>
      </c>
      <c r="I37" s="19">
        <f ca="1">COUNTIF(INDIRECT("["&amp;datatable!$C$2&amp;"]"&amp;datatable!$B7&amp;"!"&amp;"Y:Y"),"Low Maybe")</f>
        <v>0</v>
      </c>
      <c r="J37" s="21">
        <f ca="1">COUNTIF(INDIRECT("["&amp;datatable!$C$2&amp;"]"&amp;datatable!$B7&amp;"!"&amp;"Y:Y"),"Low Incorrect")</f>
        <v>1</v>
      </c>
      <c r="K37" s="23">
        <f ca="1">COUNTIF(INDIRECT("["&amp;datatable!$C$2&amp;"]"&amp;datatable!$B7&amp;"!"&amp;"Y:Y"),"Medium Incorrect")</f>
        <v>0</v>
      </c>
      <c r="L37" s="25">
        <f ca="1">COUNTIF(INDIRECT("["&amp;datatable!$C$2&amp;"]"&amp;datatable!$B7&amp;"!"&amp;"Y:Y"),"High Incorrect")</f>
        <v>1</v>
      </c>
      <c r="M37" s="27">
        <f ca="1">COUNTIF(INDIRECT("["&amp;datatable!$C$2&amp;"]"&amp;datatable!$B7&amp;"!"&amp;"Y:Y"),"N/A")</f>
        <v>9</v>
      </c>
      <c r="N37" s="43">
        <f t="shared" ca="1" si="3"/>
        <v>21</v>
      </c>
      <c r="O37" s="43">
        <f t="shared" ca="1" si="4"/>
        <v>12</v>
      </c>
    </row>
    <row r="38" spans="3:15">
      <c r="C38" s="44" t="s">
        <v>43</v>
      </c>
      <c r="D38" s="8">
        <f ca="1">COUNTIF(INDIRECT("["&amp;datatable!$C$2&amp;"]"&amp;datatable!$B8&amp;"!"&amp;"Y:Y"),"High Correct")</f>
        <v>3</v>
      </c>
      <c r="E38" s="11">
        <f ca="1">COUNTIF(INDIRECT("["&amp;datatable!$C$2&amp;"]"&amp;datatable!$B8&amp;"!"&amp;"Y:Y"),"Medium Correct")</f>
        <v>3</v>
      </c>
      <c r="F38" s="13">
        <f ca="1">COUNTIF(INDIRECT("["&amp;datatable!$C$2&amp;"]"&amp;datatable!$B8&amp;"!"&amp;"Y:Y"),"Low Correct")</f>
        <v>4</v>
      </c>
      <c r="G38" s="15">
        <f ca="1">COUNTIF(INDIRECT("["&amp;datatable!$C$2&amp;"]"&amp;datatable!$B8&amp;"!"&amp;"Y:Y"),"High Maybe")</f>
        <v>2</v>
      </c>
      <c r="H38" s="17">
        <f ca="1">COUNTIF(INDIRECT("["&amp;datatable!$C$2&amp;"]"&amp;datatable!$B8&amp;"!"&amp;"Y:Y"),"Medium Maybe")</f>
        <v>3</v>
      </c>
      <c r="I38" s="19">
        <f ca="1">COUNTIF(INDIRECT("["&amp;datatable!$C$2&amp;"]"&amp;datatable!$B8&amp;"!"&amp;"Y:Y"),"Low Maybe")</f>
        <v>1</v>
      </c>
      <c r="J38" s="21">
        <f ca="1">COUNTIF(INDIRECT("["&amp;datatable!$C$2&amp;"]"&amp;datatable!$B8&amp;"!"&amp;"Y:Y"),"Low Incorrect")</f>
        <v>0</v>
      </c>
      <c r="K38" s="23">
        <f ca="1">COUNTIF(INDIRECT("["&amp;datatable!$C$2&amp;"]"&amp;datatable!$B8&amp;"!"&amp;"Y:Y"),"Medium Incorrect")</f>
        <v>0</v>
      </c>
      <c r="L38" s="25">
        <f ca="1">COUNTIF(INDIRECT("["&amp;datatable!$C$2&amp;"]"&amp;datatable!$B8&amp;"!"&amp;"Y:Y"),"High Incorrect")</f>
        <v>3</v>
      </c>
      <c r="M38" s="27">
        <f ca="1">COUNTIF(INDIRECT("["&amp;datatable!$C$2&amp;"]"&amp;datatable!$B8&amp;"!"&amp;"Y:Y"),"N/A")</f>
        <v>2</v>
      </c>
      <c r="N38" s="43">
        <f t="shared" ca="1" si="3"/>
        <v>21</v>
      </c>
      <c r="O38" s="43">
        <f t="shared" ca="1" si="4"/>
        <v>19</v>
      </c>
    </row>
    <row r="39" spans="3:15">
      <c r="C39" s="44" t="s">
        <v>44</v>
      </c>
      <c r="D39" s="8">
        <f ca="1">COUNTIF(INDIRECT("["&amp;datatable!$C$2&amp;"]"&amp;datatable!$B9&amp;"!"&amp;"Y:Y"),"High Correct")</f>
        <v>5</v>
      </c>
      <c r="E39" s="11">
        <f ca="1">COUNTIF(INDIRECT("["&amp;datatable!$C$2&amp;"]"&amp;datatable!$B9&amp;"!"&amp;"Y:Y"),"Medium Correct")</f>
        <v>5</v>
      </c>
      <c r="F39" s="13">
        <f ca="1">COUNTIF(INDIRECT("["&amp;datatable!$C$2&amp;"]"&amp;datatable!$B9&amp;"!"&amp;"Y:Y"),"Low Correct")</f>
        <v>2</v>
      </c>
      <c r="G39" s="15">
        <f ca="1">COUNTIF(INDIRECT("["&amp;datatable!$C$2&amp;"]"&amp;datatable!$B9&amp;"!"&amp;"Y:Y"),"High Maybe")</f>
        <v>0</v>
      </c>
      <c r="H39" s="17">
        <f ca="1">COUNTIF(INDIRECT("["&amp;datatable!$C$2&amp;"]"&amp;datatable!$B9&amp;"!"&amp;"Y:Y"),"Medium Maybe")</f>
        <v>1</v>
      </c>
      <c r="I39" s="19">
        <f ca="1">COUNTIF(INDIRECT("["&amp;datatable!$C$2&amp;"]"&amp;datatable!$B9&amp;"!"&amp;"Y:Y"),"Low Maybe")</f>
        <v>0</v>
      </c>
      <c r="J39" s="21">
        <f ca="1">COUNTIF(INDIRECT("["&amp;datatable!$C$2&amp;"]"&amp;datatable!$B9&amp;"!"&amp;"Y:Y"),"Low Incorrect")</f>
        <v>2</v>
      </c>
      <c r="K39" s="23">
        <f ca="1">COUNTIF(INDIRECT("["&amp;datatable!$C$2&amp;"]"&amp;datatable!$B9&amp;"!"&amp;"Y:Y"),"Medium Incorrect")</f>
        <v>2</v>
      </c>
      <c r="L39" s="25">
        <f ca="1">COUNTIF(INDIRECT("["&amp;datatable!$C$2&amp;"]"&amp;datatable!$B9&amp;"!"&amp;"Y:Y"),"High Incorrect")</f>
        <v>3</v>
      </c>
      <c r="M39" s="27">
        <f ca="1">COUNTIF(INDIRECT("["&amp;datatable!$C$2&amp;"]"&amp;datatable!$B9&amp;"!"&amp;"Y:Y"),"N/A")</f>
        <v>1</v>
      </c>
      <c r="N39" s="43">
        <f t="shared" ca="1" si="3"/>
        <v>21</v>
      </c>
      <c r="O39" s="43">
        <f t="shared" ca="1" si="4"/>
        <v>20</v>
      </c>
    </row>
    <row r="40" spans="3:15">
      <c r="C40" s="44" t="s">
        <v>45</v>
      </c>
      <c r="D40" s="8">
        <f ca="1">COUNTIF(INDIRECT("["&amp;datatable!$C$2&amp;"]"&amp;datatable!$B10&amp;"!"&amp;"Y:Y"),"High Correct")</f>
        <v>3</v>
      </c>
      <c r="E40" s="11">
        <f ca="1">COUNTIF(INDIRECT("["&amp;datatable!$C$2&amp;"]"&amp;datatable!$B10&amp;"!"&amp;"Y:Y"),"Medium Correct")</f>
        <v>6</v>
      </c>
      <c r="F40" s="13">
        <f ca="1">COUNTIF(INDIRECT("["&amp;datatable!$C$2&amp;"]"&amp;datatable!$B10&amp;"!"&amp;"Y:Y"),"Low Correct")</f>
        <v>2</v>
      </c>
      <c r="G40" s="15">
        <f ca="1">COUNTIF(INDIRECT("["&amp;datatable!$C$2&amp;"]"&amp;datatable!$B10&amp;"!"&amp;"Y:Y"),"High Maybe")</f>
        <v>3</v>
      </c>
      <c r="H40" s="17">
        <f ca="1">COUNTIF(INDIRECT("["&amp;datatable!$C$2&amp;"]"&amp;datatable!$B10&amp;"!"&amp;"Y:Y"),"Medium Maybe")</f>
        <v>2</v>
      </c>
      <c r="I40" s="19">
        <f ca="1">COUNTIF(INDIRECT("["&amp;datatable!$C$2&amp;"]"&amp;datatable!$B10&amp;"!"&amp;"Y:Y"),"Low Maybe")</f>
        <v>0</v>
      </c>
      <c r="J40" s="21">
        <f ca="1">COUNTIF(INDIRECT("["&amp;datatable!$C$2&amp;"]"&amp;datatable!$B10&amp;"!"&amp;"Y:Y"),"Low Incorrect")</f>
        <v>0</v>
      </c>
      <c r="K40" s="23">
        <f ca="1">COUNTIF(INDIRECT("["&amp;datatable!$C$2&amp;"]"&amp;datatable!$B10&amp;"!"&amp;"Y:Y"),"Medium Incorrect")</f>
        <v>0</v>
      </c>
      <c r="L40" s="25">
        <f ca="1">COUNTIF(INDIRECT("["&amp;datatable!$C$2&amp;"]"&amp;datatable!$B10&amp;"!"&amp;"Y:Y"),"High Incorrect")</f>
        <v>2</v>
      </c>
      <c r="M40" s="27">
        <f ca="1">COUNTIF(INDIRECT("["&amp;datatable!$C$2&amp;"]"&amp;datatable!$B10&amp;"!"&amp;"Y:Y"),"N/A")</f>
        <v>3</v>
      </c>
      <c r="N40" s="43">
        <f t="shared" ca="1" si="3"/>
        <v>21</v>
      </c>
      <c r="O40" s="43">
        <f t="shared" ca="1" si="4"/>
        <v>18</v>
      </c>
    </row>
    <row r="41" spans="3:15">
      <c r="C41" s="44" t="s">
        <v>46</v>
      </c>
      <c r="D41" s="8">
        <f ca="1">COUNTIF(INDIRECT("["&amp;datatable!$C$2&amp;"]"&amp;datatable!$B11&amp;"!"&amp;"Y:Y"),"High Correct")</f>
        <v>8</v>
      </c>
      <c r="E41" s="11">
        <f ca="1">COUNTIF(INDIRECT("["&amp;datatable!$C$2&amp;"]"&amp;datatable!$B11&amp;"!"&amp;"Y:Y"),"Medium Correct")</f>
        <v>4</v>
      </c>
      <c r="F41" s="13">
        <f ca="1">COUNTIF(INDIRECT("["&amp;datatable!$C$2&amp;"]"&amp;datatable!$B11&amp;"!"&amp;"Y:Y"),"Low Correct")</f>
        <v>5</v>
      </c>
      <c r="G41" s="15">
        <f ca="1">COUNTIF(INDIRECT("["&amp;datatable!$C$2&amp;"]"&amp;datatable!$B11&amp;"!"&amp;"Y:Y"),"High Maybe")</f>
        <v>2</v>
      </c>
      <c r="H41" s="17">
        <f ca="1">COUNTIF(INDIRECT("["&amp;datatable!$C$2&amp;"]"&amp;datatable!$B11&amp;"!"&amp;"Y:Y"),"Medium Maybe")</f>
        <v>1</v>
      </c>
      <c r="I41" s="19">
        <f ca="1">COUNTIF(INDIRECT("["&amp;datatable!$C$2&amp;"]"&amp;datatable!$B11&amp;"!"&amp;"Y:Y"),"Low Maybe")</f>
        <v>0</v>
      </c>
      <c r="J41" s="21">
        <f ca="1">COUNTIF(INDIRECT("["&amp;datatable!$C$2&amp;"]"&amp;datatable!$B11&amp;"!"&amp;"Y:Y"),"Low Incorrect")</f>
        <v>1</v>
      </c>
      <c r="K41" s="23">
        <f ca="1">COUNTIF(INDIRECT("["&amp;datatable!$C$2&amp;"]"&amp;datatable!$B11&amp;"!"&amp;"Y:Y"),"Medium Incorrect")</f>
        <v>0</v>
      </c>
      <c r="L41" s="25">
        <f ca="1">COUNTIF(INDIRECT("["&amp;datatable!$C$2&amp;"]"&amp;datatable!$B11&amp;"!"&amp;"Y:Y"),"High Incorrect")</f>
        <v>0</v>
      </c>
      <c r="M41" s="27">
        <f ca="1">COUNTIF(INDIRECT("["&amp;datatable!$C$2&amp;"]"&amp;datatable!$B11&amp;"!"&amp;"Y:Y"),"N/A")</f>
        <v>0</v>
      </c>
      <c r="N41" s="43">
        <f t="shared" ca="1" si="3"/>
        <v>21</v>
      </c>
      <c r="O41" s="43">
        <f t="shared" ca="1" si="4"/>
        <v>21</v>
      </c>
    </row>
    <row r="42" spans="3:15">
      <c r="C42" s="44" t="s">
        <v>47</v>
      </c>
      <c r="D42" s="8">
        <f ca="1">COUNTIF(INDIRECT("["&amp;datatable!$C$2&amp;"]"&amp;datatable!$B12&amp;"!"&amp;"Y:Y"),"High Correct")</f>
        <v>6</v>
      </c>
      <c r="E42" s="11">
        <f ca="1">COUNTIF(INDIRECT("["&amp;datatable!$C$2&amp;"]"&amp;datatable!$B12&amp;"!"&amp;"Y:Y"),"Medium Correct")</f>
        <v>4</v>
      </c>
      <c r="F42" s="13">
        <f ca="1">COUNTIF(INDIRECT("["&amp;datatable!$C$2&amp;"]"&amp;datatable!$B12&amp;"!"&amp;"Y:Y"),"Low Correct")</f>
        <v>2</v>
      </c>
      <c r="G42" s="15">
        <f ca="1">COUNTIF(INDIRECT("["&amp;datatable!$C$2&amp;"]"&amp;datatable!$B12&amp;"!"&amp;"Y:Y"),"High Maybe")</f>
        <v>1</v>
      </c>
      <c r="H42" s="17">
        <f ca="1">COUNTIF(INDIRECT("["&amp;datatable!$C$2&amp;"]"&amp;datatable!$B12&amp;"!"&amp;"Y:Y"),"Medium Maybe")</f>
        <v>3</v>
      </c>
      <c r="I42" s="19">
        <f ca="1">COUNTIF(INDIRECT("["&amp;datatable!$C$2&amp;"]"&amp;datatable!$B12&amp;"!"&amp;"Y:Y"),"Low Maybe")</f>
        <v>1</v>
      </c>
      <c r="J42" s="21">
        <f ca="1">COUNTIF(INDIRECT("["&amp;datatable!$C$2&amp;"]"&amp;datatable!$B12&amp;"!"&amp;"Y:Y"),"Low Incorrect")</f>
        <v>2</v>
      </c>
      <c r="K42" s="23">
        <f ca="1">COUNTIF(INDIRECT("["&amp;datatable!$C$2&amp;"]"&amp;datatable!$B12&amp;"!"&amp;"Y:Y"),"Medium Incorrect")</f>
        <v>1</v>
      </c>
      <c r="L42" s="25">
        <f ca="1">COUNTIF(INDIRECT("["&amp;datatable!$C$2&amp;"]"&amp;datatable!$B12&amp;"!"&amp;"Y:Y"),"High Incorrect")</f>
        <v>1</v>
      </c>
      <c r="M42" s="27">
        <f ca="1">COUNTIF(INDIRECT("["&amp;datatable!$C$2&amp;"]"&amp;datatable!$B12&amp;"!"&amp;"Y:Y"),"N/A")</f>
        <v>0</v>
      </c>
      <c r="N42" s="43">
        <f t="shared" ca="1" si="3"/>
        <v>21</v>
      </c>
      <c r="O42" s="43">
        <f t="shared" ca="1" si="4"/>
        <v>21</v>
      </c>
    </row>
    <row r="43" spans="3:15">
      <c r="C43" s="44" t="s">
        <v>48</v>
      </c>
      <c r="D43" s="8">
        <f ca="1">COUNTIF(INDIRECT("["&amp;datatable!$C$2&amp;"]"&amp;datatable!$B13&amp;"!"&amp;"Y:Y"),"High Correct")</f>
        <v>9</v>
      </c>
      <c r="E43" s="11">
        <f ca="1">COUNTIF(INDIRECT("["&amp;datatable!$C$2&amp;"]"&amp;datatable!$B13&amp;"!"&amp;"Y:Y"),"Medium Correct")</f>
        <v>5</v>
      </c>
      <c r="F43" s="13">
        <f ca="1">COUNTIF(INDIRECT("["&amp;datatable!$C$2&amp;"]"&amp;datatable!$B13&amp;"!"&amp;"Y:Y"),"Low Correct")</f>
        <v>3</v>
      </c>
      <c r="G43" s="15">
        <f ca="1">COUNTIF(INDIRECT("["&amp;datatable!$C$2&amp;"]"&amp;datatable!$B13&amp;"!"&amp;"Y:Y"),"High Maybe")</f>
        <v>1</v>
      </c>
      <c r="H43" s="17">
        <f ca="1">COUNTIF(INDIRECT("["&amp;datatable!$C$2&amp;"]"&amp;datatable!$B13&amp;"!"&amp;"Y:Y"),"Medium Maybe")</f>
        <v>1</v>
      </c>
      <c r="I43" s="19">
        <f ca="1">COUNTIF(INDIRECT("["&amp;datatable!$C$2&amp;"]"&amp;datatable!$B13&amp;"!"&amp;"Y:Y"),"Low Maybe")</f>
        <v>0</v>
      </c>
      <c r="J43" s="21">
        <f ca="1">COUNTIF(INDIRECT("["&amp;datatable!$C$2&amp;"]"&amp;datatable!$B13&amp;"!"&amp;"Y:Y"),"Low Incorrect")</f>
        <v>1</v>
      </c>
      <c r="K43" s="23">
        <f ca="1">COUNTIF(INDIRECT("["&amp;datatable!$C$2&amp;"]"&amp;datatable!$B13&amp;"!"&amp;"Y:Y"),"Medium Incorrect")</f>
        <v>0</v>
      </c>
      <c r="L43" s="25">
        <f ca="1">COUNTIF(INDIRECT("["&amp;datatable!$C$2&amp;"]"&amp;datatable!$B13&amp;"!"&amp;"Y:Y"),"High Incorrect")</f>
        <v>1</v>
      </c>
      <c r="M43" s="27">
        <f ca="1">COUNTIF(INDIRECT("["&amp;datatable!$C$2&amp;"]"&amp;datatable!$B13&amp;"!"&amp;"Y:Y"),"N/A")</f>
        <v>0</v>
      </c>
      <c r="N43" s="43">
        <f t="shared" ca="1" si="3"/>
        <v>21</v>
      </c>
      <c r="O43" s="43">
        <f t="shared" ca="1" si="4"/>
        <v>21</v>
      </c>
    </row>
    <row r="44" spans="3:15">
      <c r="C44" s="44" t="s">
        <v>49</v>
      </c>
      <c r="D44" s="8">
        <f ca="1">COUNTIF(INDIRECT("["&amp;datatable!$C$2&amp;"]"&amp;datatable!$B14&amp;"!"&amp;"Y:Y"),"High Correct")</f>
        <v>1</v>
      </c>
      <c r="E44" s="11">
        <f ca="1">COUNTIF(INDIRECT("["&amp;datatable!$C$2&amp;"]"&amp;datatable!$B14&amp;"!"&amp;"Y:Y"),"Medium Correct")</f>
        <v>4</v>
      </c>
      <c r="F44" s="13">
        <f ca="1">COUNTIF(INDIRECT("["&amp;datatable!$C$2&amp;"]"&amp;datatable!$B14&amp;"!"&amp;"Y:Y"),"Low Correct")</f>
        <v>2</v>
      </c>
      <c r="G44" s="15">
        <f ca="1">COUNTIF(INDIRECT("["&amp;datatable!$C$2&amp;"]"&amp;datatable!$B14&amp;"!"&amp;"Y:Y"),"High Maybe")</f>
        <v>0</v>
      </c>
      <c r="H44" s="17">
        <f ca="1">COUNTIF(INDIRECT("["&amp;datatable!$C$2&amp;"]"&amp;datatable!$B14&amp;"!"&amp;"Y:Y"),"Medium Maybe")</f>
        <v>6</v>
      </c>
      <c r="I44" s="19">
        <f ca="1">COUNTIF(INDIRECT("["&amp;datatable!$C$2&amp;"]"&amp;datatable!$B14&amp;"!"&amp;"Y:Y"),"Low Maybe")</f>
        <v>0</v>
      </c>
      <c r="J44" s="21">
        <f ca="1">COUNTIF(INDIRECT("["&amp;datatable!$C$2&amp;"]"&amp;datatable!$B14&amp;"!"&amp;"Y:Y"),"Low Incorrect")</f>
        <v>1</v>
      </c>
      <c r="K44" s="23">
        <f ca="1">COUNTIF(INDIRECT("["&amp;datatable!$C$2&amp;"]"&amp;datatable!$B14&amp;"!"&amp;"Y:Y"),"Medium Incorrect")</f>
        <v>1</v>
      </c>
      <c r="L44" s="25">
        <f ca="1">COUNTIF(INDIRECT("["&amp;datatable!$C$2&amp;"]"&amp;datatable!$B14&amp;"!"&amp;"Y:Y"),"High Incorrect")</f>
        <v>3</v>
      </c>
      <c r="M44" s="27">
        <f ca="1">COUNTIF(INDIRECT("["&amp;datatable!$C$2&amp;"]"&amp;datatable!$B14&amp;"!"&amp;"Y:Y"),"N/A")</f>
        <v>3</v>
      </c>
      <c r="N44" s="43">
        <f t="shared" ca="1" si="3"/>
        <v>21</v>
      </c>
      <c r="O44" s="43">
        <f t="shared" ca="1" si="4"/>
        <v>18</v>
      </c>
    </row>
    <row r="45" spans="3:15">
      <c r="C45" s="44" t="s">
        <v>50</v>
      </c>
      <c r="D45" s="8">
        <f ca="1">COUNTIF(INDIRECT("["&amp;datatable!$C$2&amp;"]"&amp;datatable!$B15&amp;"!"&amp;"Y:Y"),"High Correct")</f>
        <v>6</v>
      </c>
      <c r="E45" s="11">
        <f ca="1">COUNTIF(INDIRECT("["&amp;datatable!$C$2&amp;"]"&amp;datatable!$B15&amp;"!"&amp;"Y:Y"),"Medium Correct")</f>
        <v>2</v>
      </c>
      <c r="F45" s="13">
        <f ca="1">COUNTIF(INDIRECT("["&amp;datatable!$C$2&amp;"]"&amp;datatable!$B15&amp;"!"&amp;"Y:Y"),"Low Correct")</f>
        <v>0</v>
      </c>
      <c r="G45" s="15">
        <f ca="1">COUNTIF(INDIRECT("["&amp;datatable!$C$2&amp;"]"&amp;datatable!$B15&amp;"!"&amp;"Y:Y"),"High Maybe")</f>
        <v>3</v>
      </c>
      <c r="H45" s="17">
        <f ca="1">COUNTIF(INDIRECT("["&amp;datatable!$C$2&amp;"]"&amp;datatable!$B15&amp;"!"&amp;"Y:Y"),"Medium Maybe")</f>
        <v>2</v>
      </c>
      <c r="I45" s="19">
        <f ca="1">COUNTIF(INDIRECT("["&amp;datatable!$C$2&amp;"]"&amp;datatable!$B15&amp;"!"&amp;"Y:Y"),"Low Maybe")</f>
        <v>2</v>
      </c>
      <c r="J45" s="21">
        <f ca="1">COUNTIF(INDIRECT("["&amp;datatable!$C$2&amp;"]"&amp;datatable!$B15&amp;"!"&amp;"Y:Y"),"Low Incorrect")</f>
        <v>0</v>
      </c>
      <c r="K45" s="23">
        <f ca="1">COUNTIF(INDIRECT("["&amp;datatable!$C$2&amp;"]"&amp;datatable!$B15&amp;"!"&amp;"Y:Y"),"Medium Incorrect")</f>
        <v>3</v>
      </c>
      <c r="L45" s="25">
        <f ca="1">COUNTIF(INDIRECT("["&amp;datatable!$C$2&amp;"]"&amp;datatable!$B15&amp;"!"&amp;"Y:Y"),"High Incorrect")</f>
        <v>3</v>
      </c>
      <c r="M45" s="27">
        <f ca="1">COUNTIF(INDIRECT("["&amp;datatable!$C$2&amp;"]"&amp;datatable!$B15&amp;"!"&amp;"Y:Y"),"N/A")</f>
        <v>0</v>
      </c>
      <c r="N45" s="43">
        <f t="shared" ca="1" si="3"/>
        <v>21</v>
      </c>
      <c r="O45" s="43">
        <f t="shared" ca="1" si="4"/>
        <v>21</v>
      </c>
    </row>
    <row r="46" spans="3:15">
      <c r="C46" s="45" t="s">
        <v>51</v>
      </c>
      <c r="D46" s="8">
        <f ca="1">COUNTIF(INDIRECT("["&amp;datatable!$C$2&amp;"]"&amp;datatable!$B16&amp;"!"&amp;"Y:Y"),"High Correct")</f>
        <v>0</v>
      </c>
      <c r="E46" s="11">
        <f ca="1">COUNTIF(INDIRECT("["&amp;datatable!$C$2&amp;"]"&amp;datatable!$B16&amp;"!"&amp;"Y:Y"),"Medium Correct")</f>
        <v>0</v>
      </c>
      <c r="F46" s="13">
        <f ca="1">COUNTIF(INDIRECT("["&amp;datatable!$C$2&amp;"]"&amp;datatable!$B16&amp;"!"&amp;"Y:Y"),"Low Correct")</f>
        <v>0</v>
      </c>
      <c r="G46" s="15">
        <f ca="1">COUNTIF(INDIRECT("["&amp;datatable!$C$2&amp;"]"&amp;datatable!$B16&amp;"!"&amp;"Y:Y"),"High Maybe")</f>
        <v>0</v>
      </c>
      <c r="H46" s="17">
        <f ca="1">COUNTIF(INDIRECT("["&amp;datatable!$C$2&amp;"]"&amp;datatable!$B16&amp;"!"&amp;"Y:Y"),"Medium Maybe")</f>
        <v>0</v>
      </c>
      <c r="I46" s="19">
        <f ca="1">COUNTIF(INDIRECT("["&amp;datatable!$C$2&amp;"]"&amp;datatable!$B16&amp;"!"&amp;"Y:Y"),"Low Maybe")</f>
        <v>0</v>
      </c>
      <c r="J46" s="21">
        <f ca="1">COUNTIF(INDIRECT("["&amp;datatable!$C$2&amp;"]"&amp;datatable!$B16&amp;"!"&amp;"Y:Y"),"Low Incorrect")</f>
        <v>0</v>
      </c>
      <c r="K46" s="23">
        <f ca="1">COUNTIF(INDIRECT("["&amp;datatable!$C$2&amp;"]"&amp;datatable!$B16&amp;"!"&amp;"Y:Y"),"Medium Incorrect")</f>
        <v>1</v>
      </c>
      <c r="L46" s="25">
        <f ca="1">COUNTIF(INDIRECT("["&amp;datatable!$C$2&amp;"]"&amp;datatable!$B16&amp;"!"&amp;"Y:Y"),"High Incorrect")</f>
        <v>20</v>
      </c>
      <c r="M46" s="27">
        <f ca="1">COUNTIF(INDIRECT("["&amp;datatable!$C$2&amp;"]"&amp;datatable!$B16&amp;"!"&amp;"Y:Y"),"N/A")</f>
        <v>0</v>
      </c>
      <c r="N46" s="43">
        <f t="shared" ca="1" si="3"/>
        <v>21</v>
      </c>
      <c r="O46" s="43">
        <f t="shared" ca="1" si="4"/>
        <v>21</v>
      </c>
    </row>
    <row r="47" spans="3:15">
      <c r="C47" s="44" t="s">
        <v>52</v>
      </c>
      <c r="D47" s="8">
        <f ca="1">COUNTIF(INDIRECT("["&amp;datatable!$C$2&amp;"]"&amp;datatable!$B17&amp;"!"&amp;"Y:Y"),"High Correct")</f>
        <v>11</v>
      </c>
      <c r="E47" s="11">
        <f ca="1">COUNTIF(INDIRECT("["&amp;datatable!$C$2&amp;"]"&amp;datatable!$B17&amp;"!"&amp;"Y:Y"),"Medium Correct")</f>
        <v>3</v>
      </c>
      <c r="F47" s="13">
        <f ca="1">COUNTIF(INDIRECT("["&amp;datatable!$C$2&amp;"]"&amp;datatable!$B17&amp;"!"&amp;"Y:Y"),"Low Correct")</f>
        <v>1</v>
      </c>
      <c r="G47" s="15">
        <f ca="1">COUNTIF(INDIRECT("["&amp;datatable!$C$2&amp;"]"&amp;datatable!$B17&amp;"!"&amp;"Y:Y"),"High Maybe")</f>
        <v>2</v>
      </c>
      <c r="H47" s="17">
        <f ca="1">COUNTIF(INDIRECT("["&amp;datatable!$C$2&amp;"]"&amp;datatable!$B17&amp;"!"&amp;"Y:Y"),"Medium Maybe")</f>
        <v>0</v>
      </c>
      <c r="I47" s="19">
        <f ca="1">COUNTIF(INDIRECT("["&amp;datatable!$C$2&amp;"]"&amp;datatable!$B17&amp;"!"&amp;"Y:Y"),"Low Maybe")</f>
        <v>0</v>
      </c>
      <c r="J47" s="21">
        <f ca="1">COUNTIF(INDIRECT("["&amp;datatable!$C$2&amp;"]"&amp;datatable!$B17&amp;"!"&amp;"Y:Y"),"Low Incorrect")</f>
        <v>1</v>
      </c>
      <c r="K47" s="23">
        <f ca="1">COUNTIF(INDIRECT("["&amp;datatable!$C$2&amp;"]"&amp;datatable!$B17&amp;"!"&amp;"Y:Y"),"Medium Incorrect")</f>
        <v>0</v>
      </c>
      <c r="L47" s="25">
        <f ca="1">COUNTIF(INDIRECT("["&amp;datatable!$C$2&amp;"]"&amp;datatable!$B17&amp;"!"&amp;"Y:Y"),"High Incorrect")</f>
        <v>2</v>
      </c>
      <c r="M47" s="27">
        <f ca="1">COUNTIF(INDIRECT("["&amp;datatable!$C$2&amp;"]"&amp;datatable!$B17&amp;"!"&amp;"Y:Y"),"N/A")</f>
        <v>1</v>
      </c>
      <c r="N47" s="43">
        <f t="shared" ca="1" si="3"/>
        <v>21</v>
      </c>
      <c r="O47" s="43">
        <f t="shared" ca="1" si="4"/>
        <v>20</v>
      </c>
    </row>
    <row r="48" spans="3:15">
      <c r="C48" s="44" t="s">
        <v>53</v>
      </c>
      <c r="D48" s="8">
        <f ca="1">COUNTIF(INDIRECT("["&amp;datatable!$C$2&amp;"]"&amp;datatable!$B18&amp;"!"&amp;"Y:Y"),"High Correct")</f>
        <v>2</v>
      </c>
      <c r="E48" s="11">
        <f ca="1">COUNTIF(INDIRECT("["&amp;datatable!$C$2&amp;"]"&amp;datatable!$B18&amp;"!"&amp;"Y:Y"),"Medium Correct")</f>
        <v>0</v>
      </c>
      <c r="F48" s="13">
        <f ca="1">COUNTIF(INDIRECT("["&amp;datatable!$C$2&amp;"]"&amp;datatable!$B18&amp;"!"&amp;"Y:Y"),"Low Correct")</f>
        <v>0</v>
      </c>
      <c r="G48" s="15">
        <f ca="1">COUNTIF(INDIRECT("["&amp;datatable!$C$2&amp;"]"&amp;datatable!$B18&amp;"!"&amp;"Y:Y"),"High Maybe")</f>
        <v>2</v>
      </c>
      <c r="H48" s="17">
        <f ca="1">COUNTIF(INDIRECT("["&amp;datatable!$C$2&amp;"]"&amp;datatable!$B18&amp;"!"&amp;"Y:Y"),"Medium Maybe")</f>
        <v>1</v>
      </c>
      <c r="I48" s="19">
        <f ca="1">COUNTIF(INDIRECT("["&amp;datatable!$C$2&amp;"]"&amp;datatable!$B18&amp;"!"&amp;"Y:Y"),"Low Maybe")</f>
        <v>0</v>
      </c>
      <c r="J48" s="21">
        <f ca="1">COUNTIF(INDIRECT("["&amp;datatable!$C$2&amp;"]"&amp;datatable!$B18&amp;"!"&amp;"Y:Y"),"Low Incorrect")</f>
        <v>0</v>
      </c>
      <c r="K48" s="23">
        <f ca="1">COUNTIF(INDIRECT("["&amp;datatable!$C$2&amp;"]"&amp;datatable!$B18&amp;"!"&amp;"Y:Y"),"Medium Incorrect")</f>
        <v>4</v>
      </c>
      <c r="L48" s="25">
        <f ca="1">COUNTIF(INDIRECT("["&amp;datatable!$C$2&amp;"]"&amp;datatable!$B18&amp;"!"&amp;"Y:Y"),"High Incorrect")</f>
        <v>10</v>
      </c>
      <c r="M48" s="27">
        <f ca="1">COUNTIF(INDIRECT("["&amp;datatable!$C$2&amp;"]"&amp;datatable!$B18&amp;"!"&amp;"Y:Y"),"N/A")</f>
        <v>2</v>
      </c>
      <c r="N48" s="43">
        <f t="shared" ca="1" si="3"/>
        <v>21</v>
      </c>
      <c r="O48" s="43">
        <f t="shared" ca="1" si="4"/>
        <v>19</v>
      </c>
    </row>
    <row r="49" spans="3:25">
      <c r="C49" s="44" t="s">
        <v>54</v>
      </c>
      <c r="D49" s="8">
        <f ca="1">COUNTIF(INDIRECT("["&amp;datatable!$C$2&amp;"]"&amp;datatable!$B19&amp;"!"&amp;"Y:Y"),"High Correct")</f>
        <v>5</v>
      </c>
      <c r="E49" s="11">
        <f ca="1">COUNTIF(INDIRECT("["&amp;datatable!$C$2&amp;"]"&amp;datatable!$B19&amp;"!"&amp;"Y:Y"),"Medium Correct")</f>
        <v>0</v>
      </c>
      <c r="F49" s="13">
        <f ca="1">COUNTIF(INDIRECT("["&amp;datatable!$C$2&amp;"]"&amp;datatable!$B19&amp;"!"&amp;"Y:Y"),"Low Correct")</f>
        <v>11</v>
      </c>
      <c r="G49" s="15">
        <f ca="1">COUNTIF(INDIRECT("["&amp;datatable!$C$2&amp;"]"&amp;datatable!$B19&amp;"!"&amp;"Y:Y"),"High Maybe")</f>
        <v>5</v>
      </c>
      <c r="H49" s="17">
        <f ca="1">COUNTIF(INDIRECT("["&amp;datatable!$C$2&amp;"]"&amp;datatable!$B19&amp;"!"&amp;"Y:Y"),"Medium Maybe")</f>
        <v>0</v>
      </c>
      <c r="I49" s="19">
        <f ca="1">COUNTIF(INDIRECT("["&amp;datatable!$C$2&amp;"]"&amp;datatable!$B19&amp;"!"&amp;"Y:Y"),"Low Maybe")</f>
        <v>0</v>
      </c>
      <c r="J49" s="21">
        <f ca="1">COUNTIF(INDIRECT("["&amp;datatable!$C$2&amp;"]"&amp;datatable!$B19&amp;"!"&amp;"Y:Y"),"Low Incorrect")</f>
        <v>0</v>
      </c>
      <c r="K49" s="23">
        <f ca="1">COUNTIF(INDIRECT("["&amp;datatable!$C$2&amp;"]"&amp;datatable!$B19&amp;"!"&amp;"Y:Y"),"Medium Incorrect")</f>
        <v>0</v>
      </c>
      <c r="L49" s="25">
        <f ca="1">COUNTIF(INDIRECT("["&amp;datatable!$C$2&amp;"]"&amp;datatable!$B19&amp;"!"&amp;"Y:Y"),"High Incorrect")</f>
        <v>0</v>
      </c>
      <c r="M49" s="27">
        <f ca="1">COUNTIF(INDIRECT("["&amp;datatable!$C$2&amp;"]"&amp;datatable!$B19&amp;"!"&amp;"Y:Y"),"N/A")</f>
        <v>0</v>
      </c>
      <c r="N49" s="43">
        <f t="shared" ref="N49" ca="1" si="5">SUM(D49:M49)</f>
        <v>21</v>
      </c>
      <c r="O49" s="43">
        <f t="shared" ref="O49" ca="1" si="6">SUM(D49:L49)</f>
        <v>21</v>
      </c>
    </row>
    <row r="50" spans="3:25">
      <c r="C50" s="46" t="s">
        <v>36</v>
      </c>
      <c r="D50" s="47">
        <f ca="1">SUM(D32:D49)</f>
        <v>113</v>
      </c>
      <c r="E50" s="47">
        <f t="shared" ref="E50:M50" ca="1" si="7">SUM(E32:E49)</f>
        <v>50</v>
      </c>
      <c r="F50" s="47">
        <f t="shared" ca="1" si="7"/>
        <v>38</v>
      </c>
      <c r="G50" s="47">
        <f t="shared" ca="1" si="7"/>
        <v>32</v>
      </c>
      <c r="H50" s="47">
        <f t="shared" ca="1" si="7"/>
        <v>28</v>
      </c>
      <c r="I50" s="47">
        <f t="shared" ca="1" si="7"/>
        <v>5</v>
      </c>
      <c r="J50" s="47">
        <f t="shared" ca="1" si="7"/>
        <v>14</v>
      </c>
      <c r="K50" s="47">
        <f t="shared" ca="1" si="7"/>
        <v>16</v>
      </c>
      <c r="L50" s="47">
        <f t="shared" ca="1" si="7"/>
        <v>55</v>
      </c>
      <c r="M50" s="47">
        <f t="shared" ca="1" si="7"/>
        <v>27</v>
      </c>
      <c r="N50" s="43">
        <f ca="1">SUM(D50:M50)</f>
        <v>378</v>
      </c>
      <c r="O50" s="43">
        <f ca="1">SUM(D50:L50)</f>
        <v>351</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INDIRECT("["&amp;datatable!$C$2&amp;"]"&amp;datatable!$B2&amp;"!"&amp;"Y2")</f>
        <v>N/A</v>
      </c>
      <c r="E55" s="51" t="str" cm="1">
        <f t="array" aca="1" ref="E55" ca="1">INDIRECT("["&amp;datatable!$C$2&amp;"]"&amp;datatable!$B2&amp;"!"&amp;"Y3")</f>
        <v>Medium Correct</v>
      </c>
      <c r="F55" s="51" t="str" cm="1">
        <f t="array" aca="1" ref="F55" ca="1">INDIRECT("["&amp;datatable!$C$2&amp;"]"&amp;datatable!$B2&amp;"!"&amp;"Y4")</f>
        <v>High Correct</v>
      </c>
      <c r="G55" s="51" t="str" cm="1">
        <f t="array" aca="1" ref="G55" ca="1">INDIRECT("["&amp;datatable!$C$2&amp;"]"&amp;datatable!$B2&amp;"!"&amp;"Y5")</f>
        <v>High Correct</v>
      </c>
      <c r="H55" s="51" t="str" cm="1">
        <f t="array" aca="1" ref="H55" ca="1">INDIRECT("["&amp;datatable!$C$2&amp;"]"&amp;datatable!$B2&amp;"!"&amp;"Y6")</f>
        <v>High Correct</v>
      </c>
      <c r="I55" s="51" t="str" cm="1">
        <f t="array" aca="1" ref="I55" ca="1">INDIRECT("["&amp;datatable!$C$2&amp;"]"&amp;datatable!$B2&amp;"!"&amp;"Y7")</f>
        <v>High Correct</v>
      </c>
      <c r="J55" s="51" t="str" cm="1">
        <f t="array" aca="1" ref="J55" ca="1">INDIRECT("["&amp;datatable!$C$2&amp;"]"&amp;datatable!$B2&amp;"!"&amp;"Y8")</f>
        <v>Low Incorrect</v>
      </c>
      <c r="K55" s="51" t="str" cm="1">
        <f t="array" aca="1" ref="K55" ca="1">INDIRECT("["&amp;datatable!$C$2&amp;"]"&amp;datatable!$B2&amp;"!"&amp;"Y9")</f>
        <v>High Correct</v>
      </c>
      <c r="L55" s="51" t="str" cm="1">
        <f t="array" aca="1" ref="L55" ca="1">INDIRECT("["&amp;datatable!$C$2&amp;"]"&amp;datatable!$B2&amp;"!"&amp;"Y10")</f>
        <v>High Correct</v>
      </c>
      <c r="M55" s="51" t="str" cm="1">
        <f t="array" aca="1" ref="M55" ca="1">INDIRECT("["&amp;datatable!$C$2&amp;"]"&amp;datatable!$B2&amp;"!"&amp;"Y11")</f>
        <v>High Correct</v>
      </c>
      <c r="N55" s="51" t="str" cm="1">
        <f t="array" aca="1" ref="N55" ca="1">INDIRECT("["&amp;datatable!$C$2&amp;"]"&amp;datatable!$B2&amp;"!"&amp;"Y46")</f>
        <v>High Maybe</v>
      </c>
      <c r="O55" s="51" t="str" cm="1">
        <f t="array" aca="1" ref="O55" ca="1">INDIRECT("["&amp;datatable!$C$2&amp;"]"&amp;datatable!$B2&amp;"!"&amp;"Y47")</f>
        <v>High Correct</v>
      </c>
      <c r="P55" s="51" t="str" cm="1">
        <f t="array" aca="1" ref="P55" ca="1">INDIRECT("["&amp;datatable!$C$2&amp;"]"&amp;datatable!$B2&amp;"!"&amp;"Y48")</f>
        <v>High Correct</v>
      </c>
      <c r="Q55" s="51" t="str" cm="1">
        <f t="array" aca="1" ref="Q55" ca="1">INDIRECT("["&amp;datatable!$C$2&amp;"]"&amp;datatable!$B2&amp;"!"&amp;"Y49")</f>
        <v>Medium Correct</v>
      </c>
      <c r="R55" s="51" t="str" cm="1">
        <f t="array" aca="1" ref="R55" ca="1">INDIRECT("["&amp;datatable!$C$2&amp;"]"&amp;datatable!$B2&amp;"!"&amp;"Y50")</f>
        <v>High Correct</v>
      </c>
      <c r="S55" s="51" t="str" cm="1">
        <f t="array" aca="1" ref="S55" ca="1">INDIRECT("["&amp;datatable!$C$2&amp;"]"&amp;datatable!$B2&amp;"!"&amp;"Y51")</f>
        <v>High Correct</v>
      </c>
      <c r="T55" s="51" t="str" cm="1">
        <f t="array" aca="1" ref="T55" ca="1">INDIRECT("["&amp;datatable!$C$2&amp;"]"&amp;datatable!$B2&amp;"!"&amp;"Y52")</f>
        <v>N/A</v>
      </c>
      <c r="U55" s="51" t="str" cm="1">
        <f t="array" aca="1" ref="U55" ca="1">INDIRECT("["&amp;datatable!$C$2&amp;"]"&amp;datatable!$B2&amp;"!"&amp;"Y53")</f>
        <v>High Maybe</v>
      </c>
      <c r="V55" s="51" t="str" cm="1">
        <f t="array" aca="1" ref="V55" ca="1">INDIRECT("["&amp;datatable!$C$2&amp;"]"&amp;datatable!$B2&amp;"!"&amp;"Y54")</f>
        <v>Medium Correct</v>
      </c>
      <c r="W55" s="51" t="str" cm="1">
        <f t="array" aca="1" ref="W55" ca="1">INDIRECT("["&amp;datatable!$C$2&amp;"]"&amp;datatable!$B2&amp;"!"&amp;"Y55")</f>
        <v>High Correct</v>
      </c>
      <c r="X55" s="51" t="str" cm="1">
        <f t="array" aca="1" ref="X55" ca="1">INDIRECT("["&amp;datatable!$C$2&amp;"]"&amp;datatable!$B2&amp;"!"&amp;"Y56")</f>
        <v>N/A</v>
      </c>
      <c r="Y55" s="50"/>
    </row>
    <row r="56" spans="3:25">
      <c r="C56" s="30" t="s">
        <v>38</v>
      </c>
      <c r="D56" s="51" t="str" cm="1">
        <f t="array" aca="1" ref="D56" ca="1">INDIRECT("["&amp;datatable!$C$2&amp;"]"&amp;datatable!$B3&amp;"!"&amp;"Y2")</f>
        <v>High Maybe</v>
      </c>
      <c r="E56" s="51" t="str" cm="1">
        <f t="array" aca="1" ref="E56" ca="1">INDIRECT("["&amp;datatable!$C$2&amp;"]"&amp;datatable!$B3&amp;"!"&amp;"Y3")</f>
        <v>High Correct</v>
      </c>
      <c r="F56" s="51" t="str" cm="1">
        <f t="array" aca="1" ref="F56" ca="1">INDIRECT("["&amp;datatable!$C$2&amp;"]"&amp;datatable!$B3&amp;"!"&amp;"Y4")</f>
        <v>Medium Incorrect</v>
      </c>
      <c r="G56" s="51" t="str" cm="1">
        <f t="array" aca="1" ref="G56" ca="1">INDIRECT("["&amp;datatable!$C$2&amp;"]"&amp;datatable!$B3&amp;"!"&amp;"Y5")</f>
        <v>Low Correct</v>
      </c>
      <c r="H56" s="51" t="str" cm="1">
        <f t="array" aca="1" ref="H56" ca="1">INDIRECT("["&amp;datatable!$C$2&amp;"]"&amp;datatable!$B3&amp;"!"&amp;"Y6")</f>
        <v>High Correct</v>
      </c>
      <c r="I56" s="51" t="str" cm="1">
        <f t="array" aca="1" ref="I56" ca="1">INDIRECT("["&amp;datatable!$C$2&amp;"]"&amp;datatable!$B3&amp;"!"&amp;"Y7")</f>
        <v>Medium Correct</v>
      </c>
      <c r="J56" s="51" t="str" cm="1">
        <f t="array" aca="1" ref="J56" ca="1">INDIRECT("["&amp;datatable!$C$2&amp;"]"&amp;datatable!$B3&amp;"!"&amp;"Y8")</f>
        <v>Low Correct</v>
      </c>
      <c r="K56" s="51" t="str" cm="1">
        <f t="array" aca="1" ref="K56" ca="1">INDIRECT("["&amp;datatable!$C$2&amp;"]"&amp;datatable!$B3&amp;"!"&amp;"Y9")</f>
        <v>High Correct</v>
      </c>
      <c r="L56" s="51" t="str" cm="1">
        <f t="array" aca="1" ref="L56" ca="1">INDIRECT("["&amp;datatable!$C$2&amp;"]"&amp;datatable!$B3&amp;"!"&amp;"Y10")</f>
        <v>Low Correct</v>
      </c>
      <c r="M56" s="51" t="str" cm="1">
        <f t="array" aca="1" ref="M56" ca="1">INDIRECT("["&amp;datatable!$C$2&amp;"]"&amp;datatable!$B3&amp;"!"&amp;"Y11")</f>
        <v>High Correct</v>
      </c>
      <c r="N56" s="51" t="str" cm="1">
        <f t="array" aca="1" ref="N56" ca="1">INDIRECT("["&amp;datatable!$C$2&amp;"]"&amp;datatable!$B3&amp;"!"&amp;"Y46")</f>
        <v>High Correct</v>
      </c>
      <c r="O56" s="51" t="str" cm="1">
        <f t="array" aca="1" ref="O56" ca="1">INDIRECT("["&amp;datatable!$C$2&amp;"]"&amp;datatable!$B3&amp;"!"&amp;"Y47")</f>
        <v>High Incorrect</v>
      </c>
      <c r="P56" s="51" t="str" cm="1">
        <f t="array" aca="1" ref="P56" ca="1">INDIRECT("["&amp;datatable!$C$2&amp;"]"&amp;datatable!$B3&amp;"!"&amp;"Y48")</f>
        <v>High Maybe</v>
      </c>
      <c r="Q56" s="51" t="str" cm="1">
        <f t="array" aca="1" ref="Q56" ca="1">INDIRECT("["&amp;datatable!$C$2&amp;"]"&amp;datatable!$B3&amp;"!"&amp;"Y49")</f>
        <v>High Incorrect</v>
      </c>
      <c r="R56" s="51" t="str" cm="1">
        <f t="array" aca="1" ref="R56" ca="1">INDIRECT("["&amp;datatable!$C$2&amp;"]"&amp;datatable!$B3&amp;"!"&amp;"Y50")</f>
        <v>Medium Incorrect</v>
      </c>
      <c r="S56" s="51" t="str" cm="1">
        <f t="array" aca="1" ref="S56" ca="1">INDIRECT("["&amp;datatable!$C$2&amp;"]"&amp;datatable!$B3&amp;"!"&amp;"Y51")</f>
        <v>High Maybe</v>
      </c>
      <c r="T56" s="51" t="str" cm="1">
        <f t="array" aca="1" ref="T56" ca="1">INDIRECT("["&amp;datatable!$C$2&amp;"]"&amp;datatable!$B3&amp;"!"&amp;"Y52")</f>
        <v>High Incorrect</v>
      </c>
      <c r="U56" s="51" t="str" cm="1">
        <f t="array" aca="1" ref="U56" ca="1">INDIRECT("["&amp;datatable!$C$2&amp;"]"&amp;datatable!$B3&amp;"!"&amp;"Y53")</f>
        <v>Low Incorrect</v>
      </c>
      <c r="V56" s="51" t="str" cm="1">
        <f t="array" aca="1" ref="V56" ca="1">INDIRECT("["&amp;datatable!$C$2&amp;"]"&amp;datatable!$B3&amp;"!"&amp;"Y54")</f>
        <v>High Incorrect</v>
      </c>
      <c r="W56" s="51" t="str" cm="1">
        <f t="array" aca="1" ref="W56" ca="1">INDIRECT("["&amp;datatable!$C$2&amp;"]"&amp;datatable!$B3&amp;"!"&amp;"Y55")</f>
        <v>High Incorrect</v>
      </c>
      <c r="X56" s="51" t="str" cm="1">
        <f t="array" aca="1" ref="X56" ca="1">INDIRECT("["&amp;datatable!$C$2&amp;"]"&amp;datatable!$B3&amp;"!"&amp;"Y56")</f>
        <v>Medium Maybe</v>
      </c>
      <c r="Y56" s="50"/>
    </row>
    <row r="57" spans="3:25">
      <c r="C57" s="30" t="s">
        <v>39</v>
      </c>
      <c r="D57" s="51" t="str" cm="1">
        <f t="array" aca="1" ref="D57" ca="1">INDIRECT("["&amp;datatable!$C$2&amp;"]"&amp;datatable!$B4&amp;"!"&amp;"Y2")</f>
        <v>High Correct</v>
      </c>
      <c r="E57" s="51" t="str" cm="1">
        <f t="array" aca="1" ref="E57" ca="1">INDIRECT("["&amp;datatable!$C$2&amp;"]"&amp;datatable!$B4&amp;"!"&amp;"Y3")</f>
        <v>Low Correct</v>
      </c>
      <c r="F57" s="51" t="str" cm="1">
        <f t="array" aca="1" ref="F57" ca="1">INDIRECT("["&amp;datatable!$C$2&amp;"]"&amp;datatable!$B4&amp;"!"&amp;"Y4")</f>
        <v>High Correct</v>
      </c>
      <c r="G57" s="51" t="str" cm="1">
        <f t="array" aca="1" ref="G57" ca="1">INDIRECT("["&amp;datatable!$C$2&amp;"]"&amp;datatable!$B4&amp;"!"&amp;"Y5")</f>
        <v>High Correct</v>
      </c>
      <c r="H57" s="51" t="str" cm="1">
        <f t="array" aca="1" ref="H57" ca="1">INDIRECT("["&amp;datatable!$C$2&amp;"]"&amp;datatable!$B4&amp;"!"&amp;"Y6")</f>
        <v>High Correct</v>
      </c>
      <c r="I57" s="51" t="str" cm="1">
        <f t="array" aca="1" ref="I57" ca="1">INDIRECT("["&amp;datatable!$C$2&amp;"]"&amp;datatable!$B4&amp;"!"&amp;"Y7")</f>
        <v>High Correct</v>
      </c>
      <c r="J57" s="51" t="str" cm="1">
        <f t="array" aca="1" ref="J57" ca="1">INDIRECT("["&amp;datatable!$C$2&amp;"]"&amp;datatable!$B4&amp;"!"&amp;"Y8")</f>
        <v>Medium Correct</v>
      </c>
      <c r="K57" s="51" t="str" cm="1">
        <f t="array" aca="1" ref="K57" ca="1">INDIRECT("["&amp;datatable!$C$2&amp;"]"&amp;datatable!$B4&amp;"!"&amp;"Y9")</f>
        <v>High Correct</v>
      </c>
      <c r="L57" s="51" t="str" cm="1">
        <f t="array" aca="1" ref="L57" ca="1">INDIRECT("["&amp;datatable!$C$2&amp;"]"&amp;datatable!$B4&amp;"!"&amp;"Y10")</f>
        <v>High Correct</v>
      </c>
      <c r="M57" s="51" t="str" cm="1">
        <f t="array" aca="1" ref="M57" ca="1">INDIRECT("["&amp;datatable!$C$2&amp;"]"&amp;datatable!$B4&amp;"!"&amp;"Y11")</f>
        <v>Low Correct</v>
      </c>
      <c r="N57" s="51" t="str" cm="1">
        <f t="array" aca="1" ref="N57" ca="1">INDIRECT("["&amp;datatable!$C$2&amp;"]"&amp;datatable!$B4&amp;"!"&amp;"Y46")</f>
        <v>High Maybe</v>
      </c>
      <c r="O57" s="51" t="str" cm="1">
        <f t="array" aca="1" ref="O57" ca="1">INDIRECT("["&amp;datatable!$C$2&amp;"]"&amp;datatable!$B4&amp;"!"&amp;"Y47")</f>
        <v>High Correct</v>
      </c>
      <c r="P57" s="51" t="str" cm="1">
        <f t="array" aca="1" ref="P57" ca="1">INDIRECT("["&amp;datatable!$C$2&amp;"]"&amp;datatable!$B4&amp;"!"&amp;"Y48")</f>
        <v>Low Incorrect</v>
      </c>
      <c r="Q57" s="51" t="str" cm="1">
        <f t="array" aca="1" ref="Q57" ca="1">INDIRECT("["&amp;datatable!$C$2&amp;"]"&amp;datatable!$B4&amp;"!"&amp;"Y49")</f>
        <v>High Correct</v>
      </c>
      <c r="R57" s="51" t="str" cm="1">
        <f t="array" aca="1" ref="R57" ca="1">INDIRECT("["&amp;datatable!$C$2&amp;"]"&amp;datatable!$B4&amp;"!"&amp;"Y50")</f>
        <v>Medium Correct</v>
      </c>
      <c r="S57" s="51" t="str" cm="1">
        <f t="array" aca="1" ref="S57" ca="1">INDIRECT("["&amp;datatable!$C$2&amp;"]"&amp;datatable!$B4&amp;"!"&amp;"Y51")</f>
        <v>Low Incorrect</v>
      </c>
      <c r="T57" s="51" t="str" cm="1">
        <f t="array" aca="1" ref="T57" ca="1">INDIRECT("["&amp;datatable!$C$2&amp;"]"&amp;datatable!$B4&amp;"!"&amp;"Y52")</f>
        <v>N/A</v>
      </c>
      <c r="U57" s="51" t="str" cm="1">
        <f t="array" aca="1" ref="U57" ca="1">INDIRECT("["&amp;datatable!$C$2&amp;"]"&amp;datatable!$B4&amp;"!"&amp;"Y53")</f>
        <v>Medium Maybe</v>
      </c>
      <c r="V57" s="51" t="str" cm="1">
        <f t="array" aca="1" ref="V57" ca="1">INDIRECT("["&amp;datatable!$C$2&amp;"]"&amp;datatable!$B4&amp;"!"&amp;"Y54")</f>
        <v>Medium Maybe</v>
      </c>
      <c r="W57" s="51" t="str" cm="1">
        <f t="array" aca="1" ref="W57" ca="1">INDIRECT("["&amp;datatable!$C$2&amp;"]"&amp;datatable!$B4&amp;"!"&amp;"Y55")</f>
        <v>High Maybe</v>
      </c>
      <c r="X57" s="51" t="str" cm="1">
        <f t="array" aca="1" ref="X57" ca="1">INDIRECT("["&amp;datatable!$C$2&amp;"]"&amp;datatable!$B4&amp;"!"&amp;"Y56")</f>
        <v>N/A</v>
      </c>
      <c r="Y57" s="50"/>
    </row>
    <row r="58" spans="3:25">
      <c r="C58" s="30" t="s">
        <v>40</v>
      </c>
      <c r="D58" s="51" t="str" cm="1">
        <f t="array" aca="1" ref="D58" ca="1">INDIRECT("["&amp;datatable!$C$2&amp;"]"&amp;datatable!$B5&amp;"!"&amp;"Y2")</f>
        <v>High Correct</v>
      </c>
      <c r="E58" s="51" t="str" cm="1">
        <f t="array" aca="1" ref="E58" ca="1">INDIRECT("["&amp;datatable!$C$2&amp;"]"&amp;datatable!$B5&amp;"!"&amp;"Y3")</f>
        <v>Medium Correct</v>
      </c>
      <c r="F58" s="51" t="str" cm="1">
        <f t="array" aca="1" ref="F58" ca="1">INDIRECT("["&amp;datatable!$C$2&amp;"]"&amp;datatable!$B5&amp;"!"&amp;"Y4")</f>
        <v>High Correct</v>
      </c>
      <c r="G58" s="51" t="str" cm="1">
        <f t="array" aca="1" ref="G58" ca="1">INDIRECT("["&amp;datatable!$C$2&amp;"]"&amp;datatable!$B5&amp;"!"&amp;"Y5")</f>
        <v>High Correct</v>
      </c>
      <c r="H58" s="51" t="str" cm="1">
        <f t="array" aca="1" ref="H58" ca="1">INDIRECT("["&amp;datatable!$C$2&amp;"]"&amp;datatable!$B5&amp;"!"&amp;"Y6")</f>
        <v>High Correct</v>
      </c>
      <c r="I58" s="51" t="str" cm="1">
        <f t="array" aca="1" ref="I58" ca="1">INDIRECT("["&amp;datatable!$C$2&amp;"]"&amp;datatable!$B5&amp;"!"&amp;"Y7")</f>
        <v>High Correct</v>
      </c>
      <c r="J58" s="51" t="str" cm="1">
        <f t="array" aca="1" ref="J58" ca="1">INDIRECT("["&amp;datatable!$C$2&amp;"]"&amp;datatable!$B5&amp;"!"&amp;"Y8")</f>
        <v>Medium Incorrect</v>
      </c>
      <c r="K58" s="51" t="str" cm="1">
        <f t="array" aca="1" ref="K58" ca="1">INDIRECT("["&amp;datatable!$C$2&amp;"]"&amp;datatable!$B5&amp;"!"&amp;"Y9")</f>
        <v>Medium Correct</v>
      </c>
      <c r="L58" s="51" t="str" cm="1">
        <f t="array" aca="1" ref="L58" ca="1">INDIRECT("["&amp;datatable!$C$2&amp;"]"&amp;datatable!$B5&amp;"!"&amp;"Y10")</f>
        <v>High Correct</v>
      </c>
      <c r="M58" s="51" t="str" cm="1">
        <f t="array" aca="1" ref="M58" ca="1">INDIRECT("["&amp;datatable!$C$2&amp;"]"&amp;datatable!$B5&amp;"!"&amp;"Y11")</f>
        <v>High Correct</v>
      </c>
      <c r="N58" s="51" t="str" cm="1">
        <f t="array" aca="1" ref="N58" ca="1">INDIRECT("["&amp;datatable!$C$2&amp;"]"&amp;datatable!$B5&amp;"!"&amp;"Y46")</f>
        <v>Low Maybe</v>
      </c>
      <c r="O58" s="51" t="str" cm="1">
        <f t="array" aca="1" ref="O58" ca="1">INDIRECT("["&amp;datatable!$C$2&amp;"]"&amp;datatable!$B5&amp;"!"&amp;"Y47")</f>
        <v>High Correct</v>
      </c>
      <c r="P58" s="51" t="str" cm="1">
        <f t="array" aca="1" ref="P58" ca="1">INDIRECT("["&amp;datatable!$C$2&amp;"]"&amp;datatable!$B5&amp;"!"&amp;"Y48")</f>
        <v>High Correct</v>
      </c>
      <c r="Q58" s="51" t="str" cm="1">
        <f t="array" aca="1" ref="Q58" ca="1">INDIRECT("["&amp;datatable!$C$2&amp;"]"&amp;datatable!$B5&amp;"!"&amp;"Y49")</f>
        <v>High Correct</v>
      </c>
      <c r="R58" s="51" t="str" cm="1">
        <f t="array" aca="1" ref="R58" ca="1">INDIRECT("["&amp;datatable!$C$2&amp;"]"&amp;datatable!$B5&amp;"!"&amp;"Y50")</f>
        <v>High Correct</v>
      </c>
      <c r="S58" s="51" t="str" cm="1">
        <f t="array" aca="1" ref="S58" ca="1">INDIRECT("["&amp;datatable!$C$2&amp;"]"&amp;datatable!$B5&amp;"!"&amp;"Y51")</f>
        <v>High Correct</v>
      </c>
      <c r="T58" s="51" t="str" cm="1">
        <f t="array" aca="1" ref="T58" ca="1">INDIRECT("["&amp;datatable!$C$2&amp;"]"&amp;datatable!$B5&amp;"!"&amp;"Y52")</f>
        <v>Medium Correct</v>
      </c>
      <c r="U58" s="51" t="str" cm="1">
        <f t="array" aca="1" ref="U58" ca="1">INDIRECT("["&amp;datatable!$C$2&amp;"]"&amp;datatable!$B5&amp;"!"&amp;"Y53")</f>
        <v>Medium Maybe</v>
      </c>
      <c r="V58" s="51" t="str" cm="1">
        <f t="array" aca="1" ref="V58" ca="1">INDIRECT("["&amp;datatable!$C$2&amp;"]"&amp;datatable!$B5&amp;"!"&amp;"Y54")</f>
        <v>Medium Correct</v>
      </c>
      <c r="W58" s="51" t="str" cm="1">
        <f t="array" aca="1" ref="W58" ca="1">INDIRECT("["&amp;datatable!$C$2&amp;"]"&amp;datatable!$B5&amp;"!"&amp;"Y55")</f>
        <v>High Correct</v>
      </c>
      <c r="X58" s="51" t="str" cm="1">
        <f t="array" aca="1" ref="X58" ca="1">INDIRECT("["&amp;datatable!$C$2&amp;"]"&amp;datatable!$B5&amp;"!"&amp;"Y56")</f>
        <v>High Maybe</v>
      </c>
      <c r="Y58" s="50"/>
    </row>
    <row r="59" spans="3:25">
      <c r="C59" s="30" t="s">
        <v>41</v>
      </c>
      <c r="D59" s="51" t="str" cm="1">
        <f t="array" aca="1" ref="D59" ca="1">INDIRECT("["&amp;datatable!$C$2&amp;"]"&amp;datatable!$B6&amp;"!"&amp;"Y2")</f>
        <v>High Correct</v>
      </c>
      <c r="E59" s="51" t="str" cm="1">
        <f t="array" aca="1" ref="E59" ca="1">INDIRECT("["&amp;datatable!$C$2&amp;"]"&amp;datatable!$B6&amp;"!"&amp;"Y3")</f>
        <v>Low Correct</v>
      </c>
      <c r="F59" s="51" t="str" cm="1">
        <f t="array" aca="1" ref="F59" ca="1">INDIRECT("["&amp;datatable!$C$2&amp;"]"&amp;datatable!$B6&amp;"!"&amp;"Y4")</f>
        <v>High Incorrect</v>
      </c>
      <c r="G59" s="51" t="str" cm="1">
        <f t="array" aca="1" ref="G59" ca="1">INDIRECT("["&amp;datatable!$C$2&amp;"]"&amp;datatable!$B6&amp;"!"&amp;"Y5")</f>
        <v>High Correct</v>
      </c>
      <c r="H59" s="51" t="str" cm="1">
        <f t="array" aca="1" ref="H59" ca="1">INDIRECT("["&amp;datatable!$C$2&amp;"]"&amp;datatable!$B6&amp;"!"&amp;"Y6")</f>
        <v>High Correct</v>
      </c>
      <c r="I59" s="51" t="str" cm="1">
        <f t="array" aca="1" ref="I59" ca="1">INDIRECT("["&amp;datatable!$C$2&amp;"]"&amp;datatable!$B6&amp;"!"&amp;"Y7")</f>
        <v>High Correct</v>
      </c>
      <c r="J59" s="51" t="str" cm="1">
        <f t="array" aca="1" ref="J59" ca="1">INDIRECT("["&amp;datatable!$C$2&amp;"]"&amp;datatable!$B6&amp;"!"&amp;"Y8")</f>
        <v>Medium Correct</v>
      </c>
      <c r="K59" s="51" t="str" cm="1">
        <f t="array" aca="1" ref="K59" ca="1">INDIRECT("["&amp;datatable!$C$2&amp;"]"&amp;datatable!$B6&amp;"!"&amp;"Y9")</f>
        <v>High Correct</v>
      </c>
      <c r="L59" s="51" t="str" cm="1">
        <f t="array" aca="1" ref="L59" ca="1">INDIRECT("["&amp;datatable!$C$2&amp;"]"&amp;datatable!$B6&amp;"!"&amp;"Y10")</f>
        <v>High Correct</v>
      </c>
      <c r="M59" s="51" t="str" cm="1">
        <f t="array" aca="1" ref="M59" ca="1">INDIRECT("["&amp;datatable!$C$2&amp;"]"&amp;datatable!$B6&amp;"!"&amp;"Y11")</f>
        <v>High Correct</v>
      </c>
      <c r="N59" s="51" t="str" cm="1">
        <f t="array" aca="1" ref="N59" ca="1">INDIRECT("["&amp;datatable!$C$2&amp;"]"&amp;datatable!$B6&amp;"!"&amp;"Y46")</f>
        <v>Low Incorrect</v>
      </c>
      <c r="O59" s="51" t="str" cm="1">
        <f t="array" aca="1" ref="O59" ca="1">INDIRECT("["&amp;datatable!$C$2&amp;"]"&amp;datatable!$B6&amp;"!"&amp;"Y47")</f>
        <v>High Maybe</v>
      </c>
      <c r="P59" s="51" t="str" cm="1">
        <f t="array" aca="1" ref="P59" ca="1">INDIRECT("["&amp;datatable!$C$2&amp;"]"&amp;datatable!$B6&amp;"!"&amp;"Y48")</f>
        <v>Medium Maybe</v>
      </c>
      <c r="Q59" s="51" t="str" cm="1">
        <f t="array" aca="1" ref="Q59" ca="1">INDIRECT("["&amp;datatable!$C$2&amp;"]"&amp;datatable!$B6&amp;"!"&amp;"Y49")</f>
        <v>High Correct</v>
      </c>
      <c r="R59" s="51" t="str" cm="1">
        <f t="array" aca="1" ref="R59" ca="1">INDIRECT("["&amp;datatable!$C$2&amp;"]"&amp;datatable!$B6&amp;"!"&amp;"Y50")</f>
        <v>High Correct</v>
      </c>
      <c r="S59" s="51" t="str" cm="1">
        <f t="array" aca="1" ref="S59" ca="1">INDIRECT("["&amp;datatable!$C$2&amp;"]"&amp;datatable!$B6&amp;"!"&amp;"Y51")</f>
        <v>Medium Maybe</v>
      </c>
      <c r="T59" s="51" t="str" cm="1">
        <f t="array" aca="1" ref="T59" ca="1">INDIRECT("["&amp;datatable!$C$2&amp;"]"&amp;datatable!$B6&amp;"!"&amp;"Y52")</f>
        <v>Medium Maybe</v>
      </c>
      <c r="U59" s="51" t="str" cm="1">
        <f t="array" aca="1" ref="U59" ca="1">INDIRECT("["&amp;datatable!$C$2&amp;"]"&amp;datatable!$B6&amp;"!"&amp;"Y53")</f>
        <v>Medium Incorrect</v>
      </c>
      <c r="V59" s="51" t="str" cm="1">
        <f t="array" aca="1" ref="V59" ca="1">INDIRECT("["&amp;datatable!$C$2&amp;"]"&amp;datatable!$B6&amp;"!"&amp;"Y54")</f>
        <v>Medium Maybe</v>
      </c>
      <c r="W59" s="51" t="str" cm="1">
        <f t="array" aca="1" ref="W59" ca="1">INDIRECT("["&amp;datatable!$C$2&amp;"]"&amp;datatable!$B6&amp;"!"&amp;"Y55")</f>
        <v>Medium Correct</v>
      </c>
      <c r="X59" s="51" t="str" cm="1">
        <f t="array" aca="1" ref="X59" ca="1">INDIRECT("["&amp;datatable!$C$2&amp;"]"&amp;datatable!$B6&amp;"!"&amp;"Y56")</f>
        <v>N/A</v>
      </c>
      <c r="Y59" s="50"/>
    </row>
    <row r="60" spans="3:25">
      <c r="C60" s="30" t="s">
        <v>42</v>
      </c>
      <c r="D60" s="51" t="str" cm="1">
        <f t="array" aca="1" ref="D60" ca="1">INDIRECT("["&amp;datatable!$C$2&amp;"]"&amp;datatable!$B7&amp;"!"&amp;"Y2")</f>
        <v>High Correct</v>
      </c>
      <c r="E60" s="51" t="str" cm="1">
        <f t="array" aca="1" ref="E60" ca="1">INDIRECT("["&amp;datatable!$C$2&amp;"]"&amp;datatable!$B7&amp;"!"&amp;"Y3")</f>
        <v>High Correct</v>
      </c>
      <c r="F60" s="51" t="str" cm="1">
        <f t="array" aca="1" ref="F60" ca="1">INDIRECT("["&amp;datatable!$C$2&amp;"]"&amp;datatable!$B7&amp;"!"&amp;"Y4")</f>
        <v>High Maybe</v>
      </c>
      <c r="G60" s="51" t="str" cm="1">
        <f t="array" aca="1" ref="G60" ca="1">INDIRECT("["&amp;datatable!$C$2&amp;"]"&amp;datatable!$B7&amp;"!"&amp;"Y5")</f>
        <v>Medium Correct</v>
      </c>
      <c r="H60" s="51" t="str" cm="1">
        <f t="array" aca="1" ref="H60" ca="1">INDIRECT("["&amp;datatable!$C$2&amp;"]"&amp;datatable!$B7&amp;"!"&amp;"Y6")</f>
        <v>High Correct</v>
      </c>
      <c r="I60" s="51" t="str" cm="1">
        <f t="array" aca="1" ref="I60" ca="1">INDIRECT("["&amp;datatable!$C$2&amp;"]"&amp;datatable!$B7&amp;"!"&amp;"Y7")</f>
        <v>High Correct</v>
      </c>
      <c r="J60" s="51" t="str" cm="1">
        <f t="array" aca="1" ref="J60" ca="1">INDIRECT("["&amp;datatable!$C$2&amp;"]"&amp;datatable!$B7&amp;"!"&amp;"Y8")</f>
        <v>Low Incorrect</v>
      </c>
      <c r="K60" s="51" t="str" cm="1">
        <f t="array" aca="1" ref="K60" ca="1">INDIRECT("["&amp;datatable!$C$2&amp;"]"&amp;datatable!$B7&amp;"!"&amp;"Y9")</f>
        <v>High Correct</v>
      </c>
      <c r="L60" s="51" t="str" cm="1">
        <f t="array" aca="1" ref="L60" ca="1">INDIRECT("["&amp;datatable!$C$2&amp;"]"&amp;datatable!$B7&amp;"!"&amp;"Y10")</f>
        <v>High Correct</v>
      </c>
      <c r="M60" s="51" t="str" cm="1">
        <f t="array" aca="1" ref="M60" ca="1">INDIRECT("["&amp;datatable!$C$2&amp;"]"&amp;datatable!$B7&amp;"!"&amp;"Y11")</f>
        <v>Medium Correct</v>
      </c>
      <c r="N60" s="51" t="str" cm="1">
        <f t="array" aca="1" ref="N60" ca="1">INDIRECT("["&amp;datatable!$C$2&amp;"]"&amp;datatable!$B7&amp;"!"&amp;"Y46")</f>
        <v>N/A</v>
      </c>
      <c r="O60" s="51" t="str" cm="1">
        <f t="array" aca="1" ref="O60" ca="1">INDIRECT("["&amp;datatable!$C$2&amp;"]"&amp;datatable!$B7&amp;"!"&amp;"Y47")</f>
        <v>N/A</v>
      </c>
      <c r="P60" s="51" t="str" cm="1">
        <f t="array" aca="1" ref="P60" ca="1">INDIRECT("["&amp;datatable!$C$2&amp;"]"&amp;datatable!$B7&amp;"!"&amp;"Y48")</f>
        <v>N/A</v>
      </c>
      <c r="Q60" s="51" t="str" cm="1">
        <f t="array" aca="1" ref="Q60" ca="1">INDIRECT("["&amp;datatable!$C$2&amp;"]"&amp;datatable!$B7&amp;"!"&amp;"Y49")</f>
        <v>N/A</v>
      </c>
      <c r="R60" s="51" t="str" cm="1">
        <f t="array" aca="1" ref="R60" ca="1">INDIRECT("["&amp;datatable!$C$2&amp;"]"&amp;datatable!$B7&amp;"!"&amp;"Y50")</f>
        <v>N/A</v>
      </c>
      <c r="S60" s="51" t="str" cm="1">
        <f t="array" aca="1" ref="S60" ca="1">INDIRECT("["&amp;datatable!$C$2&amp;"]"&amp;datatable!$B7&amp;"!"&amp;"Y51")</f>
        <v>N/A</v>
      </c>
      <c r="T60" s="51" t="str" cm="1">
        <f t="array" aca="1" ref="T60" ca="1">INDIRECT("["&amp;datatable!$C$2&amp;"]"&amp;datatable!$B7&amp;"!"&amp;"Y52")</f>
        <v>N/A</v>
      </c>
      <c r="U60" s="51" t="str" cm="1">
        <f t="array" aca="1" ref="U60" ca="1">INDIRECT("["&amp;datatable!$C$2&amp;"]"&amp;datatable!$B7&amp;"!"&amp;"Y53")</f>
        <v>High Incorrect</v>
      </c>
      <c r="V60" s="51" t="str" cm="1">
        <f t="array" aca="1" ref="V60" ca="1">INDIRECT("["&amp;datatable!$C$2&amp;"]"&amp;datatable!$B7&amp;"!"&amp;"Y54")</f>
        <v>High Maybe</v>
      </c>
      <c r="W60" s="51" t="str" cm="1">
        <f t="array" aca="1" ref="W60" ca="1">INDIRECT("["&amp;datatable!$C$2&amp;"]"&amp;datatable!$B7&amp;"!"&amp;"Y55")</f>
        <v>N/A</v>
      </c>
      <c r="X60" s="51" t="str" cm="1">
        <f t="array" aca="1" ref="X60" ca="1">INDIRECT("["&amp;datatable!$C$2&amp;"]"&amp;datatable!$B7&amp;"!"&amp;"Y56")</f>
        <v>N/A</v>
      </c>
      <c r="Y60" s="50"/>
    </row>
    <row r="61" spans="3:25">
      <c r="C61" s="30" t="s">
        <v>43</v>
      </c>
      <c r="D61" s="51" t="str" cm="1">
        <f t="array" aca="1" ref="D61" ca="1">INDIRECT("["&amp;datatable!$C$2&amp;"]"&amp;datatable!$B8&amp;"!"&amp;"Y2")</f>
        <v>Medium Correct</v>
      </c>
      <c r="E61" s="51" t="str" cm="1">
        <f t="array" aca="1" ref="E61" ca="1">INDIRECT("["&amp;datatable!$C$2&amp;"]"&amp;datatable!$B8&amp;"!"&amp;"Y3")</f>
        <v>Low Correct</v>
      </c>
      <c r="F61" s="51" t="str" cm="1">
        <f t="array" aca="1" ref="F61" ca="1">INDIRECT("["&amp;datatable!$C$2&amp;"]"&amp;datatable!$B8&amp;"!"&amp;"Y4")</f>
        <v>Medium Maybe</v>
      </c>
      <c r="G61" s="51" t="str" cm="1">
        <f t="array" aca="1" ref="G61" ca="1">INDIRECT("["&amp;datatable!$C$2&amp;"]"&amp;datatable!$B8&amp;"!"&amp;"Y5")</f>
        <v>High Maybe</v>
      </c>
      <c r="H61" s="51" t="str" cm="1">
        <f t="array" aca="1" ref="H61" ca="1">INDIRECT("["&amp;datatable!$C$2&amp;"]"&amp;datatable!$B8&amp;"!"&amp;"Y6")</f>
        <v>Medium Correct</v>
      </c>
      <c r="I61" s="51" t="str" cm="1">
        <f t="array" aca="1" ref="I61" ca="1">INDIRECT("["&amp;datatable!$C$2&amp;"]"&amp;datatable!$B8&amp;"!"&amp;"Y7")</f>
        <v>High Correct</v>
      </c>
      <c r="J61" s="51" t="str" cm="1">
        <f t="array" aca="1" ref="J61" ca="1">INDIRECT("["&amp;datatable!$C$2&amp;"]"&amp;datatable!$B8&amp;"!"&amp;"Y8")</f>
        <v>Low Maybe</v>
      </c>
      <c r="K61" s="51" t="str" cm="1">
        <f t="array" aca="1" ref="K61" ca="1">INDIRECT("["&amp;datatable!$C$2&amp;"]"&amp;datatable!$B8&amp;"!"&amp;"Y9")</f>
        <v>High Correct</v>
      </c>
      <c r="L61" s="51" t="str" cm="1">
        <f t="array" aca="1" ref="L61" ca="1">INDIRECT("["&amp;datatable!$C$2&amp;"]"&amp;datatable!$B8&amp;"!"&amp;"Y10")</f>
        <v>High Correct</v>
      </c>
      <c r="M61" s="51" t="str" cm="1">
        <f t="array" aca="1" ref="M61" ca="1">INDIRECT("["&amp;datatable!$C$2&amp;"]"&amp;datatable!$B8&amp;"!"&amp;"Y11")</f>
        <v>Low Correct</v>
      </c>
      <c r="N61" s="51" t="str" cm="1">
        <f t="array" aca="1" ref="N61" ca="1">INDIRECT("["&amp;datatable!$C$2&amp;"]"&amp;datatable!$B8&amp;"!"&amp;"Y46")</f>
        <v>Medium Correct</v>
      </c>
      <c r="O61" s="51" t="str" cm="1">
        <f t="array" aca="1" ref="O61" ca="1">INDIRECT("["&amp;datatable!$C$2&amp;"]"&amp;datatable!$B8&amp;"!"&amp;"Y47")</f>
        <v>Medium Maybe</v>
      </c>
      <c r="P61" s="51" t="str" cm="1">
        <f t="array" aca="1" ref="P61" ca="1">INDIRECT("["&amp;datatable!$C$2&amp;"]"&amp;datatable!$B8&amp;"!"&amp;"Y48")</f>
        <v>High Incorrect</v>
      </c>
      <c r="Q61" s="51" t="str" cm="1">
        <f t="array" aca="1" ref="Q61" ca="1">INDIRECT("["&amp;datatable!$C$2&amp;"]"&amp;datatable!$B8&amp;"!"&amp;"Y49")</f>
        <v>Medium Maybe</v>
      </c>
      <c r="R61" s="51" t="str" cm="1">
        <f t="array" aca="1" ref="R61" ca="1">INDIRECT("["&amp;datatable!$C$2&amp;"]"&amp;datatable!$B8&amp;"!"&amp;"Y50")</f>
        <v>High Maybe</v>
      </c>
      <c r="S61" s="51" t="str" cm="1">
        <f t="array" aca="1" ref="S61" ca="1">INDIRECT("["&amp;datatable!$C$2&amp;"]"&amp;datatable!$B8&amp;"!"&amp;"Y51")</f>
        <v>Low Correct</v>
      </c>
      <c r="T61" s="51" t="str" cm="1">
        <f t="array" aca="1" ref="T61" ca="1">INDIRECT("["&amp;datatable!$C$2&amp;"]"&amp;datatable!$B8&amp;"!"&amp;"Y52")</f>
        <v>N/A</v>
      </c>
      <c r="U61" s="51" t="str" cm="1">
        <f t="array" aca="1" ref="U61" ca="1">INDIRECT("["&amp;datatable!$C$2&amp;"]"&amp;datatable!$B8&amp;"!"&amp;"Y53")</f>
        <v>High Incorrect</v>
      </c>
      <c r="V61" s="51" t="str" cm="1">
        <f t="array" aca="1" ref="V61" ca="1">INDIRECT("["&amp;datatable!$C$2&amp;"]"&amp;datatable!$B8&amp;"!"&amp;"Y54")</f>
        <v>Low Correct</v>
      </c>
      <c r="W61" s="51" t="str" cm="1">
        <f t="array" aca="1" ref="W61" ca="1">INDIRECT("["&amp;datatable!$C$2&amp;"]"&amp;datatable!$B8&amp;"!"&amp;"Y55")</f>
        <v>High Incorrect</v>
      </c>
      <c r="X61" s="51" t="str" cm="1">
        <f t="array" aca="1" ref="X61" ca="1">INDIRECT("["&amp;datatable!$C$2&amp;"]"&amp;datatable!$B8&amp;"!"&amp;"Y56")</f>
        <v>N/A</v>
      </c>
      <c r="Y61" s="50"/>
    </row>
    <row r="62" spans="3:25">
      <c r="C62" s="30" t="s">
        <v>44</v>
      </c>
      <c r="D62" s="51" t="str" cm="1">
        <f t="array" aca="1" ref="D62" ca="1">INDIRECT("["&amp;datatable!$C$2&amp;"]"&amp;datatable!$B9&amp;"!"&amp;"Y2")</f>
        <v>Medium Correct</v>
      </c>
      <c r="E62" s="51" t="str" cm="1">
        <f t="array" aca="1" ref="E62" ca="1">INDIRECT("["&amp;datatable!$C$2&amp;"]"&amp;datatable!$B9&amp;"!"&amp;"Y3")</f>
        <v>High Incorrect</v>
      </c>
      <c r="F62" s="51" t="str" cm="1">
        <f t="array" aca="1" ref="F62" ca="1">INDIRECT("["&amp;datatable!$C$2&amp;"]"&amp;datatable!$B9&amp;"!"&amp;"Y4")</f>
        <v>High Correct</v>
      </c>
      <c r="G62" s="51" t="str" cm="1">
        <f t="array" aca="1" ref="G62" ca="1">INDIRECT("["&amp;datatable!$C$2&amp;"]"&amp;datatable!$B9&amp;"!"&amp;"Y5")</f>
        <v>High Incorrect</v>
      </c>
      <c r="H62" s="51" t="str" cm="1">
        <f t="array" aca="1" ref="H62" ca="1">INDIRECT("["&amp;datatable!$C$2&amp;"]"&amp;datatable!$B9&amp;"!"&amp;"Y6")</f>
        <v>High Incorrect</v>
      </c>
      <c r="I62" s="51" t="str" cm="1">
        <f t="array" aca="1" ref="I62" ca="1">INDIRECT("["&amp;datatable!$C$2&amp;"]"&amp;datatable!$B9&amp;"!"&amp;"Y7")</f>
        <v>Medium Correct</v>
      </c>
      <c r="J62" s="51" t="str" cm="1">
        <f t="array" aca="1" ref="J62" ca="1">INDIRECT("["&amp;datatable!$C$2&amp;"]"&amp;datatable!$B9&amp;"!"&amp;"Y8")</f>
        <v>Low Incorrect</v>
      </c>
      <c r="K62" s="51" t="str" cm="1">
        <f t="array" aca="1" ref="K62" ca="1">INDIRECT("["&amp;datatable!$C$2&amp;"]"&amp;datatable!$B9&amp;"!"&amp;"Y9")</f>
        <v>High Correct</v>
      </c>
      <c r="L62" s="51" t="str" cm="1">
        <f t="array" aca="1" ref="L62" ca="1">INDIRECT("["&amp;datatable!$C$2&amp;"]"&amp;datatable!$B9&amp;"!"&amp;"Y10")</f>
        <v>High Correct</v>
      </c>
      <c r="M62" s="51" t="str" cm="1">
        <f t="array" aca="1" ref="M62" ca="1">INDIRECT("["&amp;datatable!$C$2&amp;"]"&amp;datatable!$B9&amp;"!"&amp;"Y11")</f>
        <v>Medium Incorrect</v>
      </c>
      <c r="N62" s="51" t="str" cm="1">
        <f t="array" aca="1" ref="N62" ca="1">INDIRECT("["&amp;datatable!$C$2&amp;"]"&amp;datatable!$B9&amp;"!"&amp;"Y46")</f>
        <v>Medium Correct</v>
      </c>
      <c r="O62" s="51" t="str" cm="1">
        <f t="array" aca="1" ref="O62" ca="1">INDIRECT("["&amp;datatable!$C$2&amp;"]"&amp;datatable!$B9&amp;"!"&amp;"Y47")</f>
        <v>Low Incorrect</v>
      </c>
      <c r="P62" s="51" t="str" cm="1">
        <f t="array" aca="1" ref="P62" ca="1">INDIRECT("["&amp;datatable!$C$2&amp;"]"&amp;datatable!$B9&amp;"!"&amp;"Y48")</f>
        <v>Low Correct</v>
      </c>
      <c r="Q62" s="51" t="str" cm="1">
        <f t="array" aca="1" ref="Q62" ca="1">INDIRECT("["&amp;datatable!$C$2&amp;"]"&amp;datatable!$B9&amp;"!"&amp;"Y49")</f>
        <v>Medium Correct</v>
      </c>
      <c r="R62" s="51" t="str" cm="1">
        <f t="array" aca="1" ref="R62" ca="1">INDIRECT("["&amp;datatable!$C$2&amp;"]"&amp;datatable!$B9&amp;"!"&amp;"Y50")</f>
        <v>Medium Correct</v>
      </c>
      <c r="S62" s="51" t="str" cm="1">
        <f t="array" aca="1" ref="S62" ca="1">INDIRECT("["&amp;datatable!$C$2&amp;"]"&amp;datatable!$B9&amp;"!"&amp;"Y51")</f>
        <v>High Correct</v>
      </c>
      <c r="T62" s="51" t="str" cm="1">
        <f t="array" aca="1" ref="T62" ca="1">INDIRECT("["&amp;datatable!$C$2&amp;"]"&amp;datatable!$B9&amp;"!"&amp;"Y52")</f>
        <v>Medium Incorrect</v>
      </c>
      <c r="U62" s="51" t="str" cm="1">
        <f t="array" aca="1" ref="U62" ca="1">INDIRECT("["&amp;datatable!$C$2&amp;"]"&amp;datatable!$B9&amp;"!"&amp;"Y53")</f>
        <v>Medium Maybe</v>
      </c>
      <c r="V62" s="51" t="str" cm="1">
        <f t="array" aca="1" ref="V62" ca="1">INDIRECT("["&amp;datatable!$C$2&amp;"]"&amp;datatable!$B9&amp;"!"&amp;"Y54")</f>
        <v>Low Correct</v>
      </c>
      <c r="W62" s="51" t="str" cm="1">
        <f t="array" aca="1" ref="W62" ca="1">INDIRECT("["&amp;datatable!$C$2&amp;"]"&amp;datatable!$B9&amp;"!"&amp;"Y55")</f>
        <v>High Correct</v>
      </c>
      <c r="X62" s="51" t="str" cm="1">
        <f t="array" aca="1" ref="X62" ca="1">INDIRECT("["&amp;datatable!$C$2&amp;"]"&amp;datatable!$B9&amp;"!"&amp;"Y56")</f>
        <v>N/A</v>
      </c>
      <c r="Y62" s="50"/>
    </row>
    <row r="63" spans="3:25">
      <c r="C63" s="30" t="s">
        <v>45</v>
      </c>
      <c r="D63" s="51" t="str" cm="1">
        <f t="array" aca="1" ref="D63" ca="1">INDIRECT("["&amp;datatable!$C$2&amp;"]"&amp;datatable!$B10&amp;"!"&amp;"Y2")</f>
        <v>Medium Correct</v>
      </c>
      <c r="E63" s="51" t="str" cm="1">
        <f t="array" aca="1" ref="E63" ca="1">INDIRECT("["&amp;datatable!$C$2&amp;"]"&amp;datatable!$B10&amp;"!"&amp;"Y3")</f>
        <v>Medium Maybe</v>
      </c>
      <c r="F63" s="51" t="str" cm="1">
        <f t="array" aca="1" ref="F63" ca="1">INDIRECT("["&amp;datatable!$C$2&amp;"]"&amp;datatable!$B10&amp;"!"&amp;"Y4")</f>
        <v>High Maybe</v>
      </c>
      <c r="G63" s="51" t="str" cm="1">
        <f t="array" aca="1" ref="G63" ca="1">INDIRECT("["&amp;datatable!$C$2&amp;"]"&amp;datatable!$B10&amp;"!"&amp;"Y5")</f>
        <v>Medium Correct</v>
      </c>
      <c r="H63" s="51" t="str" cm="1">
        <f t="array" aca="1" ref="H63" ca="1">INDIRECT("["&amp;datatable!$C$2&amp;"]"&amp;datatable!$B10&amp;"!"&amp;"Y6")</f>
        <v>N/A</v>
      </c>
      <c r="I63" s="51" t="str" cm="1">
        <f t="array" aca="1" ref="I63" ca="1">INDIRECT("["&amp;datatable!$C$2&amp;"]"&amp;datatable!$B10&amp;"!"&amp;"Y7")</f>
        <v>Medium Maybe</v>
      </c>
      <c r="J63" s="51" t="str" cm="1">
        <f t="array" aca="1" ref="J63" ca="1">INDIRECT("["&amp;datatable!$C$2&amp;"]"&amp;datatable!$B10&amp;"!"&amp;"Y8")</f>
        <v>Low Correct</v>
      </c>
      <c r="K63" s="51" t="str" cm="1">
        <f t="array" aca="1" ref="K63" ca="1">INDIRECT("["&amp;datatable!$C$2&amp;"]"&amp;datatable!$B10&amp;"!"&amp;"Y9")</f>
        <v>Medium Correct</v>
      </c>
      <c r="L63" s="51" t="str" cm="1">
        <f t="array" aca="1" ref="L63" ca="1">INDIRECT("["&amp;datatable!$C$2&amp;"]"&amp;datatable!$B10&amp;"!"&amp;"Y10")</f>
        <v>High Maybe</v>
      </c>
      <c r="M63" s="51" t="str" cm="1">
        <f t="array" aca="1" ref="M63" ca="1">INDIRECT("["&amp;datatable!$C$2&amp;"]"&amp;datatable!$B10&amp;"!"&amp;"Y11")</f>
        <v>High Correct</v>
      </c>
      <c r="N63" s="51" t="str" cm="1">
        <f t="array" aca="1" ref="N63" ca="1">INDIRECT("["&amp;datatable!$C$2&amp;"]"&amp;datatable!$B10&amp;"!"&amp;"Y46")</f>
        <v>Medium Correct</v>
      </c>
      <c r="O63" s="51" t="str" cm="1">
        <f t="array" aca="1" ref="O63" ca="1">INDIRECT("["&amp;datatable!$C$2&amp;"]"&amp;datatable!$B10&amp;"!"&amp;"Y47")</f>
        <v>N/A</v>
      </c>
      <c r="P63" s="51" t="str" cm="1">
        <f t="array" aca="1" ref="P63" ca="1">INDIRECT("["&amp;datatable!$C$2&amp;"]"&amp;datatable!$B10&amp;"!"&amp;"Y48")</f>
        <v>High Correct</v>
      </c>
      <c r="Q63" s="51" t="str" cm="1">
        <f t="array" aca="1" ref="Q63" ca="1">INDIRECT("["&amp;datatable!$C$2&amp;"]"&amp;datatable!$B10&amp;"!"&amp;"Y49")</f>
        <v>High Correct</v>
      </c>
      <c r="R63" s="51" t="str" cm="1">
        <f t="array" aca="1" ref="R63" ca="1">INDIRECT("["&amp;datatable!$C$2&amp;"]"&amp;datatable!$B10&amp;"!"&amp;"Y50")</f>
        <v>Medium Correct</v>
      </c>
      <c r="S63" s="51" t="str" cm="1">
        <f t="array" aca="1" ref="S63" ca="1">INDIRECT("["&amp;datatable!$C$2&amp;"]"&amp;datatable!$B10&amp;"!"&amp;"Y51")</f>
        <v>High Maybe</v>
      </c>
      <c r="T63" s="51" t="str" cm="1">
        <f t="array" aca="1" ref="T63" ca="1">INDIRECT("["&amp;datatable!$C$2&amp;"]"&amp;datatable!$B10&amp;"!"&amp;"Y52")</f>
        <v>N/A</v>
      </c>
      <c r="U63" s="51" t="str" cm="1">
        <f t="array" aca="1" ref="U63" ca="1">INDIRECT("["&amp;datatable!$C$2&amp;"]"&amp;datatable!$B10&amp;"!"&amp;"Y53")</f>
        <v>High Incorrect</v>
      </c>
      <c r="V63" s="51" t="str" cm="1">
        <f t="array" aca="1" ref="V63" ca="1">INDIRECT("["&amp;datatable!$C$2&amp;"]"&amp;datatable!$B10&amp;"!"&amp;"Y54")</f>
        <v>Medium Correct</v>
      </c>
      <c r="W63" s="51" t="str" cm="1">
        <f t="array" aca="1" ref="W63" ca="1">INDIRECT("["&amp;datatable!$C$2&amp;"]"&amp;datatable!$B10&amp;"!"&amp;"Y55")</f>
        <v>Low Correct</v>
      </c>
      <c r="X63" s="51" t="str" cm="1">
        <f t="array" aca="1" ref="X63" ca="1">INDIRECT("["&amp;datatable!$C$2&amp;"]"&amp;datatable!$B10&amp;"!"&amp;"Y56")</f>
        <v>High Incorrect</v>
      </c>
      <c r="Y63" s="50"/>
    </row>
    <row r="64" spans="3:25">
      <c r="C64" s="30" t="s">
        <v>46</v>
      </c>
      <c r="D64" s="51" t="str" cm="1">
        <f t="array" aca="1" ref="D64" ca="1">INDIRECT("["&amp;datatable!$C$2&amp;"]"&amp;datatable!$B11&amp;"!"&amp;"Y2")</f>
        <v>Medium Correct</v>
      </c>
      <c r="E64" s="51" t="str" cm="1">
        <f t="array" aca="1" ref="E64" ca="1">INDIRECT("["&amp;datatable!$C$2&amp;"]"&amp;datatable!$B11&amp;"!"&amp;"Y3")</f>
        <v>High Maybe</v>
      </c>
      <c r="F64" s="51" t="str" cm="1">
        <f t="array" aca="1" ref="F64" ca="1">INDIRECT("["&amp;datatable!$C$2&amp;"]"&amp;datatable!$B11&amp;"!"&amp;"Y4")</f>
        <v>Low Correct</v>
      </c>
      <c r="G64" s="51" t="str" cm="1">
        <f t="array" aca="1" ref="G64" ca="1">INDIRECT("["&amp;datatable!$C$2&amp;"]"&amp;datatable!$B11&amp;"!"&amp;"Y5")</f>
        <v>High Correct</v>
      </c>
      <c r="H64" s="51" t="str" cm="1">
        <f t="array" aca="1" ref="H64" ca="1">INDIRECT("["&amp;datatable!$C$2&amp;"]"&amp;datatable!$B11&amp;"!"&amp;"Y6")</f>
        <v>Medium Correct</v>
      </c>
      <c r="I64" s="51" t="str" cm="1">
        <f t="array" aca="1" ref="I64" ca="1">INDIRECT("["&amp;datatable!$C$2&amp;"]"&amp;datatable!$B11&amp;"!"&amp;"Y7")</f>
        <v>High Correct</v>
      </c>
      <c r="J64" s="51" t="str" cm="1">
        <f t="array" aca="1" ref="J64" ca="1">INDIRECT("["&amp;datatable!$C$2&amp;"]"&amp;datatable!$B11&amp;"!"&amp;"Y8")</f>
        <v>High Maybe</v>
      </c>
      <c r="K64" s="51" t="str" cm="1">
        <f t="array" aca="1" ref="K64" ca="1">INDIRECT("["&amp;datatable!$C$2&amp;"]"&amp;datatable!$B11&amp;"!"&amp;"Y9")</f>
        <v>Low Correct</v>
      </c>
      <c r="L64" s="51" t="str" cm="1">
        <f t="array" aca="1" ref="L64" ca="1">INDIRECT("["&amp;datatable!$C$2&amp;"]"&amp;datatable!$B11&amp;"!"&amp;"Y10")</f>
        <v>High Correct</v>
      </c>
      <c r="M64" s="51" t="str" cm="1">
        <f t="array" aca="1" ref="M64" ca="1">INDIRECT("["&amp;datatable!$C$2&amp;"]"&amp;datatable!$B11&amp;"!"&amp;"Y11")</f>
        <v>High Correct</v>
      </c>
      <c r="N64" s="51" t="str" cm="1">
        <f t="array" aca="1" ref="N64" ca="1">INDIRECT("["&amp;datatable!$C$2&amp;"]"&amp;datatable!$B11&amp;"!"&amp;"Y46")</f>
        <v>Low Correct</v>
      </c>
      <c r="O64" s="51" t="str" cm="1">
        <f t="array" aca="1" ref="O64" ca="1">INDIRECT("["&amp;datatable!$C$2&amp;"]"&amp;datatable!$B11&amp;"!"&amp;"Y47")</f>
        <v>Medium Correct</v>
      </c>
      <c r="P64" s="51" t="str" cm="1">
        <f t="array" aca="1" ref="P64" ca="1">INDIRECT("["&amp;datatable!$C$2&amp;"]"&amp;datatable!$B11&amp;"!"&amp;"Y48")</f>
        <v>Medium Maybe</v>
      </c>
      <c r="Q64" s="51" t="str" cm="1">
        <f t="array" aca="1" ref="Q64" ca="1">INDIRECT("["&amp;datatable!$C$2&amp;"]"&amp;datatable!$B11&amp;"!"&amp;"Y49")</f>
        <v>High Correct</v>
      </c>
      <c r="R64" s="51" t="str" cm="1">
        <f t="array" aca="1" ref="R64" ca="1">INDIRECT("["&amp;datatable!$C$2&amp;"]"&amp;datatable!$B11&amp;"!"&amp;"Y50")</f>
        <v>High Correct</v>
      </c>
      <c r="S64" s="51" t="str" cm="1">
        <f t="array" aca="1" ref="S64" ca="1">INDIRECT("["&amp;datatable!$C$2&amp;"]"&amp;datatable!$B11&amp;"!"&amp;"Y51")</f>
        <v>High Correct</v>
      </c>
      <c r="T64" s="51" t="str" cm="1">
        <f t="array" aca="1" ref="T64" ca="1">INDIRECT("["&amp;datatable!$C$2&amp;"]"&amp;datatable!$B11&amp;"!"&amp;"Y52")</f>
        <v>Low Incorrect</v>
      </c>
      <c r="U64" s="51" t="str" cm="1">
        <f t="array" aca="1" ref="U64" ca="1">INDIRECT("["&amp;datatable!$C$2&amp;"]"&amp;datatable!$B11&amp;"!"&amp;"Y53")</f>
        <v>Low Correct</v>
      </c>
      <c r="V64" s="51" t="str" cm="1">
        <f t="array" aca="1" ref="V64" ca="1">INDIRECT("["&amp;datatable!$C$2&amp;"]"&amp;datatable!$B11&amp;"!"&amp;"Y54")</f>
        <v>Medium Correct</v>
      </c>
      <c r="W64" s="51" t="str" cm="1">
        <f t="array" aca="1" ref="W64" ca="1">INDIRECT("["&amp;datatable!$C$2&amp;"]"&amp;datatable!$B11&amp;"!"&amp;"Y55")</f>
        <v>Low Correct</v>
      </c>
      <c r="X64" s="51" t="str" cm="1">
        <f t="array" aca="1" ref="X64" ca="1">INDIRECT("["&amp;datatable!$C$2&amp;"]"&amp;datatable!$B11&amp;"!"&amp;"Y56")</f>
        <v>High Correct</v>
      </c>
      <c r="Y64" s="50"/>
    </row>
    <row r="65" spans="3:25">
      <c r="C65" s="30" t="s">
        <v>47</v>
      </c>
      <c r="D65" s="51" t="str" cm="1">
        <f t="array" aca="1" ref="D65" ca="1">INDIRECT("["&amp;datatable!$C$2&amp;"]"&amp;datatable!$B12&amp;"!"&amp;"Y2")</f>
        <v>Medium Maybe</v>
      </c>
      <c r="E65" s="51" t="str" cm="1">
        <f t="array" aca="1" ref="E65" ca="1">INDIRECT("["&amp;datatable!$C$2&amp;"]"&amp;datatable!$B12&amp;"!"&amp;"Y3")</f>
        <v>Low Incorrect</v>
      </c>
      <c r="F65" s="51" t="str" cm="1">
        <f t="array" aca="1" ref="F65" ca="1">INDIRECT("["&amp;datatable!$C$2&amp;"]"&amp;datatable!$B12&amp;"!"&amp;"Y4")</f>
        <v>High Incorrect</v>
      </c>
      <c r="G65" s="51" t="str" cm="1">
        <f t="array" aca="1" ref="G65" ca="1">INDIRECT("["&amp;datatable!$C$2&amp;"]"&amp;datatable!$B12&amp;"!"&amp;"Y5")</f>
        <v>High Correct</v>
      </c>
      <c r="H65" s="51" t="str" cm="1">
        <f t="array" aca="1" ref="H65" ca="1">INDIRECT("["&amp;datatable!$C$2&amp;"]"&amp;datatable!$B12&amp;"!"&amp;"Y6")</f>
        <v>Low Incorrect</v>
      </c>
      <c r="I65" s="51" t="str" cm="1">
        <f t="array" aca="1" ref="I65" ca="1">INDIRECT("["&amp;datatable!$C$2&amp;"]"&amp;datatable!$B12&amp;"!"&amp;"Y7")</f>
        <v>High Correct</v>
      </c>
      <c r="J65" s="51" t="str" cm="1">
        <f t="array" aca="1" ref="J65" ca="1">INDIRECT("["&amp;datatable!$C$2&amp;"]"&amp;datatable!$B12&amp;"!"&amp;"Y8")</f>
        <v>Medium Maybe</v>
      </c>
      <c r="K65" s="51" t="str" cm="1">
        <f t="array" aca="1" ref="K65" ca="1">INDIRECT("["&amp;datatable!$C$2&amp;"]"&amp;datatable!$B12&amp;"!"&amp;"Y9")</f>
        <v>High Maybe</v>
      </c>
      <c r="L65" s="51" t="str" cm="1">
        <f t="array" aca="1" ref="L65" ca="1">INDIRECT("["&amp;datatable!$C$2&amp;"]"&amp;datatable!$B12&amp;"!"&amp;"Y10")</f>
        <v>Low Maybe</v>
      </c>
      <c r="M65" s="51" t="str" cm="1">
        <f t="array" aca="1" ref="M65" ca="1">INDIRECT("["&amp;datatable!$C$2&amp;"]"&amp;datatable!$B12&amp;"!"&amp;"Y11")</f>
        <v>High Correct</v>
      </c>
      <c r="N65" s="51" t="str" cm="1">
        <f t="array" aca="1" ref="N65" ca="1">INDIRECT("["&amp;datatable!$C$2&amp;"]"&amp;datatable!$B12&amp;"!"&amp;"Y46")</f>
        <v>Medium Correct</v>
      </c>
      <c r="O65" s="51" t="str" cm="1">
        <f t="array" aca="1" ref="O65" ca="1">INDIRECT("["&amp;datatable!$C$2&amp;"]"&amp;datatable!$B12&amp;"!"&amp;"Y47")</f>
        <v>High Correct</v>
      </c>
      <c r="P65" s="51" t="str" cm="1">
        <f t="array" aca="1" ref="P65" ca="1">INDIRECT("["&amp;datatable!$C$2&amp;"]"&amp;datatable!$B12&amp;"!"&amp;"Y48")</f>
        <v>Medium Correct</v>
      </c>
      <c r="Q65" s="51" t="str" cm="1">
        <f t="array" aca="1" ref="Q65" ca="1">INDIRECT("["&amp;datatable!$C$2&amp;"]"&amp;datatable!$B12&amp;"!"&amp;"Y49")</f>
        <v>High Correct</v>
      </c>
      <c r="R65" s="51" t="str" cm="1">
        <f t="array" aca="1" ref="R65" ca="1">INDIRECT("["&amp;datatable!$C$2&amp;"]"&amp;datatable!$B12&amp;"!"&amp;"Y50")</f>
        <v>Medium Maybe</v>
      </c>
      <c r="S65" s="51" t="str" cm="1">
        <f t="array" aca="1" ref="S65" ca="1">INDIRECT("["&amp;datatable!$C$2&amp;"]"&amp;datatable!$B12&amp;"!"&amp;"Y51")</f>
        <v>High Correct</v>
      </c>
      <c r="T65" s="51" t="str" cm="1">
        <f t="array" aca="1" ref="T65" ca="1">INDIRECT("["&amp;datatable!$C$2&amp;"]"&amp;datatable!$B12&amp;"!"&amp;"Y52")</f>
        <v>Low Correct</v>
      </c>
      <c r="U65" s="51" t="str" cm="1">
        <f t="array" aca="1" ref="U65" ca="1">INDIRECT("["&amp;datatable!$C$2&amp;"]"&amp;datatable!$B12&amp;"!"&amp;"Y53")</f>
        <v>Medium Correct</v>
      </c>
      <c r="V65" s="51" t="str" cm="1">
        <f t="array" aca="1" ref="V65" ca="1">INDIRECT("["&amp;datatable!$C$2&amp;"]"&amp;datatable!$B12&amp;"!"&amp;"Y54")</f>
        <v>Low Correct</v>
      </c>
      <c r="W65" s="51" t="str" cm="1">
        <f t="array" aca="1" ref="W65" ca="1">INDIRECT("["&amp;datatable!$C$2&amp;"]"&amp;datatable!$B12&amp;"!"&amp;"Y55")</f>
        <v>Medium Correct</v>
      </c>
      <c r="X65" s="51" t="str" cm="1">
        <f t="array" aca="1" ref="X65" ca="1">INDIRECT("["&amp;datatable!$C$2&amp;"]"&amp;datatable!$B12&amp;"!"&amp;"Y56")</f>
        <v>Medium Incorrect</v>
      </c>
      <c r="Y65" s="50"/>
    </row>
    <row r="66" spans="3:25">
      <c r="C66" s="30" t="s">
        <v>48</v>
      </c>
      <c r="D66" s="51" t="str" cm="1">
        <f t="array" aca="1" ref="D66" ca="1">INDIRECT("["&amp;datatable!$C$2&amp;"]"&amp;datatable!$B13&amp;"!"&amp;"Y2")</f>
        <v>Medium Correct</v>
      </c>
      <c r="E66" s="51" t="str" cm="1">
        <f t="array" aca="1" ref="E66" ca="1">INDIRECT("["&amp;datatable!$C$2&amp;"]"&amp;datatable!$B13&amp;"!"&amp;"Y3")</f>
        <v>High Correct</v>
      </c>
      <c r="F66" s="51" t="str" cm="1">
        <f t="array" aca="1" ref="F66" ca="1">INDIRECT("["&amp;datatable!$C$2&amp;"]"&amp;datatable!$B13&amp;"!"&amp;"Y4")</f>
        <v>High Incorrect</v>
      </c>
      <c r="G66" s="51" t="str" cm="1">
        <f t="array" aca="1" ref="G66" ca="1">INDIRECT("["&amp;datatable!$C$2&amp;"]"&amp;datatable!$B13&amp;"!"&amp;"Y5")</f>
        <v>High Correct</v>
      </c>
      <c r="H66" s="51" t="str" cm="1">
        <f t="array" aca="1" ref="H66" ca="1">INDIRECT("["&amp;datatable!$C$2&amp;"]"&amp;datatable!$B13&amp;"!"&amp;"Y6")</f>
        <v>High Correct</v>
      </c>
      <c r="I66" s="51" t="str" cm="1">
        <f t="array" aca="1" ref="I66" ca="1">INDIRECT("["&amp;datatable!$C$2&amp;"]"&amp;datatable!$B13&amp;"!"&amp;"Y7")</f>
        <v>High Correct</v>
      </c>
      <c r="J66" s="51" t="str" cm="1">
        <f t="array" aca="1" ref="J66" ca="1">INDIRECT("["&amp;datatable!$C$2&amp;"]"&amp;datatable!$B13&amp;"!"&amp;"Y8")</f>
        <v>Medium Correct</v>
      </c>
      <c r="K66" s="51" t="str" cm="1">
        <f t="array" aca="1" ref="K66" ca="1">INDIRECT("["&amp;datatable!$C$2&amp;"]"&amp;datatable!$B13&amp;"!"&amp;"Y9")</f>
        <v>High Correct</v>
      </c>
      <c r="L66" s="51" t="str" cm="1">
        <f t="array" aca="1" ref="L66" ca="1">INDIRECT("["&amp;datatable!$C$2&amp;"]"&amp;datatable!$B13&amp;"!"&amp;"Y10")</f>
        <v>High Correct</v>
      </c>
      <c r="M66" s="51" t="str" cm="1">
        <f t="array" aca="1" ref="M66" ca="1">INDIRECT("["&amp;datatable!$C$2&amp;"]"&amp;datatable!$B13&amp;"!"&amp;"Y11")</f>
        <v>High Maybe</v>
      </c>
      <c r="N66" s="51" t="str" cm="1">
        <f t="array" aca="1" ref="N66" ca="1">INDIRECT("["&amp;datatable!$C$2&amp;"]"&amp;datatable!$B13&amp;"!"&amp;"Y46")</f>
        <v>Medium Correct</v>
      </c>
      <c r="O66" s="51" t="str" cm="1">
        <f t="array" aca="1" ref="O66" ca="1">INDIRECT("["&amp;datatable!$C$2&amp;"]"&amp;datatable!$B13&amp;"!"&amp;"Y47")</f>
        <v>High Correct</v>
      </c>
      <c r="P66" s="51" t="str" cm="1">
        <f t="array" aca="1" ref="P66" ca="1">INDIRECT("["&amp;datatable!$C$2&amp;"]"&amp;datatable!$B13&amp;"!"&amp;"Y48")</f>
        <v>High Correct</v>
      </c>
      <c r="Q66" s="51" t="str" cm="1">
        <f t="array" aca="1" ref="Q66" ca="1">INDIRECT("["&amp;datatable!$C$2&amp;"]"&amp;datatable!$B13&amp;"!"&amp;"Y49")</f>
        <v>Low Correct</v>
      </c>
      <c r="R66" s="51" t="str" cm="1">
        <f t="array" aca="1" ref="R66" ca="1">INDIRECT("["&amp;datatable!$C$2&amp;"]"&amp;datatable!$B13&amp;"!"&amp;"Y50")</f>
        <v>High Correct</v>
      </c>
      <c r="S66" s="51" t="str" cm="1">
        <f t="array" aca="1" ref="S66" ca="1">INDIRECT("["&amp;datatable!$C$2&amp;"]"&amp;datatable!$B13&amp;"!"&amp;"Y51")</f>
        <v>Low Correct</v>
      </c>
      <c r="T66" s="51" t="str" cm="1">
        <f t="array" aca="1" ref="T66" ca="1">INDIRECT("["&amp;datatable!$C$2&amp;"]"&amp;datatable!$B13&amp;"!"&amp;"Y52")</f>
        <v>Low Correct</v>
      </c>
      <c r="U66" s="51" t="str" cm="1">
        <f t="array" aca="1" ref="U66" ca="1">INDIRECT("["&amp;datatable!$C$2&amp;"]"&amp;datatable!$B13&amp;"!"&amp;"Y53")</f>
        <v>Low Incorrect</v>
      </c>
      <c r="V66" s="51" t="str" cm="1">
        <f t="array" aca="1" ref="V66" ca="1">INDIRECT("["&amp;datatable!$C$2&amp;"]"&amp;datatable!$B13&amp;"!"&amp;"Y54")</f>
        <v>Medium Correct</v>
      </c>
      <c r="W66" s="51" t="str" cm="1">
        <f t="array" aca="1" ref="W66" ca="1">INDIRECT("["&amp;datatable!$C$2&amp;"]"&amp;datatable!$B13&amp;"!"&amp;"Y55")</f>
        <v>Medium Maybe</v>
      </c>
      <c r="X66" s="51" t="str" cm="1">
        <f t="array" aca="1" ref="X66" ca="1">INDIRECT("["&amp;datatable!$C$2&amp;"]"&amp;datatable!$B13&amp;"!"&amp;"Y56")</f>
        <v>Medium Correct</v>
      </c>
      <c r="Y66" s="50"/>
    </row>
    <row r="67" spans="3:25">
      <c r="C67" s="30" t="s">
        <v>49</v>
      </c>
      <c r="D67" s="51" t="str" cm="1">
        <f t="array" aca="1" ref="D67" ca="1">INDIRECT("["&amp;datatable!$C$2&amp;"]"&amp;datatable!$B14&amp;"!"&amp;"Y2")</f>
        <v>Medium Incorrect</v>
      </c>
      <c r="E67" s="51" t="str" cm="1">
        <f t="array" aca="1" ref="E67" ca="1">INDIRECT("["&amp;datatable!$C$2&amp;"]"&amp;datatable!$B14&amp;"!"&amp;"Y3")</f>
        <v>High Incorrect</v>
      </c>
      <c r="F67" s="51" t="str" cm="1">
        <f t="array" aca="1" ref="F67" ca="1">INDIRECT("["&amp;datatable!$C$2&amp;"]"&amp;datatable!$B14&amp;"!"&amp;"Y4")</f>
        <v>Low Incorrect</v>
      </c>
      <c r="G67" s="51" t="str" cm="1">
        <f t="array" aca="1" ref="G67" ca="1">INDIRECT("["&amp;datatable!$C$2&amp;"]"&amp;datatable!$B14&amp;"!"&amp;"Y5")</f>
        <v>High Correct</v>
      </c>
      <c r="H67" s="51" t="str" cm="1">
        <f t="array" aca="1" ref="H67" ca="1">INDIRECT("["&amp;datatable!$C$2&amp;"]"&amp;datatable!$B14&amp;"!"&amp;"Y6")</f>
        <v>Medium Maybe</v>
      </c>
      <c r="I67" s="51" t="str" cm="1">
        <f t="array" aca="1" ref="I67" ca="1">INDIRECT("["&amp;datatable!$C$2&amp;"]"&amp;datatable!$B14&amp;"!"&amp;"Y7")</f>
        <v>Medium Maybe</v>
      </c>
      <c r="J67" s="51" t="str" cm="1">
        <f t="array" aca="1" ref="J67" ca="1">INDIRECT("["&amp;datatable!$C$2&amp;"]"&amp;datatable!$B14&amp;"!"&amp;"Y8")</f>
        <v>Medium Maybe</v>
      </c>
      <c r="K67" s="51" t="str" cm="1">
        <f t="array" aca="1" ref="K67" ca="1">INDIRECT("["&amp;datatable!$C$2&amp;"]"&amp;datatable!$B14&amp;"!"&amp;"Y9")</f>
        <v>N/A</v>
      </c>
      <c r="L67" s="51" t="str" cm="1">
        <f t="array" aca="1" ref="L67" ca="1">INDIRECT("["&amp;datatable!$C$2&amp;"]"&amp;datatable!$B14&amp;"!"&amp;"Y10")</f>
        <v>N/A</v>
      </c>
      <c r="M67" s="51" t="str" cm="1">
        <f t="array" aca="1" ref="M67" ca="1">INDIRECT("["&amp;datatable!$C$2&amp;"]"&amp;datatable!$B14&amp;"!"&amp;"Y11")</f>
        <v>Medium Maybe</v>
      </c>
      <c r="N67" s="51" t="str" cm="1">
        <f t="array" aca="1" ref="N67" ca="1">INDIRECT("["&amp;datatable!$C$2&amp;"]"&amp;datatable!$B14&amp;"!"&amp;"Y46")</f>
        <v>Medium Correct</v>
      </c>
      <c r="O67" s="51" t="str" cm="1">
        <f t="array" aca="1" ref="O67" ca="1">INDIRECT("["&amp;datatable!$C$2&amp;"]"&amp;datatable!$B14&amp;"!"&amp;"Y47")</f>
        <v>Medium Correct</v>
      </c>
      <c r="P67" s="51" t="str" cm="1">
        <f t="array" aca="1" ref="P67" ca="1">INDIRECT("["&amp;datatable!$C$2&amp;"]"&amp;datatable!$B14&amp;"!"&amp;"Y48")</f>
        <v>Low Correct</v>
      </c>
      <c r="Q67" s="51" t="str" cm="1">
        <f t="array" aca="1" ref="Q67" ca="1">INDIRECT("["&amp;datatable!$C$2&amp;"]"&amp;datatable!$B14&amp;"!"&amp;"Y49")</f>
        <v>Medium Correct</v>
      </c>
      <c r="R67" s="51" t="str" cm="1">
        <f t="array" aca="1" ref="R67" ca="1">INDIRECT("["&amp;datatable!$C$2&amp;"]"&amp;datatable!$B14&amp;"!"&amp;"Y50")</f>
        <v>Low Correct</v>
      </c>
      <c r="S67" s="51" t="str" cm="1">
        <f t="array" aca="1" ref="S67" ca="1">INDIRECT("["&amp;datatable!$C$2&amp;"]"&amp;datatable!$B14&amp;"!"&amp;"Y51")</f>
        <v>Medium Correct</v>
      </c>
      <c r="T67" s="51" t="str" cm="1">
        <f t="array" aca="1" ref="T67" ca="1">INDIRECT("["&amp;datatable!$C$2&amp;"]"&amp;datatable!$B14&amp;"!"&amp;"Y52")</f>
        <v>High Incorrect</v>
      </c>
      <c r="U67" s="51" t="str" cm="1">
        <f t="array" aca="1" ref="U67" ca="1">INDIRECT("["&amp;datatable!$C$2&amp;"]"&amp;datatable!$B14&amp;"!"&amp;"Y53")</f>
        <v>Medium Maybe</v>
      </c>
      <c r="V67" s="51" t="str" cm="1">
        <f t="array" aca="1" ref="V67" ca="1">INDIRECT("["&amp;datatable!$C$2&amp;"]"&amp;datatable!$B14&amp;"!"&amp;"Y54")</f>
        <v>High Incorrect</v>
      </c>
      <c r="W67" s="51" t="str" cm="1">
        <f t="array" aca="1" ref="W67" ca="1">INDIRECT("["&amp;datatable!$C$2&amp;"]"&amp;datatable!$B14&amp;"!"&amp;"Y55")</f>
        <v>Medium Maybe</v>
      </c>
      <c r="X67" s="51" t="str" cm="1">
        <f t="array" aca="1" ref="X67" ca="1">INDIRECT("["&amp;datatable!$C$2&amp;"]"&amp;datatable!$B14&amp;"!"&amp;"Y56")</f>
        <v>N/A</v>
      </c>
      <c r="Y67" s="50"/>
    </row>
    <row r="68" spans="3:25">
      <c r="C68" s="30" t="s">
        <v>50</v>
      </c>
      <c r="D68" s="51" t="str" cm="1">
        <f t="array" aca="1" ref="D68" ca="1">INDIRECT("["&amp;datatable!$C$2&amp;"]"&amp;datatable!$B15&amp;"!"&amp;"Y2")</f>
        <v>Medium Incorrect</v>
      </c>
      <c r="E68" s="51" t="str" cm="1">
        <f t="array" aca="1" ref="E68" ca="1">INDIRECT("["&amp;datatable!$C$2&amp;"]"&amp;datatable!$B15&amp;"!"&amp;"Y3")</f>
        <v>Low Maybe</v>
      </c>
      <c r="F68" s="51" t="str" cm="1">
        <f t="array" aca="1" ref="F68" ca="1">INDIRECT("["&amp;datatable!$C$2&amp;"]"&amp;datatable!$B15&amp;"!"&amp;"Y4")</f>
        <v>High Incorrect</v>
      </c>
      <c r="G68" s="51" t="str" cm="1">
        <f t="array" aca="1" ref="G68" ca="1">INDIRECT("["&amp;datatable!$C$2&amp;"]"&amp;datatable!$B15&amp;"!"&amp;"Y5")</f>
        <v>High Maybe</v>
      </c>
      <c r="H68" s="51" t="str" cm="1">
        <f t="array" aca="1" ref="H68" ca="1">INDIRECT("["&amp;datatable!$C$2&amp;"]"&amp;datatable!$B15&amp;"!"&amp;"Y6")</f>
        <v>High Correct</v>
      </c>
      <c r="I68" s="51" t="str" cm="1">
        <f t="array" aca="1" ref="I68" ca="1">INDIRECT("["&amp;datatable!$C$2&amp;"]"&amp;datatable!$B15&amp;"!"&amp;"Y7")</f>
        <v>Medium Incorrect</v>
      </c>
      <c r="J68" s="51" t="str" cm="1">
        <f t="array" aca="1" ref="J68" ca="1">INDIRECT("["&amp;datatable!$C$2&amp;"]"&amp;datatable!$B15&amp;"!"&amp;"Y8")</f>
        <v>High Incorrect</v>
      </c>
      <c r="K68" s="51" t="str" cm="1">
        <f t="array" aca="1" ref="K68" ca="1">INDIRECT("["&amp;datatable!$C$2&amp;"]"&amp;datatable!$B15&amp;"!"&amp;"Y9")</f>
        <v>High Correct</v>
      </c>
      <c r="L68" s="51" t="str" cm="1">
        <f t="array" aca="1" ref="L68" ca="1">INDIRECT("["&amp;datatable!$C$2&amp;"]"&amp;datatable!$B15&amp;"!"&amp;"Y10")</f>
        <v>Medium Incorrect</v>
      </c>
      <c r="M68" s="51" t="str" cm="1">
        <f t="array" aca="1" ref="M68" ca="1">INDIRECT("["&amp;datatable!$C$2&amp;"]"&amp;datatable!$B15&amp;"!"&amp;"Y11")</f>
        <v>High Correct</v>
      </c>
      <c r="N68" s="51" t="str" cm="1">
        <f t="array" aca="1" ref="N68" ca="1">INDIRECT("["&amp;datatable!$C$2&amp;"]"&amp;datatable!$B15&amp;"!"&amp;"Y46")</f>
        <v>Medium Correct</v>
      </c>
      <c r="O68" s="51" t="str" cm="1">
        <f t="array" aca="1" ref="O68" ca="1">INDIRECT("["&amp;datatable!$C$2&amp;"]"&amp;datatable!$B15&amp;"!"&amp;"Y47")</f>
        <v>High Maybe</v>
      </c>
      <c r="P68" s="51" t="str" cm="1">
        <f t="array" aca="1" ref="P68" ca="1">INDIRECT("["&amp;datatable!$C$2&amp;"]"&amp;datatable!$B15&amp;"!"&amp;"Y48")</f>
        <v>High Maybe</v>
      </c>
      <c r="Q68" s="51" t="str" cm="1">
        <f t="array" aca="1" ref="Q68" ca="1">INDIRECT("["&amp;datatable!$C$2&amp;"]"&amp;datatable!$B15&amp;"!"&amp;"Y49")</f>
        <v>High Correct</v>
      </c>
      <c r="R68" s="51" t="str" cm="1">
        <f t="array" aca="1" ref="R68" ca="1">INDIRECT("["&amp;datatable!$C$2&amp;"]"&amp;datatable!$B15&amp;"!"&amp;"Y50")</f>
        <v>High Correct</v>
      </c>
      <c r="S68" s="51" t="str" cm="1">
        <f t="array" aca="1" ref="S68" ca="1">INDIRECT("["&amp;datatable!$C$2&amp;"]"&amp;datatable!$B15&amp;"!"&amp;"Y51")</f>
        <v>High Correct</v>
      </c>
      <c r="T68" s="51" t="str" cm="1">
        <f t="array" aca="1" ref="T68" ca="1">INDIRECT("["&amp;datatable!$C$2&amp;"]"&amp;datatable!$B15&amp;"!"&amp;"Y52")</f>
        <v>Low Maybe</v>
      </c>
      <c r="U68" s="51" t="str" cm="1">
        <f t="array" aca="1" ref="U68" ca="1">INDIRECT("["&amp;datatable!$C$2&amp;"]"&amp;datatable!$B15&amp;"!"&amp;"Y53")</f>
        <v>Medium Maybe</v>
      </c>
      <c r="V68" s="51" t="str" cm="1">
        <f t="array" aca="1" ref="V68" ca="1">INDIRECT("["&amp;datatable!$C$2&amp;"]"&amp;datatable!$B15&amp;"!"&amp;"Y54")</f>
        <v>Medium Correct</v>
      </c>
      <c r="W68" s="51" t="str" cm="1">
        <f t="array" aca="1" ref="W68" ca="1">INDIRECT("["&amp;datatable!$C$2&amp;"]"&amp;datatable!$B15&amp;"!"&amp;"Y55")</f>
        <v>Medium Maybe</v>
      </c>
      <c r="X68" s="51" t="str" cm="1">
        <f t="array" aca="1" ref="X68" ca="1">INDIRECT("["&amp;datatable!$C$2&amp;"]"&amp;datatable!$B15&amp;"!"&amp;"Y56")</f>
        <v>High Incorrect</v>
      </c>
      <c r="Y68" s="50"/>
    </row>
    <row r="69" spans="3:25">
      <c r="C69" s="30" t="s">
        <v>51</v>
      </c>
      <c r="D69" s="51" t="str" cm="1">
        <f t="array" aca="1" ref="D69" ca="1">INDIRECT("["&amp;datatable!$C$2&amp;"]"&amp;datatable!$B16&amp;"!"&amp;"Y2")</f>
        <v>Medium Incorrect</v>
      </c>
      <c r="E69" s="51" t="str" cm="1">
        <f t="array" aca="1" ref="E69" ca="1">INDIRECT("["&amp;datatable!$C$2&amp;"]"&amp;datatable!$B16&amp;"!"&amp;"Y3")</f>
        <v>High Incorrect</v>
      </c>
      <c r="F69" s="51" t="str" cm="1">
        <f t="array" aca="1" ref="F69" ca="1">INDIRECT("["&amp;datatable!$C$2&amp;"]"&amp;datatable!$B16&amp;"!"&amp;"Y4")</f>
        <v>High Incorrect</v>
      </c>
      <c r="G69" s="51" t="str" cm="1">
        <f t="array" aca="1" ref="G69" ca="1">INDIRECT("["&amp;datatable!$C$2&amp;"]"&amp;datatable!$B16&amp;"!"&amp;"Y5")</f>
        <v>High Incorrect</v>
      </c>
      <c r="H69" s="51" t="str" cm="1">
        <f t="array" aca="1" ref="H69" ca="1">INDIRECT("["&amp;datatable!$C$2&amp;"]"&amp;datatable!$B16&amp;"!"&amp;"Y6")</f>
        <v>High Incorrect</v>
      </c>
      <c r="I69" s="51" t="str" cm="1">
        <f t="array" aca="1" ref="I69" ca="1">INDIRECT("["&amp;datatable!$C$2&amp;"]"&amp;datatable!$B16&amp;"!"&amp;"Y7")</f>
        <v>High Incorrect</v>
      </c>
      <c r="J69" s="51" t="str" cm="1">
        <f t="array" aca="1" ref="J69" ca="1">INDIRECT("["&amp;datatable!$C$2&amp;"]"&amp;datatable!$B16&amp;"!"&amp;"Y8")</f>
        <v>High Incorrect</v>
      </c>
      <c r="K69" s="51" t="str" cm="1">
        <f t="array" aca="1" ref="K69" ca="1">INDIRECT("["&amp;datatable!$C$2&amp;"]"&amp;datatable!$B16&amp;"!"&amp;"Y9")</f>
        <v>High Incorrect</v>
      </c>
      <c r="L69" s="51" t="str" cm="1">
        <f t="array" aca="1" ref="L69" ca="1">INDIRECT("["&amp;datatable!$C$2&amp;"]"&amp;datatable!$B16&amp;"!"&amp;"Y10")</f>
        <v>High Incorrect</v>
      </c>
      <c r="M69" s="51" t="str" cm="1">
        <f t="array" aca="1" ref="M69" ca="1">INDIRECT("["&amp;datatable!$C$2&amp;"]"&amp;datatable!$B16&amp;"!"&amp;"Y11")</f>
        <v>High Incorrect</v>
      </c>
      <c r="N69" s="51" t="str" cm="1">
        <f t="array" aca="1" ref="N69" ca="1">INDIRECT("["&amp;datatable!$C$2&amp;"]"&amp;datatable!$B16&amp;"!"&amp;"Y46")</f>
        <v>High Incorrect</v>
      </c>
      <c r="O69" s="51" t="str" cm="1">
        <f t="array" aca="1" ref="O69" ca="1">INDIRECT("["&amp;datatable!$C$2&amp;"]"&amp;datatable!$B16&amp;"!"&amp;"Y47")</f>
        <v>High Incorrect</v>
      </c>
      <c r="P69" s="51" t="str" cm="1">
        <f t="array" aca="1" ref="P69" ca="1">INDIRECT("["&amp;datatable!$C$2&amp;"]"&amp;datatable!$B16&amp;"!"&amp;"Y48")</f>
        <v>High Incorrect</v>
      </c>
      <c r="Q69" s="51" t="str" cm="1">
        <f t="array" aca="1" ref="Q69" ca="1">INDIRECT("["&amp;datatable!$C$2&amp;"]"&amp;datatable!$B16&amp;"!"&amp;"Y49")</f>
        <v>High Incorrect</v>
      </c>
      <c r="R69" s="51" t="str" cm="1">
        <f t="array" aca="1" ref="R69" ca="1">INDIRECT("["&amp;datatable!$C$2&amp;"]"&amp;datatable!$B16&amp;"!"&amp;"Y50")</f>
        <v>High Incorrect</v>
      </c>
      <c r="S69" s="51" t="str" cm="1">
        <f t="array" aca="1" ref="S69" ca="1">INDIRECT("["&amp;datatable!$C$2&amp;"]"&amp;datatable!$B16&amp;"!"&amp;"Y51")</f>
        <v>High Incorrect</v>
      </c>
      <c r="T69" s="51" t="str" cm="1">
        <f t="array" aca="1" ref="T69" ca="1">INDIRECT("["&amp;datatable!$C$2&amp;"]"&amp;datatable!$B16&amp;"!"&amp;"Y52")</f>
        <v>High Incorrect</v>
      </c>
      <c r="U69" s="51" t="str" cm="1">
        <f t="array" aca="1" ref="U69" ca="1">INDIRECT("["&amp;datatable!$C$2&amp;"]"&amp;datatable!$B16&amp;"!"&amp;"Y53")</f>
        <v>High Incorrect</v>
      </c>
      <c r="V69" s="51" t="str" cm="1">
        <f t="array" aca="1" ref="V69" ca="1">INDIRECT("["&amp;datatable!$C$2&amp;"]"&amp;datatable!$B16&amp;"!"&amp;"Y54")</f>
        <v>High Incorrect</v>
      </c>
      <c r="W69" s="51" t="str" cm="1">
        <f t="array" aca="1" ref="W69" ca="1">INDIRECT("["&amp;datatable!$C$2&amp;"]"&amp;datatable!$B16&amp;"!"&amp;"Y55")</f>
        <v>High Incorrect</v>
      </c>
      <c r="X69" s="51" t="str" cm="1">
        <f t="array" aca="1" ref="X69" ca="1">INDIRECT("["&amp;datatable!$C$2&amp;"]"&amp;datatable!$B16&amp;"!"&amp;"Y56")</f>
        <v>High Incorrect</v>
      </c>
      <c r="Y69" s="50"/>
    </row>
    <row r="70" spans="3:25">
      <c r="C70" s="30" t="s">
        <v>52</v>
      </c>
      <c r="D70" s="51" t="str" cm="1">
        <f t="array" aca="1" ref="D70" ca="1">INDIRECT("["&amp;datatable!$C$2&amp;"]"&amp;datatable!$B17&amp;"!"&amp;"Y2")</f>
        <v>High Correct</v>
      </c>
      <c r="E70" s="51" t="str" cm="1">
        <f t="array" aca="1" ref="E70" ca="1">INDIRECT("["&amp;datatable!$C$2&amp;"]"&amp;datatable!$B17&amp;"!"&amp;"Y3")</f>
        <v>High Correct</v>
      </c>
      <c r="F70" s="51" t="str" cm="1">
        <f t="array" aca="1" ref="F70" ca="1">INDIRECT("["&amp;datatable!$C$2&amp;"]"&amp;datatable!$B17&amp;"!"&amp;"Y4")</f>
        <v>High Incorrect</v>
      </c>
      <c r="G70" s="51" t="str" cm="1">
        <f t="array" aca="1" ref="G70" ca="1">INDIRECT("["&amp;datatable!$C$2&amp;"]"&amp;datatable!$B17&amp;"!"&amp;"Y5")</f>
        <v>Low Correct</v>
      </c>
      <c r="H70" s="51" t="str" cm="1">
        <f t="array" aca="1" ref="H70" ca="1">INDIRECT("["&amp;datatable!$C$2&amp;"]"&amp;datatable!$B17&amp;"!"&amp;"Y6")</f>
        <v>High Correct</v>
      </c>
      <c r="I70" s="51" t="str" cm="1">
        <f t="array" aca="1" ref="I70" ca="1">INDIRECT("["&amp;datatable!$C$2&amp;"]"&amp;datatable!$B17&amp;"!"&amp;"Y7")</f>
        <v>High Correct</v>
      </c>
      <c r="J70" s="51" t="str" cm="1">
        <f t="array" aca="1" ref="J70" ca="1">INDIRECT("["&amp;datatable!$C$2&amp;"]"&amp;datatable!$B17&amp;"!"&amp;"Y8")</f>
        <v>High Maybe</v>
      </c>
      <c r="K70" s="51" t="str" cm="1">
        <f t="array" aca="1" ref="K70" ca="1">INDIRECT("["&amp;datatable!$C$2&amp;"]"&amp;datatable!$B17&amp;"!"&amp;"Y9")</f>
        <v>High Correct</v>
      </c>
      <c r="L70" s="51" t="str" cm="1">
        <f t="array" aca="1" ref="L70" ca="1">INDIRECT("["&amp;datatable!$C$2&amp;"]"&amp;datatable!$B17&amp;"!"&amp;"Y10")</f>
        <v>High Incorrect</v>
      </c>
      <c r="M70" s="51" t="str" cm="1">
        <f t="array" aca="1" ref="M70" ca="1">INDIRECT("["&amp;datatable!$C$2&amp;"]"&amp;datatable!$B17&amp;"!"&amp;"Y11")</f>
        <v>High Correct</v>
      </c>
      <c r="N70" s="51" t="str" cm="1">
        <f t="array" aca="1" ref="N70" ca="1">INDIRECT("["&amp;datatable!$C$2&amp;"]"&amp;datatable!$B17&amp;"!"&amp;"Y46")</f>
        <v>Medium Correct</v>
      </c>
      <c r="O70" s="51" t="str" cm="1">
        <f t="array" aca="1" ref="O70" ca="1">INDIRECT("["&amp;datatable!$C$2&amp;"]"&amp;datatable!$B17&amp;"!"&amp;"Y47")</f>
        <v>High Correct</v>
      </c>
      <c r="P70" s="51" t="str" cm="1">
        <f t="array" aca="1" ref="P70" ca="1">INDIRECT("["&amp;datatable!$C$2&amp;"]"&amp;datatable!$B17&amp;"!"&amp;"Y48")</f>
        <v>High Correct</v>
      </c>
      <c r="Q70" s="51" t="str" cm="1">
        <f t="array" aca="1" ref="Q70" ca="1">INDIRECT("["&amp;datatable!$C$2&amp;"]"&amp;datatable!$B17&amp;"!"&amp;"Y49")</f>
        <v>High Correct</v>
      </c>
      <c r="R70" s="51" t="str" cm="1">
        <f t="array" aca="1" ref="R70" ca="1">INDIRECT("["&amp;datatable!$C$2&amp;"]"&amp;datatable!$B17&amp;"!"&amp;"Y50")</f>
        <v>High Correct</v>
      </c>
      <c r="S70" s="51" t="str" cm="1">
        <f t="array" aca="1" ref="S70" ca="1">INDIRECT("["&amp;datatable!$C$2&amp;"]"&amp;datatable!$B17&amp;"!"&amp;"Y51")</f>
        <v>High Correct</v>
      </c>
      <c r="T70" s="51" t="str" cm="1">
        <f t="array" aca="1" ref="T70" ca="1">INDIRECT("["&amp;datatable!$C$2&amp;"]"&amp;datatable!$B17&amp;"!"&amp;"Y52")</f>
        <v>Low Incorrect</v>
      </c>
      <c r="U70" s="51" t="str" cm="1">
        <f t="array" aca="1" ref="U70" ca="1">INDIRECT("["&amp;datatable!$C$2&amp;"]"&amp;datatable!$B17&amp;"!"&amp;"Y53")</f>
        <v>Medium Correct</v>
      </c>
      <c r="V70" s="51" t="str" cm="1">
        <f t="array" aca="1" ref="V70" ca="1">INDIRECT("["&amp;datatable!$C$2&amp;"]"&amp;datatable!$B17&amp;"!"&amp;"Y54")</f>
        <v>Medium Correct</v>
      </c>
      <c r="W70" s="51" t="str" cm="1">
        <f t="array" aca="1" ref="W70" ca="1">INDIRECT("["&amp;datatable!$C$2&amp;"]"&amp;datatable!$B17&amp;"!"&amp;"Y55")</f>
        <v>High Maybe</v>
      </c>
      <c r="X70" s="51" t="str" cm="1">
        <f t="array" aca="1" ref="X70" ca="1">INDIRECT("["&amp;datatable!$C$2&amp;"]"&amp;datatable!$B17&amp;"!"&amp;"Y56")</f>
        <v>N/A</v>
      </c>
      <c r="Y70" s="50"/>
    </row>
    <row r="71" spans="3:25">
      <c r="C71" s="30" t="s">
        <v>53</v>
      </c>
      <c r="D71" s="51" t="str" cm="1">
        <f t="array" aca="1" ref="D71" ca="1">INDIRECT("["&amp;datatable!$C$2&amp;"]"&amp;datatable!$B18&amp;"!"&amp;"Y2")</f>
        <v>High Incorrect</v>
      </c>
      <c r="E71" s="51" t="str" cm="1">
        <f t="array" aca="1" ref="E71" ca="1">INDIRECT("["&amp;datatable!$C$2&amp;"]"&amp;datatable!$B18&amp;"!"&amp;"Y3")</f>
        <v>Medium Incorrect</v>
      </c>
      <c r="F71" s="51" t="str" cm="1">
        <f t="array" aca="1" ref="F71" ca="1">INDIRECT("["&amp;datatable!$C$2&amp;"]"&amp;datatable!$B18&amp;"!"&amp;"Y4")</f>
        <v>High Incorrect</v>
      </c>
      <c r="G71" s="51" t="str" cm="1">
        <f t="array" aca="1" ref="G71" ca="1">INDIRECT("["&amp;datatable!$C$2&amp;"]"&amp;datatable!$B18&amp;"!"&amp;"Y5")</f>
        <v>High Incorrect</v>
      </c>
      <c r="H71" s="51" t="str" cm="1">
        <f t="array" aca="1" ref="H71" ca="1">INDIRECT("["&amp;datatable!$C$2&amp;"]"&amp;datatable!$B18&amp;"!"&amp;"Y6")</f>
        <v>High Incorrect</v>
      </c>
      <c r="I71" s="51" t="str" cm="1">
        <f t="array" aca="1" ref="I71" ca="1">INDIRECT("["&amp;datatable!$C$2&amp;"]"&amp;datatable!$B18&amp;"!"&amp;"Y7")</f>
        <v>High Incorrect</v>
      </c>
      <c r="J71" s="51" t="str" cm="1">
        <f t="array" aca="1" ref="J71" ca="1">INDIRECT("["&amp;datatable!$C$2&amp;"]"&amp;datatable!$B18&amp;"!"&amp;"Y8")</f>
        <v>High Maybe</v>
      </c>
      <c r="K71" s="51" t="str" cm="1">
        <f t="array" aca="1" ref="K71" ca="1">INDIRECT("["&amp;datatable!$C$2&amp;"]"&amp;datatable!$B18&amp;"!"&amp;"Y9")</f>
        <v>Medium Incorrect</v>
      </c>
      <c r="L71" s="51" t="str" cm="1">
        <f t="array" aca="1" ref="L71" ca="1">INDIRECT("["&amp;datatable!$C$2&amp;"]"&amp;datatable!$B18&amp;"!"&amp;"Y10")</f>
        <v>High Incorrect</v>
      </c>
      <c r="M71" s="51" t="str" cm="1">
        <f t="array" aca="1" ref="M71" ca="1">INDIRECT("["&amp;datatable!$C$2&amp;"]"&amp;datatable!$B18&amp;"!"&amp;"Y11")</f>
        <v>High Correct</v>
      </c>
      <c r="N71" s="51" t="str" cm="1">
        <f t="array" aca="1" ref="N71" ca="1">INDIRECT("["&amp;datatable!$C$2&amp;"]"&amp;datatable!$B18&amp;"!"&amp;"Y46")</f>
        <v>Medium Incorrect</v>
      </c>
      <c r="O71" s="51" t="str" cm="1">
        <f t="array" aca="1" ref="O71" ca="1">INDIRECT("["&amp;datatable!$C$2&amp;"]"&amp;datatable!$B18&amp;"!"&amp;"Y47")</f>
        <v>High Incorrect</v>
      </c>
      <c r="P71" s="51" t="str" cm="1">
        <f t="array" aca="1" ref="P71" ca="1">INDIRECT("["&amp;datatable!$C$2&amp;"]"&amp;datatable!$B18&amp;"!"&amp;"Y48")</f>
        <v>High Incorrect</v>
      </c>
      <c r="Q71" s="51" t="str" cm="1">
        <f t="array" aca="1" ref="Q71" ca="1">INDIRECT("["&amp;datatable!$C$2&amp;"]"&amp;datatable!$B18&amp;"!"&amp;"Y49")</f>
        <v>High Incorrect</v>
      </c>
      <c r="R71" s="51" t="str" cm="1">
        <f t="array" aca="1" ref="R71" ca="1">INDIRECT("["&amp;datatable!$C$2&amp;"]"&amp;datatable!$B18&amp;"!"&amp;"Y50")</f>
        <v>High Correct</v>
      </c>
      <c r="S71" s="51" t="str" cm="1">
        <f t="array" aca="1" ref="S71" ca="1">INDIRECT("["&amp;datatable!$C$2&amp;"]"&amp;datatable!$B18&amp;"!"&amp;"Y51")</f>
        <v>High Incorrect</v>
      </c>
      <c r="T71" s="51" t="str" cm="1">
        <f t="array" aca="1" ref="T71" ca="1">INDIRECT("["&amp;datatable!$C$2&amp;"]"&amp;datatable!$B18&amp;"!"&amp;"Y52")</f>
        <v>N/A</v>
      </c>
      <c r="U71" s="51" t="str" cm="1">
        <f t="array" aca="1" ref="U71" ca="1">INDIRECT("["&amp;datatable!$C$2&amp;"]"&amp;datatable!$B18&amp;"!"&amp;"Y53")</f>
        <v>Medium Incorrect</v>
      </c>
      <c r="V71" s="51" t="str" cm="1">
        <f t="array" aca="1" ref="V71" ca="1">INDIRECT("["&amp;datatable!$C$2&amp;"]"&amp;datatable!$B18&amp;"!"&amp;"Y54")</f>
        <v>High Maybe</v>
      </c>
      <c r="W71" s="51" t="str" cm="1">
        <f t="array" aca="1" ref="W71" ca="1">INDIRECT("["&amp;datatable!$C$2&amp;"]"&amp;datatable!$B18&amp;"!"&amp;"Y55")</f>
        <v>Medium Maybe</v>
      </c>
      <c r="X71" s="51" t="str" cm="1">
        <f t="array" aca="1" ref="X71" ca="1">INDIRECT("["&amp;datatable!$C$2&amp;"]"&amp;datatable!$B18&amp;"!"&amp;"Y56")</f>
        <v>N/A</v>
      </c>
      <c r="Y71" s="50"/>
    </row>
    <row r="72" spans="3:25">
      <c r="C72" s="30" t="s">
        <v>54</v>
      </c>
      <c r="D72" s="51" t="str" cm="1">
        <f t="array" aca="1" ref="D72" ca="1">INDIRECT("["&amp;datatable!$C$2&amp;"]"&amp;datatable!$B19&amp;"!"&amp;"Y2")</f>
        <v>Low Correct</v>
      </c>
      <c r="E72" s="51" t="str" cm="1">
        <f t="array" aca="1" ref="E72" ca="1">INDIRECT("["&amp;datatable!$C$2&amp;"]"&amp;datatable!$B19&amp;"!"&amp;"Y3")</f>
        <v>High Correct</v>
      </c>
      <c r="F72" s="51" t="str" cm="1">
        <f t="array" aca="1" ref="F72" ca="1">INDIRECT("["&amp;datatable!$C$2&amp;"]"&amp;datatable!$B19&amp;"!"&amp;"Y4")</f>
        <v>Low Correct</v>
      </c>
      <c r="G72" s="51" t="str" cm="1">
        <f t="array" aca="1" ref="G72" ca="1">INDIRECT("["&amp;datatable!$C$2&amp;"]"&amp;datatable!$B19&amp;"!"&amp;"Y5")</f>
        <v>High Maybe</v>
      </c>
      <c r="H72" s="51" t="str" cm="1">
        <f t="array" aca="1" ref="H72" ca="1">INDIRECT("["&amp;datatable!$C$2&amp;"]"&amp;datatable!$B19&amp;"!"&amp;"Y6")</f>
        <v>High Maybe</v>
      </c>
      <c r="I72" s="51" t="str" cm="1">
        <f t="array" aca="1" ref="I72" ca="1">INDIRECT("["&amp;datatable!$C$2&amp;"]"&amp;datatable!$B19&amp;"!"&amp;"Y7")</f>
        <v>High Correct</v>
      </c>
      <c r="J72" s="51" t="str" cm="1">
        <f t="array" aca="1" ref="J72" ca="1">INDIRECT("["&amp;datatable!$C$2&amp;"]"&amp;datatable!$B19&amp;"!"&amp;"Y8")</f>
        <v>High Maybe</v>
      </c>
      <c r="K72" s="51" t="str" cm="1">
        <f t="array" aca="1" ref="K72" ca="1">INDIRECT("["&amp;datatable!$C$2&amp;"]"&amp;datatable!$B19&amp;"!"&amp;"Y9")</f>
        <v>Low Correct</v>
      </c>
      <c r="L72" s="51" t="str" cm="1">
        <f t="array" aca="1" ref="L72" ca="1">INDIRECT("["&amp;datatable!$C$2&amp;"]"&amp;datatable!$B19&amp;"!"&amp;"Y10")</f>
        <v>High Correct</v>
      </c>
      <c r="M72" s="51" t="str" cm="1">
        <f t="array" aca="1" ref="M72" ca="1">INDIRECT("["&amp;datatable!$C$2&amp;"]"&amp;datatable!$B19&amp;"!"&amp;"Y11")</f>
        <v>High Correct</v>
      </c>
      <c r="N72" s="51" t="str" cm="1">
        <f t="array" aca="1" ref="N72" ca="1">INDIRECT("["&amp;datatable!$C$2&amp;"]"&amp;datatable!$B19&amp;"!"&amp;"Y46")</f>
        <v>Low Correct</v>
      </c>
      <c r="O72" s="51" t="str" cm="1">
        <f t="array" aca="1" ref="O72" ca="1">INDIRECT("["&amp;datatable!$C$2&amp;"]"&amp;datatable!$B19&amp;"!"&amp;"Y47")</f>
        <v>High Maybe</v>
      </c>
      <c r="P72" s="51" t="str" cm="1">
        <f t="array" aca="1" ref="P72" ca="1">INDIRECT("["&amp;datatable!$C$2&amp;"]"&amp;datatable!$B19&amp;"!"&amp;"Y48")</f>
        <v>High Maybe</v>
      </c>
      <c r="Q72" s="51" t="str" cm="1">
        <f t="array" aca="1" ref="Q72" ca="1">INDIRECT("["&amp;datatable!$C$2&amp;"]"&amp;datatable!$B19&amp;"!"&amp;"Y49")</f>
        <v>Low Correct</v>
      </c>
      <c r="R72" s="51" t="str" cm="1">
        <f t="array" aca="1" ref="R72" ca="1">INDIRECT("["&amp;datatable!$C$2&amp;"]"&amp;datatable!$B19&amp;"!"&amp;"Y50")</f>
        <v>High Correct</v>
      </c>
      <c r="S72" s="51" t="str" cm="1">
        <f t="array" aca="1" ref="S72" ca="1">INDIRECT("["&amp;datatable!$C$2&amp;"]"&amp;datatable!$B19&amp;"!"&amp;"Y51")</f>
        <v>Low Correct</v>
      </c>
      <c r="T72" s="51" t="str" cm="1">
        <f t="array" aca="1" ref="T72" ca="1">INDIRECT("["&amp;datatable!$C$2&amp;"]"&amp;datatable!$B19&amp;"!"&amp;"Y52")</f>
        <v>Low Correct</v>
      </c>
      <c r="U72" s="51" t="str" cm="1">
        <f t="array" aca="1" ref="U72" ca="1">INDIRECT("["&amp;datatable!$C$2&amp;"]"&amp;datatable!$B19&amp;"!"&amp;"Y53")</f>
        <v>Low Correct</v>
      </c>
      <c r="V72" s="51" t="str" cm="1">
        <f t="array" aca="1" ref="V72" ca="1">INDIRECT("["&amp;datatable!$C$2&amp;"]"&amp;datatable!$B19&amp;"!"&amp;"Y54")</f>
        <v>Low Correct</v>
      </c>
      <c r="W72" s="51" t="str" cm="1">
        <f t="array" aca="1" ref="W72" ca="1">INDIRECT("["&amp;datatable!$C$2&amp;"]"&amp;datatable!$B19&amp;"!"&amp;"Y55")</f>
        <v>Low Correct</v>
      </c>
      <c r="X72" s="51" t="str" cm="1">
        <f t="array" aca="1" ref="X72" ca="1">INDIRECT("["&amp;datatable!$C$2&amp;"]"&amp;datatable!$B19&amp;"!"&amp;"Y56")</f>
        <v>Low Correct</v>
      </c>
      <c r="Y72" s="50"/>
    </row>
    <row r="73" spans="3:25">
      <c r="C73" s="50"/>
      <c r="D73" s="53"/>
      <c r="E73" s="50"/>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69" priority="4" operator="equal">
      <formula>"Medium Correct"</formula>
    </cfRule>
    <cfRule type="cellIs" dxfId="68" priority="5" operator="equal">
      <formula>"Low Correct"</formula>
    </cfRule>
    <cfRule type="cellIs" dxfId="67" priority="6" operator="equal">
      <formula>"Medium Maybe"</formula>
    </cfRule>
    <cfRule type="cellIs" dxfId="66" priority="7" operator="equal">
      <formula>"Low Maybe"</formula>
    </cfRule>
    <cfRule type="cellIs" dxfId="65" priority="8" operator="equal">
      <formula>"Medium Incorrect"</formula>
    </cfRule>
    <cfRule type="cellIs" dxfId="64" priority="9" operator="equal">
      <formula>"Low Incorrect"</formula>
    </cfRule>
    <cfRule type="cellIs" dxfId="63" priority="10" operator="equal">
      <formula>"N/A"</formula>
    </cfRule>
  </conditionalFormatting>
  <conditionalFormatting sqref="D55:X72">
    <cfRule type="cellIs" dxfId="62" priority="1" operator="equal">
      <formula>"High Correct"</formula>
    </cfRule>
    <cfRule type="cellIs" dxfId="61" priority="2" operator="equal">
      <formula>"High Incorrect"</formula>
    </cfRule>
    <cfRule type="cellIs" dxfId="60" priority="3" operator="equal">
      <formula>"High Maybe"</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96E19-D6F8-4754-AF93-93B22E0C87AF}">
  <dimension ref="C5:O50"/>
  <sheetViews>
    <sheetView topLeftCell="A67" zoomScale="74" workbookViewId="0">
      <selection activeCell="N54" sqref="N54"/>
    </sheetView>
  </sheetViews>
  <sheetFormatPr defaultRowHeight="14.4"/>
  <cols>
    <col min="4" max="4" width="12.6640625" customWidth="1"/>
    <col min="5" max="5" width="15.109375" customWidth="1"/>
    <col min="6" max="6" width="11.44140625" bestFit="1" customWidth="1"/>
    <col min="7" max="7" width="11.33203125" bestFit="1" customWidth="1"/>
    <col min="8" max="8" width="14" bestFit="1" customWidth="1"/>
    <col min="9" max="9" width="10.6640625" bestFit="1" customWidth="1"/>
    <col min="10" max="10" width="12.6640625" bestFit="1" customWidth="1"/>
    <col min="11" max="11" width="15.88671875" bestFit="1" customWidth="1"/>
    <col min="12" max="12" width="13.33203125" bestFit="1"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SUM(INDIRECT("'"&amp;datatable!$G$5:$G$7&amp;"'!D"&amp;7))</f>
        <v>31</v>
      </c>
      <c r="E7" s="54" cm="1">
        <f t="array" aca="1" ref="E7" ca="1">SUM(INDIRECT("'"&amp;datatable!$G$5:$G$7&amp;"'!E"&amp;7))</f>
        <v>8</v>
      </c>
      <c r="F7" s="55" cm="1">
        <f t="array" aca="1" ref="F7" ca="1">SUM(INDIRECT("'"&amp;datatable!$G$5:$G$7&amp;"'!F"&amp;7))</f>
        <v>1</v>
      </c>
      <c r="G7" s="56" cm="1">
        <f t="array" aca="1" ref="G7" ca="1">SUM(INDIRECT("'"&amp;datatable!$G$5:$G$7&amp;"'!G"&amp;7))</f>
        <v>1</v>
      </c>
      <c r="H7" s="57" cm="1">
        <f t="array" aca="1" ref="H7" ca="1">SUM(INDIRECT("'"&amp;datatable!$G$5:$G$7&amp;"'!H"&amp;7))</f>
        <v>1</v>
      </c>
      <c r="I7" s="58" cm="1">
        <f t="array" aca="1" ref="I7" ca="1">SUM(INDIRECT("'"&amp;datatable!$G$5:$G$7&amp;"'!I"&amp;7))</f>
        <v>1</v>
      </c>
      <c r="J7" s="59" cm="1">
        <f t="array" aca="1" ref="J7" ca="1">SUM(INDIRECT("'"&amp;datatable!$G$5:$G$7&amp;"'!J"&amp;7))</f>
        <v>1</v>
      </c>
      <c r="K7" s="60" cm="1">
        <f t="array" aca="1" ref="K7" ca="1">SUM(INDIRECT("'"&amp;datatable!$G$5:$G$7&amp;"'!K"&amp;7))</f>
        <v>4</v>
      </c>
      <c r="L7" s="61" cm="1">
        <f t="array" aca="1" ref="L7" ca="1">SUM(INDIRECT("'"&amp;datatable!$G$5:$G$7&amp;"'!L"&amp;7))</f>
        <v>3</v>
      </c>
      <c r="M7" s="62" cm="1">
        <f t="array" aca="1" ref="M7" ca="1">SUM(INDIRECT("'"&amp;datatable!$G$5:$G$7&amp;"'!M"&amp;7))</f>
        <v>3</v>
      </c>
      <c r="N7" s="29">
        <f t="shared" ref="N7:N28" ca="1" si="0">SUM(D7:M7)</f>
        <v>54</v>
      </c>
      <c r="O7" s="29">
        <f t="shared" ref="O7:O28" ca="1" si="1">SUM(D7:L7)</f>
        <v>51</v>
      </c>
    </row>
    <row r="8" spans="3:15">
      <c r="C8" s="5" t="s">
        <v>14</v>
      </c>
      <c r="D8" s="8" cm="1">
        <f t="array" aca="1" ref="D8" ca="1">SUM(INDIRECT("'"&amp;datatable!$G$5:$G$7&amp;"'!D"&amp;8))</f>
        <v>23</v>
      </c>
      <c r="E8" s="54" cm="1">
        <f t="array" aca="1" ref="E8" ca="1">SUM(INDIRECT("'"&amp;datatable!$G$5:$G$7&amp;"'!E"&amp;8))</f>
        <v>4</v>
      </c>
      <c r="F8" s="55" cm="1">
        <f t="array" aca="1" ref="F8" ca="1">SUM(INDIRECT("'"&amp;datatable!$G$5:$G$7&amp;"'!F"&amp;8))</f>
        <v>4</v>
      </c>
      <c r="G8" s="56" cm="1">
        <f t="array" aca="1" ref="G8" ca="1">SUM(INDIRECT("'"&amp;datatable!$G$5:$G$7&amp;"'!G"&amp;8))</f>
        <v>3</v>
      </c>
      <c r="H8" s="57" cm="1">
        <f t="array" aca="1" ref="H8" ca="1">SUM(INDIRECT("'"&amp;datatable!$G$5:$G$7&amp;"'!H"&amp;8))</f>
        <v>2</v>
      </c>
      <c r="I8" s="58" cm="1">
        <f t="array" aca="1" ref="I8" ca="1">SUM(INDIRECT("'"&amp;datatable!$G$5:$G$7&amp;"'!I"&amp;8))</f>
        <v>4</v>
      </c>
      <c r="J8" s="59" cm="1">
        <f t="array" aca="1" ref="J8" ca="1">SUM(INDIRECT("'"&amp;datatable!$G$5:$G$7&amp;"'!J"&amp;8))</f>
        <v>3</v>
      </c>
      <c r="K8" s="60" cm="1">
        <f t="array" aca="1" ref="K8" ca="1">SUM(INDIRECT("'"&amp;datatable!$G$5:$G$7&amp;"'!K"&amp;8))</f>
        <v>2</v>
      </c>
      <c r="L8" s="61" cm="1">
        <f t="array" aca="1" ref="L8" ca="1">SUM(INDIRECT("'"&amp;datatable!$G$5:$G$7&amp;"'!L"&amp;8))</f>
        <v>9</v>
      </c>
      <c r="M8" s="62" cm="1">
        <f t="array" aca="1" ref="M8" ca="1">SUM(INDIRECT("'"&amp;datatable!$G$5:$G$7&amp;"'!M"&amp;8))</f>
        <v>0</v>
      </c>
      <c r="N8" s="29">
        <f t="shared" ca="1" si="0"/>
        <v>54</v>
      </c>
      <c r="O8" s="29">
        <f t="shared" ca="1" si="1"/>
        <v>54</v>
      </c>
    </row>
    <row r="9" spans="3:15">
      <c r="C9" s="5" t="s">
        <v>15</v>
      </c>
      <c r="D9" s="8" cm="1">
        <f t="array" aca="1" ref="D9" ca="1">SUM(INDIRECT("'"&amp;datatable!$G$5:$G$7&amp;"'!D"&amp;9))</f>
        <v>13</v>
      </c>
      <c r="E9" s="54" cm="1">
        <f t="array" aca="1" ref="E9" ca="1">SUM(INDIRECT("'"&amp;datatable!$G$5:$G$7&amp;"'!E"&amp;9))</f>
        <v>2</v>
      </c>
      <c r="F9" s="55" cm="1">
        <f t="array" aca="1" ref="F9" ca="1">SUM(INDIRECT("'"&amp;datatable!$G$5:$G$7&amp;"'!F"&amp;9))</f>
        <v>4</v>
      </c>
      <c r="G9" s="56" cm="1">
        <f t="array" aca="1" ref="G9" ca="1">SUM(INDIRECT("'"&amp;datatable!$G$5:$G$7&amp;"'!G"&amp;9))</f>
        <v>2</v>
      </c>
      <c r="H9" s="57" cm="1">
        <f t="array" aca="1" ref="H9" ca="1">SUM(INDIRECT("'"&amp;datatable!$G$5:$G$7&amp;"'!H"&amp;9))</f>
        <v>2</v>
      </c>
      <c r="I9" s="58" cm="1">
        <f t="array" aca="1" ref="I9" ca="1">SUM(INDIRECT("'"&amp;datatable!$G$5:$G$7&amp;"'!I"&amp;9))</f>
        <v>2</v>
      </c>
      <c r="J9" s="59" cm="1">
        <f t="array" aca="1" ref="J9" ca="1">SUM(INDIRECT("'"&amp;datatable!$G$5:$G$7&amp;"'!J"&amp;9))</f>
        <v>3</v>
      </c>
      <c r="K9" s="60" cm="1">
        <f t="array" aca="1" ref="K9" ca="1">SUM(INDIRECT("'"&amp;datatable!$G$5:$G$7&amp;"'!K"&amp;9))</f>
        <v>2</v>
      </c>
      <c r="L9" s="61" cm="1">
        <f t="array" aca="1" ref="L9" ca="1">SUM(INDIRECT("'"&amp;datatable!$G$5:$G$7&amp;"'!L"&amp;9))</f>
        <v>24</v>
      </c>
      <c r="M9" s="62" cm="1">
        <f t="array" aca="1" ref="M9" ca="1">SUM(INDIRECT("'"&amp;datatable!$G$5:$G$7&amp;"'!M"&amp;9))</f>
        <v>0</v>
      </c>
      <c r="N9" s="29">
        <f t="shared" ca="1" si="0"/>
        <v>54</v>
      </c>
      <c r="O9" s="29">
        <f t="shared" ca="1" si="1"/>
        <v>54</v>
      </c>
    </row>
    <row r="10" spans="3:15">
      <c r="C10" s="5" t="s">
        <v>16</v>
      </c>
      <c r="D10" s="8" cm="1">
        <f t="array" aca="1" ref="D10" ca="1">SUM(INDIRECT("'"&amp;datatable!$G$5:$G$7&amp;"'!D"&amp;10))</f>
        <v>25</v>
      </c>
      <c r="E10" s="54" cm="1">
        <f t="array" aca="1" ref="E10" ca="1">SUM(INDIRECT("'"&amp;datatable!$G$5:$G$7&amp;"'!E"&amp;10))</f>
        <v>4</v>
      </c>
      <c r="F10" s="55" cm="1">
        <f t="array" aca="1" ref="F10" ca="1">SUM(INDIRECT("'"&amp;datatable!$G$5:$G$7&amp;"'!F"&amp;10))</f>
        <v>5</v>
      </c>
      <c r="G10" s="56" cm="1">
        <f t="array" aca="1" ref="G10" ca="1">SUM(INDIRECT("'"&amp;datatable!$G$5:$G$7&amp;"'!G"&amp;10))</f>
        <v>6</v>
      </c>
      <c r="H10" s="57" cm="1">
        <f t="array" aca="1" ref="H10" ca="1">SUM(INDIRECT("'"&amp;datatable!$G$5:$G$7&amp;"'!H"&amp;10))</f>
        <v>4</v>
      </c>
      <c r="I10" s="58" cm="1">
        <f t="array" aca="1" ref="I10" ca="1">SUM(INDIRECT("'"&amp;datatable!$G$5:$G$7&amp;"'!I"&amp;10))</f>
        <v>1</v>
      </c>
      <c r="J10" s="59" cm="1">
        <f t="array" aca="1" ref="J10" ca="1">SUM(INDIRECT("'"&amp;datatable!$G$5:$G$7&amp;"'!J"&amp;10))</f>
        <v>1</v>
      </c>
      <c r="K10" s="60" cm="1">
        <f t="array" aca="1" ref="K10" ca="1">SUM(INDIRECT("'"&amp;datatable!$G$5:$G$7&amp;"'!K"&amp;10))</f>
        <v>3</v>
      </c>
      <c r="L10" s="61" cm="1">
        <f t="array" aca="1" ref="L10" ca="1">SUM(INDIRECT("'"&amp;datatable!$G$5:$G$7&amp;"'!L"&amp;10))</f>
        <v>5</v>
      </c>
      <c r="M10" s="62" cm="1">
        <f t="array" aca="1" ref="M10" ca="1">SUM(INDIRECT("'"&amp;datatable!$G$5:$G$7&amp;"'!M"&amp;10))</f>
        <v>0</v>
      </c>
      <c r="N10" s="29">
        <f t="shared" ca="1" si="0"/>
        <v>54</v>
      </c>
      <c r="O10" s="29">
        <f t="shared" ca="1" si="1"/>
        <v>54</v>
      </c>
    </row>
    <row r="11" spans="3:15">
      <c r="C11" s="5" t="s">
        <v>17</v>
      </c>
      <c r="D11" s="8" cm="1">
        <f t="array" aca="1" ref="D11" ca="1">SUM(INDIRECT("'"&amp;datatable!$G$5:$G$7&amp;"'!D"&amp;11))</f>
        <v>23</v>
      </c>
      <c r="E11" s="54" cm="1">
        <f t="array" aca="1" ref="E11" ca="1">SUM(INDIRECT("'"&amp;datatable!$G$5:$G$7&amp;"'!E"&amp;11))</f>
        <v>12</v>
      </c>
      <c r="F11" s="55" cm="1">
        <f t="array" aca="1" ref="F11" ca="1">SUM(INDIRECT("'"&amp;datatable!$G$5:$G$7&amp;"'!F"&amp;11))</f>
        <v>4</v>
      </c>
      <c r="G11" s="56" cm="1">
        <f t="array" aca="1" ref="G11" ca="1">SUM(INDIRECT("'"&amp;datatable!$G$5:$G$7&amp;"'!G"&amp;11))</f>
        <v>2</v>
      </c>
      <c r="H11" s="57" cm="1">
        <f t="array" aca="1" ref="H11" ca="1">SUM(INDIRECT("'"&amp;datatable!$G$5:$G$7&amp;"'!H"&amp;11))</f>
        <v>2</v>
      </c>
      <c r="I11" s="58" cm="1">
        <f t="array" aca="1" ref="I11" ca="1">SUM(INDIRECT("'"&amp;datatable!$G$5:$G$7&amp;"'!I"&amp;11))</f>
        <v>0</v>
      </c>
      <c r="J11" s="59" cm="1">
        <f t="array" aca="1" ref="J11" ca="1">SUM(INDIRECT("'"&amp;datatable!$G$5:$G$7&amp;"'!J"&amp;11))</f>
        <v>2</v>
      </c>
      <c r="K11" s="60" cm="1">
        <f t="array" aca="1" ref="K11" ca="1">SUM(INDIRECT("'"&amp;datatable!$G$5:$G$7&amp;"'!K"&amp;11))</f>
        <v>0</v>
      </c>
      <c r="L11" s="61" cm="1">
        <f t="array" aca="1" ref="L11" ca="1">SUM(INDIRECT("'"&amp;datatable!$G$5:$G$7&amp;"'!L"&amp;11))</f>
        <v>6</v>
      </c>
      <c r="M11" s="62" cm="1">
        <f t="array" aca="1" ref="M11" ca="1">SUM(INDIRECT("'"&amp;datatable!$G$5:$G$7&amp;"'!M"&amp;11))</f>
        <v>3</v>
      </c>
      <c r="N11" s="29">
        <f t="shared" ca="1" si="0"/>
        <v>54</v>
      </c>
      <c r="O11" s="29">
        <f t="shared" ca="1" si="1"/>
        <v>51</v>
      </c>
    </row>
    <row r="12" spans="3:15">
      <c r="C12" s="5" t="s">
        <v>18</v>
      </c>
      <c r="D12" s="8" cm="1">
        <f t="array" aca="1" ref="D12" ca="1">SUM(INDIRECT("'"&amp;datatable!$G$5:$G$7&amp;"'!D"&amp;12))</f>
        <v>37</v>
      </c>
      <c r="E12" s="54" cm="1">
        <f t="array" aca="1" ref="E12" ca="1">SUM(INDIRECT("'"&amp;datatable!$G$5:$G$7&amp;"'!E"&amp;12))</f>
        <v>2</v>
      </c>
      <c r="F12" s="55" cm="1">
        <f t="array" aca="1" ref="F12" ca="1">SUM(INDIRECT("'"&amp;datatable!$G$5:$G$7&amp;"'!F"&amp;12))</f>
        <v>0</v>
      </c>
      <c r="G12" s="56" cm="1">
        <f t="array" aca="1" ref="G12" ca="1">SUM(INDIRECT("'"&amp;datatable!$G$5:$G$7&amp;"'!G"&amp;12))</f>
        <v>1</v>
      </c>
      <c r="H12" s="57" cm="1">
        <f t="array" aca="1" ref="H12" ca="1">SUM(INDIRECT("'"&amp;datatable!$G$5:$G$7&amp;"'!H"&amp;12))</f>
        <v>3</v>
      </c>
      <c r="I12" s="58" cm="1">
        <f t="array" aca="1" ref="I12" ca="1">SUM(INDIRECT("'"&amp;datatable!$G$5:$G$7&amp;"'!I"&amp;12))</f>
        <v>0</v>
      </c>
      <c r="J12" s="59" cm="1">
        <f t="array" aca="1" ref="J12" ca="1">SUM(INDIRECT("'"&amp;datatable!$G$5:$G$7&amp;"'!J"&amp;12))</f>
        <v>0</v>
      </c>
      <c r="K12" s="60" cm="1">
        <f t="array" aca="1" ref="K12" ca="1">SUM(INDIRECT("'"&amp;datatable!$G$5:$G$7&amp;"'!K"&amp;12))</f>
        <v>4</v>
      </c>
      <c r="L12" s="61" cm="1">
        <f t="array" aca="1" ref="L12" ca="1">SUM(INDIRECT("'"&amp;datatable!$G$5:$G$7&amp;"'!L"&amp;12))</f>
        <v>7</v>
      </c>
      <c r="M12" s="62" cm="1">
        <f t="array" aca="1" ref="M12" ca="1">SUM(INDIRECT("'"&amp;datatable!$G$5:$G$7&amp;"'!M"&amp;12))</f>
        <v>0</v>
      </c>
      <c r="N12" s="29">
        <f t="shared" ca="1" si="0"/>
        <v>54</v>
      </c>
      <c r="O12" s="29">
        <f t="shared" ca="1" si="1"/>
        <v>54</v>
      </c>
    </row>
    <row r="13" spans="3:15">
      <c r="C13" s="5" t="s">
        <v>19</v>
      </c>
      <c r="D13" s="8" cm="1">
        <f t="array" aca="1" ref="D13" ca="1">SUM(INDIRECT("'"&amp;datatable!$G$5:$G$7&amp;"'!D"&amp;13))</f>
        <v>6</v>
      </c>
      <c r="E13" s="54" cm="1">
        <f t="array" aca="1" ref="E13" ca="1">SUM(INDIRECT("'"&amp;datatable!$G$5:$G$7&amp;"'!E"&amp;13))</f>
        <v>7</v>
      </c>
      <c r="F13" s="55" cm="1">
        <f t="array" aca="1" ref="F13" ca="1">SUM(INDIRECT("'"&amp;datatable!$G$5:$G$7&amp;"'!F"&amp;13))</f>
        <v>6</v>
      </c>
      <c r="G13" s="56" cm="1">
        <f t="array" aca="1" ref="G13" ca="1">SUM(INDIRECT("'"&amp;datatable!$G$5:$G$7&amp;"'!G"&amp;13))</f>
        <v>9</v>
      </c>
      <c r="H13" s="57" cm="1">
        <f t="array" aca="1" ref="H13" ca="1">SUM(INDIRECT("'"&amp;datatable!$G$5:$G$7&amp;"'!H"&amp;13))</f>
        <v>6</v>
      </c>
      <c r="I13" s="58" cm="1">
        <f t="array" aca="1" ref="I13" ca="1">SUM(INDIRECT("'"&amp;datatable!$G$5:$G$7&amp;"'!I"&amp;13))</f>
        <v>5</v>
      </c>
      <c r="J13" s="59" cm="1">
        <f t="array" aca="1" ref="J13" ca="1">SUM(INDIRECT("'"&amp;datatable!$G$5:$G$7&amp;"'!J"&amp;13))</f>
        <v>5</v>
      </c>
      <c r="K13" s="60" cm="1">
        <f t="array" aca="1" ref="K13" ca="1">SUM(INDIRECT("'"&amp;datatable!$G$5:$G$7&amp;"'!K"&amp;13))</f>
        <v>6</v>
      </c>
      <c r="L13" s="61" cm="1">
        <f t="array" aca="1" ref="L13" ca="1">SUM(INDIRECT("'"&amp;datatable!$G$5:$G$7&amp;"'!L"&amp;13))</f>
        <v>4</v>
      </c>
      <c r="M13" s="62" cm="1">
        <f t="array" aca="1" ref="M13" ca="1">SUM(INDIRECT("'"&amp;datatable!$G$5:$G$7&amp;"'!M"&amp;13))</f>
        <v>0</v>
      </c>
      <c r="N13" s="29">
        <f t="shared" ca="1" si="0"/>
        <v>54</v>
      </c>
      <c r="O13" s="29">
        <f t="shared" ca="1" si="1"/>
        <v>54</v>
      </c>
    </row>
    <row r="14" spans="3:15">
      <c r="C14" s="5" t="s">
        <v>20</v>
      </c>
      <c r="D14" s="8" cm="1">
        <f t="array" aca="1" ref="D14" ca="1">SUM(INDIRECT("'"&amp;datatable!$G$5:$G$7&amp;"'!D"&amp;14))</f>
        <v>32</v>
      </c>
      <c r="E14" s="54" cm="1">
        <f t="array" aca="1" ref="E14" ca="1">SUM(INDIRECT("'"&amp;datatable!$G$5:$G$7&amp;"'!E"&amp;14))</f>
        <v>4</v>
      </c>
      <c r="F14" s="55" cm="1">
        <f t="array" aca="1" ref="F14" ca="1">SUM(INDIRECT("'"&amp;datatable!$G$5:$G$7&amp;"'!F"&amp;14))</f>
        <v>4</v>
      </c>
      <c r="G14" s="56" cm="1">
        <f t="array" aca="1" ref="G14" ca="1">SUM(INDIRECT("'"&amp;datatable!$G$5:$G$7&amp;"'!G"&amp;14))</f>
        <v>1</v>
      </c>
      <c r="H14" s="57" cm="1">
        <f t="array" aca="1" ref="H14" ca="1">SUM(INDIRECT("'"&amp;datatable!$G$5:$G$7&amp;"'!H"&amp;14))</f>
        <v>2</v>
      </c>
      <c r="I14" s="58" cm="1">
        <f t="array" aca="1" ref="I14" ca="1">SUM(INDIRECT("'"&amp;datatable!$G$5:$G$7&amp;"'!I"&amp;14))</f>
        <v>0</v>
      </c>
      <c r="J14" s="59" cm="1">
        <f t="array" aca="1" ref="J14" ca="1">SUM(INDIRECT("'"&amp;datatable!$G$5:$G$7&amp;"'!J"&amp;14))</f>
        <v>0</v>
      </c>
      <c r="K14" s="60" cm="1">
        <f t="array" aca="1" ref="K14" ca="1">SUM(INDIRECT("'"&amp;datatable!$G$5:$G$7&amp;"'!K"&amp;14))</f>
        <v>3</v>
      </c>
      <c r="L14" s="61" cm="1">
        <f t="array" aca="1" ref="L14" ca="1">SUM(INDIRECT("'"&amp;datatable!$G$5:$G$7&amp;"'!L"&amp;14))</f>
        <v>5</v>
      </c>
      <c r="M14" s="62" cm="1">
        <f t="array" aca="1" ref="M14" ca="1">SUM(INDIRECT("'"&amp;datatable!$G$5:$G$7&amp;"'!M"&amp;14))</f>
        <v>3</v>
      </c>
      <c r="N14" s="29">
        <f t="shared" ca="1" si="0"/>
        <v>54</v>
      </c>
      <c r="O14" s="29">
        <f t="shared" ca="1" si="1"/>
        <v>51</v>
      </c>
    </row>
    <row r="15" spans="3:15">
      <c r="C15" s="5" t="s">
        <v>21</v>
      </c>
      <c r="D15" s="8" cm="1">
        <f t="array" aca="1" ref="D15" ca="1">SUM(INDIRECT("'"&amp;datatable!$G$5:$G$7&amp;"'!D"&amp;15))</f>
        <v>30</v>
      </c>
      <c r="E15" s="54" cm="1">
        <f t="array" aca="1" ref="E15" ca="1">SUM(INDIRECT("'"&amp;datatable!$G$5:$G$7&amp;"'!E"&amp;15))</f>
        <v>3</v>
      </c>
      <c r="F15" s="55" cm="1">
        <f t="array" aca="1" ref="F15" ca="1">SUM(INDIRECT("'"&amp;datatable!$G$5:$G$7&amp;"'!F"&amp;15))</f>
        <v>2</v>
      </c>
      <c r="G15" s="56" cm="1">
        <f t="array" aca="1" ref="G15" ca="1">SUM(INDIRECT("'"&amp;datatable!$G$5:$G$7&amp;"'!G"&amp;15))</f>
        <v>3</v>
      </c>
      <c r="H15" s="57" cm="1">
        <f t="array" aca="1" ref="H15" ca="1">SUM(INDIRECT("'"&amp;datatable!$G$5:$G$7&amp;"'!H"&amp;15))</f>
        <v>1</v>
      </c>
      <c r="I15" s="58" cm="1">
        <f t="array" aca="1" ref="I15" ca="1">SUM(INDIRECT("'"&amp;datatable!$G$5:$G$7&amp;"'!I"&amp;15))</f>
        <v>3</v>
      </c>
      <c r="J15" s="59" cm="1">
        <f t="array" aca="1" ref="J15" ca="1">SUM(INDIRECT("'"&amp;datatable!$G$5:$G$7&amp;"'!J"&amp;15))</f>
        <v>0</v>
      </c>
      <c r="K15" s="60" cm="1">
        <f t="array" aca="1" ref="K15" ca="1">SUM(INDIRECT("'"&amp;datatable!$G$5:$G$7&amp;"'!K"&amp;15))</f>
        <v>2</v>
      </c>
      <c r="L15" s="61" cm="1">
        <f t="array" aca="1" ref="L15" ca="1">SUM(INDIRECT("'"&amp;datatable!$G$5:$G$7&amp;"'!L"&amp;15))</f>
        <v>7</v>
      </c>
      <c r="M15" s="62" cm="1">
        <f t="array" aca="1" ref="M15" ca="1">SUM(INDIRECT("'"&amp;datatable!$G$5:$G$7&amp;"'!M"&amp;15))</f>
        <v>3</v>
      </c>
      <c r="N15" s="29">
        <f t="shared" ca="1" si="0"/>
        <v>54</v>
      </c>
      <c r="O15" s="29">
        <f t="shared" ca="1" si="1"/>
        <v>51</v>
      </c>
    </row>
    <row r="16" spans="3:15">
      <c r="C16" s="5" t="s">
        <v>22</v>
      </c>
      <c r="D16" s="8" cm="1">
        <f t="array" aca="1" ref="D16" ca="1">SUM(INDIRECT("'"&amp;datatable!$G$5:$G$7&amp;"'!D"&amp;16))</f>
        <v>40</v>
      </c>
      <c r="E16" s="54" cm="1">
        <f t="array" aca="1" ref="E16" ca="1">SUM(INDIRECT("'"&amp;datatable!$G$5:$G$7&amp;"'!E"&amp;16))</f>
        <v>2</v>
      </c>
      <c r="F16" s="55" cm="1">
        <f t="array" aca="1" ref="F16" ca="1">SUM(INDIRECT("'"&amp;datatable!$G$5:$G$7&amp;"'!F"&amp;16))</f>
        <v>4</v>
      </c>
      <c r="G16" s="56" cm="1">
        <f t="array" aca="1" ref="G16" ca="1">SUM(INDIRECT("'"&amp;datatable!$G$5:$G$7&amp;"'!G"&amp;16))</f>
        <v>2</v>
      </c>
      <c r="H16" s="57" cm="1">
        <f t="array" aca="1" ref="H16" ca="1">SUM(INDIRECT("'"&amp;datatable!$G$5:$G$7&amp;"'!H"&amp;16))</f>
        <v>2</v>
      </c>
      <c r="I16" s="58" cm="1">
        <f t="array" aca="1" ref="I16" ca="1">SUM(INDIRECT("'"&amp;datatable!$G$5:$G$7&amp;"'!I"&amp;16))</f>
        <v>0</v>
      </c>
      <c r="J16" s="59" cm="1">
        <f t="array" aca="1" ref="J16" ca="1">SUM(INDIRECT("'"&amp;datatable!$G$5:$G$7&amp;"'!J"&amp;16))</f>
        <v>0</v>
      </c>
      <c r="K16" s="60" cm="1">
        <f t="array" aca="1" ref="K16" ca="1">SUM(INDIRECT("'"&amp;datatable!$G$5:$G$7&amp;"'!K"&amp;16))</f>
        <v>2</v>
      </c>
      <c r="L16" s="61" cm="1">
        <f t="array" aca="1" ref="L16" ca="1">SUM(INDIRECT("'"&amp;datatable!$G$5:$G$7&amp;"'!L"&amp;16))</f>
        <v>2</v>
      </c>
      <c r="M16" s="62" cm="1">
        <f t="array" aca="1" ref="M16" ca="1">SUM(INDIRECT("'"&amp;datatable!$G$5:$G$7&amp;"'!M"&amp;16))</f>
        <v>0</v>
      </c>
      <c r="N16" s="29">
        <f t="shared" ca="1" si="0"/>
        <v>54</v>
      </c>
      <c r="O16" s="29">
        <f t="shared" ca="1" si="1"/>
        <v>54</v>
      </c>
    </row>
    <row r="17" spans="3:15">
      <c r="C17" s="5" t="s">
        <v>23</v>
      </c>
      <c r="D17" s="8" cm="1">
        <f t="array" aca="1" ref="D17" ca="1">SUM(INDIRECT("'"&amp;datatable!$G$5:$G$7&amp;"'!D"&amp;17))</f>
        <v>28</v>
      </c>
      <c r="E17" s="54" cm="1">
        <f t="array" aca="1" ref="E17" ca="1">SUM(INDIRECT("'"&amp;datatable!$G$5:$G$7&amp;"'!E"&amp;17))</f>
        <v>11</v>
      </c>
      <c r="F17" s="55" cm="1">
        <f t="array" aca="1" ref="F17" ca="1">SUM(INDIRECT("'"&amp;datatable!$G$5:$G$7&amp;"'!F"&amp;17))</f>
        <v>4</v>
      </c>
      <c r="G17" s="56" cm="1">
        <f t="array" aca="1" ref="G17" ca="1">SUM(INDIRECT("'"&amp;datatable!$G$5:$G$7&amp;"'!G"&amp;17))</f>
        <v>2</v>
      </c>
      <c r="H17" s="57" cm="1">
        <f t="array" aca="1" ref="H17" ca="1">SUM(INDIRECT("'"&amp;datatable!$G$5:$G$7&amp;"'!H"&amp;17))</f>
        <v>1</v>
      </c>
      <c r="I17" s="58" cm="1">
        <f t="array" aca="1" ref="I17" ca="1">SUM(INDIRECT("'"&amp;datatable!$G$5:$G$7&amp;"'!I"&amp;17))</f>
        <v>1</v>
      </c>
      <c r="J17" s="59" cm="1">
        <f t="array" aca="1" ref="J17" ca="1">SUM(INDIRECT("'"&amp;datatable!$G$5:$G$7&amp;"'!J"&amp;17))</f>
        <v>1</v>
      </c>
      <c r="K17" s="60" cm="1">
        <f t="array" aca="1" ref="K17" ca="1">SUM(INDIRECT("'"&amp;datatable!$G$5:$G$7&amp;"'!K"&amp;17))</f>
        <v>1</v>
      </c>
      <c r="L17" s="61" cm="1">
        <f t="array" aca="1" ref="L17" ca="1">SUM(INDIRECT("'"&amp;datatable!$G$5:$G$7&amp;"'!L"&amp;17))</f>
        <v>2</v>
      </c>
      <c r="M17" s="62" cm="1">
        <f t="array" aca="1" ref="M17" ca="1">SUM(INDIRECT("'"&amp;datatable!$G$5:$G$7&amp;"'!M"&amp;17))</f>
        <v>3</v>
      </c>
      <c r="N17" s="29">
        <f t="shared" ca="1" si="0"/>
        <v>54</v>
      </c>
      <c r="O17" s="29">
        <f t="shared" ca="1" si="1"/>
        <v>51</v>
      </c>
    </row>
    <row r="18" spans="3:15">
      <c r="C18" s="5" t="s">
        <v>24</v>
      </c>
      <c r="D18" s="8" cm="1">
        <f t="array" aca="1" ref="D18" ca="1">SUM(INDIRECT("'"&amp;datatable!$G$5:$G$7&amp;"'!D"&amp;18))</f>
        <v>24</v>
      </c>
      <c r="E18" s="54" cm="1">
        <f t="array" aca="1" ref="E18" ca="1">SUM(INDIRECT("'"&amp;datatable!$G$5:$G$7&amp;"'!E"&amp;18))</f>
        <v>6</v>
      </c>
      <c r="F18" s="55" cm="1">
        <f t="array" aca="1" ref="F18" ca="1">SUM(INDIRECT("'"&amp;datatable!$G$5:$G$7&amp;"'!F"&amp;18))</f>
        <v>2</v>
      </c>
      <c r="G18" s="56" cm="1">
        <f t="array" aca="1" ref="G18" ca="1">SUM(INDIRECT("'"&amp;datatable!$G$5:$G$7&amp;"'!G"&amp;18))</f>
        <v>4</v>
      </c>
      <c r="H18" s="57" cm="1">
        <f t="array" aca="1" ref="H18" ca="1">SUM(INDIRECT("'"&amp;datatable!$G$5:$G$7&amp;"'!H"&amp;18))</f>
        <v>4</v>
      </c>
      <c r="I18" s="58" cm="1">
        <f t="array" aca="1" ref="I18" ca="1">SUM(INDIRECT("'"&amp;datatable!$G$5:$G$7&amp;"'!I"&amp;18))</f>
        <v>0</v>
      </c>
      <c r="J18" s="59" cm="1">
        <f t="array" aca="1" ref="J18" ca="1">SUM(INDIRECT("'"&amp;datatable!$G$5:$G$7&amp;"'!J"&amp;18))</f>
        <v>1</v>
      </c>
      <c r="K18" s="60" cm="1">
        <f t="array" aca="1" ref="K18" ca="1">SUM(INDIRECT("'"&amp;datatable!$G$5:$G$7&amp;"'!K"&amp;18))</f>
        <v>0</v>
      </c>
      <c r="L18" s="61" cm="1">
        <f t="array" aca="1" ref="L18" ca="1">SUM(INDIRECT("'"&amp;datatable!$G$5:$G$7&amp;"'!L"&amp;18))</f>
        <v>7</v>
      </c>
      <c r="M18" s="62" cm="1">
        <f t="array" aca="1" ref="M18" ca="1">SUM(INDIRECT("'"&amp;datatable!$G$5:$G$7&amp;"'!M"&amp;18))</f>
        <v>6</v>
      </c>
      <c r="N18" s="29">
        <f t="shared" ca="1" si="0"/>
        <v>54</v>
      </c>
      <c r="O18" s="29">
        <f t="shared" ca="1" si="1"/>
        <v>48</v>
      </c>
    </row>
    <row r="19" spans="3:15">
      <c r="C19" s="5" t="s">
        <v>25</v>
      </c>
      <c r="D19" s="8" cm="1">
        <f t="array" aca="1" ref="D19" ca="1">SUM(INDIRECT("'"&amp;datatable!$G$5:$G$7&amp;"'!D"&amp;19))</f>
        <v>30</v>
      </c>
      <c r="E19" s="54" cm="1">
        <f t="array" aca="1" ref="E19" ca="1">SUM(INDIRECT("'"&amp;datatable!$G$5:$G$7&amp;"'!E"&amp;19))</f>
        <v>3</v>
      </c>
      <c r="F19" s="55" cm="1">
        <f t="array" aca="1" ref="F19" ca="1">SUM(INDIRECT("'"&amp;datatable!$G$5:$G$7&amp;"'!F"&amp;19))</f>
        <v>6</v>
      </c>
      <c r="G19" s="56" cm="1">
        <f t="array" aca="1" ref="G19" ca="1">SUM(INDIRECT("'"&amp;datatable!$G$5:$G$7&amp;"'!G"&amp;19))</f>
        <v>4</v>
      </c>
      <c r="H19" s="57" cm="1">
        <f t="array" aca="1" ref="H19" ca="1">SUM(INDIRECT("'"&amp;datatable!$G$5:$G$7&amp;"'!H"&amp;19))</f>
        <v>2</v>
      </c>
      <c r="I19" s="58" cm="1">
        <f t="array" aca="1" ref="I19" ca="1">SUM(INDIRECT("'"&amp;datatable!$G$5:$G$7&amp;"'!I"&amp;19))</f>
        <v>0</v>
      </c>
      <c r="J19" s="59" cm="1">
        <f t="array" aca="1" ref="J19" ca="1">SUM(INDIRECT("'"&amp;datatable!$G$5:$G$7&amp;"'!J"&amp;19))</f>
        <v>1</v>
      </c>
      <c r="K19" s="60" cm="1">
        <f t="array" aca="1" ref="K19" ca="1">SUM(INDIRECT("'"&amp;datatable!$G$5:$G$7&amp;"'!K"&amp;19))</f>
        <v>0</v>
      </c>
      <c r="L19" s="61" cm="1">
        <f t="array" aca="1" ref="L19" ca="1">SUM(INDIRECT("'"&amp;datatable!$G$5:$G$7&amp;"'!L"&amp;19))</f>
        <v>5</v>
      </c>
      <c r="M19" s="62" cm="1">
        <f t="array" aca="1" ref="M19" ca="1">SUM(INDIRECT("'"&amp;datatable!$G$5:$G$7&amp;"'!M"&amp;19))</f>
        <v>3</v>
      </c>
      <c r="N19" s="29">
        <f t="shared" ca="1" si="0"/>
        <v>54</v>
      </c>
      <c r="O19" s="29">
        <f t="shared" ca="1" si="1"/>
        <v>51</v>
      </c>
    </row>
    <row r="20" spans="3:15">
      <c r="C20" s="5" t="s">
        <v>26</v>
      </c>
      <c r="D20" s="8" cm="1">
        <f t="array" aca="1" ref="D20" ca="1">SUM(INDIRECT("'"&amp;datatable!$G$5:$G$7&amp;"'!D"&amp;20))</f>
        <v>25</v>
      </c>
      <c r="E20" s="54" cm="1">
        <f t="array" aca="1" ref="E20" ca="1">SUM(INDIRECT("'"&amp;datatable!$G$5:$G$7&amp;"'!E"&amp;20))</f>
        <v>5</v>
      </c>
      <c r="F20" s="55" cm="1">
        <f t="array" aca="1" ref="F20" ca="1">SUM(INDIRECT("'"&amp;datatable!$G$5:$G$7&amp;"'!F"&amp;20))</f>
        <v>3</v>
      </c>
      <c r="G20" s="56" cm="1">
        <f t="array" aca="1" ref="G20" ca="1">SUM(INDIRECT("'"&amp;datatable!$G$5:$G$7&amp;"'!G"&amp;20))</f>
        <v>2</v>
      </c>
      <c r="H20" s="57" cm="1">
        <f t="array" aca="1" ref="H20" ca="1">SUM(INDIRECT("'"&amp;datatable!$G$5:$G$7&amp;"'!H"&amp;20))</f>
        <v>7</v>
      </c>
      <c r="I20" s="58" cm="1">
        <f t="array" aca="1" ref="I20" ca="1">SUM(INDIRECT("'"&amp;datatable!$G$5:$G$7&amp;"'!I"&amp;20))</f>
        <v>1</v>
      </c>
      <c r="J20" s="59" cm="1">
        <f t="array" aca="1" ref="J20" ca="1">SUM(INDIRECT("'"&amp;datatable!$G$5:$G$7&amp;"'!J"&amp;20))</f>
        <v>1</v>
      </c>
      <c r="K20" s="60" cm="1">
        <f t="array" aca="1" ref="K20" ca="1">SUM(INDIRECT("'"&amp;datatable!$G$5:$G$7&amp;"'!K"&amp;20))</f>
        <v>1</v>
      </c>
      <c r="L20" s="61" cm="1">
        <f t="array" aca="1" ref="L20" ca="1">SUM(INDIRECT("'"&amp;datatable!$G$5:$G$7&amp;"'!L"&amp;20))</f>
        <v>6</v>
      </c>
      <c r="M20" s="62" cm="1">
        <f t="array" aca="1" ref="M20" ca="1">SUM(INDIRECT("'"&amp;datatable!$G$5:$G$7&amp;"'!M"&amp;20))</f>
        <v>3</v>
      </c>
      <c r="N20" s="29">
        <f t="shared" ca="1" si="0"/>
        <v>54</v>
      </c>
      <c r="O20" s="29">
        <f t="shared" ca="1" si="1"/>
        <v>51</v>
      </c>
    </row>
    <row r="21" spans="3:15">
      <c r="C21" s="5" t="s">
        <v>27</v>
      </c>
      <c r="D21" s="8" cm="1">
        <f t="array" aca="1" ref="D21" ca="1">SUM(INDIRECT("'"&amp;datatable!$G$5:$G$7&amp;"'!D"&amp;21))</f>
        <v>35</v>
      </c>
      <c r="E21" s="54" cm="1">
        <f t="array" aca="1" ref="E21" ca="1">SUM(INDIRECT("'"&amp;datatable!$G$5:$G$7&amp;"'!E"&amp;21))</f>
        <v>4</v>
      </c>
      <c r="F21" s="55" cm="1">
        <f t="array" aca="1" ref="F21" ca="1">SUM(INDIRECT("'"&amp;datatable!$G$5:$G$7&amp;"'!F"&amp;21))</f>
        <v>3</v>
      </c>
      <c r="G21" s="56" cm="1">
        <f t="array" aca="1" ref="G21" ca="1">SUM(INDIRECT("'"&amp;datatable!$G$5:$G$7&amp;"'!G"&amp;21))</f>
        <v>1</v>
      </c>
      <c r="H21" s="57" cm="1">
        <f t="array" aca="1" ref="H21" ca="1">SUM(INDIRECT("'"&amp;datatable!$G$5:$G$7&amp;"'!H"&amp;21))</f>
        <v>1</v>
      </c>
      <c r="I21" s="58" cm="1">
        <f t="array" aca="1" ref="I21" ca="1">SUM(INDIRECT("'"&amp;datatable!$G$5:$G$7&amp;"'!I"&amp;21))</f>
        <v>1</v>
      </c>
      <c r="J21" s="59" cm="1">
        <f t="array" aca="1" ref="J21" ca="1">SUM(INDIRECT("'"&amp;datatable!$G$5:$G$7&amp;"'!J"&amp;21))</f>
        <v>0</v>
      </c>
      <c r="K21" s="60" cm="1">
        <f t="array" aca="1" ref="K21" ca="1">SUM(INDIRECT("'"&amp;datatable!$G$5:$G$7&amp;"'!K"&amp;21))</f>
        <v>2</v>
      </c>
      <c r="L21" s="61" cm="1">
        <f t="array" aca="1" ref="L21" ca="1">SUM(INDIRECT("'"&amp;datatable!$G$5:$G$7&amp;"'!L"&amp;21))</f>
        <v>4</v>
      </c>
      <c r="M21" s="62" cm="1">
        <f t="array" aca="1" ref="M21" ca="1">SUM(INDIRECT("'"&amp;datatable!$G$5:$G$7&amp;"'!M"&amp;21))</f>
        <v>3</v>
      </c>
      <c r="N21" s="29">
        <f t="shared" ca="1" si="0"/>
        <v>54</v>
      </c>
      <c r="O21" s="29">
        <f t="shared" ca="1" si="1"/>
        <v>51</v>
      </c>
    </row>
    <row r="22" spans="3:15">
      <c r="C22" s="5" t="s">
        <v>28</v>
      </c>
      <c r="D22" s="8" cm="1">
        <f t="array" aca="1" ref="D22" ca="1">SUM(INDIRECT("'"&amp;datatable!$G$5:$G$7&amp;"'!D"&amp;22))</f>
        <v>31</v>
      </c>
      <c r="E22" s="54" cm="1">
        <f t="array" aca="1" ref="E22" ca="1">SUM(INDIRECT("'"&amp;datatable!$G$5:$G$7&amp;"'!E"&amp;22))</f>
        <v>1</v>
      </c>
      <c r="F22" s="55" cm="1">
        <f t="array" aca="1" ref="F22" ca="1">SUM(INDIRECT("'"&amp;datatable!$G$5:$G$7&amp;"'!F"&amp;22))</f>
        <v>3</v>
      </c>
      <c r="G22" s="56" cm="1">
        <f t="array" aca="1" ref="G22" ca="1">SUM(INDIRECT("'"&amp;datatable!$G$5:$G$7&amp;"'!G"&amp;22))</f>
        <v>2</v>
      </c>
      <c r="H22" s="57" cm="1">
        <f t="array" aca="1" ref="H22" ca="1">SUM(INDIRECT("'"&amp;datatable!$G$5:$G$7&amp;"'!H"&amp;22))</f>
        <v>1</v>
      </c>
      <c r="I22" s="58" cm="1">
        <f t="array" aca="1" ref="I22" ca="1">SUM(INDIRECT("'"&amp;datatable!$G$5:$G$7&amp;"'!I"&amp;22))</f>
        <v>0</v>
      </c>
      <c r="J22" s="59" cm="1">
        <f t="array" aca="1" ref="J22" ca="1">SUM(INDIRECT("'"&amp;datatable!$G$5:$G$7&amp;"'!J"&amp;22))</f>
        <v>1</v>
      </c>
      <c r="K22" s="60" cm="1">
        <f t="array" aca="1" ref="K22" ca="1">SUM(INDIRECT("'"&amp;datatable!$G$5:$G$7&amp;"'!K"&amp;22))</f>
        <v>2</v>
      </c>
      <c r="L22" s="61" cm="1">
        <f t="array" aca="1" ref="L22" ca="1">SUM(INDIRECT("'"&amp;datatable!$G$5:$G$7&amp;"'!L"&amp;22))</f>
        <v>10</v>
      </c>
      <c r="M22" s="62" cm="1">
        <f t="array" aca="1" ref="M22" ca="1">SUM(INDIRECT("'"&amp;datatable!$G$5:$G$7&amp;"'!M"&amp;22))</f>
        <v>3</v>
      </c>
      <c r="N22" s="29">
        <f t="shared" ca="1" si="0"/>
        <v>54</v>
      </c>
      <c r="O22" s="29">
        <f t="shared" ca="1" si="1"/>
        <v>51</v>
      </c>
    </row>
    <row r="23" spans="3:15">
      <c r="C23" s="5" t="s">
        <v>29</v>
      </c>
      <c r="D23" s="8" cm="1">
        <f t="array" aca="1" ref="D23" ca="1">SUM(INDIRECT("'"&amp;datatable!$G$5:$G$7&amp;"'!D"&amp;23))</f>
        <v>2</v>
      </c>
      <c r="E23" s="54" cm="1">
        <f t="array" aca="1" ref="E23" ca="1">SUM(INDIRECT("'"&amp;datatable!$G$5:$G$7&amp;"'!E"&amp;23))</f>
        <v>14</v>
      </c>
      <c r="F23" s="55" cm="1">
        <f t="array" aca="1" ref="F23" ca="1">SUM(INDIRECT("'"&amp;datatable!$G$5:$G$7&amp;"'!F"&amp;23))</f>
        <v>7</v>
      </c>
      <c r="G23" s="56" cm="1">
        <f t="array" aca="1" ref="G23" ca="1">SUM(INDIRECT("'"&amp;datatable!$G$5:$G$7&amp;"'!G"&amp;23))</f>
        <v>0</v>
      </c>
      <c r="H23" s="57" cm="1">
        <f t="array" aca="1" ref="H23" ca="1">SUM(INDIRECT("'"&amp;datatable!$G$5:$G$7&amp;"'!H"&amp;23))</f>
        <v>3</v>
      </c>
      <c r="I23" s="58" cm="1">
        <f t="array" aca="1" ref="I23" ca="1">SUM(INDIRECT("'"&amp;datatable!$G$5:$G$7&amp;"'!I"&amp;23))</f>
        <v>1</v>
      </c>
      <c r="J23" s="59" cm="1">
        <f t="array" aca="1" ref="J23" ca="1">SUM(INDIRECT("'"&amp;datatable!$G$5:$G$7&amp;"'!J"&amp;23))</f>
        <v>4</v>
      </c>
      <c r="K23" s="60" cm="1">
        <f t="array" aca="1" ref="K23" ca="1">SUM(INDIRECT("'"&amp;datatable!$G$5:$G$7&amp;"'!K"&amp;23))</f>
        <v>1</v>
      </c>
      <c r="L23" s="61" cm="1">
        <f t="array" aca="1" ref="L23" ca="1">SUM(INDIRECT("'"&amp;datatable!$G$5:$G$7&amp;"'!L"&amp;23))</f>
        <v>4</v>
      </c>
      <c r="M23" s="62" cm="1">
        <f t="array" aca="1" ref="M23" ca="1">SUM(INDIRECT("'"&amp;datatable!$G$5:$G$7&amp;"'!M"&amp;23))</f>
        <v>18</v>
      </c>
      <c r="N23" s="29">
        <f t="shared" ca="1" si="0"/>
        <v>54</v>
      </c>
      <c r="O23" s="29">
        <f t="shared" ca="1" si="1"/>
        <v>36</v>
      </c>
    </row>
    <row r="24" spans="3:15">
      <c r="C24" s="5" t="s">
        <v>30</v>
      </c>
      <c r="D24" s="8" cm="1">
        <f t="array" aca="1" ref="D24" ca="1">SUM(INDIRECT("'"&amp;datatable!$G$5:$G$7&amp;"'!D"&amp;24))</f>
        <v>3</v>
      </c>
      <c r="E24" s="54" cm="1">
        <f t="array" aca="1" ref="E24" ca="1">SUM(INDIRECT("'"&amp;datatable!$G$5:$G$7&amp;"'!E"&amp;24))</f>
        <v>19</v>
      </c>
      <c r="F24" s="55" cm="1">
        <f t="array" aca="1" ref="F24" ca="1">SUM(INDIRECT("'"&amp;datatable!$G$5:$G$7&amp;"'!F"&amp;24))</f>
        <v>8</v>
      </c>
      <c r="G24" s="56" cm="1">
        <f t="array" aca="1" ref="G24" ca="1">SUM(INDIRECT("'"&amp;datatable!$G$5:$G$7&amp;"'!G"&amp;24))</f>
        <v>3</v>
      </c>
      <c r="H24" s="57" cm="1">
        <f t="array" aca="1" ref="H24" ca="1">SUM(INDIRECT("'"&amp;datatable!$G$5:$G$7&amp;"'!H"&amp;24))</f>
        <v>5</v>
      </c>
      <c r="I24" s="58" cm="1">
        <f t="array" aca="1" ref="I24" ca="1">SUM(INDIRECT("'"&amp;datatable!$G$5:$G$7&amp;"'!I"&amp;24))</f>
        <v>1</v>
      </c>
      <c r="J24" s="59" cm="1">
        <f t="array" aca="1" ref="J24" ca="1">SUM(INDIRECT("'"&amp;datatable!$G$5:$G$7&amp;"'!J"&amp;24))</f>
        <v>2</v>
      </c>
      <c r="K24" s="60" cm="1">
        <f t="array" aca="1" ref="K24" ca="1">SUM(INDIRECT("'"&amp;datatable!$G$5:$G$7&amp;"'!K"&amp;24))</f>
        <v>6</v>
      </c>
      <c r="L24" s="61" cm="1">
        <f t="array" aca="1" ref="L24" ca="1">SUM(INDIRECT("'"&amp;datatable!$G$5:$G$7&amp;"'!L"&amp;24))</f>
        <v>7</v>
      </c>
      <c r="M24" s="62" cm="1">
        <f t="array" aca="1" ref="M24" ca="1">SUM(INDIRECT("'"&amp;datatable!$G$5:$G$7&amp;"'!M"&amp;24))</f>
        <v>0</v>
      </c>
      <c r="N24" s="29">
        <f t="shared" ca="1" si="0"/>
        <v>54</v>
      </c>
      <c r="O24" s="29">
        <f t="shared" ca="1" si="1"/>
        <v>54</v>
      </c>
    </row>
    <row r="25" spans="3:15">
      <c r="C25" s="5" t="s">
        <v>31</v>
      </c>
      <c r="D25" s="8" cm="1">
        <f t="array" aca="1" ref="D25" ca="1">SUM(INDIRECT("'"&amp;datatable!$G$5:$G$7&amp;"'!D"&amp;25))</f>
        <v>10</v>
      </c>
      <c r="E25" s="54" cm="1">
        <f t="array" aca="1" ref="E25" ca="1">SUM(INDIRECT("'"&amp;datatable!$G$5:$G$7&amp;"'!E"&amp;25))</f>
        <v>12</v>
      </c>
      <c r="F25" s="55" cm="1">
        <f t="array" aca="1" ref="F25" ca="1">SUM(INDIRECT("'"&amp;datatable!$G$5:$G$7&amp;"'!F"&amp;25))</f>
        <v>8</v>
      </c>
      <c r="G25" s="56" cm="1">
        <f t="array" aca="1" ref="G25" ca="1">SUM(INDIRECT("'"&amp;datatable!$G$5:$G$7&amp;"'!G"&amp;25))</f>
        <v>3</v>
      </c>
      <c r="H25" s="57" cm="1">
        <f t="array" aca="1" ref="H25" ca="1">SUM(INDIRECT("'"&amp;datatable!$G$5:$G$7&amp;"'!H"&amp;25))</f>
        <v>6</v>
      </c>
      <c r="I25" s="58" cm="1">
        <f t="array" aca="1" ref="I25" ca="1">SUM(INDIRECT("'"&amp;datatable!$G$5:$G$7&amp;"'!I"&amp;25))</f>
        <v>1</v>
      </c>
      <c r="J25" s="59" cm="1">
        <f t="array" aca="1" ref="J25" ca="1">SUM(INDIRECT("'"&amp;datatable!$G$5:$G$7&amp;"'!J"&amp;25))</f>
        <v>2</v>
      </c>
      <c r="K25" s="60" cm="1">
        <f t="array" aca="1" ref="K25" ca="1">SUM(INDIRECT("'"&amp;datatable!$G$5:$G$7&amp;"'!K"&amp;25))</f>
        <v>2</v>
      </c>
      <c r="L25" s="61" cm="1">
        <f t="array" aca="1" ref="L25" ca="1">SUM(INDIRECT("'"&amp;datatable!$G$5:$G$7&amp;"'!L"&amp;25))</f>
        <v>10</v>
      </c>
      <c r="M25" s="62" cm="1">
        <f t="array" aca="1" ref="M25" ca="1">SUM(INDIRECT("'"&amp;datatable!$G$5:$G$7&amp;"'!M"&amp;25))</f>
        <v>0</v>
      </c>
      <c r="N25" s="29">
        <f t="shared" ca="1" si="0"/>
        <v>54</v>
      </c>
      <c r="O25" s="29">
        <f t="shared" ca="1" si="1"/>
        <v>54</v>
      </c>
    </row>
    <row r="26" spans="3:15">
      <c r="C26" s="5" t="s">
        <v>32</v>
      </c>
      <c r="D26" s="8" cm="1">
        <f t="array" aca="1" ref="D26" ca="1">SUM(INDIRECT("'"&amp;datatable!$G$5:$G$7&amp;"'!D"&amp;26))</f>
        <v>13</v>
      </c>
      <c r="E26" s="54" cm="1">
        <f t="array" aca="1" ref="E26" ca="1">SUM(INDIRECT("'"&amp;datatable!$G$5:$G$7&amp;"'!E"&amp;26))</f>
        <v>6</v>
      </c>
      <c r="F26" s="55" cm="1">
        <f t="array" aca="1" ref="F26" ca="1">SUM(INDIRECT("'"&amp;datatable!$G$5:$G$7&amp;"'!F"&amp;26))</f>
        <v>8</v>
      </c>
      <c r="G26" s="56" cm="1">
        <f t="array" aca="1" ref="G26" ca="1">SUM(INDIRECT("'"&amp;datatable!$G$5:$G$7&amp;"'!G"&amp;26))</f>
        <v>6</v>
      </c>
      <c r="H26" s="57" cm="1">
        <f t="array" aca="1" ref="H26" ca="1">SUM(INDIRECT("'"&amp;datatable!$G$5:$G$7&amp;"'!H"&amp;26))</f>
        <v>9</v>
      </c>
      <c r="I26" s="58" cm="1">
        <f t="array" aca="1" ref="I26" ca="1">SUM(INDIRECT("'"&amp;datatable!$G$5:$G$7&amp;"'!I"&amp;26))</f>
        <v>0</v>
      </c>
      <c r="J26" s="59" cm="1">
        <f t="array" aca="1" ref="J26" ca="1">SUM(INDIRECT("'"&amp;datatable!$G$5:$G$7&amp;"'!J"&amp;26))</f>
        <v>1</v>
      </c>
      <c r="K26" s="60" cm="1">
        <f t="array" aca="1" ref="K26" ca="1">SUM(INDIRECT("'"&amp;datatable!$G$5:$G$7&amp;"'!K"&amp;26))</f>
        <v>2</v>
      </c>
      <c r="L26" s="61" cm="1">
        <f t="array" aca="1" ref="L26" ca="1">SUM(INDIRECT("'"&amp;datatable!$G$5:$G$7&amp;"'!L"&amp;26))</f>
        <v>6</v>
      </c>
      <c r="M26" s="62" cm="1">
        <f t="array" aca="1" ref="M26" ca="1">SUM(INDIRECT("'"&amp;datatable!$G$5:$G$7&amp;"'!M"&amp;26))</f>
        <v>3</v>
      </c>
      <c r="N26" s="29">
        <f t="shared" ca="1" si="0"/>
        <v>54</v>
      </c>
      <c r="O26" s="29">
        <f t="shared" ca="1" si="1"/>
        <v>51</v>
      </c>
    </row>
    <row r="27" spans="3:15">
      <c r="C27" s="5" t="s">
        <v>33</v>
      </c>
      <c r="D27" s="8" cm="1">
        <f t="array" aca="1" ref="D27" ca="1">SUM(INDIRECT("'"&amp;datatable!$G$5:$G$7&amp;"'!D"&amp;27))</f>
        <v>3</v>
      </c>
      <c r="E27" s="54" cm="1">
        <f t="array" aca="1" ref="E27" ca="1">SUM(INDIRECT("'"&amp;datatable!$G$5:$G$7&amp;"'!E"&amp;27))</f>
        <v>2</v>
      </c>
      <c r="F27" s="55" cm="1">
        <f t="array" aca="1" ref="F27" ca="1">SUM(INDIRECT("'"&amp;datatable!$G$5:$G$7&amp;"'!F"&amp;27))</f>
        <v>2</v>
      </c>
      <c r="G27" s="56" cm="1">
        <f t="array" aca="1" ref="G27" ca="1">SUM(INDIRECT("'"&amp;datatable!$G$5:$G$7&amp;"'!G"&amp;27))</f>
        <v>2</v>
      </c>
      <c r="H27" s="57" cm="1">
        <f t="array" aca="1" ref="H27" ca="1">SUM(INDIRECT("'"&amp;datatable!$G$5:$G$7&amp;"'!H"&amp;27))</f>
        <v>3</v>
      </c>
      <c r="I27" s="58" cm="1">
        <f t="array" aca="1" ref="I27" ca="1">SUM(INDIRECT("'"&amp;datatable!$G$5:$G$7&amp;"'!I"&amp;27))</f>
        <v>0</v>
      </c>
      <c r="J27" s="59" cm="1">
        <f t="array" aca="1" ref="J27" ca="1">SUM(INDIRECT("'"&amp;datatable!$G$5:$G$7&amp;"'!J"&amp;27))</f>
        <v>0</v>
      </c>
      <c r="K27" s="60" cm="1">
        <f t="array" aca="1" ref="K27" ca="1">SUM(INDIRECT("'"&amp;datatable!$G$5:$G$7&amp;"'!K"&amp;27))</f>
        <v>3</v>
      </c>
      <c r="L27" s="61" cm="1">
        <f t="array" aca="1" ref="L27" ca="1">SUM(INDIRECT("'"&amp;datatable!$G$5:$G$7&amp;"'!L"&amp;27))</f>
        <v>12</v>
      </c>
      <c r="M27" s="62" cm="1">
        <f t="array" aca="1" ref="M27" ca="1">SUM(INDIRECT("'"&amp;datatable!$G$5:$G$7&amp;"'!M"&amp;27))</f>
        <v>27</v>
      </c>
      <c r="N27" s="29">
        <f t="shared" ca="1" si="0"/>
        <v>54</v>
      </c>
      <c r="O27" s="29">
        <f t="shared" ca="1" si="1"/>
        <v>27</v>
      </c>
    </row>
    <row r="28" spans="3:15">
      <c r="C28" s="6" t="s">
        <v>34</v>
      </c>
      <c r="D28" s="9">
        <f t="shared" ref="D28:M28" ca="1" si="2">SUM(D7:D27)</f>
        <v>464</v>
      </c>
      <c r="E28" s="9">
        <f t="shared" ca="1" si="2"/>
        <v>131</v>
      </c>
      <c r="F28" s="9">
        <f t="shared" ca="1" si="2"/>
        <v>88</v>
      </c>
      <c r="G28" s="9">
        <f t="shared" ca="1" si="2"/>
        <v>59</v>
      </c>
      <c r="H28" s="9">
        <f t="shared" ca="1" si="2"/>
        <v>67</v>
      </c>
      <c r="I28" s="9">
        <f t="shared" ca="1" si="2"/>
        <v>22</v>
      </c>
      <c r="J28" s="9">
        <f t="shared" ca="1" si="2"/>
        <v>29</v>
      </c>
      <c r="K28" s="9">
        <f t="shared" ca="1" si="2"/>
        <v>48</v>
      </c>
      <c r="L28" s="9">
        <f t="shared" ca="1" si="2"/>
        <v>145</v>
      </c>
      <c r="M28" s="9">
        <f t="shared" ca="1" si="2"/>
        <v>81</v>
      </c>
      <c r="N28" s="29">
        <f t="shared" ca="1" si="0"/>
        <v>1134</v>
      </c>
      <c r="O28" s="29">
        <f t="shared" ca="1" si="1"/>
        <v>1053</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SUM(INDIRECT("'"&amp;datatable!$G$5:$G$7&amp;"'!D"&amp;32))</f>
        <v>36</v>
      </c>
      <c r="E32" s="11" cm="1">
        <f t="array" aca="1" ref="E32" ca="1">SUM(INDIRECT("'"&amp;datatable!$G$5:$G$7&amp;"'!E"&amp;32))</f>
        <v>6</v>
      </c>
      <c r="F32" s="13" cm="1">
        <f t="array" aca="1" ref="F32" ca="1">SUM(INDIRECT("'"&amp;datatable!$G$5:$G$7&amp;"'!F"&amp;32))</f>
        <v>3</v>
      </c>
      <c r="G32" s="15" cm="1">
        <f t="array" aca="1" ref="G32" ca="1">SUM(INDIRECT("'"&amp;datatable!$G$5:$G$7&amp;"'!G"&amp;32))</f>
        <v>4</v>
      </c>
      <c r="H32" s="17" cm="1">
        <f t="array" aca="1" ref="H32" ca="1">SUM(INDIRECT("'"&amp;datatable!$G$5:$G$7&amp;"'!H"&amp;32))</f>
        <v>1</v>
      </c>
      <c r="I32" s="19" cm="1">
        <f t="array" aca="1" ref="I32" ca="1">SUM(INDIRECT("'"&amp;datatable!$G$5:$G$7&amp;"'!I"&amp;32))</f>
        <v>0</v>
      </c>
      <c r="J32" s="21" cm="1">
        <f t="array" aca="1" ref="J32" ca="1">SUM(INDIRECT("'"&amp;datatable!$G$5:$G$7&amp;"'!J"&amp;32))</f>
        <v>1</v>
      </c>
      <c r="K32" s="23" cm="1">
        <f t="array" aca="1" ref="K32" ca="1">SUM(INDIRECT("'"&amp;datatable!$G$5:$G$7&amp;"'!K"&amp;32))</f>
        <v>3</v>
      </c>
      <c r="L32" s="25" cm="1">
        <f t="array" aca="1" ref="L32" ca="1">SUM(INDIRECT("'"&amp;datatable!$G$5:$G$7&amp;"'!L"&amp;32))</f>
        <v>0</v>
      </c>
      <c r="M32" s="27" cm="1">
        <f t="array" aca="1" ref="M32" ca="1">SUM(INDIRECT("'"&amp;datatable!$G$5:$G$7&amp;"'!M"&amp;32))</f>
        <v>9</v>
      </c>
      <c r="N32" s="43">
        <f t="shared" ref="N32:N49" ca="1" si="3">SUM(D32:M32)</f>
        <v>63</v>
      </c>
      <c r="O32" s="43">
        <f t="shared" ref="O32:O49" ca="1" si="4">SUM(D32:L32)</f>
        <v>54</v>
      </c>
    </row>
    <row r="33" spans="3:15">
      <c r="C33" s="44" t="s">
        <v>38</v>
      </c>
      <c r="D33" s="8" cm="1">
        <f t="array" aca="1" ref="D33" ca="1">SUM(INDIRECT("'"&amp;datatable!$G$5:$G$7&amp;"'!D"&amp;33))</f>
        <v>24</v>
      </c>
      <c r="E33" s="11" cm="1">
        <f t="array" aca="1" ref="E33" ca="1">SUM(INDIRECT("'"&amp;datatable!$G$5:$G$7&amp;"'!E"&amp;33))</f>
        <v>8</v>
      </c>
      <c r="F33" s="13" cm="1">
        <f t="array" aca="1" ref="F33" ca="1">SUM(INDIRECT("'"&amp;datatable!$G$5:$G$7&amp;"'!F"&amp;33))</f>
        <v>4</v>
      </c>
      <c r="G33" s="15" cm="1">
        <f t="array" aca="1" ref="G33" ca="1">SUM(INDIRECT("'"&amp;datatable!$G$5:$G$7&amp;"'!G"&amp;33))</f>
        <v>4</v>
      </c>
      <c r="H33" s="17" cm="1">
        <f t="array" aca="1" ref="H33" ca="1">SUM(INDIRECT("'"&amp;datatable!$G$5:$G$7&amp;"'!H"&amp;33))</f>
        <v>5</v>
      </c>
      <c r="I33" s="19" cm="1">
        <f t="array" aca="1" ref="I33" ca="1">SUM(INDIRECT("'"&amp;datatable!$G$5:$G$7&amp;"'!I"&amp;33))</f>
        <v>0</v>
      </c>
      <c r="J33" s="21" cm="1">
        <f t="array" aca="1" ref="J33" ca="1">SUM(INDIRECT("'"&amp;datatable!$G$5:$G$7&amp;"'!J"&amp;33))</f>
        <v>1</v>
      </c>
      <c r="K33" s="23" cm="1">
        <f t="array" aca="1" ref="K33" ca="1">SUM(INDIRECT("'"&amp;datatable!$G$5:$G$7&amp;"'!K"&amp;33))</f>
        <v>4</v>
      </c>
      <c r="L33" s="25" cm="1">
        <f t="array" aca="1" ref="L33" ca="1">SUM(INDIRECT("'"&amp;datatable!$G$5:$G$7&amp;"'!L"&amp;33))</f>
        <v>13</v>
      </c>
      <c r="M33" s="27" cm="1">
        <f t="array" aca="1" ref="M33" ca="1">SUM(INDIRECT("'"&amp;datatable!$G$5:$G$7&amp;"'!M"&amp;33))</f>
        <v>0</v>
      </c>
      <c r="N33" s="43">
        <f t="shared" ca="1" si="3"/>
        <v>63</v>
      </c>
      <c r="O33" s="43">
        <f t="shared" ca="1" si="4"/>
        <v>63</v>
      </c>
    </row>
    <row r="34" spans="3:15">
      <c r="C34" s="44" t="s">
        <v>39</v>
      </c>
      <c r="D34" s="8" cm="1">
        <f t="array" aca="1" ref="D34" ca="1">SUM(INDIRECT("'"&amp;datatable!$G$5:$G$7&amp;"'!D"&amp;34))</f>
        <v>29</v>
      </c>
      <c r="E34" s="11" cm="1">
        <f t="array" aca="1" ref="E34" ca="1">SUM(INDIRECT("'"&amp;datatable!$G$5:$G$7&amp;"'!E"&amp;34))</f>
        <v>5</v>
      </c>
      <c r="F34" s="13" cm="1">
        <f t="array" aca="1" ref="F34" ca="1">SUM(INDIRECT("'"&amp;datatable!$G$5:$G$7&amp;"'!F"&amp;34))</f>
        <v>7</v>
      </c>
      <c r="G34" s="15" cm="1">
        <f t="array" aca="1" ref="G34" ca="1">SUM(INDIRECT("'"&amp;datatable!$G$5:$G$7&amp;"'!G"&amp;34))</f>
        <v>3</v>
      </c>
      <c r="H34" s="17" cm="1">
        <f t="array" aca="1" ref="H34" ca="1">SUM(INDIRECT("'"&amp;datatable!$G$5:$G$7&amp;"'!H"&amp;34))</f>
        <v>6</v>
      </c>
      <c r="I34" s="19" cm="1">
        <f t="array" aca="1" ref="I34" ca="1">SUM(INDIRECT("'"&amp;datatable!$G$5:$G$7&amp;"'!I"&amp;34))</f>
        <v>0</v>
      </c>
      <c r="J34" s="21" cm="1">
        <f t="array" aca="1" ref="J34" ca="1">SUM(INDIRECT("'"&amp;datatable!$G$5:$G$7&amp;"'!J"&amp;34))</f>
        <v>2</v>
      </c>
      <c r="K34" s="23" cm="1">
        <f t="array" aca="1" ref="K34" ca="1">SUM(INDIRECT("'"&amp;datatable!$G$5:$G$7&amp;"'!K"&amp;34))</f>
        <v>2</v>
      </c>
      <c r="L34" s="25" cm="1">
        <f t="array" aca="1" ref="L34" ca="1">SUM(INDIRECT("'"&amp;datatable!$G$5:$G$7&amp;"'!L"&amp;34))</f>
        <v>3</v>
      </c>
      <c r="M34" s="27" cm="1">
        <f t="array" aca="1" ref="M34" ca="1">SUM(INDIRECT("'"&amp;datatable!$G$5:$G$7&amp;"'!M"&amp;34))</f>
        <v>6</v>
      </c>
      <c r="N34" s="43">
        <f t="shared" ca="1" si="3"/>
        <v>63</v>
      </c>
      <c r="O34" s="43">
        <f t="shared" ca="1" si="4"/>
        <v>57</v>
      </c>
    </row>
    <row r="35" spans="3:15">
      <c r="C35" s="44" t="s">
        <v>40</v>
      </c>
      <c r="D35" s="8" cm="1">
        <f t="array" aca="1" ref="D35" ca="1">SUM(INDIRECT("'"&amp;datatable!$G$5:$G$7&amp;"'!D"&amp;35))</f>
        <v>36</v>
      </c>
      <c r="E35" s="11" cm="1">
        <f t="array" aca="1" ref="E35" ca="1">SUM(INDIRECT("'"&amp;datatable!$G$5:$G$7&amp;"'!E"&amp;35))</f>
        <v>11</v>
      </c>
      <c r="F35" s="13" cm="1">
        <f t="array" aca="1" ref="F35" ca="1">SUM(INDIRECT("'"&amp;datatable!$G$5:$G$7&amp;"'!F"&amp;35))</f>
        <v>3</v>
      </c>
      <c r="G35" s="15" cm="1">
        <f t="array" aca="1" ref="G35" ca="1">SUM(INDIRECT("'"&amp;datatable!$G$5:$G$7&amp;"'!G"&amp;35))</f>
        <v>3</v>
      </c>
      <c r="H35" s="17" cm="1">
        <f t="array" aca="1" ref="H35" ca="1">SUM(INDIRECT("'"&amp;datatable!$G$5:$G$7&amp;"'!H"&amp;35))</f>
        <v>2</v>
      </c>
      <c r="I35" s="19" cm="1">
        <f t="array" aca="1" ref="I35" ca="1">SUM(INDIRECT("'"&amp;datatable!$G$5:$G$7&amp;"'!I"&amp;35))</f>
        <v>3</v>
      </c>
      <c r="J35" s="21" cm="1">
        <f t="array" aca="1" ref="J35" ca="1">SUM(INDIRECT("'"&amp;datatable!$G$5:$G$7&amp;"'!J"&amp;35))</f>
        <v>0</v>
      </c>
      <c r="K35" s="23" cm="1">
        <f t="array" aca="1" ref="K35" ca="1">SUM(INDIRECT("'"&amp;datatable!$G$5:$G$7&amp;"'!K"&amp;35))</f>
        <v>2</v>
      </c>
      <c r="L35" s="25" cm="1">
        <f t="array" aca="1" ref="L35" ca="1">SUM(INDIRECT("'"&amp;datatable!$G$5:$G$7&amp;"'!L"&amp;35))</f>
        <v>3</v>
      </c>
      <c r="M35" s="27" cm="1">
        <f t="array" aca="1" ref="M35" ca="1">SUM(INDIRECT("'"&amp;datatable!$G$5:$G$7&amp;"'!M"&amp;35))</f>
        <v>0</v>
      </c>
      <c r="N35" s="43">
        <f t="shared" ca="1" si="3"/>
        <v>63</v>
      </c>
      <c r="O35" s="43">
        <f t="shared" ca="1" si="4"/>
        <v>63</v>
      </c>
    </row>
    <row r="36" spans="3:15">
      <c r="C36" s="44" t="s">
        <v>41</v>
      </c>
      <c r="D36" s="8" cm="1">
        <f t="array" aca="1" ref="D36" ca="1">SUM(INDIRECT("'"&amp;datatable!$G$5:$G$7&amp;"'!D"&amp;36))</f>
        <v>28</v>
      </c>
      <c r="E36" s="11" cm="1">
        <f t="array" aca="1" ref="E36" ca="1">SUM(INDIRECT("'"&amp;datatable!$G$5:$G$7&amp;"'!E"&amp;36))</f>
        <v>11</v>
      </c>
      <c r="F36" s="13" cm="1">
        <f t="array" aca="1" ref="F36" ca="1">SUM(INDIRECT("'"&amp;datatable!$G$5:$G$7&amp;"'!F"&amp;36))</f>
        <v>2</v>
      </c>
      <c r="G36" s="15" cm="1">
        <f t="array" aca="1" ref="G36" ca="1">SUM(INDIRECT("'"&amp;datatable!$G$5:$G$7&amp;"'!G"&amp;36))</f>
        <v>1</v>
      </c>
      <c r="H36" s="17" cm="1">
        <f t="array" aca="1" ref="H36" ca="1">SUM(INDIRECT("'"&amp;datatable!$G$5:$G$7&amp;"'!H"&amp;36))</f>
        <v>6</v>
      </c>
      <c r="I36" s="19" cm="1">
        <f t="array" aca="1" ref="I36" ca="1">SUM(INDIRECT("'"&amp;datatable!$G$5:$G$7&amp;"'!I"&amp;36))</f>
        <v>0</v>
      </c>
      <c r="J36" s="21" cm="1">
        <f t="array" aca="1" ref="J36" ca="1">SUM(INDIRECT("'"&amp;datatable!$G$5:$G$7&amp;"'!J"&amp;36))</f>
        <v>3</v>
      </c>
      <c r="K36" s="23" cm="1">
        <f t="array" aca="1" ref="K36" ca="1">SUM(INDIRECT("'"&amp;datatable!$G$5:$G$7&amp;"'!K"&amp;36))</f>
        <v>4</v>
      </c>
      <c r="L36" s="25" cm="1">
        <f t="array" aca="1" ref="L36" ca="1">SUM(INDIRECT("'"&amp;datatable!$G$5:$G$7&amp;"'!L"&amp;36))</f>
        <v>5</v>
      </c>
      <c r="M36" s="27" cm="1">
        <f t="array" aca="1" ref="M36" ca="1">SUM(INDIRECT("'"&amp;datatable!$G$5:$G$7&amp;"'!M"&amp;36))</f>
        <v>3</v>
      </c>
      <c r="N36" s="43">
        <f t="shared" ca="1" si="3"/>
        <v>63</v>
      </c>
      <c r="O36" s="43">
        <f t="shared" ca="1" si="4"/>
        <v>60</v>
      </c>
    </row>
    <row r="37" spans="3:15">
      <c r="C37" s="44" t="s">
        <v>42</v>
      </c>
      <c r="D37" s="8" cm="1">
        <f t="array" aca="1" ref="D37" ca="1">SUM(INDIRECT("'"&amp;datatable!$G$5:$G$7&amp;"'!D"&amp;37))</f>
        <v>19</v>
      </c>
      <c r="E37" s="11" cm="1">
        <f t="array" aca="1" ref="E37" ca="1">SUM(INDIRECT("'"&amp;datatable!$G$5:$G$7&amp;"'!E"&amp;37))</f>
        <v>5</v>
      </c>
      <c r="F37" s="13" cm="1">
        <f t="array" aca="1" ref="F37" ca="1">SUM(INDIRECT("'"&amp;datatable!$G$5:$G$7&amp;"'!F"&amp;37))</f>
        <v>2</v>
      </c>
      <c r="G37" s="15" cm="1">
        <f t="array" aca="1" ref="G37" ca="1">SUM(INDIRECT("'"&amp;datatable!$G$5:$G$7&amp;"'!G"&amp;37))</f>
        <v>4</v>
      </c>
      <c r="H37" s="17" cm="1">
        <f t="array" aca="1" ref="H37" ca="1">SUM(INDIRECT("'"&amp;datatable!$G$5:$G$7&amp;"'!H"&amp;37))</f>
        <v>0</v>
      </c>
      <c r="I37" s="19" cm="1">
        <f t="array" aca="1" ref="I37" ca="1">SUM(INDIRECT("'"&amp;datatable!$G$5:$G$7&amp;"'!I"&amp;37))</f>
        <v>2</v>
      </c>
      <c r="J37" s="21" cm="1">
        <f t="array" aca="1" ref="J37" ca="1">SUM(INDIRECT("'"&amp;datatable!$G$5:$G$7&amp;"'!J"&amp;37))</f>
        <v>2</v>
      </c>
      <c r="K37" s="23" cm="1">
        <f t="array" aca="1" ref="K37" ca="1">SUM(INDIRECT("'"&amp;datatable!$G$5:$G$7&amp;"'!K"&amp;37))</f>
        <v>1</v>
      </c>
      <c r="L37" s="25" cm="1">
        <f t="array" aca="1" ref="L37" ca="1">SUM(INDIRECT("'"&amp;datatable!$G$5:$G$7&amp;"'!L"&amp;37))</f>
        <v>1</v>
      </c>
      <c r="M37" s="27" cm="1">
        <f t="array" aca="1" ref="M37" ca="1">SUM(INDIRECT("'"&amp;datatable!$G$5:$G$7&amp;"'!M"&amp;37))</f>
        <v>27</v>
      </c>
      <c r="N37" s="43">
        <f t="shared" ca="1" si="3"/>
        <v>63</v>
      </c>
      <c r="O37" s="43">
        <f t="shared" ca="1" si="4"/>
        <v>36</v>
      </c>
    </row>
    <row r="38" spans="3:15">
      <c r="C38" s="44" t="s">
        <v>43</v>
      </c>
      <c r="D38" s="8" cm="1">
        <f t="array" aca="1" ref="D38" ca="1">SUM(INDIRECT("'"&amp;datatable!$G$5:$G$7&amp;"'!D"&amp;38))</f>
        <v>24</v>
      </c>
      <c r="E38" s="11" cm="1">
        <f t="array" aca="1" ref="E38" ca="1">SUM(INDIRECT("'"&amp;datatable!$G$5:$G$7&amp;"'!E"&amp;38))</f>
        <v>8</v>
      </c>
      <c r="F38" s="13" cm="1">
        <f t="array" aca="1" ref="F38" ca="1">SUM(INDIRECT("'"&amp;datatable!$G$5:$G$7&amp;"'!F"&amp;38))</f>
        <v>8</v>
      </c>
      <c r="G38" s="15" cm="1">
        <f t="array" aca="1" ref="G38" ca="1">SUM(INDIRECT("'"&amp;datatable!$G$5:$G$7&amp;"'!G"&amp;38))</f>
        <v>4</v>
      </c>
      <c r="H38" s="17" cm="1">
        <f t="array" aca="1" ref="H38" ca="1">SUM(INDIRECT("'"&amp;datatable!$G$5:$G$7&amp;"'!H"&amp;38))</f>
        <v>4</v>
      </c>
      <c r="I38" s="19" cm="1">
        <f t="array" aca="1" ref="I38" ca="1">SUM(INDIRECT("'"&amp;datatable!$G$5:$G$7&amp;"'!I"&amp;38))</f>
        <v>2</v>
      </c>
      <c r="J38" s="21" cm="1">
        <f t="array" aca="1" ref="J38" ca="1">SUM(INDIRECT("'"&amp;datatable!$G$5:$G$7&amp;"'!J"&amp;38))</f>
        <v>1</v>
      </c>
      <c r="K38" s="23" cm="1">
        <f t="array" aca="1" ref="K38" ca="1">SUM(INDIRECT("'"&amp;datatable!$G$5:$G$7&amp;"'!K"&amp;38))</f>
        <v>1</v>
      </c>
      <c r="L38" s="25" cm="1">
        <f t="array" aca="1" ref="L38" ca="1">SUM(INDIRECT("'"&amp;datatable!$G$5:$G$7&amp;"'!L"&amp;38))</f>
        <v>5</v>
      </c>
      <c r="M38" s="27" cm="1">
        <f t="array" aca="1" ref="M38" ca="1">SUM(INDIRECT("'"&amp;datatable!$G$5:$G$7&amp;"'!M"&amp;38))</f>
        <v>6</v>
      </c>
      <c r="N38" s="43">
        <f t="shared" ca="1" si="3"/>
        <v>63</v>
      </c>
      <c r="O38" s="43">
        <f t="shared" ca="1" si="4"/>
        <v>57</v>
      </c>
    </row>
    <row r="39" spans="3:15">
      <c r="C39" s="44" t="s">
        <v>44</v>
      </c>
      <c r="D39" s="8" cm="1">
        <f t="array" aca="1" ref="D39" ca="1">SUM(INDIRECT("'"&amp;datatable!$G$5:$G$7&amp;"'!D"&amp;39))</f>
        <v>28</v>
      </c>
      <c r="E39" s="11" cm="1">
        <f t="array" aca="1" ref="E39" ca="1">SUM(INDIRECT("'"&amp;datatable!$G$5:$G$7&amp;"'!E"&amp;39))</f>
        <v>11</v>
      </c>
      <c r="F39" s="13" cm="1">
        <f t="array" aca="1" ref="F39" ca="1">SUM(INDIRECT("'"&amp;datatable!$G$5:$G$7&amp;"'!F"&amp;39))</f>
        <v>4</v>
      </c>
      <c r="G39" s="15" cm="1">
        <f t="array" aca="1" ref="G39" ca="1">SUM(INDIRECT("'"&amp;datatable!$G$5:$G$7&amp;"'!G"&amp;39))</f>
        <v>0</v>
      </c>
      <c r="H39" s="17" cm="1">
        <f t="array" aca="1" ref="H39" ca="1">SUM(INDIRECT("'"&amp;datatable!$G$5:$G$7&amp;"'!H"&amp;39))</f>
        <v>4</v>
      </c>
      <c r="I39" s="19" cm="1">
        <f t="array" aca="1" ref="I39" ca="1">SUM(INDIRECT("'"&amp;datatable!$G$5:$G$7&amp;"'!I"&amp;39))</f>
        <v>0</v>
      </c>
      <c r="J39" s="21" cm="1">
        <f t="array" aca="1" ref="J39" ca="1">SUM(INDIRECT("'"&amp;datatable!$G$5:$G$7&amp;"'!J"&amp;39))</f>
        <v>5</v>
      </c>
      <c r="K39" s="23" cm="1">
        <f t="array" aca="1" ref="K39" ca="1">SUM(INDIRECT("'"&amp;datatable!$G$5:$G$7&amp;"'!K"&amp;39))</f>
        <v>2</v>
      </c>
      <c r="L39" s="25" cm="1">
        <f t="array" aca="1" ref="L39" ca="1">SUM(INDIRECT("'"&amp;datatable!$G$5:$G$7&amp;"'!L"&amp;39))</f>
        <v>6</v>
      </c>
      <c r="M39" s="27" cm="1">
        <f t="array" aca="1" ref="M39" ca="1">SUM(INDIRECT("'"&amp;datatable!$G$5:$G$7&amp;"'!M"&amp;39))</f>
        <v>3</v>
      </c>
      <c r="N39" s="43">
        <f t="shared" ca="1" si="3"/>
        <v>63</v>
      </c>
      <c r="O39" s="43">
        <f t="shared" ca="1" si="4"/>
        <v>60</v>
      </c>
    </row>
    <row r="40" spans="3:15">
      <c r="C40" s="44" t="s">
        <v>45</v>
      </c>
      <c r="D40" s="8" cm="1">
        <f t="array" aca="1" ref="D40" ca="1">SUM(INDIRECT("'"&amp;datatable!$G$5:$G$7&amp;"'!D"&amp;40))</f>
        <v>20</v>
      </c>
      <c r="E40" s="11" cm="1">
        <f t="array" aca="1" ref="E40" ca="1">SUM(INDIRECT("'"&amp;datatable!$G$5:$G$7&amp;"'!E"&amp;40))</f>
        <v>10</v>
      </c>
      <c r="F40" s="13" cm="1">
        <f t="array" aca="1" ref="F40" ca="1">SUM(INDIRECT("'"&amp;datatable!$G$5:$G$7&amp;"'!F"&amp;40))</f>
        <v>3</v>
      </c>
      <c r="G40" s="15" cm="1">
        <f t="array" aca="1" ref="G40" ca="1">SUM(INDIRECT("'"&amp;datatable!$G$5:$G$7&amp;"'!G"&amp;40))</f>
        <v>5</v>
      </c>
      <c r="H40" s="17" cm="1">
        <f t="array" aca="1" ref="H40" ca="1">SUM(INDIRECT("'"&amp;datatable!$G$5:$G$7&amp;"'!H"&amp;40))</f>
        <v>5</v>
      </c>
      <c r="I40" s="19" cm="1">
        <f t="array" aca="1" ref="I40" ca="1">SUM(INDIRECT("'"&amp;datatable!$G$5:$G$7&amp;"'!I"&amp;40))</f>
        <v>1</v>
      </c>
      <c r="J40" s="21" cm="1">
        <f t="array" aca="1" ref="J40" ca="1">SUM(INDIRECT("'"&amp;datatable!$G$5:$G$7&amp;"'!J"&amp;40))</f>
        <v>0</v>
      </c>
      <c r="K40" s="23" cm="1">
        <f t="array" aca="1" ref="K40" ca="1">SUM(INDIRECT("'"&amp;datatable!$G$5:$G$7&amp;"'!K"&amp;40))</f>
        <v>5</v>
      </c>
      <c r="L40" s="25" cm="1">
        <f t="array" aca="1" ref="L40" ca="1">SUM(INDIRECT("'"&amp;datatable!$G$5:$G$7&amp;"'!L"&amp;40))</f>
        <v>5</v>
      </c>
      <c r="M40" s="27" cm="1">
        <f t="array" aca="1" ref="M40" ca="1">SUM(INDIRECT("'"&amp;datatable!$G$5:$G$7&amp;"'!M"&amp;40))</f>
        <v>9</v>
      </c>
      <c r="N40" s="43">
        <f t="shared" ca="1" si="3"/>
        <v>63</v>
      </c>
      <c r="O40" s="43">
        <f t="shared" ca="1" si="4"/>
        <v>54</v>
      </c>
    </row>
    <row r="41" spans="3:15">
      <c r="C41" s="44" t="s">
        <v>46</v>
      </c>
      <c r="D41" s="8" cm="1">
        <f t="array" aca="1" ref="D41" ca="1">SUM(INDIRECT("'"&amp;datatable!$G$5:$G$7&amp;"'!D"&amp;41))</f>
        <v>34</v>
      </c>
      <c r="E41" s="11" cm="1">
        <f t="array" aca="1" ref="E41" ca="1">SUM(INDIRECT("'"&amp;datatable!$G$5:$G$7&amp;"'!E"&amp;41))</f>
        <v>10</v>
      </c>
      <c r="F41" s="13" cm="1">
        <f t="array" aca="1" ref="F41" ca="1">SUM(INDIRECT("'"&amp;datatable!$G$5:$G$7&amp;"'!F"&amp;41))</f>
        <v>5</v>
      </c>
      <c r="G41" s="15" cm="1">
        <f t="array" aca="1" ref="G41" ca="1">SUM(INDIRECT("'"&amp;datatable!$G$5:$G$7&amp;"'!G"&amp;41))</f>
        <v>3</v>
      </c>
      <c r="H41" s="17" cm="1">
        <f t="array" aca="1" ref="H41" ca="1">SUM(INDIRECT("'"&amp;datatable!$G$5:$G$7&amp;"'!H"&amp;41))</f>
        <v>4</v>
      </c>
      <c r="I41" s="19" cm="1">
        <f t="array" aca="1" ref="I41" ca="1">SUM(INDIRECT("'"&amp;datatable!$G$5:$G$7&amp;"'!I"&amp;41))</f>
        <v>1</v>
      </c>
      <c r="J41" s="21" cm="1">
        <f t="array" aca="1" ref="J41" ca="1">SUM(INDIRECT("'"&amp;datatable!$G$5:$G$7&amp;"'!J"&amp;41))</f>
        <v>2</v>
      </c>
      <c r="K41" s="23" cm="1">
        <f t="array" aca="1" ref="K41" ca="1">SUM(INDIRECT("'"&amp;datatable!$G$5:$G$7&amp;"'!K"&amp;41))</f>
        <v>1</v>
      </c>
      <c r="L41" s="25" cm="1">
        <f t="array" aca="1" ref="L41" ca="1">SUM(INDIRECT("'"&amp;datatable!$G$5:$G$7&amp;"'!L"&amp;41))</f>
        <v>3</v>
      </c>
      <c r="M41" s="27" cm="1">
        <f t="array" aca="1" ref="M41" ca="1">SUM(INDIRECT("'"&amp;datatable!$G$5:$G$7&amp;"'!M"&amp;41))</f>
        <v>0</v>
      </c>
      <c r="N41" s="43">
        <f t="shared" ca="1" si="3"/>
        <v>63</v>
      </c>
      <c r="O41" s="43">
        <f t="shared" ca="1" si="4"/>
        <v>63</v>
      </c>
    </row>
    <row r="42" spans="3:15">
      <c r="C42" s="44" t="s">
        <v>47</v>
      </c>
      <c r="D42" s="8" cm="1">
        <f t="array" aca="1" ref="D42" ca="1">SUM(INDIRECT("'"&amp;datatable!$G$5:$G$7&amp;"'!D"&amp;42))</f>
        <v>29</v>
      </c>
      <c r="E42" s="11" cm="1">
        <f t="array" aca="1" ref="E42" ca="1">SUM(INDIRECT("'"&amp;datatable!$G$5:$G$7&amp;"'!E"&amp;42))</f>
        <v>10</v>
      </c>
      <c r="F42" s="13" cm="1">
        <f t="array" aca="1" ref="F42" ca="1">SUM(INDIRECT("'"&amp;datatable!$G$5:$G$7&amp;"'!F"&amp;42))</f>
        <v>4</v>
      </c>
      <c r="G42" s="15" cm="1">
        <f t="array" aca="1" ref="G42" ca="1">SUM(INDIRECT("'"&amp;datatable!$G$5:$G$7&amp;"'!G"&amp;42))</f>
        <v>2</v>
      </c>
      <c r="H42" s="17" cm="1">
        <f t="array" aca="1" ref="H42" ca="1">SUM(INDIRECT("'"&amp;datatable!$G$5:$G$7&amp;"'!H"&amp;42))</f>
        <v>7</v>
      </c>
      <c r="I42" s="19" cm="1">
        <f t="array" aca="1" ref="I42" ca="1">SUM(INDIRECT("'"&amp;datatable!$G$5:$G$7&amp;"'!I"&amp;42))</f>
        <v>1</v>
      </c>
      <c r="J42" s="21" cm="1">
        <f t="array" aca="1" ref="J42" ca="1">SUM(INDIRECT("'"&amp;datatable!$G$5:$G$7&amp;"'!J"&amp;42))</f>
        <v>4</v>
      </c>
      <c r="K42" s="23" cm="1">
        <f t="array" aca="1" ref="K42" ca="1">SUM(INDIRECT("'"&amp;datatable!$G$5:$G$7&amp;"'!K"&amp;42))</f>
        <v>3</v>
      </c>
      <c r="L42" s="25" cm="1">
        <f t="array" aca="1" ref="L42" ca="1">SUM(INDIRECT("'"&amp;datatable!$G$5:$G$7&amp;"'!L"&amp;42))</f>
        <v>3</v>
      </c>
      <c r="M42" s="27" cm="1">
        <f t="array" aca="1" ref="M42" ca="1">SUM(INDIRECT("'"&amp;datatable!$G$5:$G$7&amp;"'!M"&amp;42))</f>
        <v>0</v>
      </c>
      <c r="N42" s="43">
        <f t="shared" ca="1" si="3"/>
        <v>63</v>
      </c>
      <c r="O42" s="43">
        <f t="shared" ca="1" si="4"/>
        <v>63</v>
      </c>
    </row>
    <row r="43" spans="3:15">
      <c r="C43" s="44" t="s">
        <v>48</v>
      </c>
      <c r="D43" s="8" cm="1">
        <f t="array" aca="1" ref="D43" ca="1">SUM(INDIRECT("'"&amp;datatable!$G$5:$G$7&amp;"'!D"&amp;43))</f>
        <v>36</v>
      </c>
      <c r="E43" s="11" cm="1">
        <f t="array" aca="1" ref="E43" ca="1">SUM(INDIRECT("'"&amp;datatable!$G$5:$G$7&amp;"'!E"&amp;43))</f>
        <v>8</v>
      </c>
      <c r="F43" s="13" cm="1">
        <f t="array" aca="1" ref="F43" ca="1">SUM(INDIRECT("'"&amp;datatable!$G$5:$G$7&amp;"'!F"&amp;43))</f>
        <v>5</v>
      </c>
      <c r="G43" s="15" cm="1">
        <f t="array" aca="1" ref="G43" ca="1">SUM(INDIRECT("'"&amp;datatable!$G$5:$G$7&amp;"'!G"&amp;43))</f>
        <v>3</v>
      </c>
      <c r="H43" s="17" cm="1">
        <f t="array" aca="1" ref="H43" ca="1">SUM(INDIRECT("'"&amp;datatable!$G$5:$G$7&amp;"'!H"&amp;43))</f>
        <v>2</v>
      </c>
      <c r="I43" s="19" cm="1">
        <f t="array" aca="1" ref="I43" ca="1">SUM(INDIRECT("'"&amp;datatable!$G$5:$G$7&amp;"'!I"&amp;43))</f>
        <v>1</v>
      </c>
      <c r="J43" s="21" cm="1">
        <f t="array" aca="1" ref="J43" ca="1">SUM(INDIRECT("'"&amp;datatable!$G$5:$G$7&amp;"'!J"&amp;43))</f>
        <v>2</v>
      </c>
      <c r="K43" s="23" cm="1">
        <f t="array" aca="1" ref="K43" ca="1">SUM(INDIRECT("'"&amp;datatable!$G$5:$G$7&amp;"'!K"&amp;43))</f>
        <v>1</v>
      </c>
      <c r="L43" s="25" cm="1">
        <f t="array" aca="1" ref="L43" ca="1">SUM(INDIRECT("'"&amp;datatable!$G$5:$G$7&amp;"'!L"&amp;43))</f>
        <v>5</v>
      </c>
      <c r="M43" s="27" cm="1">
        <f t="array" aca="1" ref="M43" ca="1">SUM(INDIRECT("'"&amp;datatable!$G$5:$G$7&amp;"'!M"&amp;43))</f>
        <v>0</v>
      </c>
      <c r="N43" s="43">
        <f t="shared" ca="1" si="3"/>
        <v>63</v>
      </c>
      <c r="O43" s="43">
        <f t="shared" ca="1" si="4"/>
        <v>63</v>
      </c>
    </row>
    <row r="44" spans="3:15">
      <c r="C44" s="44" t="s">
        <v>49</v>
      </c>
      <c r="D44" s="8" cm="1">
        <f t="array" aca="1" ref="D44" ca="1">SUM(INDIRECT("'"&amp;datatable!$G$5:$G$7&amp;"'!D"&amp;44))</f>
        <v>12</v>
      </c>
      <c r="E44" s="11" cm="1">
        <f t="array" aca="1" ref="E44" ca="1">SUM(INDIRECT("'"&amp;datatable!$G$5:$G$7&amp;"'!E"&amp;44))</f>
        <v>8</v>
      </c>
      <c r="F44" s="13" cm="1">
        <f t="array" aca="1" ref="F44" ca="1">SUM(INDIRECT("'"&amp;datatable!$G$5:$G$7&amp;"'!F"&amp;44))</f>
        <v>6</v>
      </c>
      <c r="G44" s="15" cm="1">
        <f t="array" aca="1" ref="G44" ca="1">SUM(INDIRECT("'"&amp;datatable!$G$5:$G$7&amp;"'!G"&amp;44))</f>
        <v>2</v>
      </c>
      <c r="H44" s="17" cm="1">
        <f t="array" aca="1" ref="H44" ca="1">SUM(INDIRECT("'"&amp;datatable!$G$5:$G$7&amp;"'!H"&amp;44))</f>
        <v>9</v>
      </c>
      <c r="I44" s="19" cm="1">
        <f t="array" aca="1" ref="I44" ca="1">SUM(INDIRECT("'"&amp;datatable!$G$5:$G$7&amp;"'!I"&amp;44))</f>
        <v>1</v>
      </c>
      <c r="J44" s="21" cm="1">
        <f t="array" aca="1" ref="J44" ca="1">SUM(INDIRECT("'"&amp;datatable!$G$5:$G$7&amp;"'!J"&amp;44))</f>
        <v>3</v>
      </c>
      <c r="K44" s="23" cm="1">
        <f t="array" aca="1" ref="K44" ca="1">SUM(INDIRECT("'"&amp;datatable!$G$5:$G$7&amp;"'!K"&amp;44))</f>
        <v>3</v>
      </c>
      <c r="L44" s="25" cm="1">
        <f t="array" aca="1" ref="L44" ca="1">SUM(INDIRECT("'"&amp;datatable!$G$5:$G$7&amp;"'!L"&amp;44))</f>
        <v>10</v>
      </c>
      <c r="M44" s="27" cm="1">
        <f t="array" aca="1" ref="M44" ca="1">SUM(INDIRECT("'"&amp;datatable!$G$5:$G$7&amp;"'!M"&amp;44))</f>
        <v>9</v>
      </c>
      <c r="N44" s="43">
        <f t="shared" ca="1" si="3"/>
        <v>63</v>
      </c>
      <c r="O44" s="43">
        <f t="shared" ca="1" si="4"/>
        <v>54</v>
      </c>
    </row>
    <row r="45" spans="3:15">
      <c r="C45" s="44" t="s">
        <v>50</v>
      </c>
      <c r="D45" s="8" cm="1">
        <f t="array" aca="1" ref="D45" ca="1">SUM(INDIRECT("'"&amp;datatable!$G$5:$G$7&amp;"'!D"&amp;45))</f>
        <v>25</v>
      </c>
      <c r="E45" s="11" cm="1">
        <f t="array" aca="1" ref="E45" ca="1">SUM(INDIRECT("'"&amp;datatable!$G$5:$G$7&amp;"'!E"&amp;45))</f>
        <v>6</v>
      </c>
      <c r="F45" s="13" cm="1">
        <f t="array" aca="1" ref="F45" ca="1">SUM(INDIRECT("'"&amp;datatable!$G$5:$G$7&amp;"'!F"&amp;45))</f>
        <v>0</v>
      </c>
      <c r="G45" s="15" cm="1">
        <f t="array" aca="1" ref="G45" ca="1">SUM(INDIRECT("'"&amp;datatable!$G$5:$G$7&amp;"'!G"&amp;45))</f>
        <v>8</v>
      </c>
      <c r="H45" s="17" cm="1">
        <f t="array" aca="1" ref="H45" ca="1">SUM(INDIRECT("'"&amp;datatable!$G$5:$G$7&amp;"'!H"&amp;45))</f>
        <v>3</v>
      </c>
      <c r="I45" s="19" cm="1">
        <f t="array" aca="1" ref="I45" ca="1">SUM(INDIRECT("'"&amp;datatable!$G$5:$G$7&amp;"'!I"&amp;45))</f>
        <v>4</v>
      </c>
      <c r="J45" s="21" cm="1">
        <f t="array" aca="1" ref="J45" ca="1">SUM(INDIRECT("'"&amp;datatable!$G$5:$G$7&amp;"'!J"&amp;45))</f>
        <v>1</v>
      </c>
      <c r="K45" s="23" cm="1">
        <f t="array" aca="1" ref="K45" ca="1">SUM(INDIRECT("'"&amp;datatable!$G$5:$G$7&amp;"'!K"&amp;45))</f>
        <v>5</v>
      </c>
      <c r="L45" s="25" cm="1">
        <f t="array" aca="1" ref="L45" ca="1">SUM(INDIRECT("'"&amp;datatable!$G$5:$G$7&amp;"'!L"&amp;45))</f>
        <v>11</v>
      </c>
      <c r="M45" s="27" cm="1">
        <f t="array" aca="1" ref="M45" ca="1">SUM(INDIRECT("'"&amp;datatable!$G$5:$G$7&amp;"'!M"&amp;45))</f>
        <v>0</v>
      </c>
      <c r="N45" s="43">
        <f t="shared" ca="1" si="3"/>
        <v>63</v>
      </c>
      <c r="O45" s="43">
        <f t="shared" ca="1" si="4"/>
        <v>63</v>
      </c>
    </row>
    <row r="46" spans="3:15">
      <c r="C46" s="45" t="s">
        <v>51</v>
      </c>
      <c r="D46" s="8" cm="1">
        <f t="array" aca="1" ref="D46" ca="1">SUM(INDIRECT("'"&amp;datatable!$G$5:$G$7&amp;"'!D"&amp;46))</f>
        <v>9</v>
      </c>
      <c r="E46" s="11" cm="1">
        <f t="array" aca="1" ref="E46" ca="1">SUM(INDIRECT("'"&amp;datatable!$G$5:$G$7&amp;"'!E"&amp;46))</f>
        <v>3</v>
      </c>
      <c r="F46" s="13" cm="1">
        <f t="array" aca="1" ref="F46" ca="1">SUM(INDIRECT("'"&amp;datatable!$G$5:$G$7&amp;"'!F"&amp;46))</f>
        <v>1</v>
      </c>
      <c r="G46" s="15" cm="1">
        <f t="array" aca="1" ref="G46" ca="1">SUM(INDIRECT("'"&amp;datatable!$G$5:$G$7&amp;"'!G"&amp;46))</f>
        <v>2</v>
      </c>
      <c r="H46" s="17" cm="1">
        <f t="array" aca="1" ref="H46" ca="1">SUM(INDIRECT("'"&amp;datatable!$G$5:$G$7&amp;"'!H"&amp;46))</f>
        <v>1</v>
      </c>
      <c r="I46" s="19" cm="1">
        <f t="array" aca="1" ref="I46" ca="1">SUM(INDIRECT("'"&amp;datatable!$G$5:$G$7&amp;"'!I"&amp;46))</f>
        <v>0</v>
      </c>
      <c r="J46" s="21" cm="1">
        <f t="array" aca="1" ref="J46" ca="1">SUM(INDIRECT("'"&amp;datatable!$G$5:$G$7&amp;"'!J"&amp;46))</f>
        <v>1</v>
      </c>
      <c r="K46" s="23" cm="1">
        <f t="array" aca="1" ref="K46" ca="1">SUM(INDIRECT("'"&amp;datatable!$G$5:$G$7&amp;"'!K"&amp;46))</f>
        <v>5</v>
      </c>
      <c r="L46" s="25" cm="1">
        <f t="array" aca="1" ref="L46" ca="1">SUM(INDIRECT("'"&amp;datatable!$G$5:$G$7&amp;"'!L"&amp;46))</f>
        <v>41</v>
      </c>
      <c r="M46" s="27" cm="1">
        <f t="array" aca="1" ref="M46" ca="1">SUM(INDIRECT("'"&amp;datatable!$G$5:$G$7&amp;"'!M"&amp;46))</f>
        <v>0</v>
      </c>
      <c r="N46" s="43">
        <f t="shared" ca="1" si="3"/>
        <v>63</v>
      </c>
      <c r="O46" s="43">
        <f t="shared" ca="1" si="4"/>
        <v>63</v>
      </c>
    </row>
    <row r="47" spans="3:15">
      <c r="C47" s="44" t="s">
        <v>52</v>
      </c>
      <c r="D47" s="8" cm="1">
        <f t="array" aca="1" ref="D47" ca="1">SUM(INDIRECT("'"&amp;datatable!$G$5:$G$7&amp;"'!D"&amp;47))</f>
        <v>37</v>
      </c>
      <c r="E47" s="11" cm="1">
        <f t="array" aca="1" ref="E47" ca="1">SUM(INDIRECT("'"&amp;datatable!$G$5:$G$7&amp;"'!E"&amp;47))</f>
        <v>8</v>
      </c>
      <c r="F47" s="13" cm="1">
        <f t="array" aca="1" ref="F47" ca="1">SUM(INDIRECT("'"&amp;datatable!$G$5:$G$7&amp;"'!F"&amp;47))</f>
        <v>3</v>
      </c>
      <c r="G47" s="15" cm="1">
        <f t="array" aca="1" ref="G47" ca="1">SUM(INDIRECT("'"&amp;datatable!$G$5:$G$7&amp;"'!G"&amp;47))</f>
        <v>4</v>
      </c>
      <c r="H47" s="17" cm="1">
        <f t="array" aca="1" ref="H47" ca="1">SUM(INDIRECT("'"&amp;datatable!$G$5:$G$7&amp;"'!H"&amp;47))</f>
        <v>2</v>
      </c>
      <c r="I47" s="19" cm="1">
        <f t="array" aca="1" ref="I47" ca="1">SUM(INDIRECT("'"&amp;datatable!$G$5:$G$7&amp;"'!I"&amp;47))</f>
        <v>1</v>
      </c>
      <c r="J47" s="21" cm="1">
        <f t="array" aca="1" ref="J47" ca="1">SUM(INDIRECT("'"&amp;datatable!$G$5:$G$7&amp;"'!J"&amp;47))</f>
        <v>1</v>
      </c>
      <c r="K47" s="23" cm="1">
        <f t="array" aca="1" ref="K47" ca="1">SUM(INDIRECT("'"&amp;datatable!$G$5:$G$7&amp;"'!K"&amp;47))</f>
        <v>0</v>
      </c>
      <c r="L47" s="25" cm="1">
        <f t="array" aca="1" ref="L47" ca="1">SUM(INDIRECT("'"&amp;datatable!$G$5:$G$7&amp;"'!L"&amp;47))</f>
        <v>4</v>
      </c>
      <c r="M47" s="27" cm="1">
        <f t="array" aca="1" ref="M47" ca="1">SUM(INDIRECT("'"&amp;datatable!$G$5:$G$7&amp;"'!M"&amp;47))</f>
        <v>3</v>
      </c>
      <c r="N47" s="43">
        <f t="shared" ca="1" si="3"/>
        <v>63</v>
      </c>
      <c r="O47" s="43">
        <f t="shared" ca="1" si="4"/>
        <v>60</v>
      </c>
    </row>
    <row r="48" spans="3:15">
      <c r="C48" s="44" t="s">
        <v>53</v>
      </c>
      <c r="D48" s="8" cm="1">
        <f t="array" aca="1" ref="D48" ca="1">SUM(INDIRECT("'"&amp;datatable!$G$5:$G$7&amp;"'!D"&amp;48))</f>
        <v>10</v>
      </c>
      <c r="E48" s="11" cm="1">
        <f t="array" aca="1" ref="E48" ca="1">SUM(INDIRECT("'"&amp;datatable!$G$5:$G$7&amp;"'!E"&amp;48))</f>
        <v>2</v>
      </c>
      <c r="F48" s="13" cm="1">
        <f t="array" aca="1" ref="F48" ca="1">SUM(INDIRECT("'"&amp;datatable!$G$5:$G$7&amp;"'!F"&amp;48))</f>
        <v>2</v>
      </c>
      <c r="G48" s="15" cm="1">
        <f t="array" aca="1" ref="G48" ca="1">SUM(INDIRECT("'"&amp;datatable!$G$5:$G$7&amp;"'!G"&amp;48))</f>
        <v>2</v>
      </c>
      <c r="H48" s="17" cm="1">
        <f t="array" aca="1" ref="H48" ca="1">SUM(INDIRECT("'"&amp;datatable!$G$5:$G$7&amp;"'!H"&amp;48))</f>
        <v>6</v>
      </c>
      <c r="I48" s="19" cm="1">
        <f t="array" aca="1" ref="I48" ca="1">SUM(INDIRECT("'"&amp;datatable!$G$5:$G$7&amp;"'!I"&amp;48))</f>
        <v>4</v>
      </c>
      <c r="J48" s="21" cm="1">
        <f t="array" aca="1" ref="J48" ca="1">SUM(INDIRECT("'"&amp;datatable!$G$5:$G$7&amp;"'!J"&amp;48))</f>
        <v>0</v>
      </c>
      <c r="K48" s="23" cm="1">
        <f t="array" aca="1" ref="K48" ca="1">SUM(INDIRECT("'"&amp;datatable!$G$5:$G$7&amp;"'!K"&amp;48))</f>
        <v>6</v>
      </c>
      <c r="L48" s="25" cm="1">
        <f t="array" aca="1" ref="L48" ca="1">SUM(INDIRECT("'"&amp;datatable!$G$5:$G$7&amp;"'!L"&amp;48))</f>
        <v>25</v>
      </c>
      <c r="M48" s="27" cm="1">
        <f t="array" aca="1" ref="M48" ca="1">SUM(INDIRECT("'"&amp;datatable!$G$5:$G$7&amp;"'!M"&amp;48))</f>
        <v>6</v>
      </c>
      <c r="N48" s="43">
        <f t="shared" ca="1" si="3"/>
        <v>63</v>
      </c>
      <c r="O48" s="43">
        <f t="shared" ca="1" si="4"/>
        <v>57</v>
      </c>
    </row>
    <row r="49" spans="3:15">
      <c r="C49" s="44" t="s">
        <v>54</v>
      </c>
      <c r="D49" s="8" cm="1">
        <f t="array" aca="1" ref="D49" ca="1">SUM(INDIRECT("'"&amp;datatable!$G$5:$G$7&amp;"'!D"&amp;49))</f>
        <v>28</v>
      </c>
      <c r="E49" s="11" cm="1">
        <f t="array" aca="1" ref="E49" ca="1">SUM(INDIRECT("'"&amp;datatable!$G$5:$G$7&amp;"'!E"&amp;49))</f>
        <v>1</v>
      </c>
      <c r="F49" s="13" cm="1">
        <f t="array" aca="1" ref="F49" ca="1">SUM(INDIRECT("'"&amp;datatable!$G$5:$G$7&amp;"'!F"&amp;49))</f>
        <v>26</v>
      </c>
      <c r="G49" s="15" cm="1">
        <f t="array" aca="1" ref="G49" ca="1">SUM(INDIRECT("'"&amp;datatable!$G$5:$G$7&amp;"'!G"&amp;49))</f>
        <v>5</v>
      </c>
      <c r="H49" s="17" cm="1">
        <f t="array" aca="1" ref="H49" ca="1">SUM(INDIRECT("'"&amp;datatable!$G$5:$G$7&amp;"'!H"&amp;49))</f>
        <v>0</v>
      </c>
      <c r="I49" s="19" cm="1">
        <f t="array" aca="1" ref="I49" ca="1">SUM(INDIRECT("'"&amp;datatable!$G$5:$G$7&amp;"'!I"&amp;49))</f>
        <v>1</v>
      </c>
      <c r="J49" s="21" cm="1">
        <f t="array" aca="1" ref="J49" ca="1">SUM(INDIRECT("'"&amp;datatable!$G$5:$G$7&amp;"'!J"&amp;49))</f>
        <v>0</v>
      </c>
      <c r="K49" s="23" cm="1">
        <f t="array" aca="1" ref="K49" ca="1">SUM(INDIRECT("'"&amp;datatable!$G$5:$G$7&amp;"'!K"&amp;49))</f>
        <v>0</v>
      </c>
      <c r="L49" s="25" cm="1">
        <f t="array" aca="1" ref="L49" ca="1">SUM(INDIRECT("'"&amp;datatable!$G$5:$G$7&amp;"'!L"&amp;49))</f>
        <v>2</v>
      </c>
      <c r="M49" s="27" cm="1">
        <f t="array" aca="1" ref="M49" ca="1">SUM(INDIRECT("'"&amp;datatable!$G$5:$G$7&amp;"'!M"&amp;49))</f>
        <v>0</v>
      </c>
      <c r="N49" s="43">
        <f t="shared" ca="1" si="3"/>
        <v>63</v>
      </c>
      <c r="O49" s="43">
        <f t="shared" ca="1" si="4"/>
        <v>63</v>
      </c>
    </row>
    <row r="50" spans="3:15">
      <c r="C50" s="46" t="s">
        <v>36</v>
      </c>
      <c r="D50" s="47">
        <f ca="1">SUM(D32:D49)</f>
        <v>464</v>
      </c>
      <c r="E50" s="47">
        <f t="shared" ref="E50:M50" ca="1" si="5">SUM(E32:E49)</f>
        <v>131</v>
      </c>
      <c r="F50" s="47">
        <f t="shared" ca="1" si="5"/>
        <v>88</v>
      </c>
      <c r="G50" s="47">
        <f t="shared" ca="1" si="5"/>
        <v>59</v>
      </c>
      <c r="H50" s="47">
        <f t="shared" ca="1" si="5"/>
        <v>67</v>
      </c>
      <c r="I50" s="47">
        <f t="shared" ca="1" si="5"/>
        <v>22</v>
      </c>
      <c r="J50" s="47">
        <f t="shared" ca="1" si="5"/>
        <v>29</v>
      </c>
      <c r="K50" s="47">
        <f t="shared" ca="1" si="5"/>
        <v>48</v>
      </c>
      <c r="L50" s="47">
        <f t="shared" ca="1" si="5"/>
        <v>145</v>
      </c>
      <c r="M50" s="47">
        <f t="shared" ca="1" si="5"/>
        <v>81</v>
      </c>
      <c r="N50" s="43">
        <f ca="1">SUM(D50:M50)</f>
        <v>1134</v>
      </c>
      <c r="O50" s="43">
        <f ca="1">SUM(D50:L50)</f>
        <v>1053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A746-6FEB-47DA-9811-FBC14A005DCD}">
  <dimension ref="C5:Y71"/>
  <sheetViews>
    <sheetView topLeftCell="A38" zoomScale="70" zoomScaleNormal="70" workbookViewId="0">
      <selection activeCell="B31" sqref="B3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9.33203125" customWidth="1"/>
    <col min="18" max="19" width="13" bestFit="1" customWidth="1"/>
    <col min="20" max="20" width="14.6640625" bestFit="1" customWidth="1"/>
    <col min="21" max="22" width="16.33203125" bestFit="1" customWidth="1"/>
    <col min="23" max="23" width="14.6640625" bestFit="1" customWidth="1"/>
    <col min="24" max="24" width="16.33203125" bestFit="1" customWidth="1"/>
    <col min="28" max="28" width="9" customWidth="1"/>
  </cols>
  <sheetData>
    <row r="5" spans="3:18">
      <c r="C5" t="s">
        <v>0</v>
      </c>
    </row>
    <row r="6" spans="3:18">
      <c r="D6" s="7" t="s">
        <v>1</v>
      </c>
      <c r="E6" s="10" t="s">
        <v>2</v>
      </c>
      <c r="F6" s="12" t="s">
        <v>3</v>
      </c>
      <c r="G6" s="14" t="s">
        <v>4</v>
      </c>
      <c r="H6" s="16" t="s">
        <v>5</v>
      </c>
      <c r="I6" s="18" t="s">
        <v>6</v>
      </c>
      <c r="J6" s="20" t="s">
        <v>7</v>
      </c>
      <c r="K6" s="22" t="s">
        <v>8</v>
      </c>
      <c r="L6" s="24" t="s">
        <v>9</v>
      </c>
      <c r="M6" s="26" t="s">
        <v>10</v>
      </c>
      <c r="N6" s="28" t="s">
        <v>11</v>
      </c>
      <c r="O6" s="28" t="s">
        <v>12</v>
      </c>
    </row>
    <row r="7" spans="3:18">
      <c r="C7" s="5" t="s">
        <v>13</v>
      </c>
      <c r="D7" s="8" t="e">
        <f ca="1">COUNTIF(INDIRECT("["&amp;datatable!$C$5&amp;"]"&amp;datatable!$A2&amp;"!"&amp;"I:I"),"High Correct")</f>
        <v>#REF!</v>
      </c>
      <c r="E7" s="11" t="e">
        <f ca="1">COUNTIF(INDIRECT("["&amp;datatable!$C$5&amp;"]"&amp;datatable!$A2&amp;"!"&amp;"I:I"),"Medium Correct")</f>
        <v>#REF!</v>
      </c>
      <c r="F7" s="13" t="e">
        <f ca="1">COUNTIF(INDIRECT("["&amp;datatable!$C$5&amp;"]"&amp;datatable!$A2&amp;"!"&amp;"I:I"),"Low Correct")</f>
        <v>#REF!</v>
      </c>
      <c r="G7" s="15" t="e">
        <f ca="1">COUNTIF(INDIRECT("["&amp;datatable!$C$5&amp;"]"&amp;datatable!$A2&amp;"!"&amp;"I:I"),"High Maybe")</f>
        <v>#REF!</v>
      </c>
      <c r="H7" s="17" t="e">
        <f ca="1">COUNTIF(INDIRECT("["&amp;datatable!$C$5&amp;"]"&amp;datatable!$A2&amp;"!"&amp;"I:I"),"Medium Maybe")</f>
        <v>#REF!</v>
      </c>
      <c r="I7" s="19" t="e">
        <f ca="1">COUNTIF(INDIRECT("["&amp;datatable!$C$5&amp;"]"&amp;datatable!$A2&amp;"!"&amp;"I:I"),"Low Maybe")</f>
        <v>#REF!</v>
      </c>
      <c r="J7" s="21" t="e">
        <f ca="1">COUNTIF(INDIRECT("["&amp;datatable!$C$5&amp;"]"&amp;datatable!$A2&amp;"!"&amp;"I:I"),"Low Incorrect")</f>
        <v>#REF!</v>
      </c>
      <c r="K7" s="23" t="e">
        <f ca="1">COUNTIF(INDIRECT("["&amp;datatable!$C$5&amp;"]"&amp;datatable!$A2&amp;"!"&amp;"I:I"),"Medium Incorrect")</f>
        <v>#REF!</v>
      </c>
      <c r="L7" s="25" t="e">
        <f ca="1">COUNTIF(INDIRECT("["&amp;datatable!$C$5&amp;"]"&amp;datatable!$A2&amp;"!"&amp;"I:I"),"High Incorrect")</f>
        <v>#REF!</v>
      </c>
      <c r="M7" s="27" t="e">
        <f ca="1">COUNTIF(INDIRECT("["&amp;datatable!$C$5&amp;"]"&amp;datatable!$A2&amp;"!"&amp;"I:I"),"N/A")</f>
        <v>#REF!</v>
      </c>
      <c r="N7" s="29" t="e">
        <f t="shared" ref="N7:N28" ca="1" si="0">SUM(D7:M7)</f>
        <v>#REF!</v>
      </c>
      <c r="O7" s="29" t="e">
        <f t="shared" ref="O7:O28" ca="1" si="1">SUM(D7:L7)</f>
        <v>#REF!</v>
      </c>
    </row>
    <row r="8" spans="3:18">
      <c r="C8" s="5" t="s">
        <v>14</v>
      </c>
      <c r="D8" s="8" t="e">
        <f ca="1">COUNTIF(INDIRECT("["&amp;datatable!$C$5&amp;"]"&amp;datatable!$A3&amp;"!"&amp;"I:I"),"High Correct")</f>
        <v>#REF!</v>
      </c>
      <c r="E8" s="11" t="e">
        <f ca="1">COUNTIF(INDIRECT("["&amp;datatable!$C$5&amp;"]"&amp;datatable!$A3&amp;"!"&amp;"I:I"),"Medium Correct")</f>
        <v>#REF!</v>
      </c>
      <c r="F8" s="13" t="e">
        <f ca="1">COUNTIF(INDIRECT("["&amp;datatable!$C$5&amp;"]"&amp;datatable!$A3&amp;"!"&amp;"I:I"),"Low Correct")</f>
        <v>#REF!</v>
      </c>
      <c r="G8" s="15" t="e">
        <f ca="1">COUNTIF(INDIRECT("["&amp;datatable!$C$5&amp;"]"&amp;datatable!$A3&amp;"!"&amp;"I:I"),"High Maybe")</f>
        <v>#REF!</v>
      </c>
      <c r="H8" s="17" t="e">
        <f ca="1">COUNTIF(INDIRECT("["&amp;datatable!$C$5&amp;"]"&amp;datatable!$A3&amp;"!"&amp;"I:I"),"Medium Maybe")</f>
        <v>#REF!</v>
      </c>
      <c r="I8" s="19" t="e">
        <f ca="1">COUNTIF(INDIRECT("["&amp;datatable!$C$5&amp;"]"&amp;datatable!$A3&amp;"!"&amp;"I:I"),"Low Maybe")</f>
        <v>#REF!</v>
      </c>
      <c r="J8" s="21" t="e">
        <f ca="1">COUNTIF(INDIRECT("["&amp;datatable!$C$5&amp;"]"&amp;datatable!$A3&amp;"!"&amp;"I:I"),"Low Incorrect")</f>
        <v>#REF!</v>
      </c>
      <c r="K8" s="23" t="e">
        <f ca="1">COUNTIF(INDIRECT("["&amp;datatable!$C$5&amp;"]"&amp;datatable!$A3&amp;"!"&amp;"I:I"),"Medium Incorrect")</f>
        <v>#REF!</v>
      </c>
      <c r="L8" s="25" t="e">
        <f ca="1">COUNTIF(INDIRECT("["&amp;datatable!$C$5&amp;"]"&amp;datatable!$A3&amp;"!"&amp;"I:I"),"High Incorrect")</f>
        <v>#REF!</v>
      </c>
      <c r="M8" s="27" t="e">
        <f ca="1">COUNTIF(INDIRECT("["&amp;datatable!$C$5&amp;"]"&amp;datatable!$A3&amp;"!"&amp;"I:I"),"N/A")</f>
        <v>#REF!</v>
      </c>
      <c r="N8" s="29" t="e">
        <f t="shared" ca="1" si="0"/>
        <v>#REF!</v>
      </c>
      <c r="O8" s="29" t="e">
        <f t="shared" ca="1" si="1"/>
        <v>#REF!</v>
      </c>
    </row>
    <row r="9" spans="3:18">
      <c r="C9" s="5" t="s">
        <v>15</v>
      </c>
      <c r="D9" s="8" t="e">
        <f ca="1">COUNTIF(INDIRECT("["&amp;datatable!$C$5&amp;"]"&amp;datatable!$A4&amp;"!"&amp;"I:I"),"High Correct")</f>
        <v>#REF!</v>
      </c>
      <c r="E9" s="11" t="e">
        <f ca="1">COUNTIF(INDIRECT("["&amp;datatable!$C$5&amp;"]"&amp;datatable!$A4&amp;"!"&amp;"I:I"),"Medium Correct")</f>
        <v>#REF!</v>
      </c>
      <c r="F9" s="13" t="e">
        <f ca="1">COUNTIF(INDIRECT("["&amp;datatable!$C$5&amp;"]"&amp;datatable!$A4&amp;"!"&amp;"I:I"),"Low Correct")</f>
        <v>#REF!</v>
      </c>
      <c r="G9" s="15" t="e">
        <f ca="1">COUNTIF(INDIRECT("["&amp;datatable!$C$5&amp;"]"&amp;datatable!$A4&amp;"!"&amp;"I:I"),"High Maybe")</f>
        <v>#REF!</v>
      </c>
      <c r="H9" s="17" t="e">
        <f ca="1">COUNTIF(INDIRECT("["&amp;datatable!$C$5&amp;"]"&amp;datatable!$A4&amp;"!"&amp;"I:I"),"Medium Maybe")</f>
        <v>#REF!</v>
      </c>
      <c r="I9" s="19" t="e">
        <f ca="1">COUNTIF(INDIRECT("["&amp;datatable!$C$5&amp;"]"&amp;datatable!$A4&amp;"!"&amp;"I:I"),"Low Maybe")</f>
        <v>#REF!</v>
      </c>
      <c r="J9" s="21" t="e">
        <f ca="1">COUNTIF(INDIRECT("["&amp;datatable!$C$5&amp;"]"&amp;datatable!$A4&amp;"!"&amp;"I:I"),"Low Incorrect")</f>
        <v>#REF!</v>
      </c>
      <c r="K9" s="23" t="e">
        <f ca="1">COUNTIF(INDIRECT("["&amp;datatable!$C$5&amp;"]"&amp;datatable!$A4&amp;"!"&amp;"I:I"),"Medium Incorrect")</f>
        <v>#REF!</v>
      </c>
      <c r="L9" s="25" t="e">
        <f ca="1">COUNTIF(INDIRECT("["&amp;datatable!$C$5&amp;"]"&amp;datatable!$A4&amp;"!"&amp;"I:I"),"High Incorrect")</f>
        <v>#REF!</v>
      </c>
      <c r="M9" s="27" t="e">
        <f ca="1">COUNTIF(INDIRECT("["&amp;datatable!$C$5&amp;"]"&amp;datatable!$A4&amp;"!"&amp;"I:I"),"N/A")</f>
        <v>#REF!</v>
      </c>
      <c r="N9" s="29" t="e">
        <f t="shared" ca="1" si="0"/>
        <v>#REF!</v>
      </c>
      <c r="O9" s="29" t="e">
        <f t="shared" ca="1" si="1"/>
        <v>#REF!</v>
      </c>
    </row>
    <row r="10" spans="3:18">
      <c r="C10" s="5" t="s">
        <v>16</v>
      </c>
      <c r="D10" s="8" t="e">
        <f ca="1">COUNTIF(INDIRECT("["&amp;datatable!$C$5&amp;"]"&amp;datatable!$A5&amp;"!"&amp;"I:I"),"High Correct")</f>
        <v>#REF!</v>
      </c>
      <c r="E10" s="11" t="e">
        <f ca="1">COUNTIF(INDIRECT("["&amp;datatable!$C$5&amp;"]"&amp;datatable!$A5&amp;"!"&amp;"I:I"),"Medium Correct")</f>
        <v>#REF!</v>
      </c>
      <c r="F10" s="13" t="e">
        <f ca="1">COUNTIF(INDIRECT("["&amp;datatable!$C$5&amp;"]"&amp;datatable!$A5&amp;"!"&amp;"I:I"),"Low Correct")</f>
        <v>#REF!</v>
      </c>
      <c r="G10" s="15" t="e">
        <f ca="1">COUNTIF(INDIRECT("["&amp;datatable!$C$5&amp;"]"&amp;datatable!$A5&amp;"!"&amp;"I:I"),"High Maybe")</f>
        <v>#REF!</v>
      </c>
      <c r="H10" s="17" t="e">
        <f ca="1">COUNTIF(INDIRECT("["&amp;datatable!$C$5&amp;"]"&amp;datatable!$A5&amp;"!"&amp;"I:I"),"Medium Maybe")</f>
        <v>#REF!</v>
      </c>
      <c r="I10" s="19" t="e">
        <f ca="1">COUNTIF(INDIRECT("["&amp;datatable!$C$5&amp;"]"&amp;datatable!$A5&amp;"!"&amp;"I:I"),"Low Maybe")</f>
        <v>#REF!</v>
      </c>
      <c r="J10" s="21" t="e">
        <f ca="1">COUNTIF(INDIRECT("["&amp;datatable!$C$5&amp;"]"&amp;datatable!$A5&amp;"!"&amp;"I:I"),"Low Incorrect")</f>
        <v>#REF!</v>
      </c>
      <c r="K10" s="23" t="e">
        <f ca="1">COUNTIF(INDIRECT("["&amp;datatable!$C$5&amp;"]"&amp;datatable!$A5&amp;"!"&amp;"I:I"),"Medium Incorrect")</f>
        <v>#REF!</v>
      </c>
      <c r="L10" s="25" t="e">
        <f ca="1">COUNTIF(INDIRECT("["&amp;datatable!$C$5&amp;"]"&amp;datatable!$A5&amp;"!"&amp;"I:I"),"High Incorrect")</f>
        <v>#REF!</v>
      </c>
      <c r="M10" s="27" t="e">
        <f ca="1">COUNTIF(INDIRECT("["&amp;datatable!$C$5&amp;"]"&amp;datatable!$A5&amp;"!"&amp;"I:I"),"N/A")</f>
        <v>#REF!</v>
      </c>
      <c r="N10" s="29" t="e">
        <f t="shared" ca="1" si="0"/>
        <v>#REF!</v>
      </c>
      <c r="O10" s="29" t="e">
        <f t="shared" ca="1" si="1"/>
        <v>#REF!</v>
      </c>
    </row>
    <row r="11" spans="3:18">
      <c r="C11" s="5" t="s">
        <v>17</v>
      </c>
      <c r="D11" s="8" t="e">
        <f ca="1">COUNTIF(INDIRECT("["&amp;datatable!$C$5&amp;"]"&amp;datatable!$A6&amp;"!"&amp;"I:I"),"High Correct")</f>
        <v>#REF!</v>
      </c>
      <c r="E11" s="11" t="e">
        <f ca="1">COUNTIF(INDIRECT("["&amp;datatable!$C$5&amp;"]"&amp;datatable!$A6&amp;"!"&amp;"I:I"),"Medium Correct")</f>
        <v>#REF!</v>
      </c>
      <c r="F11" s="13" t="e">
        <f ca="1">COUNTIF(INDIRECT("["&amp;datatable!$C$5&amp;"]"&amp;datatable!$A6&amp;"!"&amp;"I:I"),"Low Correct")</f>
        <v>#REF!</v>
      </c>
      <c r="G11" s="15" t="e">
        <f ca="1">COUNTIF(INDIRECT("["&amp;datatable!$C$5&amp;"]"&amp;datatable!$A6&amp;"!"&amp;"I:I"),"High Maybe")</f>
        <v>#REF!</v>
      </c>
      <c r="H11" s="17" t="e">
        <f ca="1">COUNTIF(INDIRECT("["&amp;datatable!$C$5&amp;"]"&amp;datatable!$A6&amp;"!"&amp;"I:I"),"Medium Maybe")</f>
        <v>#REF!</v>
      </c>
      <c r="I11" s="19" t="e">
        <f ca="1">COUNTIF(INDIRECT("["&amp;datatable!$C$5&amp;"]"&amp;datatable!$A6&amp;"!"&amp;"I:I"),"Low Maybe")</f>
        <v>#REF!</v>
      </c>
      <c r="J11" s="21" t="e">
        <f ca="1">COUNTIF(INDIRECT("["&amp;datatable!$C$5&amp;"]"&amp;datatable!$A6&amp;"!"&amp;"I:I"),"Low Incorrect")</f>
        <v>#REF!</v>
      </c>
      <c r="K11" s="23" t="e">
        <f ca="1">COUNTIF(INDIRECT("["&amp;datatable!$C$5&amp;"]"&amp;datatable!$A6&amp;"!"&amp;"I:I"),"Medium Incorrect")</f>
        <v>#REF!</v>
      </c>
      <c r="L11" s="25" t="e">
        <f ca="1">COUNTIF(INDIRECT("["&amp;datatable!$C$5&amp;"]"&amp;datatable!$A6&amp;"!"&amp;"I:I"),"High Incorrect")</f>
        <v>#REF!</v>
      </c>
      <c r="M11" s="27" t="e">
        <f ca="1">COUNTIF(INDIRECT("["&amp;datatable!$C$5&amp;"]"&amp;datatable!$A6&amp;"!"&amp;"I:I"),"N/A")</f>
        <v>#REF!</v>
      </c>
      <c r="N11" s="29" t="e">
        <f t="shared" ca="1" si="0"/>
        <v>#REF!</v>
      </c>
      <c r="O11" s="29" t="e">
        <f t="shared" ca="1" si="1"/>
        <v>#REF!</v>
      </c>
    </row>
    <row r="12" spans="3:18">
      <c r="C12" s="5" t="s">
        <v>18</v>
      </c>
      <c r="D12" s="8" t="e">
        <f ca="1">COUNTIF(INDIRECT("["&amp;datatable!$C$5&amp;"]"&amp;datatable!$A7&amp;"!"&amp;"I:I"),"High Correct")</f>
        <v>#REF!</v>
      </c>
      <c r="E12" s="11" t="e">
        <f ca="1">COUNTIF(INDIRECT("["&amp;datatable!$C$5&amp;"]"&amp;datatable!$A7&amp;"!"&amp;"I:I"),"Medium Correct")</f>
        <v>#REF!</v>
      </c>
      <c r="F12" s="13" t="e">
        <f ca="1">COUNTIF(INDIRECT("["&amp;datatable!$C$5&amp;"]"&amp;datatable!$A7&amp;"!"&amp;"I:I"),"Low Correct")</f>
        <v>#REF!</v>
      </c>
      <c r="G12" s="15" t="e">
        <f ca="1">COUNTIF(INDIRECT("["&amp;datatable!$C$5&amp;"]"&amp;datatable!$A7&amp;"!"&amp;"I:I"),"High Maybe")</f>
        <v>#REF!</v>
      </c>
      <c r="H12" s="17" t="e">
        <f ca="1">COUNTIF(INDIRECT("["&amp;datatable!$C$5&amp;"]"&amp;datatable!$A7&amp;"!"&amp;"I:I"),"Medium Maybe")</f>
        <v>#REF!</v>
      </c>
      <c r="I12" s="19" t="e">
        <f ca="1">COUNTIF(INDIRECT("["&amp;datatable!$C$5&amp;"]"&amp;datatable!$A7&amp;"!"&amp;"I:I"),"Low Maybe")</f>
        <v>#REF!</v>
      </c>
      <c r="J12" s="21" t="e">
        <f ca="1">COUNTIF(INDIRECT("["&amp;datatable!$C$5&amp;"]"&amp;datatable!$A7&amp;"!"&amp;"I:I"),"Low Incorrect")</f>
        <v>#REF!</v>
      </c>
      <c r="K12" s="23" t="e">
        <f ca="1">COUNTIF(INDIRECT("["&amp;datatable!$C$5&amp;"]"&amp;datatable!$A7&amp;"!"&amp;"I:I"),"Medium Incorrect")</f>
        <v>#REF!</v>
      </c>
      <c r="L12" s="25" t="e">
        <f ca="1">COUNTIF(INDIRECT("["&amp;datatable!$C$5&amp;"]"&amp;datatable!$A7&amp;"!"&amp;"I:I"),"High Incorrect")</f>
        <v>#REF!</v>
      </c>
      <c r="M12" s="27" t="e">
        <f ca="1">COUNTIF(INDIRECT("["&amp;datatable!$C$5&amp;"]"&amp;datatable!$A7&amp;"!"&amp;"I:I"),"N/A")</f>
        <v>#REF!</v>
      </c>
      <c r="N12" s="29" t="e">
        <f t="shared" ca="1" si="0"/>
        <v>#REF!</v>
      </c>
      <c r="O12" s="29" t="e">
        <f t="shared" ca="1" si="1"/>
        <v>#REF!</v>
      </c>
    </row>
    <row r="13" spans="3:18">
      <c r="C13" s="5" t="s">
        <v>19</v>
      </c>
      <c r="D13" s="8" t="e">
        <f ca="1">COUNTIF(INDIRECT("["&amp;datatable!$C$5&amp;"]"&amp;datatable!$A8&amp;"!"&amp;"I:I"),"High Correct")</f>
        <v>#REF!</v>
      </c>
      <c r="E13" s="11" t="e">
        <f ca="1">COUNTIF(INDIRECT("["&amp;datatable!$C$5&amp;"]"&amp;datatable!$A8&amp;"!"&amp;"I:I"),"Medium Correct")</f>
        <v>#REF!</v>
      </c>
      <c r="F13" s="13" t="e">
        <f ca="1">COUNTIF(INDIRECT("["&amp;datatable!$C$5&amp;"]"&amp;datatable!$A8&amp;"!"&amp;"I:I"),"Low Correct")</f>
        <v>#REF!</v>
      </c>
      <c r="G13" s="15" t="e">
        <f ca="1">COUNTIF(INDIRECT("["&amp;datatable!$C$5&amp;"]"&amp;datatable!$A8&amp;"!"&amp;"I:I"),"High Maybe")</f>
        <v>#REF!</v>
      </c>
      <c r="H13" s="17" t="e">
        <f ca="1">COUNTIF(INDIRECT("["&amp;datatable!$C$5&amp;"]"&amp;datatable!$A8&amp;"!"&amp;"I:I"),"Medium Maybe")</f>
        <v>#REF!</v>
      </c>
      <c r="I13" s="19" t="e">
        <f ca="1">COUNTIF(INDIRECT("["&amp;datatable!$C$5&amp;"]"&amp;datatable!$A8&amp;"!"&amp;"I:I"),"Low Maybe")</f>
        <v>#REF!</v>
      </c>
      <c r="J13" s="21" t="e">
        <f ca="1">COUNTIF(INDIRECT("["&amp;datatable!$C$5&amp;"]"&amp;datatable!$A8&amp;"!"&amp;"I:I"),"Low Incorrect")</f>
        <v>#REF!</v>
      </c>
      <c r="K13" s="23" t="e">
        <f ca="1">COUNTIF(INDIRECT("["&amp;datatable!$C$5&amp;"]"&amp;datatable!$A8&amp;"!"&amp;"I:I"),"Medium Incorrect")</f>
        <v>#REF!</v>
      </c>
      <c r="L13" s="25" t="e">
        <f ca="1">COUNTIF(INDIRECT("["&amp;datatable!$C$5&amp;"]"&amp;datatable!$A8&amp;"!"&amp;"I:I"),"High Incorrect")</f>
        <v>#REF!</v>
      </c>
      <c r="M13" s="27" t="e">
        <f ca="1">COUNTIF(INDIRECT("["&amp;datatable!$C$5&amp;"]"&amp;datatable!$A8&amp;"!"&amp;"I:I"),"N/A")</f>
        <v>#REF!</v>
      </c>
      <c r="N13" s="29" t="e">
        <f t="shared" ca="1" si="0"/>
        <v>#REF!</v>
      </c>
      <c r="O13" s="29" t="e">
        <f t="shared" ca="1" si="1"/>
        <v>#REF!</v>
      </c>
      <c r="R13" s="51"/>
    </row>
    <row r="14" spans="3:18">
      <c r="C14" s="5" t="s">
        <v>20</v>
      </c>
      <c r="D14" s="8" t="e">
        <f ca="1">COUNTIF(INDIRECT("["&amp;datatable!$C$5&amp;"]"&amp;datatable!$A9&amp;"!"&amp;"I:I"),"High Correct")</f>
        <v>#REF!</v>
      </c>
      <c r="E14" s="11" t="e">
        <f ca="1">COUNTIF(INDIRECT("["&amp;datatable!$C$5&amp;"]"&amp;datatable!$A9&amp;"!"&amp;"I:I"),"Medium Correct")</f>
        <v>#REF!</v>
      </c>
      <c r="F14" s="13" t="e">
        <f ca="1">COUNTIF(INDIRECT("["&amp;datatable!$C$5&amp;"]"&amp;datatable!$A9&amp;"!"&amp;"I:I"),"Low Correct")</f>
        <v>#REF!</v>
      </c>
      <c r="G14" s="15" t="e">
        <f ca="1">COUNTIF(INDIRECT("["&amp;datatable!$C$5&amp;"]"&amp;datatable!$A9&amp;"!"&amp;"I:I"),"High Maybe")</f>
        <v>#REF!</v>
      </c>
      <c r="H14" s="17" t="e">
        <f ca="1">COUNTIF(INDIRECT("["&amp;datatable!$C$5&amp;"]"&amp;datatable!$A9&amp;"!"&amp;"I:I"),"Medium Maybe")</f>
        <v>#REF!</v>
      </c>
      <c r="I14" s="19" t="e">
        <f ca="1">COUNTIF(INDIRECT("["&amp;datatable!$C$5&amp;"]"&amp;datatable!$A9&amp;"!"&amp;"I:I"),"Low Maybe")</f>
        <v>#REF!</v>
      </c>
      <c r="J14" s="21" t="e">
        <f ca="1">COUNTIF(INDIRECT("["&amp;datatable!$C$5&amp;"]"&amp;datatable!$A9&amp;"!"&amp;"I:I"),"Low Incorrect")</f>
        <v>#REF!</v>
      </c>
      <c r="K14" s="23" t="e">
        <f ca="1">COUNTIF(INDIRECT("["&amp;datatable!$C$5&amp;"]"&amp;datatable!$A9&amp;"!"&amp;"I:I"),"Medium Incorrect")</f>
        <v>#REF!</v>
      </c>
      <c r="L14" s="25" t="e">
        <f ca="1">COUNTIF(INDIRECT("["&amp;datatable!$C$5&amp;"]"&amp;datatable!$A9&amp;"!"&amp;"I:I"),"High Incorrect")</f>
        <v>#REF!</v>
      </c>
      <c r="M14" s="27" t="e">
        <f ca="1">COUNTIF(INDIRECT("["&amp;datatable!$C$5&amp;"]"&amp;datatable!$A9&amp;"!"&amp;"I:I"),"N/A")</f>
        <v>#REF!</v>
      </c>
      <c r="N14" s="29" t="e">
        <f t="shared" ca="1" si="0"/>
        <v>#REF!</v>
      </c>
      <c r="O14" s="29" t="e">
        <f t="shared" ca="1" si="1"/>
        <v>#REF!</v>
      </c>
    </row>
    <row r="15" spans="3:18">
      <c r="C15" s="5" t="s">
        <v>21</v>
      </c>
      <c r="D15" s="8" t="e">
        <f ca="1">COUNTIF(INDIRECT("["&amp;datatable!$C$5&amp;"]"&amp;datatable!$A10&amp;"!"&amp;"I:I"),"High Correct")</f>
        <v>#REF!</v>
      </c>
      <c r="E15" s="11" t="e">
        <f ca="1">COUNTIF(INDIRECT("["&amp;datatable!$C$5&amp;"]"&amp;datatable!$A10&amp;"!"&amp;"I:I"),"Medium Correct")</f>
        <v>#REF!</v>
      </c>
      <c r="F15" s="13" t="e">
        <f ca="1">COUNTIF(INDIRECT("["&amp;datatable!$C$5&amp;"]"&amp;datatable!$A10&amp;"!"&amp;"I:I"),"Low Correct")</f>
        <v>#REF!</v>
      </c>
      <c r="G15" s="15" t="e">
        <f ca="1">COUNTIF(INDIRECT("["&amp;datatable!$C$5&amp;"]"&amp;datatable!$A10&amp;"!"&amp;"I:I"),"High Maybe")</f>
        <v>#REF!</v>
      </c>
      <c r="H15" s="17" t="e">
        <f ca="1">COUNTIF(INDIRECT("["&amp;datatable!$C$5&amp;"]"&amp;datatable!$A10&amp;"!"&amp;"I:I"),"Medium Maybe")</f>
        <v>#REF!</v>
      </c>
      <c r="I15" s="19" t="e">
        <f ca="1">COUNTIF(INDIRECT("["&amp;datatable!$C$5&amp;"]"&amp;datatable!$A10&amp;"!"&amp;"I:I"),"Low Maybe")</f>
        <v>#REF!</v>
      </c>
      <c r="J15" s="21" t="e">
        <f ca="1">COUNTIF(INDIRECT("["&amp;datatable!$C$5&amp;"]"&amp;datatable!$A10&amp;"!"&amp;"I:I"),"Low Incorrect")</f>
        <v>#REF!</v>
      </c>
      <c r="K15" s="23" t="e">
        <f ca="1">COUNTIF(INDIRECT("["&amp;datatable!$C$5&amp;"]"&amp;datatable!$A10&amp;"!"&amp;"I:I"),"Medium Incorrect")</f>
        <v>#REF!</v>
      </c>
      <c r="L15" s="25" t="e">
        <f ca="1">COUNTIF(INDIRECT("["&amp;datatable!$C$5&amp;"]"&amp;datatable!$A10&amp;"!"&amp;"I:I"),"High Incorrect")</f>
        <v>#REF!</v>
      </c>
      <c r="M15" s="27" t="e">
        <f ca="1">COUNTIF(INDIRECT("["&amp;datatable!$C$5&amp;"]"&amp;datatable!$A10&amp;"!"&amp;"I:I"),"N/A")</f>
        <v>#REF!</v>
      </c>
      <c r="N15" s="29" t="e">
        <f t="shared" ca="1" si="0"/>
        <v>#REF!</v>
      </c>
      <c r="O15" s="29" t="e">
        <f t="shared" ca="1" si="1"/>
        <v>#REF!</v>
      </c>
    </row>
    <row r="16" spans="3:18">
      <c r="C16" s="5" t="s">
        <v>22</v>
      </c>
      <c r="D16" s="8" t="e">
        <f ca="1">COUNTIF(INDIRECT("["&amp;datatable!$C$5&amp;"]"&amp;datatable!$A11&amp;"!"&amp;"I:I"),"High Correct")</f>
        <v>#REF!</v>
      </c>
      <c r="E16" s="11" t="e">
        <f ca="1">COUNTIF(INDIRECT("["&amp;datatable!$C$5&amp;"]"&amp;datatable!$A11&amp;"!"&amp;"I:I"),"Medium Correct")</f>
        <v>#REF!</v>
      </c>
      <c r="F16" s="13" t="e">
        <f ca="1">COUNTIF(INDIRECT("["&amp;datatable!$C$5&amp;"]"&amp;datatable!$A11&amp;"!"&amp;"I:I"),"Low Correct")</f>
        <v>#REF!</v>
      </c>
      <c r="G16" s="15" t="e">
        <f ca="1">COUNTIF(INDIRECT("["&amp;datatable!$C$5&amp;"]"&amp;datatable!$A11&amp;"!"&amp;"I:I"),"High Maybe")</f>
        <v>#REF!</v>
      </c>
      <c r="H16" s="17" t="e">
        <f ca="1">COUNTIF(INDIRECT("["&amp;datatable!$C$5&amp;"]"&amp;datatable!$A11&amp;"!"&amp;"I:I"),"Medium Maybe")</f>
        <v>#REF!</v>
      </c>
      <c r="I16" s="19" t="e">
        <f ca="1">COUNTIF(INDIRECT("["&amp;datatable!$C$5&amp;"]"&amp;datatable!$A11&amp;"!"&amp;"I:I"),"Low Maybe")</f>
        <v>#REF!</v>
      </c>
      <c r="J16" s="21" t="e">
        <f ca="1">COUNTIF(INDIRECT("["&amp;datatable!$C$5&amp;"]"&amp;datatable!$A11&amp;"!"&amp;"I:I"),"Low Incorrect")</f>
        <v>#REF!</v>
      </c>
      <c r="K16" s="23" t="e">
        <f ca="1">COUNTIF(INDIRECT("["&amp;datatable!$C$5&amp;"]"&amp;datatable!$A11&amp;"!"&amp;"I:I"),"Medium Incorrect")</f>
        <v>#REF!</v>
      </c>
      <c r="L16" s="25" t="e">
        <f ca="1">COUNTIF(INDIRECT("["&amp;datatable!$C$5&amp;"]"&amp;datatable!$A11&amp;"!"&amp;"I:I"),"High Incorrect")</f>
        <v>#REF!</v>
      </c>
      <c r="M16" s="27" t="e">
        <f ca="1">COUNTIF(INDIRECT("["&amp;datatable!$C$5&amp;"]"&amp;datatable!$A11&amp;"!"&amp;"I:I"),"N/A")</f>
        <v>#REF!</v>
      </c>
      <c r="N16" s="29" t="e">
        <f t="shared" ca="1" si="0"/>
        <v>#REF!</v>
      </c>
      <c r="O16" s="29" t="e">
        <f t="shared" ca="1" si="1"/>
        <v>#REF!</v>
      </c>
    </row>
    <row r="17" spans="3:15">
      <c r="C17" s="5" t="s">
        <v>23</v>
      </c>
      <c r="D17" s="8" t="e">
        <f ca="1">COUNTIF(INDIRECT("["&amp;datatable!$C$5&amp;"]"&amp;datatable!$A12&amp;"!"&amp;"I:I"),"High Correct")</f>
        <v>#REF!</v>
      </c>
      <c r="E17" s="11" t="e">
        <f ca="1">COUNTIF(INDIRECT("["&amp;datatable!$C$5&amp;"]"&amp;datatable!$A12&amp;"!"&amp;"I:I"),"Medium Correct")</f>
        <v>#REF!</v>
      </c>
      <c r="F17" s="13" t="e">
        <f ca="1">COUNTIF(INDIRECT("["&amp;datatable!$C$5&amp;"]"&amp;datatable!$A12&amp;"!"&amp;"I:I"),"Low Correct")</f>
        <v>#REF!</v>
      </c>
      <c r="G17" s="15" t="e">
        <f ca="1">COUNTIF(INDIRECT("["&amp;datatable!$C$5&amp;"]"&amp;datatable!$A12&amp;"!"&amp;"I:I"),"High Maybe")</f>
        <v>#REF!</v>
      </c>
      <c r="H17" s="17" t="e">
        <f ca="1">COUNTIF(INDIRECT("["&amp;datatable!$C$5&amp;"]"&amp;datatable!$A12&amp;"!"&amp;"I:I"),"Medium Maybe")</f>
        <v>#REF!</v>
      </c>
      <c r="I17" s="19" t="e">
        <f ca="1">COUNTIF(INDIRECT("["&amp;datatable!$C$5&amp;"]"&amp;datatable!$A12&amp;"!"&amp;"I:I"),"Low Maybe")</f>
        <v>#REF!</v>
      </c>
      <c r="J17" s="21" t="e">
        <f ca="1">COUNTIF(INDIRECT("["&amp;datatable!$C$5&amp;"]"&amp;datatable!$A12&amp;"!"&amp;"I:I"),"Low Incorrect")</f>
        <v>#REF!</v>
      </c>
      <c r="K17" s="23" t="e">
        <f ca="1">COUNTIF(INDIRECT("["&amp;datatable!$C$5&amp;"]"&amp;datatable!$A12&amp;"!"&amp;"I:I"),"Medium Incorrect")</f>
        <v>#REF!</v>
      </c>
      <c r="L17" s="25" t="e">
        <f ca="1">COUNTIF(INDIRECT("["&amp;datatable!$C$5&amp;"]"&amp;datatable!$A12&amp;"!"&amp;"I:I"),"High Incorrect")</f>
        <v>#REF!</v>
      </c>
      <c r="M17" s="27" t="e">
        <f ca="1">COUNTIF(INDIRECT("["&amp;datatable!$C$5&amp;"]"&amp;datatable!$A12&amp;"!"&amp;"I:I"),"N/A")</f>
        <v>#REF!</v>
      </c>
      <c r="N17" s="29" t="e">
        <f t="shared" ca="1" si="0"/>
        <v>#REF!</v>
      </c>
      <c r="O17" s="29" t="e">
        <f t="shared" ca="1" si="1"/>
        <v>#REF!</v>
      </c>
    </row>
    <row r="18" spans="3:15">
      <c r="C18" s="5" t="s">
        <v>24</v>
      </c>
      <c r="D18" s="8" t="e">
        <f ca="1">COUNTIF(INDIRECT("["&amp;datatable!$C$5&amp;"]"&amp;datatable!$A13&amp;"!"&amp;"I:I"),"High Correct")</f>
        <v>#REF!</v>
      </c>
      <c r="E18" s="11" t="e">
        <f ca="1">COUNTIF(INDIRECT("["&amp;datatable!$C$5&amp;"]"&amp;datatable!$A13&amp;"!"&amp;"I:I"),"Medium Correct")</f>
        <v>#REF!</v>
      </c>
      <c r="F18" s="13" t="e">
        <f ca="1">COUNTIF(INDIRECT("["&amp;datatable!$C$5&amp;"]"&amp;datatable!$A13&amp;"!"&amp;"I:I"),"Low Correct")</f>
        <v>#REF!</v>
      </c>
      <c r="G18" s="15" t="e">
        <f ca="1">COUNTIF(INDIRECT("["&amp;datatable!$C$5&amp;"]"&amp;datatable!$A13&amp;"!"&amp;"I:I"),"High Maybe")</f>
        <v>#REF!</v>
      </c>
      <c r="H18" s="17" t="e">
        <f ca="1">COUNTIF(INDIRECT("["&amp;datatable!$C$5&amp;"]"&amp;datatable!$A13&amp;"!"&amp;"I:I"),"Medium Maybe")</f>
        <v>#REF!</v>
      </c>
      <c r="I18" s="19" t="e">
        <f ca="1">COUNTIF(INDIRECT("["&amp;datatable!$C$5&amp;"]"&amp;datatable!$A13&amp;"!"&amp;"I:I"),"Low Maybe")</f>
        <v>#REF!</v>
      </c>
      <c r="J18" s="21" t="e">
        <f ca="1">COUNTIF(INDIRECT("["&amp;datatable!$C$5&amp;"]"&amp;datatable!$A13&amp;"!"&amp;"I:I"),"Low Incorrect")</f>
        <v>#REF!</v>
      </c>
      <c r="K18" s="23" t="e">
        <f ca="1">COUNTIF(INDIRECT("["&amp;datatable!$C$5&amp;"]"&amp;datatable!$A13&amp;"!"&amp;"I:I"),"Medium Incorrect")</f>
        <v>#REF!</v>
      </c>
      <c r="L18" s="25" t="e">
        <f ca="1">COUNTIF(INDIRECT("["&amp;datatable!$C$5&amp;"]"&amp;datatable!$A13&amp;"!"&amp;"I:I"),"High Incorrect")</f>
        <v>#REF!</v>
      </c>
      <c r="M18" s="27" t="e">
        <f ca="1">COUNTIF(INDIRECT("["&amp;datatable!$C$5&amp;"]"&amp;datatable!$A13&amp;"!"&amp;"I:I"),"N/A")</f>
        <v>#REF!</v>
      </c>
      <c r="N18" s="29" t="e">
        <f t="shared" ca="1" si="0"/>
        <v>#REF!</v>
      </c>
      <c r="O18" s="29" t="e">
        <f t="shared" ca="1" si="1"/>
        <v>#REF!</v>
      </c>
    </row>
    <row r="19" spans="3:15">
      <c r="C19" s="5" t="s">
        <v>25</v>
      </c>
      <c r="D19" s="8" t="e">
        <f ca="1">COUNTIF(INDIRECT("["&amp;datatable!$C$5&amp;"]"&amp;datatable!$A14&amp;"!"&amp;"I:I"),"High Correct")</f>
        <v>#REF!</v>
      </c>
      <c r="E19" s="11" t="e">
        <f ca="1">COUNTIF(INDIRECT("["&amp;datatable!$C$5&amp;"]"&amp;datatable!$A14&amp;"!"&amp;"I:I"),"Medium Correct")</f>
        <v>#REF!</v>
      </c>
      <c r="F19" s="13" t="e">
        <f ca="1">COUNTIF(INDIRECT("["&amp;datatable!$C$5&amp;"]"&amp;datatable!$A14&amp;"!"&amp;"I:I"),"Low Correct")</f>
        <v>#REF!</v>
      </c>
      <c r="G19" s="15" t="e">
        <f ca="1">COUNTIF(INDIRECT("["&amp;datatable!$C$5&amp;"]"&amp;datatable!$A14&amp;"!"&amp;"I:I"),"High Maybe")</f>
        <v>#REF!</v>
      </c>
      <c r="H19" s="17" t="e">
        <f ca="1">COUNTIF(INDIRECT("["&amp;datatable!$C$5&amp;"]"&amp;datatable!$A14&amp;"!"&amp;"I:I"),"Medium Maybe")</f>
        <v>#REF!</v>
      </c>
      <c r="I19" s="19" t="e">
        <f ca="1">COUNTIF(INDIRECT("["&amp;datatable!$C$5&amp;"]"&amp;datatable!$A14&amp;"!"&amp;"I:I"),"Low Maybe")</f>
        <v>#REF!</v>
      </c>
      <c r="J19" s="21" t="e">
        <f ca="1">COUNTIF(INDIRECT("["&amp;datatable!$C$5&amp;"]"&amp;datatable!$A14&amp;"!"&amp;"I:I"),"Low Incorrect")</f>
        <v>#REF!</v>
      </c>
      <c r="K19" s="23" t="e">
        <f ca="1">COUNTIF(INDIRECT("["&amp;datatable!$C$5&amp;"]"&amp;datatable!$A14&amp;"!"&amp;"I:I"),"Medium Incorrect")</f>
        <v>#REF!</v>
      </c>
      <c r="L19" s="25" t="e">
        <f ca="1">COUNTIF(INDIRECT("["&amp;datatable!$C$5&amp;"]"&amp;datatable!$A14&amp;"!"&amp;"I:I"),"High Incorrect")</f>
        <v>#REF!</v>
      </c>
      <c r="M19" s="27" t="e">
        <f ca="1">COUNTIF(INDIRECT("["&amp;datatable!$C$5&amp;"]"&amp;datatable!$A14&amp;"!"&amp;"I:I"),"N/A")</f>
        <v>#REF!</v>
      </c>
      <c r="N19" s="29" t="e">
        <f t="shared" ca="1" si="0"/>
        <v>#REF!</v>
      </c>
      <c r="O19" s="29" t="e">
        <f t="shared" ca="1" si="1"/>
        <v>#REF!</v>
      </c>
    </row>
    <row r="20" spans="3:15">
      <c r="C20" s="5" t="s">
        <v>26</v>
      </c>
      <c r="D20" s="8" t="e">
        <f ca="1">COUNTIF(INDIRECT("["&amp;datatable!$C$5&amp;"]"&amp;datatable!$A15&amp;"!"&amp;"I:I"),"High Correct")</f>
        <v>#REF!</v>
      </c>
      <c r="E20" s="11" t="e">
        <f ca="1">COUNTIF(INDIRECT("["&amp;datatable!$C$5&amp;"]"&amp;datatable!$A15&amp;"!"&amp;"I:I"),"Medium Correct")</f>
        <v>#REF!</v>
      </c>
      <c r="F20" s="13" t="e">
        <f ca="1">COUNTIF(INDIRECT("["&amp;datatable!$C$5&amp;"]"&amp;datatable!$A15&amp;"!"&amp;"I:I"),"Low Correct")</f>
        <v>#REF!</v>
      </c>
      <c r="G20" s="15" t="e">
        <f ca="1">COUNTIF(INDIRECT("["&amp;datatable!$C$5&amp;"]"&amp;datatable!$A15&amp;"!"&amp;"I:I"),"High Maybe")</f>
        <v>#REF!</v>
      </c>
      <c r="H20" s="17" t="e">
        <f ca="1">COUNTIF(INDIRECT("["&amp;datatable!$C$5&amp;"]"&amp;datatable!$A15&amp;"!"&amp;"I:I"),"Medium Maybe")</f>
        <v>#REF!</v>
      </c>
      <c r="I20" s="19" t="e">
        <f ca="1">COUNTIF(INDIRECT("["&amp;datatable!$C$5&amp;"]"&amp;datatable!$A15&amp;"!"&amp;"I:I"),"Low Maybe")</f>
        <v>#REF!</v>
      </c>
      <c r="J20" s="21" t="e">
        <f ca="1">COUNTIF(INDIRECT("["&amp;datatable!$C$5&amp;"]"&amp;datatable!$A15&amp;"!"&amp;"I:I"),"Low Incorrect")</f>
        <v>#REF!</v>
      </c>
      <c r="K20" s="23" t="e">
        <f ca="1">COUNTIF(INDIRECT("["&amp;datatable!$C$5&amp;"]"&amp;datatable!$A15&amp;"!"&amp;"I:I"),"Medium Incorrect")</f>
        <v>#REF!</v>
      </c>
      <c r="L20" s="25" t="e">
        <f ca="1">COUNTIF(INDIRECT("["&amp;datatable!$C$5&amp;"]"&amp;datatable!$A15&amp;"!"&amp;"I:I"),"High Incorrect")</f>
        <v>#REF!</v>
      </c>
      <c r="M20" s="27" t="e">
        <f ca="1">COUNTIF(INDIRECT("["&amp;datatable!$C$5&amp;"]"&amp;datatable!$A15&amp;"!"&amp;"I:I"),"N/A")</f>
        <v>#REF!</v>
      </c>
      <c r="N20" s="29" t="e">
        <f t="shared" ca="1" si="0"/>
        <v>#REF!</v>
      </c>
      <c r="O20" s="29" t="e">
        <f t="shared" ca="1" si="1"/>
        <v>#REF!</v>
      </c>
    </row>
    <row r="21" spans="3:15">
      <c r="C21" s="5" t="s">
        <v>27</v>
      </c>
      <c r="D21" s="8" t="e">
        <f ca="1">COUNTIF(INDIRECT("["&amp;datatable!$C$5&amp;"]"&amp;datatable!$A16&amp;"!"&amp;"I:I"),"High Correct")</f>
        <v>#REF!</v>
      </c>
      <c r="E21" s="11" t="e">
        <f ca="1">COUNTIF(INDIRECT("["&amp;datatable!$C$5&amp;"]"&amp;datatable!$A16&amp;"!"&amp;"I:I"),"Medium Correct")</f>
        <v>#REF!</v>
      </c>
      <c r="F21" s="13" t="e">
        <f ca="1">COUNTIF(INDIRECT("["&amp;datatable!$C$5&amp;"]"&amp;datatable!$A16&amp;"!"&amp;"I:I"),"Low Correct")</f>
        <v>#REF!</v>
      </c>
      <c r="G21" s="15" t="e">
        <f ca="1">COUNTIF(INDIRECT("["&amp;datatable!$C$5&amp;"]"&amp;datatable!$A16&amp;"!"&amp;"I:I"),"High Maybe")</f>
        <v>#REF!</v>
      </c>
      <c r="H21" s="17" t="e">
        <f ca="1">COUNTIF(INDIRECT("["&amp;datatable!$C$5&amp;"]"&amp;datatable!$A16&amp;"!"&amp;"I:I"),"Medium Maybe")</f>
        <v>#REF!</v>
      </c>
      <c r="I21" s="19" t="e">
        <f ca="1">COUNTIF(INDIRECT("["&amp;datatable!$C$5&amp;"]"&amp;datatable!$A16&amp;"!"&amp;"I:I"),"Low Maybe")</f>
        <v>#REF!</v>
      </c>
      <c r="J21" s="21" t="e">
        <f ca="1">COUNTIF(INDIRECT("["&amp;datatable!$C$5&amp;"]"&amp;datatable!$A16&amp;"!"&amp;"I:I"),"Low Incorrect")</f>
        <v>#REF!</v>
      </c>
      <c r="K21" s="23" t="e">
        <f ca="1">COUNTIF(INDIRECT("["&amp;datatable!$C$5&amp;"]"&amp;datatable!$A16&amp;"!"&amp;"I:I"),"Medium Incorrect")</f>
        <v>#REF!</v>
      </c>
      <c r="L21" s="25" t="e">
        <f ca="1">COUNTIF(INDIRECT("["&amp;datatable!$C$5&amp;"]"&amp;datatable!$A16&amp;"!"&amp;"I:I"),"High Incorrect")</f>
        <v>#REF!</v>
      </c>
      <c r="M21" s="27" t="e">
        <f ca="1">COUNTIF(INDIRECT("["&amp;datatable!$C$5&amp;"]"&amp;datatable!$A16&amp;"!"&amp;"I:I"),"N/A")</f>
        <v>#REF!</v>
      </c>
      <c r="N21" s="29" t="e">
        <f t="shared" ca="1" si="0"/>
        <v>#REF!</v>
      </c>
      <c r="O21" s="29" t="e">
        <f t="shared" ca="1" si="1"/>
        <v>#REF!</v>
      </c>
    </row>
    <row r="22" spans="3:15">
      <c r="C22" s="5" t="s">
        <v>28</v>
      </c>
      <c r="D22" s="8" t="e">
        <f ca="1">COUNTIF(INDIRECT("["&amp;datatable!$C$5&amp;"]"&amp;datatable!$A17&amp;"!"&amp;"I:I"),"High Correct")</f>
        <v>#REF!</v>
      </c>
      <c r="E22" s="11" t="e">
        <f ca="1">COUNTIF(INDIRECT("["&amp;datatable!$C$5&amp;"]"&amp;datatable!$A17&amp;"!"&amp;"I:I"),"Medium Correct")</f>
        <v>#REF!</v>
      </c>
      <c r="F22" s="13" t="e">
        <f ca="1">COUNTIF(INDIRECT("["&amp;datatable!$C$5&amp;"]"&amp;datatable!$A17&amp;"!"&amp;"I:I"),"Low Correct")</f>
        <v>#REF!</v>
      </c>
      <c r="G22" s="15" t="e">
        <f ca="1">COUNTIF(INDIRECT("["&amp;datatable!$C$5&amp;"]"&amp;datatable!$A17&amp;"!"&amp;"I:I"),"High Maybe")</f>
        <v>#REF!</v>
      </c>
      <c r="H22" s="17" t="e">
        <f ca="1">COUNTIF(INDIRECT("["&amp;datatable!$C$5&amp;"]"&amp;datatable!$A17&amp;"!"&amp;"I:I"),"Medium Maybe")</f>
        <v>#REF!</v>
      </c>
      <c r="I22" s="19" t="e">
        <f ca="1">COUNTIF(INDIRECT("["&amp;datatable!$C$5&amp;"]"&amp;datatable!$A17&amp;"!"&amp;"I:I"),"Low Maybe")</f>
        <v>#REF!</v>
      </c>
      <c r="J22" s="21" t="e">
        <f ca="1">COUNTIF(INDIRECT("["&amp;datatable!$C$5&amp;"]"&amp;datatable!$A17&amp;"!"&amp;"I:I"),"Low Incorrect")</f>
        <v>#REF!</v>
      </c>
      <c r="K22" s="23" t="e">
        <f ca="1">COUNTIF(INDIRECT("["&amp;datatable!$C$5&amp;"]"&amp;datatable!$A17&amp;"!"&amp;"I:I"),"Medium Incorrect")</f>
        <v>#REF!</v>
      </c>
      <c r="L22" s="25" t="e">
        <f ca="1">COUNTIF(INDIRECT("["&amp;datatable!$C$5&amp;"]"&amp;datatable!$A17&amp;"!"&amp;"I:I"),"High Incorrect")</f>
        <v>#REF!</v>
      </c>
      <c r="M22" s="27" t="e">
        <f ca="1">COUNTIF(INDIRECT("["&amp;datatable!$C$5&amp;"]"&amp;datatable!$A17&amp;"!"&amp;"I:I"),"N/A")</f>
        <v>#REF!</v>
      </c>
      <c r="N22" s="29" t="e">
        <f t="shared" ca="1" si="0"/>
        <v>#REF!</v>
      </c>
      <c r="O22" s="29" t="e">
        <f t="shared" ca="1" si="1"/>
        <v>#REF!</v>
      </c>
    </row>
    <row r="23" spans="3:15">
      <c r="C23" s="5" t="s">
        <v>29</v>
      </c>
      <c r="D23" s="8" t="e">
        <f ca="1">COUNTIF(INDIRECT("["&amp;datatable!$C$5&amp;"]"&amp;datatable!$A18&amp;"!"&amp;"I:I"),"High Correct")</f>
        <v>#REF!</v>
      </c>
      <c r="E23" s="11" t="e">
        <f ca="1">COUNTIF(INDIRECT("["&amp;datatable!$C$5&amp;"]"&amp;datatable!$A18&amp;"!"&amp;"I:I"),"Medium Correct")</f>
        <v>#REF!</v>
      </c>
      <c r="F23" s="13" t="e">
        <f ca="1">COUNTIF(INDIRECT("["&amp;datatable!$C$5&amp;"]"&amp;datatable!$A18&amp;"!"&amp;"I:I"),"Low Correct")</f>
        <v>#REF!</v>
      </c>
      <c r="G23" s="15" t="e">
        <f ca="1">COUNTIF(INDIRECT("["&amp;datatable!$C$5&amp;"]"&amp;datatable!$A18&amp;"!"&amp;"I:I"),"High Maybe")</f>
        <v>#REF!</v>
      </c>
      <c r="H23" s="17" t="e">
        <f ca="1">COUNTIF(INDIRECT("["&amp;datatable!$C$5&amp;"]"&amp;datatable!$A18&amp;"!"&amp;"I:I"),"Medium Maybe")</f>
        <v>#REF!</v>
      </c>
      <c r="I23" s="19" t="e">
        <f ca="1">COUNTIF(INDIRECT("["&amp;datatable!$C$5&amp;"]"&amp;datatable!$A18&amp;"!"&amp;"I:I"),"Low Maybe")</f>
        <v>#REF!</v>
      </c>
      <c r="J23" s="21" t="e">
        <f ca="1">COUNTIF(INDIRECT("["&amp;datatable!$C$5&amp;"]"&amp;datatable!$A18&amp;"!"&amp;"I:I"),"Low Incorrect")</f>
        <v>#REF!</v>
      </c>
      <c r="K23" s="23" t="e">
        <f ca="1">COUNTIF(INDIRECT("["&amp;datatable!$C$5&amp;"]"&amp;datatable!$A18&amp;"!"&amp;"I:I"),"Medium Incorrect")</f>
        <v>#REF!</v>
      </c>
      <c r="L23" s="25" t="e">
        <f ca="1">COUNTIF(INDIRECT("["&amp;datatable!$C$5&amp;"]"&amp;datatable!$A18&amp;"!"&amp;"I:I"),"High Incorrect")</f>
        <v>#REF!</v>
      </c>
      <c r="M23" s="27" t="e">
        <f ca="1">COUNTIF(INDIRECT("["&amp;datatable!$C$5&amp;"]"&amp;datatable!$A18&amp;"!"&amp;"I:I"),"N/A")</f>
        <v>#REF!</v>
      </c>
      <c r="N23" s="29" t="e">
        <f t="shared" ca="1" si="0"/>
        <v>#REF!</v>
      </c>
      <c r="O23" s="29" t="e">
        <f t="shared" ca="1" si="1"/>
        <v>#REF!</v>
      </c>
    </row>
    <row r="24" spans="3:15">
      <c r="C24" s="5" t="s">
        <v>30</v>
      </c>
      <c r="D24" s="8" t="e">
        <f ca="1">COUNTIF(INDIRECT("["&amp;datatable!$C$5&amp;"]"&amp;datatable!$A19&amp;"!"&amp;"I:I"),"High Correct")</f>
        <v>#REF!</v>
      </c>
      <c r="E24" s="11" t="e">
        <f ca="1">COUNTIF(INDIRECT("["&amp;datatable!$C$5&amp;"]"&amp;datatable!$A19&amp;"!"&amp;"I:I"),"Medium Correct")</f>
        <v>#REF!</v>
      </c>
      <c r="F24" s="13" t="e">
        <f ca="1">COUNTIF(INDIRECT("["&amp;datatable!$C$5&amp;"]"&amp;datatable!$A19&amp;"!"&amp;"I:I"),"Low Correct")</f>
        <v>#REF!</v>
      </c>
      <c r="G24" s="15" t="e">
        <f ca="1">COUNTIF(INDIRECT("["&amp;datatable!$C$5&amp;"]"&amp;datatable!$A19&amp;"!"&amp;"I:I"),"High Maybe")</f>
        <v>#REF!</v>
      </c>
      <c r="H24" s="17" t="e">
        <f ca="1">COUNTIF(INDIRECT("["&amp;datatable!$C$5&amp;"]"&amp;datatable!$A19&amp;"!"&amp;"I:I"),"Medium Maybe")</f>
        <v>#REF!</v>
      </c>
      <c r="I24" s="19" t="e">
        <f ca="1">COUNTIF(INDIRECT("["&amp;datatable!$C$5&amp;"]"&amp;datatable!$A19&amp;"!"&amp;"I:I"),"Low Maybe")</f>
        <v>#REF!</v>
      </c>
      <c r="J24" s="21" t="e">
        <f ca="1">COUNTIF(INDIRECT("["&amp;datatable!$C$5&amp;"]"&amp;datatable!$A19&amp;"!"&amp;"I:I"),"Low Incorrect")</f>
        <v>#REF!</v>
      </c>
      <c r="K24" s="23" t="e">
        <f ca="1">COUNTIF(INDIRECT("["&amp;datatable!$C$5&amp;"]"&amp;datatable!$A19&amp;"!"&amp;"I:I"),"Medium Incorrect")</f>
        <v>#REF!</v>
      </c>
      <c r="L24" s="25" t="e">
        <f ca="1">COUNTIF(INDIRECT("["&amp;datatable!$C$5&amp;"]"&amp;datatable!$A19&amp;"!"&amp;"I:I"),"High Incorrect")</f>
        <v>#REF!</v>
      </c>
      <c r="M24" s="27" t="e">
        <f ca="1">COUNTIF(INDIRECT("["&amp;datatable!$C$5&amp;"]"&amp;datatable!$A19&amp;"!"&amp;"I:I"),"N/A")</f>
        <v>#REF!</v>
      </c>
      <c r="N24" s="29" t="e">
        <f t="shared" ca="1" si="0"/>
        <v>#REF!</v>
      </c>
      <c r="O24" s="29" t="e">
        <f t="shared" ca="1" si="1"/>
        <v>#REF!</v>
      </c>
    </row>
    <row r="25" spans="3:15">
      <c r="C25" s="5" t="s">
        <v>31</v>
      </c>
      <c r="D25" s="8" t="e">
        <f ca="1">COUNTIF(INDIRECT("["&amp;datatable!$C$5&amp;"]"&amp;datatable!$A20&amp;"!"&amp;"I:I"),"High Correct")</f>
        <v>#REF!</v>
      </c>
      <c r="E25" s="11" t="e">
        <f ca="1">COUNTIF(INDIRECT("["&amp;datatable!$C$5&amp;"]"&amp;datatable!$A20&amp;"!"&amp;"I:I"),"Medium Correct")</f>
        <v>#REF!</v>
      </c>
      <c r="F25" s="13" t="e">
        <f ca="1">COUNTIF(INDIRECT("["&amp;datatable!$C$5&amp;"]"&amp;datatable!$A20&amp;"!"&amp;"I:I"),"Low Correct")</f>
        <v>#REF!</v>
      </c>
      <c r="G25" s="15" t="e">
        <f ca="1">COUNTIF(INDIRECT("["&amp;datatable!$C$5&amp;"]"&amp;datatable!$A20&amp;"!"&amp;"I:I"),"High Maybe")</f>
        <v>#REF!</v>
      </c>
      <c r="H25" s="17" t="e">
        <f ca="1">COUNTIF(INDIRECT("["&amp;datatable!$C$5&amp;"]"&amp;datatable!$A20&amp;"!"&amp;"I:I"),"Medium Maybe")</f>
        <v>#REF!</v>
      </c>
      <c r="I25" s="19" t="e">
        <f ca="1">COUNTIF(INDIRECT("["&amp;datatable!$C$5&amp;"]"&amp;datatable!$A20&amp;"!"&amp;"I:I"),"Low Maybe")</f>
        <v>#REF!</v>
      </c>
      <c r="J25" s="21" t="e">
        <f ca="1">COUNTIF(INDIRECT("["&amp;datatable!$C$5&amp;"]"&amp;datatable!$A20&amp;"!"&amp;"I:I"),"Low Incorrect")</f>
        <v>#REF!</v>
      </c>
      <c r="K25" s="23" t="e">
        <f ca="1">COUNTIF(INDIRECT("["&amp;datatable!$C$5&amp;"]"&amp;datatable!$A20&amp;"!"&amp;"I:I"),"Medium Incorrect")</f>
        <v>#REF!</v>
      </c>
      <c r="L25" s="25" t="e">
        <f ca="1">COUNTIF(INDIRECT("["&amp;datatable!$C$5&amp;"]"&amp;datatable!$A20&amp;"!"&amp;"I:I"),"High Incorrect")</f>
        <v>#REF!</v>
      </c>
      <c r="M25" s="27" t="e">
        <f ca="1">COUNTIF(INDIRECT("["&amp;datatable!$C$5&amp;"]"&amp;datatable!$A20&amp;"!"&amp;"I:I"),"N/A")</f>
        <v>#REF!</v>
      </c>
      <c r="N25" s="29" t="e">
        <f t="shared" ca="1" si="0"/>
        <v>#REF!</v>
      </c>
      <c r="O25" s="29" t="e">
        <f t="shared" ca="1" si="1"/>
        <v>#REF!</v>
      </c>
    </row>
    <row r="26" spans="3:15">
      <c r="C26" s="5" t="s">
        <v>32</v>
      </c>
      <c r="D26" s="8" t="e">
        <f ca="1">COUNTIF(INDIRECT("["&amp;datatable!$C$5&amp;"]"&amp;datatable!$A21&amp;"!"&amp;"I:I"),"High Correct")</f>
        <v>#REF!</v>
      </c>
      <c r="E26" s="11" t="e">
        <f ca="1">COUNTIF(INDIRECT("["&amp;datatable!$C$5&amp;"]"&amp;datatable!$A21&amp;"!"&amp;"I:I"),"Medium Correct")</f>
        <v>#REF!</v>
      </c>
      <c r="F26" s="13" t="e">
        <f ca="1">COUNTIF(INDIRECT("["&amp;datatable!$C$5&amp;"]"&amp;datatable!$A21&amp;"!"&amp;"I:I"),"Low Correct")</f>
        <v>#REF!</v>
      </c>
      <c r="G26" s="15" t="e">
        <f ca="1">COUNTIF(INDIRECT("["&amp;datatable!$C$5&amp;"]"&amp;datatable!$A21&amp;"!"&amp;"I:I"),"High Maybe")</f>
        <v>#REF!</v>
      </c>
      <c r="H26" s="17" t="e">
        <f ca="1">COUNTIF(INDIRECT("["&amp;datatable!$C$5&amp;"]"&amp;datatable!$A21&amp;"!"&amp;"I:I"),"Medium Maybe")</f>
        <v>#REF!</v>
      </c>
      <c r="I26" s="19" t="e">
        <f ca="1">COUNTIF(INDIRECT("["&amp;datatable!$C$5&amp;"]"&amp;datatable!$A21&amp;"!"&amp;"I:I"),"Low Maybe")</f>
        <v>#REF!</v>
      </c>
      <c r="J26" s="21" t="e">
        <f ca="1">COUNTIF(INDIRECT("["&amp;datatable!$C$5&amp;"]"&amp;datatable!$A21&amp;"!"&amp;"I:I"),"Low Incorrect")</f>
        <v>#REF!</v>
      </c>
      <c r="K26" s="23" t="e">
        <f ca="1">COUNTIF(INDIRECT("["&amp;datatable!$C$5&amp;"]"&amp;datatable!$A21&amp;"!"&amp;"I:I"),"Medium Incorrect")</f>
        <v>#REF!</v>
      </c>
      <c r="L26" s="25" t="e">
        <f ca="1">COUNTIF(INDIRECT("["&amp;datatable!$C$5&amp;"]"&amp;datatable!$A21&amp;"!"&amp;"I:I"),"High Incorrect")</f>
        <v>#REF!</v>
      </c>
      <c r="M26" s="27" t="e">
        <f ca="1">COUNTIF(INDIRECT("["&amp;datatable!$C$5&amp;"]"&amp;datatable!$A21&amp;"!"&amp;"I:I"),"N/A")</f>
        <v>#REF!</v>
      </c>
      <c r="N26" s="29" t="e">
        <f t="shared" ca="1" si="0"/>
        <v>#REF!</v>
      </c>
      <c r="O26" s="29" t="e">
        <f t="shared" ca="1" si="1"/>
        <v>#REF!</v>
      </c>
    </row>
    <row r="27" spans="3:15">
      <c r="C27" s="5" t="s">
        <v>33</v>
      </c>
      <c r="D27" s="8" t="e">
        <f ca="1">COUNTIF(INDIRECT("["&amp;datatable!$C$5&amp;"]"&amp;datatable!$A22&amp;"!"&amp;"I:I"),"High Correct")</f>
        <v>#REF!</v>
      </c>
      <c r="E27" s="11" t="e">
        <f ca="1">COUNTIF(INDIRECT("["&amp;datatable!$C$5&amp;"]"&amp;datatable!$A22&amp;"!"&amp;"I:I"),"Medium Correct")</f>
        <v>#REF!</v>
      </c>
      <c r="F27" s="13" t="e">
        <f ca="1">COUNTIF(INDIRECT("["&amp;datatable!$C$5&amp;"]"&amp;datatable!$A22&amp;"!"&amp;"I:I"),"Low Correct")</f>
        <v>#REF!</v>
      </c>
      <c r="G27" s="15" t="e">
        <f ca="1">COUNTIF(INDIRECT("["&amp;datatable!$C$5&amp;"]"&amp;datatable!$A22&amp;"!"&amp;"I:I"),"High Maybe")</f>
        <v>#REF!</v>
      </c>
      <c r="H27" s="17" t="e">
        <f ca="1">COUNTIF(INDIRECT("["&amp;datatable!$C$5&amp;"]"&amp;datatable!$A22&amp;"!"&amp;"I:I"),"Medium Maybe")</f>
        <v>#REF!</v>
      </c>
      <c r="I27" s="19" t="e">
        <f ca="1">COUNTIF(INDIRECT("["&amp;datatable!$C$5&amp;"]"&amp;datatable!$A22&amp;"!"&amp;"I:I"),"Low Maybe")</f>
        <v>#REF!</v>
      </c>
      <c r="J27" s="21" t="e">
        <f ca="1">COUNTIF(INDIRECT("["&amp;datatable!$C$5&amp;"]"&amp;datatable!$A22&amp;"!"&amp;"I:I"),"Low Incorrect")</f>
        <v>#REF!</v>
      </c>
      <c r="K27" s="23" t="e">
        <f ca="1">COUNTIF(INDIRECT("["&amp;datatable!$C$5&amp;"]"&amp;datatable!$A22&amp;"!"&amp;"I:I"),"Medium Incorrect")</f>
        <v>#REF!</v>
      </c>
      <c r="L27" s="25" t="e">
        <f ca="1">COUNTIF(INDIRECT("["&amp;datatable!$C$5&amp;"]"&amp;datatable!$A22&amp;"!"&amp;"I:I"),"High Incorrect")</f>
        <v>#REF!</v>
      </c>
      <c r="M27" s="27" t="e">
        <f ca="1">COUNTIF(INDIRECT("["&amp;datatable!$C$5&amp;"]"&amp;datatable!$A22&amp;"!"&amp;"I:I"),"N/A")</f>
        <v>#REF!</v>
      </c>
      <c r="N27" s="29" t="e">
        <f t="shared" ca="1" si="0"/>
        <v>#REF!</v>
      </c>
      <c r="O27" s="29" t="e">
        <f t="shared" ca="1" si="1"/>
        <v>#REF!</v>
      </c>
    </row>
    <row r="28" spans="3:15">
      <c r="C28" s="6" t="s">
        <v>34</v>
      </c>
      <c r="D28" s="9" t="e">
        <f t="shared" ref="D28:M28" ca="1" si="2">SUM(D7:D27)</f>
        <v>#REF!</v>
      </c>
      <c r="E28" s="9" t="e">
        <f t="shared" ca="1" si="2"/>
        <v>#REF!</v>
      </c>
      <c r="F28" s="9" t="e">
        <f t="shared" ca="1" si="2"/>
        <v>#REF!</v>
      </c>
      <c r="G28" s="9" t="e">
        <f t="shared" ca="1" si="2"/>
        <v>#REF!</v>
      </c>
      <c r="H28" s="9" t="e">
        <f t="shared" ca="1" si="2"/>
        <v>#REF!</v>
      </c>
      <c r="I28" s="9" t="e">
        <f t="shared" ca="1" si="2"/>
        <v>#REF!</v>
      </c>
      <c r="J28" s="9" t="e">
        <f t="shared" ca="1" si="2"/>
        <v>#REF!</v>
      </c>
      <c r="K28" s="9" t="e">
        <f t="shared" ca="1" si="2"/>
        <v>#REF!</v>
      </c>
      <c r="L28" s="9" t="e">
        <f t="shared" ca="1" si="2"/>
        <v>#REF!</v>
      </c>
      <c r="M28" s="9" t="e">
        <f t="shared" ca="1" si="2"/>
        <v>#REF!</v>
      </c>
      <c r="N28" s="29" t="e">
        <f t="shared" ca="1" si="0"/>
        <v>#REF!</v>
      </c>
      <c r="O28" s="29" t="e">
        <f t="shared" ca="1" si="1"/>
        <v>#REF!</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58</v>
      </c>
      <c r="D32" s="8" t="e">
        <f ca="1">COUNTIF(INDIRECT("["&amp;datatable!$C$5&amp;"]"&amp;datatable!$E2&amp;"!"&amp;"I:I"),"High Correct")</f>
        <v>#REF!</v>
      </c>
      <c r="E32" s="11" t="e">
        <f ca="1">COUNTIF(INDIRECT("["&amp;datatable!$C$5&amp;"]"&amp;datatable!$E2&amp;"!"&amp;"I:I"),"Medium Correct")</f>
        <v>#REF!</v>
      </c>
      <c r="F32" s="13" t="e">
        <f ca="1">COUNTIF(INDIRECT("["&amp;datatable!$C$5&amp;"]"&amp;datatable!$E2&amp;"!"&amp;"I:I"),"Low Correct")</f>
        <v>#REF!</v>
      </c>
      <c r="G32" s="15" t="e">
        <f ca="1">COUNTIF(INDIRECT("["&amp;datatable!$C$5&amp;"]"&amp;datatable!$E2&amp;"!"&amp;"I:I"),"High Maybe")</f>
        <v>#REF!</v>
      </c>
      <c r="H32" s="17" t="e">
        <f ca="1">COUNTIF(INDIRECT("["&amp;datatable!$C$5&amp;"]"&amp;datatable!$E2&amp;"!"&amp;"I:I"),"Medium Maybe")</f>
        <v>#REF!</v>
      </c>
      <c r="I32" s="19" t="e">
        <f ca="1">COUNTIF(INDIRECT("["&amp;datatable!$C$5&amp;"]"&amp;datatable!$E2&amp;"!"&amp;"I:I"),"Low Maybe")</f>
        <v>#REF!</v>
      </c>
      <c r="J32" s="21" t="e">
        <f ca="1">COUNTIF(INDIRECT("["&amp;datatable!$C$5&amp;"]"&amp;datatable!$E2&amp;"!"&amp;"I:I"),"Low Incorrect")</f>
        <v>#REF!</v>
      </c>
      <c r="K32" s="23" t="e">
        <f ca="1">COUNTIF(INDIRECT("["&amp;datatable!$C$5&amp;"]"&amp;datatable!$E2&amp;"!"&amp;"I:I"),"Medium Incorrect")</f>
        <v>#REF!</v>
      </c>
      <c r="L32" s="25" t="e">
        <f ca="1">COUNTIF(INDIRECT("["&amp;datatable!$C$5&amp;"]"&amp;datatable!$E2&amp;"!"&amp;"I:I"),"High Incorrect")</f>
        <v>#REF!</v>
      </c>
      <c r="M32" s="27" t="e">
        <f ca="1">COUNTIF(INDIRECT("["&amp;datatable!$C$5&amp;"]"&amp;datatable!$E2&amp;"!"&amp;"I:I"),"N/A")</f>
        <v>#REF!</v>
      </c>
      <c r="N32" s="43" t="e">
        <f t="shared" ref="N32:N48" ca="1" si="3">SUM(D32:M32)</f>
        <v>#REF!</v>
      </c>
      <c r="O32" s="43" t="e">
        <f t="shared" ref="O32:O48" ca="1" si="4">SUM(D32:L32)</f>
        <v>#REF!</v>
      </c>
    </row>
    <row r="33" spans="3:15">
      <c r="C33" s="42" t="s">
        <v>59</v>
      </c>
      <c r="D33" s="8" t="e">
        <f ca="1">COUNTIF(INDIRECT("["&amp;datatable!$C$5&amp;"]"&amp;datatable!$E3&amp;"!"&amp;"I:I"),"High Correct")</f>
        <v>#REF!</v>
      </c>
      <c r="E33" s="11" t="e">
        <f ca="1">COUNTIF(INDIRECT("["&amp;datatable!$C$5&amp;"]"&amp;datatable!$E3&amp;"!"&amp;"I:I"),"Medium Correct")</f>
        <v>#REF!</v>
      </c>
      <c r="F33" s="13" t="e">
        <f ca="1">COUNTIF(INDIRECT("["&amp;datatable!$C$5&amp;"]"&amp;datatable!$E3&amp;"!"&amp;"I:I"),"Low Correct")</f>
        <v>#REF!</v>
      </c>
      <c r="G33" s="15" t="e">
        <f ca="1">COUNTIF(INDIRECT("["&amp;datatable!$C$5&amp;"]"&amp;datatable!$E3&amp;"!"&amp;"I:I"),"High Maybe")</f>
        <v>#REF!</v>
      </c>
      <c r="H33" s="17" t="e">
        <f ca="1">COUNTIF(INDIRECT("["&amp;datatable!$C$5&amp;"]"&amp;datatable!$E3&amp;"!"&amp;"I:I"),"Medium Maybe")</f>
        <v>#REF!</v>
      </c>
      <c r="I33" s="19" t="e">
        <f ca="1">COUNTIF(INDIRECT("["&amp;datatable!$C$5&amp;"]"&amp;datatable!$E3&amp;"!"&amp;"I:I"),"Low Maybe")</f>
        <v>#REF!</v>
      </c>
      <c r="J33" s="21" t="e">
        <f ca="1">COUNTIF(INDIRECT("["&amp;datatable!$C$5&amp;"]"&amp;datatable!$E3&amp;"!"&amp;"I:I"),"Low Incorrect")</f>
        <v>#REF!</v>
      </c>
      <c r="K33" s="23" t="e">
        <f ca="1">COUNTIF(INDIRECT("["&amp;datatable!$C$5&amp;"]"&amp;datatable!$E3&amp;"!"&amp;"I:I"),"Medium Incorrect")</f>
        <v>#REF!</v>
      </c>
      <c r="L33" s="25" t="e">
        <f ca="1">COUNTIF(INDIRECT("["&amp;datatable!$C$5&amp;"]"&amp;datatable!$E3&amp;"!"&amp;"I:I"),"High Incorrect")</f>
        <v>#REF!</v>
      </c>
      <c r="M33" s="27" t="e">
        <f ca="1">COUNTIF(INDIRECT("["&amp;datatable!$C$5&amp;"]"&amp;datatable!$E3&amp;"!"&amp;"I:I"),"N/A")</f>
        <v>#REF!</v>
      </c>
      <c r="N33" s="43" t="e">
        <f t="shared" ca="1" si="3"/>
        <v>#REF!</v>
      </c>
      <c r="O33" s="43" t="e">
        <f t="shared" ca="1" si="4"/>
        <v>#REF!</v>
      </c>
    </row>
    <row r="34" spans="3:15">
      <c r="C34" s="42" t="s">
        <v>60</v>
      </c>
      <c r="D34" s="8" t="e">
        <f ca="1">COUNTIF(INDIRECT("["&amp;datatable!$C$5&amp;"]"&amp;datatable!$E4&amp;"!"&amp;"I:I"),"High Correct")</f>
        <v>#REF!</v>
      </c>
      <c r="E34" s="11" t="e">
        <f ca="1">COUNTIF(INDIRECT("["&amp;datatable!$C$5&amp;"]"&amp;datatable!$E4&amp;"!"&amp;"I:I"),"Medium Correct")</f>
        <v>#REF!</v>
      </c>
      <c r="F34" s="13" t="e">
        <f ca="1">COUNTIF(INDIRECT("["&amp;datatable!$C$5&amp;"]"&amp;datatable!$E4&amp;"!"&amp;"I:I"),"Low Correct")</f>
        <v>#REF!</v>
      </c>
      <c r="G34" s="15" t="e">
        <f ca="1">COUNTIF(INDIRECT("["&amp;datatable!$C$5&amp;"]"&amp;datatable!$E4&amp;"!"&amp;"I:I"),"High Maybe")</f>
        <v>#REF!</v>
      </c>
      <c r="H34" s="17" t="e">
        <f ca="1">COUNTIF(INDIRECT("["&amp;datatable!$C$5&amp;"]"&amp;datatable!$E4&amp;"!"&amp;"I:I"),"Medium Maybe")</f>
        <v>#REF!</v>
      </c>
      <c r="I34" s="19" t="e">
        <f ca="1">COUNTIF(INDIRECT("["&amp;datatable!$C$5&amp;"]"&amp;datatable!$E4&amp;"!"&amp;"I:I"),"Low Maybe")</f>
        <v>#REF!</v>
      </c>
      <c r="J34" s="21" t="e">
        <f ca="1">COUNTIF(INDIRECT("["&amp;datatable!$C$5&amp;"]"&amp;datatable!$E4&amp;"!"&amp;"I:I"),"Low Incorrect")</f>
        <v>#REF!</v>
      </c>
      <c r="K34" s="23" t="e">
        <f ca="1">COUNTIF(INDIRECT("["&amp;datatable!$C$5&amp;"]"&amp;datatable!$E4&amp;"!"&amp;"I:I"),"Medium Incorrect")</f>
        <v>#REF!</v>
      </c>
      <c r="L34" s="25" t="e">
        <f ca="1">COUNTIF(INDIRECT("["&amp;datatable!$C$5&amp;"]"&amp;datatable!$E4&amp;"!"&amp;"I:I"),"High Incorrect")</f>
        <v>#REF!</v>
      </c>
      <c r="M34" s="27" t="e">
        <f ca="1">COUNTIF(INDIRECT("["&amp;datatable!$C$5&amp;"]"&amp;datatable!$E4&amp;"!"&amp;"I:I"),"N/A")</f>
        <v>#REF!</v>
      </c>
      <c r="N34" s="43" t="e">
        <f t="shared" ca="1" si="3"/>
        <v>#REF!</v>
      </c>
      <c r="O34" s="43" t="e">
        <f t="shared" ca="1" si="4"/>
        <v>#REF!</v>
      </c>
    </row>
    <row r="35" spans="3:15">
      <c r="C35" s="42" t="s">
        <v>61</v>
      </c>
      <c r="D35" s="8" t="e">
        <f ca="1">COUNTIF(INDIRECT("["&amp;datatable!$C$5&amp;"]"&amp;datatable!$E5&amp;"!"&amp;"I:I"),"High Correct")</f>
        <v>#REF!</v>
      </c>
      <c r="E35" s="11" t="e">
        <f ca="1">COUNTIF(INDIRECT("["&amp;datatable!$C$5&amp;"]"&amp;datatable!$E5&amp;"!"&amp;"I:I"),"Medium Correct")</f>
        <v>#REF!</v>
      </c>
      <c r="F35" s="13" t="e">
        <f ca="1">COUNTIF(INDIRECT("["&amp;datatable!$C$5&amp;"]"&amp;datatable!$E5&amp;"!"&amp;"I:I"),"Low Correct")</f>
        <v>#REF!</v>
      </c>
      <c r="G35" s="15" t="e">
        <f ca="1">COUNTIF(INDIRECT("["&amp;datatable!$C$5&amp;"]"&amp;datatable!$E5&amp;"!"&amp;"I:I"),"High Maybe")</f>
        <v>#REF!</v>
      </c>
      <c r="H35" s="17" t="e">
        <f ca="1">COUNTIF(INDIRECT("["&amp;datatable!$C$5&amp;"]"&amp;datatable!$E5&amp;"!"&amp;"I:I"),"Medium Maybe")</f>
        <v>#REF!</v>
      </c>
      <c r="I35" s="19" t="e">
        <f ca="1">COUNTIF(INDIRECT("["&amp;datatable!$C$5&amp;"]"&amp;datatable!$E5&amp;"!"&amp;"I:I"),"Low Maybe")</f>
        <v>#REF!</v>
      </c>
      <c r="J35" s="21" t="e">
        <f ca="1">COUNTIF(INDIRECT("["&amp;datatable!$C$5&amp;"]"&amp;datatable!$E5&amp;"!"&amp;"I:I"),"Low Incorrect")</f>
        <v>#REF!</v>
      </c>
      <c r="K35" s="23" t="e">
        <f ca="1">COUNTIF(INDIRECT("["&amp;datatable!$C$5&amp;"]"&amp;datatable!$E5&amp;"!"&amp;"I:I"),"Medium Incorrect")</f>
        <v>#REF!</v>
      </c>
      <c r="L35" s="25" t="e">
        <f ca="1">COUNTIF(INDIRECT("["&amp;datatable!$C$5&amp;"]"&amp;datatable!$E5&amp;"!"&amp;"I:I"),"High Incorrect")</f>
        <v>#REF!</v>
      </c>
      <c r="M35" s="27" t="e">
        <f ca="1">COUNTIF(INDIRECT("["&amp;datatable!$C$5&amp;"]"&amp;datatable!$E5&amp;"!"&amp;"I:I"),"N/A")</f>
        <v>#REF!</v>
      </c>
      <c r="N35" s="43" t="e">
        <f t="shared" ca="1" si="3"/>
        <v>#REF!</v>
      </c>
      <c r="O35" s="43" t="e">
        <f t="shared" ca="1" si="4"/>
        <v>#REF!</v>
      </c>
    </row>
    <row r="36" spans="3:15">
      <c r="C36" s="42" t="s">
        <v>62</v>
      </c>
      <c r="D36" s="8" t="e">
        <f ca="1">COUNTIF(INDIRECT("["&amp;datatable!$C$5&amp;"]"&amp;datatable!$E6&amp;"!"&amp;"I:I"),"High Correct")</f>
        <v>#REF!</v>
      </c>
      <c r="E36" s="11" t="e">
        <f ca="1">COUNTIF(INDIRECT("["&amp;datatable!$C$5&amp;"]"&amp;datatable!$E6&amp;"!"&amp;"I:I"),"Medium Correct")</f>
        <v>#REF!</v>
      </c>
      <c r="F36" s="13" t="e">
        <f ca="1">COUNTIF(INDIRECT("["&amp;datatable!$C$5&amp;"]"&amp;datatable!$E6&amp;"!"&amp;"I:I"),"Low Correct")</f>
        <v>#REF!</v>
      </c>
      <c r="G36" s="15" t="e">
        <f ca="1">COUNTIF(INDIRECT("["&amp;datatable!$C$5&amp;"]"&amp;datatable!$E6&amp;"!"&amp;"I:I"),"High Maybe")</f>
        <v>#REF!</v>
      </c>
      <c r="H36" s="17" t="e">
        <f ca="1">COUNTIF(INDIRECT("["&amp;datatable!$C$5&amp;"]"&amp;datatable!$E6&amp;"!"&amp;"I:I"),"Medium Maybe")</f>
        <v>#REF!</v>
      </c>
      <c r="I36" s="19" t="e">
        <f ca="1">COUNTIF(INDIRECT("["&amp;datatable!$C$5&amp;"]"&amp;datatable!$E6&amp;"!"&amp;"I:I"),"Low Maybe")</f>
        <v>#REF!</v>
      </c>
      <c r="J36" s="21" t="e">
        <f ca="1">COUNTIF(INDIRECT("["&amp;datatable!$C$5&amp;"]"&amp;datatable!$E6&amp;"!"&amp;"I:I"),"Low Incorrect")</f>
        <v>#REF!</v>
      </c>
      <c r="K36" s="23" t="e">
        <f ca="1">COUNTIF(INDIRECT("["&amp;datatable!$C$5&amp;"]"&amp;datatable!$E6&amp;"!"&amp;"I:I"),"Medium Incorrect")</f>
        <v>#REF!</v>
      </c>
      <c r="L36" s="25" t="e">
        <f ca="1">COUNTIF(INDIRECT("["&amp;datatable!$C$5&amp;"]"&amp;datatable!$E6&amp;"!"&amp;"I:I"),"High Incorrect")</f>
        <v>#REF!</v>
      </c>
      <c r="M36" s="27" t="e">
        <f ca="1">COUNTIF(INDIRECT("["&amp;datatable!$C$5&amp;"]"&amp;datatable!$E6&amp;"!"&amp;"I:I"),"N/A")</f>
        <v>#REF!</v>
      </c>
      <c r="N36" s="43" t="e">
        <f t="shared" ca="1" si="3"/>
        <v>#REF!</v>
      </c>
      <c r="O36" s="43" t="e">
        <f t="shared" ca="1" si="4"/>
        <v>#REF!</v>
      </c>
    </row>
    <row r="37" spans="3:15">
      <c r="C37" s="42" t="s">
        <v>63</v>
      </c>
      <c r="D37" s="8" t="e">
        <f ca="1">COUNTIF(INDIRECT("["&amp;datatable!$C$5&amp;"]"&amp;datatable!$E7&amp;"!"&amp;"I:I"),"High Correct")</f>
        <v>#REF!</v>
      </c>
      <c r="E37" s="11" t="e">
        <f ca="1">COUNTIF(INDIRECT("["&amp;datatable!$C$5&amp;"]"&amp;datatable!$E7&amp;"!"&amp;"I:I"),"Medium Correct")</f>
        <v>#REF!</v>
      </c>
      <c r="F37" s="13" t="e">
        <f ca="1">COUNTIF(INDIRECT("["&amp;datatable!$C$5&amp;"]"&amp;datatable!$E7&amp;"!"&amp;"I:I"),"Low Correct")</f>
        <v>#REF!</v>
      </c>
      <c r="G37" s="15" t="e">
        <f ca="1">COUNTIF(INDIRECT("["&amp;datatable!$C$5&amp;"]"&amp;datatable!$E7&amp;"!"&amp;"I:I"),"High Maybe")</f>
        <v>#REF!</v>
      </c>
      <c r="H37" s="17" t="e">
        <f ca="1">COUNTIF(INDIRECT("["&amp;datatable!$C$5&amp;"]"&amp;datatable!$E7&amp;"!"&amp;"I:I"),"Medium Maybe")</f>
        <v>#REF!</v>
      </c>
      <c r="I37" s="19" t="e">
        <f ca="1">COUNTIF(INDIRECT("["&amp;datatable!$C$5&amp;"]"&amp;datatable!$E7&amp;"!"&amp;"I:I"),"Low Maybe")</f>
        <v>#REF!</v>
      </c>
      <c r="J37" s="21" t="e">
        <f ca="1">COUNTIF(INDIRECT("["&amp;datatable!$C$5&amp;"]"&amp;datatable!$E7&amp;"!"&amp;"I:I"),"Low Incorrect")</f>
        <v>#REF!</v>
      </c>
      <c r="K37" s="23" t="e">
        <f ca="1">COUNTIF(INDIRECT("["&amp;datatable!$C$5&amp;"]"&amp;datatable!$E7&amp;"!"&amp;"I:I"),"Medium Incorrect")</f>
        <v>#REF!</v>
      </c>
      <c r="L37" s="25" t="e">
        <f ca="1">COUNTIF(INDIRECT("["&amp;datatable!$C$5&amp;"]"&amp;datatable!$E7&amp;"!"&amp;"I:I"),"High Incorrect")</f>
        <v>#REF!</v>
      </c>
      <c r="M37" s="27" t="e">
        <f ca="1">COUNTIF(INDIRECT("["&amp;datatable!$C$5&amp;"]"&amp;datatable!$E7&amp;"!"&amp;"I:I"),"N/A")</f>
        <v>#REF!</v>
      </c>
      <c r="N37" s="43" t="e">
        <f t="shared" ca="1" si="3"/>
        <v>#REF!</v>
      </c>
      <c r="O37" s="43" t="e">
        <f t="shared" ca="1" si="4"/>
        <v>#REF!</v>
      </c>
    </row>
    <row r="38" spans="3:15">
      <c r="C38" s="42" t="s">
        <v>64</v>
      </c>
      <c r="D38" s="8" t="e">
        <f ca="1">COUNTIF(INDIRECT("["&amp;datatable!$C$5&amp;"]"&amp;datatable!$E8&amp;"!"&amp;"I:I"),"High Correct")</f>
        <v>#REF!</v>
      </c>
      <c r="E38" s="11" t="e">
        <f ca="1">COUNTIF(INDIRECT("["&amp;datatable!$C$5&amp;"]"&amp;datatable!$E8&amp;"!"&amp;"I:I"),"Medium Correct")</f>
        <v>#REF!</v>
      </c>
      <c r="F38" s="13" t="e">
        <f ca="1">COUNTIF(INDIRECT("["&amp;datatable!$C$5&amp;"]"&amp;datatable!$E8&amp;"!"&amp;"I:I"),"Low Correct")</f>
        <v>#REF!</v>
      </c>
      <c r="G38" s="15" t="e">
        <f ca="1">COUNTIF(INDIRECT("["&amp;datatable!$C$5&amp;"]"&amp;datatable!$E8&amp;"!"&amp;"I:I"),"High Maybe")</f>
        <v>#REF!</v>
      </c>
      <c r="H38" s="17" t="e">
        <f ca="1">COUNTIF(INDIRECT("["&amp;datatable!$C$5&amp;"]"&amp;datatable!$E8&amp;"!"&amp;"I:I"),"Medium Maybe")</f>
        <v>#REF!</v>
      </c>
      <c r="I38" s="19" t="e">
        <f ca="1">COUNTIF(INDIRECT("["&amp;datatable!$C$5&amp;"]"&amp;datatable!$E8&amp;"!"&amp;"I:I"),"Low Maybe")</f>
        <v>#REF!</v>
      </c>
      <c r="J38" s="21" t="e">
        <f ca="1">COUNTIF(INDIRECT("["&amp;datatable!$C$5&amp;"]"&amp;datatable!$E8&amp;"!"&amp;"I:I"),"Low Incorrect")</f>
        <v>#REF!</v>
      </c>
      <c r="K38" s="23" t="e">
        <f ca="1">COUNTIF(INDIRECT("["&amp;datatable!$C$5&amp;"]"&amp;datatable!$E8&amp;"!"&amp;"I:I"),"Medium Incorrect")</f>
        <v>#REF!</v>
      </c>
      <c r="L38" s="25" t="e">
        <f ca="1">COUNTIF(INDIRECT("["&amp;datatable!$C$5&amp;"]"&amp;datatable!$E8&amp;"!"&amp;"I:I"),"High Incorrect")</f>
        <v>#REF!</v>
      </c>
      <c r="M38" s="27" t="e">
        <f ca="1">COUNTIF(INDIRECT("["&amp;datatable!$C$5&amp;"]"&amp;datatable!$E8&amp;"!"&amp;"I:I"),"N/A")</f>
        <v>#REF!</v>
      </c>
      <c r="N38" s="43" t="e">
        <f t="shared" ca="1" si="3"/>
        <v>#REF!</v>
      </c>
      <c r="O38" s="43" t="e">
        <f t="shared" ca="1" si="4"/>
        <v>#REF!</v>
      </c>
    </row>
    <row r="39" spans="3:15">
      <c r="C39" s="42" t="s">
        <v>65</v>
      </c>
      <c r="D39" s="8" t="e">
        <f ca="1">COUNTIF(INDIRECT("["&amp;datatable!$C$5&amp;"]"&amp;datatable!$E9&amp;"!"&amp;"I:I"),"High Correct")</f>
        <v>#REF!</v>
      </c>
      <c r="E39" s="11" t="e">
        <f ca="1">COUNTIF(INDIRECT("["&amp;datatable!$C$5&amp;"]"&amp;datatable!$E9&amp;"!"&amp;"I:I"),"Medium Correct")</f>
        <v>#REF!</v>
      </c>
      <c r="F39" s="13" t="e">
        <f ca="1">COUNTIF(INDIRECT("["&amp;datatable!$C$5&amp;"]"&amp;datatable!$E9&amp;"!"&amp;"I:I"),"Low Correct")</f>
        <v>#REF!</v>
      </c>
      <c r="G39" s="15" t="e">
        <f ca="1">COUNTIF(INDIRECT("["&amp;datatable!$C$5&amp;"]"&amp;datatable!$E9&amp;"!"&amp;"I:I"),"High Maybe")</f>
        <v>#REF!</v>
      </c>
      <c r="H39" s="17" t="e">
        <f ca="1">COUNTIF(INDIRECT("["&amp;datatable!$C$5&amp;"]"&amp;datatable!$E9&amp;"!"&amp;"I:I"),"Medium Maybe")</f>
        <v>#REF!</v>
      </c>
      <c r="I39" s="19" t="e">
        <f ca="1">COUNTIF(INDIRECT("["&amp;datatable!$C$5&amp;"]"&amp;datatable!$E9&amp;"!"&amp;"I:I"),"Low Maybe")</f>
        <v>#REF!</v>
      </c>
      <c r="J39" s="21" t="e">
        <f ca="1">COUNTIF(INDIRECT("["&amp;datatable!$C$5&amp;"]"&amp;datatable!$E9&amp;"!"&amp;"I:I"),"Low Incorrect")</f>
        <v>#REF!</v>
      </c>
      <c r="K39" s="23" t="e">
        <f ca="1">COUNTIF(INDIRECT("["&amp;datatable!$C$5&amp;"]"&amp;datatable!$E9&amp;"!"&amp;"I:I"),"Medium Incorrect")</f>
        <v>#REF!</v>
      </c>
      <c r="L39" s="25" t="e">
        <f ca="1">COUNTIF(INDIRECT("["&amp;datatable!$C$5&amp;"]"&amp;datatable!$E9&amp;"!"&amp;"I:I"),"High Incorrect")</f>
        <v>#REF!</v>
      </c>
      <c r="M39" s="27" t="e">
        <f ca="1">COUNTIF(INDIRECT("["&amp;datatable!$C$5&amp;"]"&amp;datatable!$E9&amp;"!"&amp;"I:I"),"N/A")</f>
        <v>#REF!</v>
      </c>
      <c r="N39" s="43" t="e">
        <f t="shared" ca="1" si="3"/>
        <v>#REF!</v>
      </c>
      <c r="O39" s="43" t="e">
        <f t="shared" ca="1" si="4"/>
        <v>#REF!</v>
      </c>
    </row>
    <row r="40" spans="3:15">
      <c r="C40" s="42" t="s">
        <v>66</v>
      </c>
      <c r="D40" s="8" t="e">
        <f ca="1">COUNTIF(INDIRECT("["&amp;datatable!$C$5&amp;"]"&amp;datatable!$E10&amp;"!"&amp;"I:I"),"High Correct")</f>
        <v>#REF!</v>
      </c>
      <c r="E40" s="11" t="e">
        <f ca="1">COUNTIF(INDIRECT("["&amp;datatable!$C$5&amp;"]"&amp;datatable!$E10&amp;"!"&amp;"I:I"),"Medium Correct")</f>
        <v>#REF!</v>
      </c>
      <c r="F40" s="13" t="e">
        <f ca="1">COUNTIF(INDIRECT("["&amp;datatable!$C$5&amp;"]"&amp;datatable!$E10&amp;"!"&amp;"I:I"),"Low Correct")</f>
        <v>#REF!</v>
      </c>
      <c r="G40" s="15" t="e">
        <f ca="1">COUNTIF(INDIRECT("["&amp;datatable!$C$5&amp;"]"&amp;datatable!$E10&amp;"!"&amp;"I:I"),"High Maybe")</f>
        <v>#REF!</v>
      </c>
      <c r="H40" s="17" t="e">
        <f ca="1">COUNTIF(INDIRECT("["&amp;datatable!$C$5&amp;"]"&amp;datatable!$E10&amp;"!"&amp;"I:I"),"Medium Maybe")</f>
        <v>#REF!</v>
      </c>
      <c r="I40" s="19" t="e">
        <f ca="1">COUNTIF(INDIRECT("["&amp;datatable!$C$5&amp;"]"&amp;datatable!$E10&amp;"!"&amp;"I:I"),"Low Maybe")</f>
        <v>#REF!</v>
      </c>
      <c r="J40" s="21" t="e">
        <f ca="1">COUNTIF(INDIRECT("["&amp;datatable!$C$5&amp;"]"&amp;datatable!$E10&amp;"!"&amp;"I:I"),"Low Incorrect")</f>
        <v>#REF!</v>
      </c>
      <c r="K40" s="23" t="e">
        <f ca="1">COUNTIF(INDIRECT("["&amp;datatable!$C$5&amp;"]"&amp;datatable!$E10&amp;"!"&amp;"I:I"),"Medium Incorrect")</f>
        <v>#REF!</v>
      </c>
      <c r="L40" s="25" t="e">
        <f ca="1">COUNTIF(INDIRECT("["&amp;datatable!$C$5&amp;"]"&amp;datatable!$E10&amp;"!"&amp;"I:I"),"High Incorrect")</f>
        <v>#REF!</v>
      </c>
      <c r="M40" s="27" t="e">
        <f ca="1">COUNTIF(INDIRECT("["&amp;datatable!$C$5&amp;"]"&amp;datatable!$E10&amp;"!"&amp;"I:I"),"N/A")</f>
        <v>#REF!</v>
      </c>
      <c r="N40" s="43" t="e">
        <f t="shared" ca="1" si="3"/>
        <v>#REF!</v>
      </c>
      <c r="O40" s="43" t="e">
        <f t="shared" ca="1" si="4"/>
        <v>#REF!</v>
      </c>
    </row>
    <row r="41" spans="3:15">
      <c r="C41" s="42" t="s">
        <v>67</v>
      </c>
      <c r="D41" s="8" t="e">
        <f ca="1">COUNTIF(INDIRECT("["&amp;datatable!$C$5&amp;"]"&amp;datatable!$E11&amp;"!"&amp;"I:I"),"High Correct")</f>
        <v>#REF!</v>
      </c>
      <c r="E41" s="11" t="e">
        <f ca="1">COUNTIF(INDIRECT("["&amp;datatable!$C$5&amp;"]"&amp;datatable!$E11&amp;"!"&amp;"I:I"),"Medium Correct")</f>
        <v>#REF!</v>
      </c>
      <c r="F41" s="13" t="e">
        <f ca="1">COUNTIF(INDIRECT("["&amp;datatable!$C$5&amp;"]"&amp;datatable!$E11&amp;"!"&amp;"I:I"),"Low Correct")</f>
        <v>#REF!</v>
      </c>
      <c r="G41" s="15" t="e">
        <f ca="1">COUNTIF(INDIRECT("["&amp;datatable!$C$5&amp;"]"&amp;datatable!$E11&amp;"!"&amp;"I:I"),"High Maybe")</f>
        <v>#REF!</v>
      </c>
      <c r="H41" s="17" t="e">
        <f ca="1">COUNTIF(INDIRECT("["&amp;datatable!$C$5&amp;"]"&amp;datatable!$E11&amp;"!"&amp;"I:I"),"Medium Maybe")</f>
        <v>#REF!</v>
      </c>
      <c r="I41" s="19" t="e">
        <f ca="1">COUNTIF(INDIRECT("["&amp;datatable!$C$5&amp;"]"&amp;datatable!$E11&amp;"!"&amp;"I:I"),"Low Maybe")</f>
        <v>#REF!</v>
      </c>
      <c r="J41" s="21" t="e">
        <f ca="1">COUNTIF(INDIRECT("["&amp;datatable!$C$5&amp;"]"&amp;datatable!$E11&amp;"!"&amp;"I:I"),"Low Incorrect")</f>
        <v>#REF!</v>
      </c>
      <c r="K41" s="23" t="e">
        <f ca="1">COUNTIF(INDIRECT("["&amp;datatable!$C$5&amp;"]"&amp;datatable!$E11&amp;"!"&amp;"I:I"),"Medium Incorrect")</f>
        <v>#REF!</v>
      </c>
      <c r="L41" s="25" t="e">
        <f ca="1">COUNTIF(INDIRECT("["&amp;datatable!$C$5&amp;"]"&amp;datatable!$E11&amp;"!"&amp;"I:I"),"High Incorrect")</f>
        <v>#REF!</v>
      </c>
      <c r="M41" s="27" t="e">
        <f ca="1">COUNTIF(INDIRECT("["&amp;datatable!$C$5&amp;"]"&amp;datatable!$E11&amp;"!"&amp;"I:I"),"N/A")</f>
        <v>#REF!</v>
      </c>
      <c r="N41" s="43" t="e">
        <f t="shared" ca="1" si="3"/>
        <v>#REF!</v>
      </c>
      <c r="O41" s="43" t="e">
        <f t="shared" ca="1" si="4"/>
        <v>#REF!</v>
      </c>
    </row>
    <row r="42" spans="3:15">
      <c r="C42" s="42" t="s">
        <v>68</v>
      </c>
      <c r="D42" s="8" t="e">
        <f ca="1">COUNTIF(INDIRECT("["&amp;datatable!$C$5&amp;"]"&amp;datatable!$E12&amp;"!"&amp;"I:I"),"High Correct")</f>
        <v>#REF!</v>
      </c>
      <c r="E42" s="11" t="e">
        <f ca="1">COUNTIF(INDIRECT("["&amp;datatable!$C$5&amp;"]"&amp;datatable!$E12&amp;"!"&amp;"I:I"),"Medium Correct")</f>
        <v>#REF!</v>
      </c>
      <c r="F42" s="13" t="e">
        <f ca="1">COUNTIF(INDIRECT("["&amp;datatable!$C$5&amp;"]"&amp;datatable!$E12&amp;"!"&amp;"I:I"),"Low Correct")</f>
        <v>#REF!</v>
      </c>
      <c r="G42" s="15" t="e">
        <f ca="1">COUNTIF(INDIRECT("["&amp;datatable!$C$5&amp;"]"&amp;datatable!$E12&amp;"!"&amp;"I:I"),"High Maybe")</f>
        <v>#REF!</v>
      </c>
      <c r="H42" s="17" t="e">
        <f ca="1">COUNTIF(INDIRECT("["&amp;datatable!$C$5&amp;"]"&amp;datatable!$E12&amp;"!"&amp;"I:I"),"Medium Maybe")</f>
        <v>#REF!</v>
      </c>
      <c r="I42" s="19" t="e">
        <f ca="1">COUNTIF(INDIRECT("["&amp;datatable!$C$5&amp;"]"&amp;datatable!$E12&amp;"!"&amp;"I:I"),"Low Maybe")</f>
        <v>#REF!</v>
      </c>
      <c r="J42" s="21" t="e">
        <f ca="1">COUNTIF(INDIRECT("["&amp;datatable!$C$5&amp;"]"&amp;datatable!$E12&amp;"!"&amp;"I:I"),"Low Incorrect")</f>
        <v>#REF!</v>
      </c>
      <c r="K42" s="23" t="e">
        <f ca="1">COUNTIF(INDIRECT("["&amp;datatable!$C$5&amp;"]"&amp;datatable!$E12&amp;"!"&amp;"I:I"),"Medium Incorrect")</f>
        <v>#REF!</v>
      </c>
      <c r="L42" s="25" t="e">
        <f ca="1">COUNTIF(INDIRECT("["&amp;datatable!$C$5&amp;"]"&amp;datatable!$E12&amp;"!"&amp;"I:I"),"High Incorrect")</f>
        <v>#REF!</v>
      </c>
      <c r="M42" s="27" t="e">
        <f ca="1">COUNTIF(INDIRECT("["&amp;datatable!$C$5&amp;"]"&amp;datatable!$E12&amp;"!"&amp;"I:I"),"N/A")</f>
        <v>#REF!</v>
      </c>
      <c r="N42" s="43" t="e">
        <f t="shared" ca="1" si="3"/>
        <v>#REF!</v>
      </c>
      <c r="O42" s="43" t="e">
        <f t="shared" ca="1" si="4"/>
        <v>#REF!</v>
      </c>
    </row>
    <row r="43" spans="3:15">
      <c r="C43" s="42" t="s">
        <v>69</v>
      </c>
      <c r="D43" s="8" t="e">
        <f ca="1">COUNTIF(INDIRECT("["&amp;datatable!$C$5&amp;"]"&amp;datatable!$E13&amp;"!"&amp;"I:I"),"High Correct")</f>
        <v>#REF!</v>
      </c>
      <c r="E43" s="11" t="e">
        <f ca="1">COUNTIF(INDIRECT("["&amp;datatable!$C$5&amp;"]"&amp;datatable!$E13&amp;"!"&amp;"I:I"),"Medium Correct")</f>
        <v>#REF!</v>
      </c>
      <c r="F43" s="13" t="e">
        <f ca="1">COUNTIF(INDIRECT("["&amp;datatable!$C$5&amp;"]"&amp;datatable!$E13&amp;"!"&amp;"I:I"),"Low Correct")</f>
        <v>#REF!</v>
      </c>
      <c r="G43" s="15" t="e">
        <f ca="1">COUNTIF(INDIRECT("["&amp;datatable!$C$5&amp;"]"&amp;datatable!$E13&amp;"!"&amp;"I:I"),"High Maybe")</f>
        <v>#REF!</v>
      </c>
      <c r="H43" s="17" t="e">
        <f ca="1">COUNTIF(INDIRECT("["&amp;datatable!$C$5&amp;"]"&amp;datatable!$E13&amp;"!"&amp;"I:I"),"Medium Maybe")</f>
        <v>#REF!</v>
      </c>
      <c r="I43" s="19" t="e">
        <f ca="1">COUNTIF(INDIRECT("["&amp;datatable!$C$5&amp;"]"&amp;datatable!$E13&amp;"!"&amp;"I:I"),"Low Maybe")</f>
        <v>#REF!</v>
      </c>
      <c r="J43" s="21" t="e">
        <f ca="1">COUNTIF(INDIRECT("["&amp;datatable!$C$5&amp;"]"&amp;datatable!$E13&amp;"!"&amp;"I:I"),"Low Incorrect")</f>
        <v>#REF!</v>
      </c>
      <c r="K43" s="23" t="e">
        <f ca="1">COUNTIF(INDIRECT("["&amp;datatable!$C$5&amp;"]"&amp;datatable!$E13&amp;"!"&amp;"I:I"),"Medium Incorrect")</f>
        <v>#REF!</v>
      </c>
      <c r="L43" s="25" t="e">
        <f ca="1">COUNTIF(INDIRECT("["&amp;datatable!$C$5&amp;"]"&amp;datatable!$E13&amp;"!"&amp;"I:I"),"High Incorrect")</f>
        <v>#REF!</v>
      </c>
      <c r="M43" s="27" t="e">
        <f ca="1">COUNTIF(INDIRECT("["&amp;datatable!$C$5&amp;"]"&amp;datatable!$E13&amp;"!"&amp;"I:I"),"N/A")</f>
        <v>#REF!</v>
      </c>
      <c r="N43" s="43" t="e">
        <f t="shared" ca="1" si="3"/>
        <v>#REF!</v>
      </c>
      <c r="O43" s="43" t="e">
        <f t="shared" ca="1" si="4"/>
        <v>#REF!</v>
      </c>
    </row>
    <row r="44" spans="3:15">
      <c r="C44" s="42" t="s">
        <v>70</v>
      </c>
      <c r="D44" s="8" t="e">
        <f ca="1">COUNTIF(INDIRECT("["&amp;datatable!$C$5&amp;"]"&amp;datatable!$E14&amp;"!"&amp;"I:I"),"High Correct")</f>
        <v>#REF!</v>
      </c>
      <c r="E44" s="11" t="e">
        <f ca="1">COUNTIF(INDIRECT("["&amp;datatable!$C$5&amp;"]"&amp;datatable!$E14&amp;"!"&amp;"I:I"),"Medium Correct")</f>
        <v>#REF!</v>
      </c>
      <c r="F44" s="13" t="e">
        <f ca="1">COUNTIF(INDIRECT("["&amp;datatable!$C$5&amp;"]"&amp;datatable!$E14&amp;"!"&amp;"I:I"),"Low Correct")</f>
        <v>#REF!</v>
      </c>
      <c r="G44" s="15" t="e">
        <f ca="1">COUNTIF(INDIRECT("["&amp;datatable!$C$5&amp;"]"&amp;datatable!$E14&amp;"!"&amp;"I:I"),"High Maybe")</f>
        <v>#REF!</v>
      </c>
      <c r="H44" s="17" t="e">
        <f ca="1">COUNTIF(INDIRECT("["&amp;datatable!$C$5&amp;"]"&amp;datatable!$E14&amp;"!"&amp;"I:I"),"Medium Maybe")</f>
        <v>#REF!</v>
      </c>
      <c r="I44" s="19" t="e">
        <f ca="1">COUNTIF(INDIRECT("["&amp;datatable!$C$5&amp;"]"&amp;datatable!$E14&amp;"!"&amp;"I:I"),"Low Maybe")</f>
        <v>#REF!</v>
      </c>
      <c r="J44" s="21" t="e">
        <f ca="1">COUNTIF(INDIRECT("["&amp;datatable!$C$5&amp;"]"&amp;datatable!$E14&amp;"!"&amp;"I:I"),"Low Incorrect")</f>
        <v>#REF!</v>
      </c>
      <c r="K44" s="23" t="e">
        <f ca="1">COUNTIF(INDIRECT("["&amp;datatable!$C$5&amp;"]"&amp;datatable!$E14&amp;"!"&amp;"I:I"),"Medium Incorrect")</f>
        <v>#REF!</v>
      </c>
      <c r="L44" s="25" t="e">
        <f ca="1">COUNTIF(INDIRECT("["&amp;datatable!$C$5&amp;"]"&amp;datatable!$E14&amp;"!"&amp;"I:I"),"High Incorrect")</f>
        <v>#REF!</v>
      </c>
      <c r="M44" s="27" t="e">
        <f ca="1">COUNTIF(INDIRECT("["&amp;datatable!$C$5&amp;"]"&amp;datatable!$E14&amp;"!"&amp;"I:I"),"N/A")</f>
        <v>#REF!</v>
      </c>
      <c r="N44" s="43" t="e">
        <f t="shared" ca="1" si="3"/>
        <v>#REF!</v>
      </c>
      <c r="O44" s="43" t="e">
        <f t="shared" ca="1" si="4"/>
        <v>#REF!</v>
      </c>
    </row>
    <row r="45" spans="3:15">
      <c r="C45" s="42" t="s">
        <v>71</v>
      </c>
      <c r="D45" s="8" t="e">
        <f ca="1">COUNTIF(INDIRECT("["&amp;datatable!$C$5&amp;"]"&amp;datatable!$E15&amp;"!"&amp;"I:I"),"High Correct")</f>
        <v>#REF!</v>
      </c>
      <c r="E45" s="11" t="e">
        <f ca="1">COUNTIF(INDIRECT("["&amp;datatable!$C$5&amp;"]"&amp;datatable!$E15&amp;"!"&amp;"I:I"),"Medium Correct")</f>
        <v>#REF!</v>
      </c>
      <c r="F45" s="13" t="e">
        <f ca="1">COUNTIF(INDIRECT("["&amp;datatable!$C$5&amp;"]"&amp;datatable!$E15&amp;"!"&amp;"I:I"),"Low Correct")</f>
        <v>#REF!</v>
      </c>
      <c r="G45" s="15" t="e">
        <f ca="1">COUNTIF(INDIRECT("["&amp;datatable!$C$5&amp;"]"&amp;datatable!$E15&amp;"!"&amp;"I:I"),"High Maybe")</f>
        <v>#REF!</v>
      </c>
      <c r="H45" s="17" t="e">
        <f ca="1">COUNTIF(INDIRECT("["&amp;datatable!$C$5&amp;"]"&amp;datatable!$E15&amp;"!"&amp;"I:I"),"Medium Maybe")</f>
        <v>#REF!</v>
      </c>
      <c r="I45" s="19" t="e">
        <f ca="1">COUNTIF(INDIRECT("["&amp;datatable!$C$5&amp;"]"&amp;datatable!$E15&amp;"!"&amp;"I:I"),"Low Maybe")</f>
        <v>#REF!</v>
      </c>
      <c r="J45" s="21" t="e">
        <f ca="1">COUNTIF(INDIRECT("["&amp;datatable!$C$5&amp;"]"&amp;datatable!$E15&amp;"!"&amp;"I:I"),"Low Incorrect")</f>
        <v>#REF!</v>
      </c>
      <c r="K45" s="23" t="e">
        <f ca="1">COUNTIF(INDIRECT("["&amp;datatable!$C$5&amp;"]"&amp;datatable!$E15&amp;"!"&amp;"I:I"),"Medium Incorrect")</f>
        <v>#REF!</v>
      </c>
      <c r="L45" s="25" t="e">
        <f ca="1">COUNTIF(INDIRECT("["&amp;datatable!$C$5&amp;"]"&amp;datatable!$E15&amp;"!"&amp;"I:I"),"High Incorrect")</f>
        <v>#REF!</v>
      </c>
      <c r="M45" s="27" t="e">
        <f ca="1">COUNTIF(INDIRECT("["&amp;datatable!$C$5&amp;"]"&amp;datatable!$E15&amp;"!"&amp;"I:I"),"N/A")</f>
        <v>#REF!</v>
      </c>
      <c r="N45" s="43" t="e">
        <f t="shared" ca="1" si="3"/>
        <v>#REF!</v>
      </c>
      <c r="O45" s="43" t="e">
        <f t="shared" ca="1" si="4"/>
        <v>#REF!</v>
      </c>
    </row>
    <row r="46" spans="3:15">
      <c r="C46" s="42" t="s">
        <v>72</v>
      </c>
      <c r="D46" s="8" t="e">
        <f ca="1">COUNTIF(INDIRECT("["&amp;datatable!$C$5&amp;"]"&amp;datatable!$E16&amp;"!"&amp;"I:I"),"High Correct")</f>
        <v>#REF!</v>
      </c>
      <c r="E46" s="11" t="e">
        <f ca="1">COUNTIF(INDIRECT("["&amp;datatable!$C$5&amp;"]"&amp;datatable!$E16&amp;"!"&amp;"I:I"),"Medium Correct")</f>
        <v>#REF!</v>
      </c>
      <c r="F46" s="13" t="e">
        <f ca="1">COUNTIF(INDIRECT("["&amp;datatable!$C$5&amp;"]"&amp;datatable!$E16&amp;"!"&amp;"I:I"),"Low Correct")</f>
        <v>#REF!</v>
      </c>
      <c r="G46" s="15" t="e">
        <f ca="1">COUNTIF(INDIRECT("["&amp;datatable!$C$5&amp;"]"&amp;datatable!$E16&amp;"!"&amp;"I:I"),"High Maybe")</f>
        <v>#REF!</v>
      </c>
      <c r="H46" s="17" t="e">
        <f ca="1">COUNTIF(INDIRECT("["&amp;datatable!$C$5&amp;"]"&amp;datatable!$E16&amp;"!"&amp;"I:I"),"Medium Maybe")</f>
        <v>#REF!</v>
      </c>
      <c r="I46" s="19" t="e">
        <f ca="1">COUNTIF(INDIRECT("["&amp;datatable!$C$5&amp;"]"&amp;datatable!$E16&amp;"!"&amp;"I:I"),"Low Maybe")</f>
        <v>#REF!</v>
      </c>
      <c r="J46" s="21" t="e">
        <f ca="1">COUNTIF(INDIRECT("["&amp;datatable!$C$5&amp;"]"&amp;datatable!$E16&amp;"!"&amp;"I:I"),"Low Incorrect")</f>
        <v>#REF!</v>
      </c>
      <c r="K46" s="23" t="e">
        <f ca="1">COUNTIF(INDIRECT("["&amp;datatable!$C$5&amp;"]"&amp;datatable!$E16&amp;"!"&amp;"I:I"),"Medium Incorrect")</f>
        <v>#REF!</v>
      </c>
      <c r="L46" s="25" t="e">
        <f ca="1">COUNTIF(INDIRECT("["&amp;datatable!$C$5&amp;"]"&amp;datatable!$E16&amp;"!"&amp;"I:I"),"High Incorrect")</f>
        <v>#REF!</v>
      </c>
      <c r="M46" s="27" t="e">
        <f ca="1">COUNTIF(INDIRECT("["&amp;datatable!$C$5&amp;"]"&amp;datatable!$E16&amp;"!"&amp;"I:I"),"N/A")</f>
        <v>#REF!</v>
      </c>
      <c r="N46" s="43" t="e">
        <f t="shared" ca="1" si="3"/>
        <v>#REF!</v>
      </c>
      <c r="O46" s="43" t="e">
        <f t="shared" ca="1" si="4"/>
        <v>#REF!</v>
      </c>
    </row>
    <row r="47" spans="3:15">
      <c r="C47" s="42" t="s">
        <v>73</v>
      </c>
      <c r="D47" s="8" t="e">
        <f ca="1">COUNTIF(INDIRECT("["&amp;datatable!$C$5&amp;"]"&amp;datatable!$E17&amp;"!"&amp;"I:I"),"High Correct")</f>
        <v>#REF!</v>
      </c>
      <c r="E47" s="11" t="e">
        <f ca="1">COUNTIF(INDIRECT("["&amp;datatable!$C$5&amp;"]"&amp;datatable!$E17&amp;"!"&amp;"I:I"),"Medium Correct")</f>
        <v>#REF!</v>
      </c>
      <c r="F47" s="13" t="e">
        <f ca="1">COUNTIF(INDIRECT("["&amp;datatable!$C$5&amp;"]"&amp;datatable!$E17&amp;"!"&amp;"I:I"),"Low Correct")</f>
        <v>#REF!</v>
      </c>
      <c r="G47" s="15" t="e">
        <f ca="1">COUNTIF(INDIRECT("["&amp;datatable!$C$5&amp;"]"&amp;datatable!$E17&amp;"!"&amp;"I:I"),"High Maybe")</f>
        <v>#REF!</v>
      </c>
      <c r="H47" s="17" t="e">
        <f ca="1">COUNTIF(INDIRECT("["&amp;datatable!$C$5&amp;"]"&amp;datatable!$E17&amp;"!"&amp;"I:I"),"Medium Maybe")</f>
        <v>#REF!</v>
      </c>
      <c r="I47" s="19" t="e">
        <f ca="1">COUNTIF(INDIRECT("["&amp;datatable!$C$5&amp;"]"&amp;datatable!$E17&amp;"!"&amp;"I:I"),"Low Maybe")</f>
        <v>#REF!</v>
      </c>
      <c r="J47" s="21" t="e">
        <f ca="1">COUNTIF(INDIRECT("["&amp;datatable!$C$5&amp;"]"&amp;datatable!$E17&amp;"!"&amp;"I:I"),"Low Incorrect")</f>
        <v>#REF!</v>
      </c>
      <c r="K47" s="23" t="e">
        <f ca="1">COUNTIF(INDIRECT("["&amp;datatable!$C$5&amp;"]"&amp;datatable!$E17&amp;"!"&amp;"I:I"),"Medium Incorrect")</f>
        <v>#REF!</v>
      </c>
      <c r="L47" s="25" t="e">
        <f ca="1">COUNTIF(INDIRECT("["&amp;datatable!$C$5&amp;"]"&amp;datatable!$E17&amp;"!"&amp;"I:I"),"High Incorrect")</f>
        <v>#REF!</v>
      </c>
      <c r="M47" s="27" t="e">
        <f ca="1">COUNTIF(INDIRECT("["&amp;datatable!$C$5&amp;"]"&amp;datatable!$E17&amp;"!"&amp;"I:I"),"N/A")</f>
        <v>#REF!</v>
      </c>
      <c r="N47" s="43" t="e">
        <f t="shared" ca="1" si="3"/>
        <v>#REF!</v>
      </c>
      <c r="O47" s="43" t="e">
        <f t="shared" ca="1" si="4"/>
        <v>#REF!</v>
      </c>
    </row>
    <row r="48" spans="3:15">
      <c r="C48" s="46" t="s">
        <v>36</v>
      </c>
      <c r="D48" s="47" t="e">
        <f t="shared" ref="D48:M48" ca="1" si="5">SUM(D32:D47)</f>
        <v>#REF!</v>
      </c>
      <c r="E48" s="47" t="e">
        <f t="shared" ca="1" si="5"/>
        <v>#REF!</v>
      </c>
      <c r="F48" s="47" t="e">
        <f t="shared" ca="1" si="5"/>
        <v>#REF!</v>
      </c>
      <c r="G48" s="47" t="e">
        <f t="shared" ca="1" si="5"/>
        <v>#REF!</v>
      </c>
      <c r="H48" s="47" t="e">
        <f t="shared" ca="1" si="5"/>
        <v>#REF!</v>
      </c>
      <c r="I48" s="47" t="e">
        <f t="shared" ca="1" si="5"/>
        <v>#REF!</v>
      </c>
      <c r="J48" s="47" t="e">
        <f t="shared" ca="1" si="5"/>
        <v>#REF!</v>
      </c>
      <c r="K48" s="47" t="e">
        <f t="shared" ca="1" si="5"/>
        <v>#REF!</v>
      </c>
      <c r="L48" s="47" t="e">
        <f t="shared" ca="1" si="5"/>
        <v>#REF!</v>
      </c>
      <c r="M48" s="47" t="e">
        <f t="shared" ca="1" si="5"/>
        <v>#REF!</v>
      </c>
      <c r="N48" s="43" t="e">
        <f t="shared" ca="1" si="3"/>
        <v>#REF!</v>
      </c>
      <c r="O48" s="43" t="e">
        <f t="shared" ca="1" si="4"/>
        <v>#REF!</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e" cm="1">
        <f t="array" aca="1" ref="D55" ca="1">INDIRECT("["&amp;datatable!$C$5&amp;"]"&amp;datatable!$E2&amp;"!"&amp;"I2")</f>
        <v>#REF!</v>
      </c>
      <c r="E55" s="51" t="e" cm="1">
        <f t="array" aca="1" ref="E55" ca="1">INDIRECT("["&amp;datatable!$C$5&amp;"]"&amp;datatable!$E2&amp;"!"&amp;"I3")</f>
        <v>#REF!</v>
      </c>
      <c r="F55" s="51" t="e" cm="1">
        <f t="array" aca="1" ref="F55" ca="1">INDIRECT("["&amp;datatable!$C$5&amp;"]"&amp;datatable!$E2&amp;"!"&amp;"I4")</f>
        <v>#REF!</v>
      </c>
      <c r="G55" s="51" t="e" cm="1">
        <f t="array" aca="1" ref="G55" ca="1">INDIRECT("["&amp;datatable!$C$5&amp;"]"&amp;datatable!$E2&amp;"!"&amp;"I5")</f>
        <v>#REF!</v>
      </c>
      <c r="H55" s="51" t="e" cm="1">
        <f t="array" aca="1" ref="H55" ca="1">INDIRECT("["&amp;datatable!$C$5&amp;"]"&amp;datatable!$E2&amp;"!"&amp;"I6")</f>
        <v>#REF!</v>
      </c>
      <c r="I55" s="51" t="e" cm="1">
        <f t="array" aca="1" ref="I55" ca="1">INDIRECT("["&amp;datatable!$C$5&amp;"]"&amp;datatable!$E2&amp;"!"&amp;"I7")</f>
        <v>#REF!</v>
      </c>
      <c r="J55" s="51" t="e" cm="1">
        <f t="array" aca="1" ref="J55" ca="1">INDIRECT("["&amp;datatable!$C$5&amp;"]"&amp;datatable!$E2&amp;"!"&amp;"I8")</f>
        <v>#REF!</v>
      </c>
      <c r="K55" s="51" t="e" cm="1">
        <f t="array" aca="1" ref="K55" ca="1">INDIRECT("["&amp;datatable!$C$5&amp;"]"&amp;datatable!$E2&amp;"!"&amp;"I9")</f>
        <v>#REF!</v>
      </c>
      <c r="L55" s="51" t="e" cm="1">
        <f t="array" aca="1" ref="L55" ca="1">INDIRECT("["&amp;datatable!$C$5&amp;"]"&amp;datatable!$E2&amp;"!"&amp;"I10")</f>
        <v>#REF!</v>
      </c>
      <c r="M55" s="51" t="e" cm="1">
        <f t="array" aca="1" ref="M55" ca="1">INDIRECT("["&amp;datatable!$C$5&amp;"]"&amp;datatable!$E2&amp;"!"&amp;"I11")</f>
        <v>#REF!</v>
      </c>
      <c r="N55" s="51" t="e" cm="1">
        <f t="array" aca="1" ref="N55" ca="1">INDIRECT("["&amp;datatable!$C$5&amp;"]"&amp;datatable!$E2&amp;"!"&amp;"I46")</f>
        <v>#REF!</v>
      </c>
      <c r="O55" s="51" t="e" cm="1">
        <f t="array" aca="1" ref="O55" ca="1">INDIRECT("["&amp;datatable!$C$5&amp;"]"&amp;datatable!$E2&amp;"!"&amp;"I47")</f>
        <v>#REF!</v>
      </c>
      <c r="P55" s="51" t="e" cm="1">
        <f t="array" aca="1" ref="P55" ca="1">INDIRECT("["&amp;datatable!$C$5&amp;"]"&amp;datatable!$E2&amp;"!"&amp;"I48")</f>
        <v>#REF!</v>
      </c>
      <c r="Q55" s="51" t="e" cm="1">
        <f t="array" aca="1" ref="Q55" ca="1">INDIRECT("["&amp;datatable!$C$5&amp;"]"&amp;datatable!$E2&amp;"!"&amp;"I49")</f>
        <v>#REF!</v>
      </c>
      <c r="R55" s="51" t="e" cm="1">
        <f t="array" aca="1" ref="R55" ca="1">INDIRECT("["&amp;datatable!$C$5&amp;"]"&amp;datatable!$E2&amp;"!"&amp;"I50")</f>
        <v>#REF!</v>
      </c>
      <c r="S55" s="51" t="e" cm="1">
        <f t="array" aca="1" ref="S55" ca="1">INDIRECT("["&amp;datatable!$C$5&amp;"]"&amp;datatable!$E2&amp;"!"&amp;"I51")</f>
        <v>#REF!</v>
      </c>
      <c r="T55" s="51" t="e" cm="1">
        <f t="array" aca="1" ref="T55" ca="1">INDIRECT("["&amp;datatable!$C$5&amp;"]"&amp;datatable!$E2&amp;"!"&amp;"I52")</f>
        <v>#REF!</v>
      </c>
      <c r="U55" s="51" t="e" cm="1">
        <f t="array" aca="1" ref="U55" ca="1">INDIRECT("["&amp;datatable!$C$5&amp;"]"&amp;datatable!$E2&amp;"!"&amp;"I53")</f>
        <v>#REF!</v>
      </c>
      <c r="V55" s="51" t="e" cm="1">
        <f t="array" aca="1" ref="V55" ca="1">INDIRECT("["&amp;datatable!$C$5&amp;"]"&amp;datatable!$E2&amp;"!"&amp;"I54")</f>
        <v>#REF!</v>
      </c>
      <c r="W55" s="51" t="e" cm="1">
        <f t="array" aca="1" ref="W55" ca="1">INDIRECT("["&amp;datatable!$C$5&amp;"]"&amp;datatable!$E2&amp;"!"&amp;"I55")</f>
        <v>#REF!</v>
      </c>
      <c r="X55" s="51" t="e" cm="1">
        <f t="array" aca="1" ref="X55" ca="1">INDIRECT("["&amp;datatable!$C$5&amp;"]"&amp;datatable!$E2&amp;"!"&amp;"I56")</f>
        <v>#REF!</v>
      </c>
      <c r="Y55" s="50"/>
    </row>
    <row r="56" spans="3:25">
      <c r="C56" s="30" t="s">
        <v>38</v>
      </c>
      <c r="D56" s="51" t="e" cm="1">
        <f t="array" aca="1" ref="D56" ca="1">INDIRECT("["&amp;datatable!$C$5&amp;"]"&amp;datatable!$E3&amp;"!"&amp;"I2")</f>
        <v>#REF!</v>
      </c>
      <c r="E56" s="51" t="e" cm="1">
        <f t="array" aca="1" ref="E56" ca="1">INDIRECT("["&amp;datatable!$C$5&amp;"]"&amp;datatable!$E3&amp;"!"&amp;"I3")</f>
        <v>#REF!</v>
      </c>
      <c r="F56" s="51" t="e" cm="1">
        <f t="array" aca="1" ref="F56" ca="1">INDIRECT("["&amp;datatable!$C$5&amp;"]"&amp;datatable!$E3&amp;"!"&amp;"I4")</f>
        <v>#REF!</v>
      </c>
      <c r="G56" s="51" t="e" cm="1">
        <f t="array" aca="1" ref="G56" ca="1">INDIRECT("["&amp;datatable!$C$5&amp;"]"&amp;datatable!$E3&amp;"!"&amp;"I5")</f>
        <v>#REF!</v>
      </c>
      <c r="H56" s="51" t="e" cm="1">
        <f t="array" aca="1" ref="H56" ca="1">INDIRECT("["&amp;datatable!$C$5&amp;"]"&amp;datatable!$E3&amp;"!"&amp;"I6")</f>
        <v>#REF!</v>
      </c>
      <c r="I56" s="51" t="e" cm="1">
        <f t="array" aca="1" ref="I56" ca="1">INDIRECT("["&amp;datatable!$C$5&amp;"]"&amp;datatable!$E3&amp;"!"&amp;"I7")</f>
        <v>#REF!</v>
      </c>
      <c r="J56" s="51" t="e" cm="1">
        <f t="array" aca="1" ref="J56" ca="1">INDIRECT("["&amp;datatable!$C$5&amp;"]"&amp;datatable!$E3&amp;"!"&amp;"I8")</f>
        <v>#REF!</v>
      </c>
      <c r="K56" s="51" t="e" cm="1">
        <f t="array" aca="1" ref="K56" ca="1">INDIRECT("["&amp;datatable!$C$5&amp;"]"&amp;datatable!$E3&amp;"!"&amp;"I9")</f>
        <v>#REF!</v>
      </c>
      <c r="L56" s="51" t="e" cm="1">
        <f t="array" aca="1" ref="L56" ca="1">INDIRECT("["&amp;datatable!$C$5&amp;"]"&amp;datatable!$E3&amp;"!"&amp;"I10")</f>
        <v>#REF!</v>
      </c>
      <c r="M56" s="51" t="e" cm="1">
        <f t="array" aca="1" ref="M56" ca="1">INDIRECT("["&amp;datatable!$C$5&amp;"]"&amp;datatable!$E3&amp;"!"&amp;"I11")</f>
        <v>#REF!</v>
      </c>
      <c r="N56" s="51" t="e" cm="1">
        <f t="array" aca="1" ref="N56" ca="1">INDIRECT("["&amp;datatable!$C$5&amp;"]"&amp;datatable!$E3&amp;"!"&amp;"I46")</f>
        <v>#REF!</v>
      </c>
      <c r="O56" s="51" t="e" cm="1">
        <f t="array" aca="1" ref="O56" ca="1">INDIRECT("["&amp;datatable!$C$5&amp;"]"&amp;datatable!$E3&amp;"!"&amp;"I47")</f>
        <v>#REF!</v>
      </c>
      <c r="P56" s="51" t="e" cm="1">
        <f t="array" aca="1" ref="P56" ca="1">INDIRECT("["&amp;datatable!$C$5&amp;"]"&amp;datatable!$E3&amp;"!"&amp;"I48")</f>
        <v>#REF!</v>
      </c>
      <c r="Q56" s="51" t="e" cm="1">
        <f t="array" aca="1" ref="Q56" ca="1">INDIRECT("["&amp;datatable!$C$5&amp;"]"&amp;datatable!$E3&amp;"!"&amp;"I49")</f>
        <v>#REF!</v>
      </c>
      <c r="R56" s="51" t="e" cm="1">
        <f t="array" aca="1" ref="R56" ca="1">INDIRECT("["&amp;datatable!$C$5&amp;"]"&amp;datatable!$E3&amp;"!"&amp;"I50")</f>
        <v>#REF!</v>
      </c>
      <c r="S56" s="51" t="e" cm="1">
        <f t="array" aca="1" ref="S56" ca="1">INDIRECT("["&amp;datatable!$C$5&amp;"]"&amp;datatable!$E3&amp;"!"&amp;"I51")</f>
        <v>#REF!</v>
      </c>
      <c r="T56" s="51" t="e" cm="1">
        <f t="array" aca="1" ref="T56" ca="1">INDIRECT("["&amp;datatable!$C$5&amp;"]"&amp;datatable!$E3&amp;"!"&amp;"I52")</f>
        <v>#REF!</v>
      </c>
      <c r="U56" s="51" t="e" cm="1">
        <f t="array" aca="1" ref="U56" ca="1">INDIRECT("["&amp;datatable!$C$5&amp;"]"&amp;datatable!$E3&amp;"!"&amp;"I53")</f>
        <v>#REF!</v>
      </c>
      <c r="V56" s="51" t="e" cm="1">
        <f t="array" aca="1" ref="V56" ca="1">INDIRECT("["&amp;datatable!$C$5&amp;"]"&amp;datatable!$E3&amp;"!"&amp;"I54")</f>
        <v>#REF!</v>
      </c>
      <c r="W56" s="51" t="e" cm="1">
        <f t="array" aca="1" ref="W56" ca="1">INDIRECT("["&amp;datatable!$C$5&amp;"]"&amp;datatable!$E3&amp;"!"&amp;"I55")</f>
        <v>#REF!</v>
      </c>
      <c r="X56" s="51" t="e" cm="1">
        <f t="array" aca="1" ref="X56" ca="1">INDIRECT("["&amp;datatable!$C$5&amp;"]"&amp;datatable!$E3&amp;"!"&amp;"I56")</f>
        <v>#REF!</v>
      </c>
      <c r="Y56" s="50"/>
    </row>
    <row r="57" spans="3:25">
      <c r="C57" s="30" t="s">
        <v>39</v>
      </c>
      <c r="D57" s="51" t="e" cm="1">
        <f t="array" aca="1" ref="D57" ca="1">INDIRECT("["&amp;datatable!$C$5&amp;"]"&amp;datatable!$E4&amp;"!"&amp;"I2")</f>
        <v>#REF!</v>
      </c>
      <c r="E57" s="51" t="e" cm="1">
        <f t="array" aca="1" ref="E57" ca="1">INDIRECT("["&amp;datatable!$C$5&amp;"]"&amp;datatable!$E4&amp;"!"&amp;"I3")</f>
        <v>#REF!</v>
      </c>
      <c r="F57" s="51" t="e" cm="1">
        <f t="array" aca="1" ref="F57" ca="1">INDIRECT("["&amp;datatable!$C$5&amp;"]"&amp;datatable!$E4&amp;"!"&amp;"I4")</f>
        <v>#REF!</v>
      </c>
      <c r="G57" s="51" t="e" cm="1">
        <f t="array" aca="1" ref="G57" ca="1">INDIRECT("["&amp;datatable!$C$5&amp;"]"&amp;datatable!$E4&amp;"!"&amp;"I5")</f>
        <v>#REF!</v>
      </c>
      <c r="H57" s="51" t="e" cm="1">
        <f t="array" aca="1" ref="H57" ca="1">INDIRECT("["&amp;datatable!$C$5&amp;"]"&amp;datatable!$E4&amp;"!"&amp;"I6")</f>
        <v>#REF!</v>
      </c>
      <c r="I57" s="51" t="e" cm="1">
        <f t="array" aca="1" ref="I57" ca="1">INDIRECT("["&amp;datatable!$C$5&amp;"]"&amp;datatable!$E4&amp;"!"&amp;"I7")</f>
        <v>#REF!</v>
      </c>
      <c r="J57" s="51" t="e" cm="1">
        <f t="array" aca="1" ref="J57" ca="1">INDIRECT("["&amp;datatable!$C$5&amp;"]"&amp;datatable!$E4&amp;"!"&amp;"I8")</f>
        <v>#REF!</v>
      </c>
      <c r="K57" s="51" t="e" cm="1">
        <f t="array" aca="1" ref="K57" ca="1">INDIRECT("["&amp;datatable!$C$5&amp;"]"&amp;datatable!$E4&amp;"!"&amp;"I9")</f>
        <v>#REF!</v>
      </c>
      <c r="L57" s="51" t="e" cm="1">
        <f t="array" aca="1" ref="L57" ca="1">INDIRECT("["&amp;datatable!$C$5&amp;"]"&amp;datatable!$E4&amp;"!"&amp;"I10")</f>
        <v>#REF!</v>
      </c>
      <c r="M57" s="51" t="e" cm="1">
        <f t="array" aca="1" ref="M57" ca="1">INDIRECT("["&amp;datatable!$C$5&amp;"]"&amp;datatable!$E4&amp;"!"&amp;"I11")</f>
        <v>#REF!</v>
      </c>
      <c r="N57" s="51" t="e" cm="1">
        <f t="array" aca="1" ref="N57" ca="1">INDIRECT("["&amp;datatable!$C$5&amp;"]"&amp;datatable!$E4&amp;"!"&amp;"I46")</f>
        <v>#REF!</v>
      </c>
      <c r="O57" s="51" t="e" cm="1">
        <f t="array" aca="1" ref="O57" ca="1">INDIRECT("["&amp;datatable!$C$5&amp;"]"&amp;datatable!$E4&amp;"!"&amp;"I47")</f>
        <v>#REF!</v>
      </c>
      <c r="P57" s="51" t="e" cm="1">
        <f t="array" aca="1" ref="P57" ca="1">INDIRECT("["&amp;datatable!$C$5&amp;"]"&amp;datatable!$E4&amp;"!"&amp;"I48")</f>
        <v>#REF!</v>
      </c>
      <c r="Q57" s="51" t="e" cm="1">
        <f t="array" aca="1" ref="Q57" ca="1">INDIRECT("["&amp;datatable!$C$5&amp;"]"&amp;datatable!$E4&amp;"!"&amp;"I49")</f>
        <v>#REF!</v>
      </c>
      <c r="R57" s="51" t="e" cm="1">
        <f t="array" aca="1" ref="R57" ca="1">INDIRECT("["&amp;datatable!$C$5&amp;"]"&amp;datatable!$E4&amp;"!"&amp;"I50")</f>
        <v>#REF!</v>
      </c>
      <c r="S57" s="51" t="e" cm="1">
        <f t="array" aca="1" ref="S57" ca="1">INDIRECT("["&amp;datatable!$C$5&amp;"]"&amp;datatable!$E4&amp;"!"&amp;"I51")</f>
        <v>#REF!</v>
      </c>
      <c r="T57" s="51" t="e" cm="1">
        <f t="array" aca="1" ref="T57" ca="1">INDIRECT("["&amp;datatable!$C$5&amp;"]"&amp;datatable!$E4&amp;"!"&amp;"I52")</f>
        <v>#REF!</v>
      </c>
      <c r="U57" s="51" t="e" cm="1">
        <f t="array" aca="1" ref="U57" ca="1">INDIRECT("["&amp;datatable!$C$5&amp;"]"&amp;datatable!$E4&amp;"!"&amp;"I53")</f>
        <v>#REF!</v>
      </c>
      <c r="V57" s="51" t="e" cm="1">
        <f t="array" aca="1" ref="V57" ca="1">INDIRECT("["&amp;datatable!$C$5&amp;"]"&amp;datatable!$E4&amp;"!"&amp;"I54")</f>
        <v>#REF!</v>
      </c>
      <c r="W57" s="51" t="e" cm="1">
        <f t="array" aca="1" ref="W57" ca="1">INDIRECT("["&amp;datatable!$C$5&amp;"]"&amp;datatable!$E4&amp;"!"&amp;"I55")</f>
        <v>#REF!</v>
      </c>
      <c r="X57" s="51" t="e" cm="1">
        <f t="array" aca="1" ref="X57" ca="1">INDIRECT("["&amp;datatable!$C$5&amp;"]"&amp;datatable!$E4&amp;"!"&amp;"I56")</f>
        <v>#REF!</v>
      </c>
      <c r="Y57" s="50"/>
    </row>
    <row r="58" spans="3:25">
      <c r="C58" s="30" t="s">
        <v>40</v>
      </c>
      <c r="D58" s="51" t="e" cm="1">
        <f t="array" aca="1" ref="D58" ca="1">INDIRECT("["&amp;datatable!$C$5&amp;"]"&amp;datatable!$E5&amp;"!"&amp;"I2")</f>
        <v>#REF!</v>
      </c>
      <c r="E58" s="51" t="e" cm="1">
        <f t="array" aca="1" ref="E58" ca="1">INDIRECT("["&amp;datatable!$C$5&amp;"]"&amp;datatable!$E5&amp;"!"&amp;"I3")</f>
        <v>#REF!</v>
      </c>
      <c r="F58" s="51" t="e" cm="1">
        <f t="array" aca="1" ref="F58" ca="1">INDIRECT("["&amp;datatable!$C$5&amp;"]"&amp;datatable!$E5&amp;"!"&amp;"I4")</f>
        <v>#REF!</v>
      </c>
      <c r="G58" s="51" t="e" cm="1">
        <f t="array" aca="1" ref="G58" ca="1">INDIRECT("["&amp;datatable!$C$5&amp;"]"&amp;datatable!$E5&amp;"!"&amp;"I5")</f>
        <v>#REF!</v>
      </c>
      <c r="H58" s="51" t="e" cm="1">
        <f t="array" aca="1" ref="H58" ca="1">INDIRECT("["&amp;datatable!$C$5&amp;"]"&amp;datatable!$E5&amp;"!"&amp;"I6")</f>
        <v>#REF!</v>
      </c>
      <c r="I58" s="51" t="e" cm="1">
        <f t="array" aca="1" ref="I58" ca="1">INDIRECT("["&amp;datatable!$C$5&amp;"]"&amp;datatable!$E5&amp;"!"&amp;"I7")</f>
        <v>#REF!</v>
      </c>
      <c r="J58" s="51" t="e" cm="1">
        <f t="array" aca="1" ref="J58" ca="1">INDIRECT("["&amp;datatable!$C$5&amp;"]"&amp;datatable!$E5&amp;"!"&amp;"I8")</f>
        <v>#REF!</v>
      </c>
      <c r="K58" s="51" t="e" cm="1">
        <f t="array" aca="1" ref="K58" ca="1">INDIRECT("["&amp;datatable!$C$5&amp;"]"&amp;datatable!$E5&amp;"!"&amp;"I9")</f>
        <v>#REF!</v>
      </c>
      <c r="L58" s="51" t="e" cm="1">
        <f t="array" aca="1" ref="L58" ca="1">INDIRECT("["&amp;datatable!$C$5&amp;"]"&amp;datatable!$E5&amp;"!"&amp;"I10")</f>
        <v>#REF!</v>
      </c>
      <c r="M58" s="51" t="e" cm="1">
        <f t="array" aca="1" ref="M58" ca="1">INDIRECT("["&amp;datatable!$C$5&amp;"]"&amp;datatable!$E5&amp;"!"&amp;"I11")</f>
        <v>#REF!</v>
      </c>
      <c r="N58" s="51" t="e" cm="1">
        <f t="array" aca="1" ref="N58" ca="1">INDIRECT("["&amp;datatable!$C$5&amp;"]"&amp;datatable!$E5&amp;"!"&amp;"I46")</f>
        <v>#REF!</v>
      </c>
      <c r="O58" s="51" t="e" cm="1">
        <f t="array" aca="1" ref="O58" ca="1">INDIRECT("["&amp;datatable!$C$5&amp;"]"&amp;datatable!$E5&amp;"!"&amp;"I47")</f>
        <v>#REF!</v>
      </c>
      <c r="P58" s="51" t="e" cm="1">
        <f t="array" aca="1" ref="P58" ca="1">INDIRECT("["&amp;datatable!$C$5&amp;"]"&amp;datatable!$E5&amp;"!"&amp;"I48")</f>
        <v>#REF!</v>
      </c>
      <c r="Q58" s="51" t="e" cm="1">
        <f t="array" aca="1" ref="Q58" ca="1">INDIRECT("["&amp;datatable!$C$5&amp;"]"&amp;datatable!$E5&amp;"!"&amp;"I49")</f>
        <v>#REF!</v>
      </c>
      <c r="R58" s="51" t="e" cm="1">
        <f t="array" aca="1" ref="R58" ca="1">INDIRECT("["&amp;datatable!$C$5&amp;"]"&amp;datatable!$E5&amp;"!"&amp;"I50")</f>
        <v>#REF!</v>
      </c>
      <c r="S58" s="51" t="e" cm="1">
        <f t="array" aca="1" ref="S58" ca="1">INDIRECT("["&amp;datatable!$C$5&amp;"]"&amp;datatable!$E5&amp;"!"&amp;"I51")</f>
        <v>#REF!</v>
      </c>
      <c r="T58" s="51" t="e" cm="1">
        <f t="array" aca="1" ref="T58" ca="1">INDIRECT("["&amp;datatable!$C$5&amp;"]"&amp;datatable!$E5&amp;"!"&amp;"I52")</f>
        <v>#REF!</v>
      </c>
      <c r="U58" s="51" t="e" cm="1">
        <f t="array" aca="1" ref="U58" ca="1">INDIRECT("["&amp;datatable!$C$5&amp;"]"&amp;datatable!$E5&amp;"!"&amp;"I53")</f>
        <v>#REF!</v>
      </c>
      <c r="V58" s="51" t="e" cm="1">
        <f t="array" aca="1" ref="V58" ca="1">INDIRECT("["&amp;datatable!$C$5&amp;"]"&amp;datatable!$E5&amp;"!"&amp;"I54")</f>
        <v>#REF!</v>
      </c>
      <c r="W58" s="51" t="e" cm="1">
        <f t="array" aca="1" ref="W58" ca="1">INDIRECT("["&amp;datatable!$C$5&amp;"]"&amp;datatable!$E5&amp;"!"&amp;"I55")</f>
        <v>#REF!</v>
      </c>
      <c r="X58" s="51" t="e" cm="1">
        <f t="array" aca="1" ref="X58" ca="1">INDIRECT("["&amp;datatable!$C$5&amp;"]"&amp;datatable!$E5&amp;"!"&amp;"I56")</f>
        <v>#REF!</v>
      </c>
      <c r="Y58" s="50"/>
    </row>
    <row r="59" spans="3:25">
      <c r="C59" s="30" t="s">
        <v>41</v>
      </c>
      <c r="D59" s="51" t="e" cm="1">
        <f t="array" aca="1" ref="D59" ca="1">INDIRECT("["&amp;datatable!$C$5&amp;"]"&amp;datatable!$E6&amp;"!"&amp;"I2")</f>
        <v>#REF!</v>
      </c>
      <c r="E59" s="51" t="e" cm="1">
        <f t="array" aca="1" ref="E59" ca="1">INDIRECT("["&amp;datatable!$C$5&amp;"]"&amp;datatable!$E6&amp;"!"&amp;"I3")</f>
        <v>#REF!</v>
      </c>
      <c r="F59" s="51" t="e" cm="1">
        <f t="array" aca="1" ref="F59" ca="1">INDIRECT("["&amp;datatable!$C$5&amp;"]"&amp;datatable!$E6&amp;"!"&amp;"I4")</f>
        <v>#REF!</v>
      </c>
      <c r="G59" s="51" t="e" cm="1">
        <f t="array" aca="1" ref="G59" ca="1">INDIRECT("["&amp;datatable!$C$5&amp;"]"&amp;datatable!$E6&amp;"!"&amp;"I5")</f>
        <v>#REF!</v>
      </c>
      <c r="H59" s="51" t="e" cm="1">
        <f t="array" aca="1" ref="H59" ca="1">INDIRECT("["&amp;datatable!$C$5&amp;"]"&amp;datatable!$E6&amp;"!"&amp;"I6")</f>
        <v>#REF!</v>
      </c>
      <c r="I59" s="51" t="e" cm="1">
        <f t="array" aca="1" ref="I59" ca="1">INDIRECT("["&amp;datatable!$C$5&amp;"]"&amp;datatable!$E6&amp;"!"&amp;"I7")</f>
        <v>#REF!</v>
      </c>
      <c r="J59" s="51" t="e" cm="1">
        <f t="array" aca="1" ref="J59" ca="1">INDIRECT("["&amp;datatable!$C$5&amp;"]"&amp;datatable!$E6&amp;"!"&amp;"I8")</f>
        <v>#REF!</v>
      </c>
      <c r="K59" s="51" t="e" cm="1">
        <f t="array" aca="1" ref="K59" ca="1">INDIRECT("["&amp;datatable!$C$5&amp;"]"&amp;datatable!$E6&amp;"!"&amp;"I9")</f>
        <v>#REF!</v>
      </c>
      <c r="L59" s="51" t="e" cm="1">
        <f t="array" aca="1" ref="L59" ca="1">INDIRECT("["&amp;datatable!$C$5&amp;"]"&amp;datatable!$E6&amp;"!"&amp;"I10")</f>
        <v>#REF!</v>
      </c>
      <c r="M59" s="51" t="e" cm="1">
        <f t="array" aca="1" ref="M59" ca="1">INDIRECT("["&amp;datatable!$C$5&amp;"]"&amp;datatable!$E6&amp;"!"&amp;"I11")</f>
        <v>#REF!</v>
      </c>
      <c r="N59" s="51" t="e" cm="1">
        <f t="array" aca="1" ref="N59" ca="1">INDIRECT("["&amp;datatable!$C$5&amp;"]"&amp;datatable!$E6&amp;"!"&amp;"I46")</f>
        <v>#REF!</v>
      </c>
      <c r="O59" s="51" t="e" cm="1">
        <f t="array" aca="1" ref="O59" ca="1">INDIRECT("["&amp;datatable!$C$5&amp;"]"&amp;datatable!$E6&amp;"!"&amp;"I47")</f>
        <v>#REF!</v>
      </c>
      <c r="P59" s="51" t="e" cm="1">
        <f t="array" aca="1" ref="P59" ca="1">INDIRECT("["&amp;datatable!$C$5&amp;"]"&amp;datatable!$E6&amp;"!"&amp;"I48")</f>
        <v>#REF!</v>
      </c>
      <c r="Q59" s="51" t="e" cm="1">
        <f t="array" aca="1" ref="Q59" ca="1">INDIRECT("["&amp;datatable!$C$5&amp;"]"&amp;datatable!$E6&amp;"!"&amp;"I49")</f>
        <v>#REF!</v>
      </c>
      <c r="R59" s="51" t="e" cm="1">
        <f t="array" aca="1" ref="R59" ca="1">INDIRECT("["&amp;datatable!$C$5&amp;"]"&amp;datatable!$E6&amp;"!"&amp;"I50")</f>
        <v>#REF!</v>
      </c>
      <c r="S59" s="51" t="e" cm="1">
        <f t="array" aca="1" ref="S59" ca="1">INDIRECT("["&amp;datatable!$C$5&amp;"]"&amp;datatable!$E6&amp;"!"&amp;"I51")</f>
        <v>#REF!</v>
      </c>
      <c r="T59" s="51" t="e" cm="1">
        <f t="array" aca="1" ref="T59" ca="1">INDIRECT("["&amp;datatable!$C$5&amp;"]"&amp;datatable!$E6&amp;"!"&amp;"I52")</f>
        <v>#REF!</v>
      </c>
      <c r="U59" s="51" t="e" cm="1">
        <f t="array" aca="1" ref="U59" ca="1">INDIRECT("["&amp;datatable!$C$5&amp;"]"&amp;datatable!$E6&amp;"!"&amp;"I53")</f>
        <v>#REF!</v>
      </c>
      <c r="V59" s="51" t="e" cm="1">
        <f t="array" aca="1" ref="V59" ca="1">INDIRECT("["&amp;datatable!$C$5&amp;"]"&amp;datatable!$E6&amp;"!"&amp;"I54")</f>
        <v>#REF!</v>
      </c>
      <c r="W59" s="51" t="e" cm="1">
        <f t="array" aca="1" ref="W59" ca="1">INDIRECT("["&amp;datatable!$C$5&amp;"]"&amp;datatable!$E6&amp;"!"&amp;"I55")</f>
        <v>#REF!</v>
      </c>
      <c r="X59" s="51" t="e" cm="1">
        <f t="array" aca="1" ref="X59" ca="1">INDIRECT("["&amp;datatable!$C$5&amp;"]"&amp;datatable!$E6&amp;"!"&amp;"I56")</f>
        <v>#REF!</v>
      </c>
      <c r="Y59" s="50"/>
    </row>
    <row r="60" spans="3:25">
      <c r="C60" s="30" t="s">
        <v>42</v>
      </c>
      <c r="D60" s="51" t="e" cm="1">
        <f t="array" aca="1" ref="D60" ca="1">INDIRECT("["&amp;datatable!$C$5&amp;"]"&amp;datatable!$E7&amp;"!"&amp;"I2")</f>
        <v>#REF!</v>
      </c>
      <c r="E60" s="51" t="e" cm="1">
        <f t="array" aca="1" ref="E60" ca="1">INDIRECT("["&amp;datatable!$C$5&amp;"]"&amp;datatable!$E7&amp;"!"&amp;"I3")</f>
        <v>#REF!</v>
      </c>
      <c r="F60" s="51" t="e" cm="1">
        <f t="array" aca="1" ref="F60" ca="1">INDIRECT("["&amp;datatable!$C$5&amp;"]"&amp;datatable!$E7&amp;"!"&amp;"I4")</f>
        <v>#REF!</v>
      </c>
      <c r="G60" s="51" t="e" cm="1">
        <f t="array" aca="1" ref="G60" ca="1">INDIRECT("["&amp;datatable!$C$5&amp;"]"&amp;datatable!$E7&amp;"!"&amp;"I5")</f>
        <v>#REF!</v>
      </c>
      <c r="H60" s="51" t="e" cm="1">
        <f t="array" aca="1" ref="H60" ca="1">INDIRECT("["&amp;datatable!$C$5&amp;"]"&amp;datatable!$E7&amp;"!"&amp;"I6")</f>
        <v>#REF!</v>
      </c>
      <c r="I60" s="51" t="e" cm="1">
        <f t="array" aca="1" ref="I60" ca="1">INDIRECT("["&amp;datatable!$C$5&amp;"]"&amp;datatable!$E7&amp;"!"&amp;"I7")</f>
        <v>#REF!</v>
      </c>
      <c r="J60" s="51" t="e" cm="1">
        <f t="array" aca="1" ref="J60" ca="1">INDIRECT("["&amp;datatable!$C$5&amp;"]"&amp;datatable!$E7&amp;"!"&amp;"I8")</f>
        <v>#REF!</v>
      </c>
      <c r="K60" s="51" t="e" cm="1">
        <f t="array" aca="1" ref="K60" ca="1">INDIRECT("["&amp;datatable!$C$5&amp;"]"&amp;datatable!$E7&amp;"!"&amp;"I9")</f>
        <v>#REF!</v>
      </c>
      <c r="L60" s="51" t="e" cm="1">
        <f t="array" aca="1" ref="L60" ca="1">INDIRECT("["&amp;datatable!$C$5&amp;"]"&amp;datatable!$E7&amp;"!"&amp;"I10")</f>
        <v>#REF!</v>
      </c>
      <c r="M60" s="51" t="e" cm="1">
        <f t="array" aca="1" ref="M60" ca="1">INDIRECT("["&amp;datatable!$C$5&amp;"]"&amp;datatable!$E7&amp;"!"&amp;"I11")</f>
        <v>#REF!</v>
      </c>
      <c r="N60" s="51" t="e" cm="1">
        <f t="array" aca="1" ref="N60" ca="1">INDIRECT("["&amp;datatable!$C$5&amp;"]"&amp;datatable!$E7&amp;"!"&amp;"I46")</f>
        <v>#REF!</v>
      </c>
      <c r="O60" s="51" t="e" cm="1">
        <f t="array" aca="1" ref="O60" ca="1">INDIRECT("["&amp;datatable!$C$5&amp;"]"&amp;datatable!$E7&amp;"!"&amp;"I47")</f>
        <v>#REF!</v>
      </c>
      <c r="P60" s="51" t="e" cm="1">
        <f t="array" aca="1" ref="P60" ca="1">INDIRECT("["&amp;datatable!$C$5&amp;"]"&amp;datatable!$E7&amp;"!"&amp;"I48")</f>
        <v>#REF!</v>
      </c>
      <c r="Q60" s="51" t="e" cm="1">
        <f t="array" aca="1" ref="Q60" ca="1">INDIRECT("["&amp;datatable!$C$5&amp;"]"&amp;datatable!$E7&amp;"!"&amp;"I49")</f>
        <v>#REF!</v>
      </c>
      <c r="R60" s="51" t="e" cm="1">
        <f t="array" aca="1" ref="R60" ca="1">INDIRECT("["&amp;datatable!$C$5&amp;"]"&amp;datatable!$E7&amp;"!"&amp;"I50")</f>
        <v>#REF!</v>
      </c>
      <c r="S60" s="51" t="e" cm="1">
        <f t="array" aca="1" ref="S60" ca="1">INDIRECT("["&amp;datatable!$C$5&amp;"]"&amp;datatable!$E7&amp;"!"&amp;"I51")</f>
        <v>#REF!</v>
      </c>
      <c r="T60" s="51" t="e" cm="1">
        <f t="array" aca="1" ref="T60" ca="1">INDIRECT("["&amp;datatable!$C$5&amp;"]"&amp;datatable!$E7&amp;"!"&amp;"I52")</f>
        <v>#REF!</v>
      </c>
      <c r="U60" s="51" t="e" cm="1">
        <f t="array" aca="1" ref="U60" ca="1">INDIRECT("["&amp;datatable!$C$5&amp;"]"&amp;datatable!$E7&amp;"!"&amp;"I53")</f>
        <v>#REF!</v>
      </c>
      <c r="V60" s="51" t="e" cm="1">
        <f t="array" aca="1" ref="V60" ca="1">INDIRECT("["&amp;datatable!$C$5&amp;"]"&amp;datatable!$E7&amp;"!"&amp;"I54")</f>
        <v>#REF!</v>
      </c>
      <c r="W60" s="51" t="e" cm="1">
        <f t="array" aca="1" ref="W60" ca="1">INDIRECT("["&amp;datatable!$C$5&amp;"]"&amp;datatable!$E7&amp;"!"&amp;"I55")</f>
        <v>#REF!</v>
      </c>
      <c r="X60" s="51" t="e" cm="1">
        <f t="array" aca="1" ref="X60" ca="1">INDIRECT("["&amp;datatable!$C$5&amp;"]"&amp;datatable!$E7&amp;"!"&amp;"I56")</f>
        <v>#REF!</v>
      </c>
      <c r="Y60" s="50"/>
    </row>
    <row r="61" spans="3:25">
      <c r="C61" s="30" t="s">
        <v>43</v>
      </c>
      <c r="D61" s="51" t="e" cm="1">
        <f t="array" aca="1" ref="D61" ca="1">INDIRECT("["&amp;datatable!$C$5&amp;"]"&amp;datatable!$E8&amp;"!"&amp;"I2")</f>
        <v>#REF!</v>
      </c>
      <c r="E61" s="51" t="e" cm="1">
        <f t="array" aca="1" ref="E61" ca="1">INDIRECT("["&amp;datatable!$C$5&amp;"]"&amp;datatable!$E8&amp;"!"&amp;"I3")</f>
        <v>#REF!</v>
      </c>
      <c r="F61" s="51" t="e" cm="1">
        <f t="array" aca="1" ref="F61" ca="1">INDIRECT("["&amp;datatable!$C$5&amp;"]"&amp;datatable!$E8&amp;"!"&amp;"I4")</f>
        <v>#REF!</v>
      </c>
      <c r="G61" s="51" t="e" cm="1">
        <f t="array" aca="1" ref="G61" ca="1">INDIRECT("["&amp;datatable!$C$5&amp;"]"&amp;datatable!$E8&amp;"!"&amp;"I5")</f>
        <v>#REF!</v>
      </c>
      <c r="H61" s="51" t="e" cm="1">
        <f t="array" aca="1" ref="H61" ca="1">INDIRECT("["&amp;datatable!$C$5&amp;"]"&amp;datatable!$E8&amp;"!"&amp;"I6")</f>
        <v>#REF!</v>
      </c>
      <c r="I61" s="51" t="e" cm="1">
        <f t="array" aca="1" ref="I61" ca="1">INDIRECT("["&amp;datatable!$C$5&amp;"]"&amp;datatable!$E8&amp;"!"&amp;"I7")</f>
        <v>#REF!</v>
      </c>
      <c r="J61" s="51" t="e" cm="1">
        <f t="array" aca="1" ref="J61" ca="1">INDIRECT("["&amp;datatable!$C$5&amp;"]"&amp;datatable!$E8&amp;"!"&amp;"I8")</f>
        <v>#REF!</v>
      </c>
      <c r="K61" s="51" t="e" cm="1">
        <f t="array" aca="1" ref="K61" ca="1">INDIRECT("["&amp;datatable!$C$5&amp;"]"&amp;datatable!$E8&amp;"!"&amp;"I9")</f>
        <v>#REF!</v>
      </c>
      <c r="L61" s="51" t="e" cm="1">
        <f t="array" aca="1" ref="L61" ca="1">INDIRECT("["&amp;datatable!$C$5&amp;"]"&amp;datatable!$E8&amp;"!"&amp;"I10")</f>
        <v>#REF!</v>
      </c>
      <c r="M61" s="51" t="e" cm="1">
        <f t="array" aca="1" ref="M61" ca="1">INDIRECT("["&amp;datatable!$C$5&amp;"]"&amp;datatable!$E8&amp;"!"&amp;"I11")</f>
        <v>#REF!</v>
      </c>
      <c r="N61" s="51" t="e" cm="1">
        <f t="array" aca="1" ref="N61" ca="1">INDIRECT("["&amp;datatable!$C$5&amp;"]"&amp;datatable!$E8&amp;"!"&amp;"I46")</f>
        <v>#REF!</v>
      </c>
      <c r="O61" s="51" t="e" cm="1">
        <f t="array" aca="1" ref="O61" ca="1">INDIRECT("["&amp;datatable!$C$5&amp;"]"&amp;datatable!$E8&amp;"!"&amp;"I47")</f>
        <v>#REF!</v>
      </c>
      <c r="P61" s="51" t="e" cm="1">
        <f t="array" aca="1" ref="P61" ca="1">INDIRECT("["&amp;datatable!$C$5&amp;"]"&amp;datatable!$E8&amp;"!"&amp;"I48")</f>
        <v>#REF!</v>
      </c>
      <c r="Q61" s="51" t="e" cm="1">
        <f t="array" aca="1" ref="Q61" ca="1">INDIRECT("["&amp;datatable!$C$5&amp;"]"&amp;datatable!$E8&amp;"!"&amp;"I49")</f>
        <v>#REF!</v>
      </c>
      <c r="R61" s="51" t="e" cm="1">
        <f t="array" aca="1" ref="R61" ca="1">INDIRECT("["&amp;datatable!$C$5&amp;"]"&amp;datatable!$E8&amp;"!"&amp;"I50")</f>
        <v>#REF!</v>
      </c>
      <c r="S61" s="51" t="e" cm="1">
        <f t="array" aca="1" ref="S61" ca="1">INDIRECT("["&amp;datatable!$C$5&amp;"]"&amp;datatable!$E8&amp;"!"&amp;"I51")</f>
        <v>#REF!</v>
      </c>
      <c r="T61" s="51" t="e" cm="1">
        <f t="array" aca="1" ref="T61" ca="1">INDIRECT("["&amp;datatable!$C$5&amp;"]"&amp;datatable!$E8&amp;"!"&amp;"I52")</f>
        <v>#REF!</v>
      </c>
      <c r="U61" s="51" t="e" cm="1">
        <f t="array" aca="1" ref="U61" ca="1">INDIRECT("["&amp;datatable!$C$5&amp;"]"&amp;datatable!$E8&amp;"!"&amp;"I53")</f>
        <v>#REF!</v>
      </c>
      <c r="V61" s="51" t="e" cm="1">
        <f t="array" aca="1" ref="V61" ca="1">INDIRECT("["&amp;datatable!$C$5&amp;"]"&amp;datatable!$E8&amp;"!"&amp;"I54")</f>
        <v>#REF!</v>
      </c>
      <c r="W61" s="51" t="e" cm="1">
        <f t="array" aca="1" ref="W61" ca="1">INDIRECT("["&amp;datatable!$C$5&amp;"]"&amp;datatable!$E8&amp;"!"&amp;"I55")</f>
        <v>#REF!</v>
      </c>
      <c r="X61" s="51" t="e" cm="1">
        <f t="array" aca="1" ref="X61" ca="1">INDIRECT("["&amp;datatable!$C$5&amp;"]"&amp;datatable!$E8&amp;"!"&amp;"I56")</f>
        <v>#REF!</v>
      </c>
      <c r="Y61" s="50"/>
    </row>
    <row r="62" spans="3:25">
      <c r="C62" s="30" t="s">
        <v>44</v>
      </c>
      <c r="D62" s="51" t="e" cm="1">
        <f t="array" aca="1" ref="D62" ca="1">INDIRECT("["&amp;datatable!$C$5&amp;"]"&amp;datatable!$E9&amp;"!"&amp;"I2")</f>
        <v>#REF!</v>
      </c>
      <c r="E62" s="51" t="e" cm="1">
        <f t="array" aca="1" ref="E62" ca="1">INDIRECT("["&amp;datatable!$C$5&amp;"]"&amp;datatable!$E9&amp;"!"&amp;"I3")</f>
        <v>#REF!</v>
      </c>
      <c r="F62" s="51" t="e" cm="1">
        <f t="array" aca="1" ref="F62" ca="1">INDIRECT("["&amp;datatable!$C$5&amp;"]"&amp;datatable!$E9&amp;"!"&amp;"I4")</f>
        <v>#REF!</v>
      </c>
      <c r="G62" s="51" t="e" cm="1">
        <f t="array" aca="1" ref="G62" ca="1">INDIRECT("["&amp;datatable!$C$5&amp;"]"&amp;datatable!$E9&amp;"!"&amp;"I5")</f>
        <v>#REF!</v>
      </c>
      <c r="H62" s="51" t="e" cm="1">
        <f t="array" aca="1" ref="H62" ca="1">INDIRECT("["&amp;datatable!$C$5&amp;"]"&amp;datatable!$E9&amp;"!"&amp;"I6")</f>
        <v>#REF!</v>
      </c>
      <c r="I62" s="51" t="e" cm="1">
        <f t="array" aca="1" ref="I62" ca="1">INDIRECT("["&amp;datatable!$C$5&amp;"]"&amp;datatable!$E9&amp;"!"&amp;"I7")</f>
        <v>#REF!</v>
      </c>
      <c r="J62" s="51" t="e" cm="1">
        <f t="array" aca="1" ref="J62" ca="1">INDIRECT("["&amp;datatable!$C$5&amp;"]"&amp;datatable!$E9&amp;"!"&amp;"I8")</f>
        <v>#REF!</v>
      </c>
      <c r="K62" s="51" t="e" cm="1">
        <f t="array" aca="1" ref="K62" ca="1">INDIRECT("["&amp;datatable!$C$5&amp;"]"&amp;datatable!$E9&amp;"!"&amp;"I9")</f>
        <v>#REF!</v>
      </c>
      <c r="L62" s="51" t="e" cm="1">
        <f t="array" aca="1" ref="L62" ca="1">INDIRECT("["&amp;datatable!$C$5&amp;"]"&amp;datatable!$E9&amp;"!"&amp;"I10")</f>
        <v>#REF!</v>
      </c>
      <c r="M62" s="51" t="e" cm="1">
        <f t="array" aca="1" ref="M62" ca="1">INDIRECT("["&amp;datatable!$C$5&amp;"]"&amp;datatable!$E9&amp;"!"&amp;"I11")</f>
        <v>#REF!</v>
      </c>
      <c r="N62" s="51" t="e" cm="1">
        <f t="array" aca="1" ref="N62" ca="1">INDIRECT("["&amp;datatable!$C$5&amp;"]"&amp;datatable!$E9&amp;"!"&amp;"I46")</f>
        <v>#REF!</v>
      </c>
      <c r="O62" s="51" t="e" cm="1">
        <f t="array" aca="1" ref="O62" ca="1">INDIRECT("["&amp;datatable!$C$5&amp;"]"&amp;datatable!$E9&amp;"!"&amp;"I47")</f>
        <v>#REF!</v>
      </c>
      <c r="P62" s="51" t="e" cm="1">
        <f t="array" aca="1" ref="P62" ca="1">INDIRECT("["&amp;datatable!$C$5&amp;"]"&amp;datatable!$E9&amp;"!"&amp;"I48")</f>
        <v>#REF!</v>
      </c>
      <c r="Q62" s="51" t="e" cm="1">
        <f t="array" aca="1" ref="Q62" ca="1">INDIRECT("["&amp;datatable!$C$5&amp;"]"&amp;datatable!$E9&amp;"!"&amp;"I49")</f>
        <v>#REF!</v>
      </c>
      <c r="R62" s="51" t="e" cm="1">
        <f t="array" aca="1" ref="R62" ca="1">INDIRECT("["&amp;datatable!$C$5&amp;"]"&amp;datatable!$E9&amp;"!"&amp;"I50")</f>
        <v>#REF!</v>
      </c>
      <c r="S62" s="51" t="e" cm="1">
        <f t="array" aca="1" ref="S62" ca="1">INDIRECT("["&amp;datatable!$C$5&amp;"]"&amp;datatable!$E9&amp;"!"&amp;"I51")</f>
        <v>#REF!</v>
      </c>
      <c r="T62" s="51" t="e" cm="1">
        <f t="array" aca="1" ref="T62" ca="1">INDIRECT("["&amp;datatable!$C$5&amp;"]"&amp;datatable!$E9&amp;"!"&amp;"I52")</f>
        <v>#REF!</v>
      </c>
      <c r="U62" s="51" t="e" cm="1">
        <f t="array" aca="1" ref="U62" ca="1">INDIRECT("["&amp;datatable!$C$5&amp;"]"&amp;datatable!$E9&amp;"!"&amp;"I53")</f>
        <v>#REF!</v>
      </c>
      <c r="V62" s="51" t="e" cm="1">
        <f t="array" aca="1" ref="V62" ca="1">INDIRECT("["&amp;datatable!$C$5&amp;"]"&amp;datatable!$E9&amp;"!"&amp;"I54")</f>
        <v>#REF!</v>
      </c>
      <c r="W62" s="51" t="e" cm="1">
        <f t="array" aca="1" ref="W62" ca="1">INDIRECT("["&amp;datatable!$C$5&amp;"]"&amp;datatable!$E9&amp;"!"&amp;"I55")</f>
        <v>#REF!</v>
      </c>
      <c r="X62" s="51" t="e" cm="1">
        <f t="array" aca="1" ref="X62" ca="1">INDIRECT("["&amp;datatable!$C$5&amp;"]"&amp;datatable!$E9&amp;"!"&amp;"I56")</f>
        <v>#REF!</v>
      </c>
      <c r="Y62" s="50"/>
    </row>
    <row r="63" spans="3:25">
      <c r="C63" s="30" t="s">
        <v>45</v>
      </c>
      <c r="D63" s="51" t="e" cm="1">
        <f t="array" aca="1" ref="D63" ca="1">INDIRECT("["&amp;datatable!$C$5&amp;"]"&amp;datatable!$E10&amp;"!"&amp;"I2")</f>
        <v>#REF!</v>
      </c>
      <c r="E63" s="51" t="e" cm="1">
        <f t="array" aca="1" ref="E63" ca="1">INDIRECT("["&amp;datatable!$C$5&amp;"]"&amp;datatable!$E10&amp;"!"&amp;"I3")</f>
        <v>#REF!</v>
      </c>
      <c r="F63" s="51" t="e" cm="1">
        <f t="array" aca="1" ref="F63" ca="1">INDIRECT("["&amp;datatable!$C$5&amp;"]"&amp;datatable!$E10&amp;"!"&amp;"I4")</f>
        <v>#REF!</v>
      </c>
      <c r="G63" s="51" t="e" cm="1">
        <f t="array" aca="1" ref="G63" ca="1">INDIRECT("["&amp;datatable!$C$5&amp;"]"&amp;datatable!$E10&amp;"!"&amp;"I5")</f>
        <v>#REF!</v>
      </c>
      <c r="H63" s="51" t="e" cm="1">
        <f t="array" aca="1" ref="H63" ca="1">INDIRECT("["&amp;datatable!$C$5&amp;"]"&amp;datatable!$E10&amp;"!"&amp;"I6")</f>
        <v>#REF!</v>
      </c>
      <c r="I63" s="51" t="e" cm="1">
        <f t="array" aca="1" ref="I63" ca="1">INDIRECT("["&amp;datatable!$C$5&amp;"]"&amp;datatable!$E10&amp;"!"&amp;"I7")</f>
        <v>#REF!</v>
      </c>
      <c r="J63" s="51" t="e" cm="1">
        <f t="array" aca="1" ref="J63" ca="1">INDIRECT("["&amp;datatable!$C$5&amp;"]"&amp;datatable!$E10&amp;"!"&amp;"I8")</f>
        <v>#REF!</v>
      </c>
      <c r="K63" s="51" t="e" cm="1">
        <f t="array" aca="1" ref="K63" ca="1">INDIRECT("["&amp;datatable!$C$5&amp;"]"&amp;datatable!$E10&amp;"!"&amp;"I9")</f>
        <v>#REF!</v>
      </c>
      <c r="L63" s="51" t="e" cm="1">
        <f t="array" aca="1" ref="L63" ca="1">INDIRECT("["&amp;datatable!$C$5&amp;"]"&amp;datatable!$E10&amp;"!"&amp;"I10")</f>
        <v>#REF!</v>
      </c>
      <c r="M63" s="51" t="e" cm="1">
        <f t="array" aca="1" ref="M63" ca="1">INDIRECT("["&amp;datatable!$C$5&amp;"]"&amp;datatable!$E10&amp;"!"&amp;"I11")</f>
        <v>#REF!</v>
      </c>
      <c r="N63" s="51" t="e" cm="1">
        <f t="array" aca="1" ref="N63" ca="1">INDIRECT("["&amp;datatable!$C$5&amp;"]"&amp;datatable!$E10&amp;"!"&amp;"I46")</f>
        <v>#REF!</v>
      </c>
      <c r="O63" s="51" t="e" cm="1">
        <f t="array" aca="1" ref="O63" ca="1">INDIRECT("["&amp;datatable!$C$5&amp;"]"&amp;datatable!$E10&amp;"!"&amp;"I47")</f>
        <v>#REF!</v>
      </c>
      <c r="P63" s="51" t="e" cm="1">
        <f t="array" aca="1" ref="P63" ca="1">INDIRECT("["&amp;datatable!$C$5&amp;"]"&amp;datatable!$E10&amp;"!"&amp;"I48")</f>
        <v>#REF!</v>
      </c>
      <c r="Q63" s="51" t="e" cm="1">
        <f t="array" aca="1" ref="Q63" ca="1">INDIRECT("["&amp;datatable!$C$5&amp;"]"&amp;datatable!$E10&amp;"!"&amp;"I49")</f>
        <v>#REF!</v>
      </c>
      <c r="R63" s="51" t="e" cm="1">
        <f t="array" aca="1" ref="R63" ca="1">INDIRECT("["&amp;datatable!$C$5&amp;"]"&amp;datatable!$E10&amp;"!"&amp;"I50")</f>
        <v>#REF!</v>
      </c>
      <c r="S63" s="51" t="e" cm="1">
        <f t="array" aca="1" ref="S63" ca="1">INDIRECT("["&amp;datatable!$C$5&amp;"]"&amp;datatable!$E10&amp;"!"&amp;"I51")</f>
        <v>#REF!</v>
      </c>
      <c r="T63" s="51" t="e" cm="1">
        <f t="array" aca="1" ref="T63" ca="1">INDIRECT("["&amp;datatable!$C$5&amp;"]"&amp;datatable!$E10&amp;"!"&amp;"I52")</f>
        <v>#REF!</v>
      </c>
      <c r="U63" s="51" t="e" cm="1">
        <f t="array" aca="1" ref="U63" ca="1">INDIRECT("["&amp;datatable!$C$5&amp;"]"&amp;datatable!$E10&amp;"!"&amp;"I53")</f>
        <v>#REF!</v>
      </c>
      <c r="V63" s="51" t="e" cm="1">
        <f t="array" aca="1" ref="V63" ca="1">INDIRECT("["&amp;datatable!$C$5&amp;"]"&amp;datatable!$E10&amp;"!"&amp;"I54")</f>
        <v>#REF!</v>
      </c>
      <c r="W63" s="51" t="e" cm="1">
        <f t="array" aca="1" ref="W63" ca="1">INDIRECT("["&amp;datatable!$C$5&amp;"]"&amp;datatable!$E10&amp;"!"&amp;"I55")</f>
        <v>#REF!</v>
      </c>
      <c r="X63" s="51" t="e" cm="1">
        <f t="array" aca="1" ref="X63" ca="1">INDIRECT("["&amp;datatable!$C$5&amp;"]"&amp;datatable!$E10&amp;"!"&amp;"I56")</f>
        <v>#REF!</v>
      </c>
      <c r="Y63" s="50"/>
    </row>
    <row r="64" spans="3:25">
      <c r="C64" s="30" t="s">
        <v>46</v>
      </c>
      <c r="D64" s="51" t="e" cm="1">
        <f t="array" aca="1" ref="D64" ca="1">INDIRECT("["&amp;datatable!$C$5&amp;"]"&amp;datatable!$E11&amp;"!"&amp;"I2")</f>
        <v>#REF!</v>
      </c>
      <c r="E64" s="51" t="e" cm="1">
        <f t="array" aca="1" ref="E64" ca="1">INDIRECT("["&amp;datatable!$C$5&amp;"]"&amp;datatable!$E11&amp;"!"&amp;"I3")</f>
        <v>#REF!</v>
      </c>
      <c r="F64" s="51" t="e" cm="1">
        <f t="array" aca="1" ref="F64" ca="1">INDIRECT("["&amp;datatable!$C$5&amp;"]"&amp;datatable!$E11&amp;"!"&amp;"I4")</f>
        <v>#REF!</v>
      </c>
      <c r="G64" s="51" t="e" cm="1">
        <f t="array" aca="1" ref="G64" ca="1">INDIRECT("["&amp;datatable!$C$5&amp;"]"&amp;datatable!$E11&amp;"!"&amp;"I5")</f>
        <v>#REF!</v>
      </c>
      <c r="H64" s="51" t="e" cm="1">
        <f t="array" aca="1" ref="H64" ca="1">INDIRECT("["&amp;datatable!$C$5&amp;"]"&amp;datatable!$E11&amp;"!"&amp;"I6")</f>
        <v>#REF!</v>
      </c>
      <c r="I64" s="51" t="e" cm="1">
        <f t="array" aca="1" ref="I64" ca="1">INDIRECT("["&amp;datatable!$C$5&amp;"]"&amp;datatable!$E11&amp;"!"&amp;"I7")</f>
        <v>#REF!</v>
      </c>
      <c r="J64" s="51" t="e" cm="1">
        <f t="array" aca="1" ref="J64" ca="1">INDIRECT("["&amp;datatable!$C$5&amp;"]"&amp;datatable!$E11&amp;"!"&amp;"I8")</f>
        <v>#REF!</v>
      </c>
      <c r="K64" s="51" t="e" cm="1">
        <f t="array" aca="1" ref="K64" ca="1">INDIRECT("["&amp;datatable!$C$5&amp;"]"&amp;datatable!$E11&amp;"!"&amp;"I9")</f>
        <v>#REF!</v>
      </c>
      <c r="L64" s="51" t="e" cm="1">
        <f t="array" aca="1" ref="L64" ca="1">INDIRECT("["&amp;datatable!$C$5&amp;"]"&amp;datatable!$E11&amp;"!"&amp;"I10")</f>
        <v>#REF!</v>
      </c>
      <c r="M64" s="51" t="e" cm="1">
        <f t="array" aca="1" ref="M64" ca="1">INDIRECT("["&amp;datatable!$C$5&amp;"]"&amp;datatable!$E11&amp;"!"&amp;"I11")</f>
        <v>#REF!</v>
      </c>
      <c r="N64" s="51" t="e" cm="1">
        <f t="array" aca="1" ref="N64" ca="1">INDIRECT("["&amp;datatable!$C$5&amp;"]"&amp;datatable!$E11&amp;"!"&amp;"I46")</f>
        <v>#REF!</v>
      </c>
      <c r="O64" s="51" t="e" cm="1">
        <f t="array" aca="1" ref="O64" ca="1">INDIRECT("["&amp;datatable!$C$5&amp;"]"&amp;datatable!$E11&amp;"!"&amp;"I47")</f>
        <v>#REF!</v>
      </c>
      <c r="P64" s="51" t="e" cm="1">
        <f t="array" aca="1" ref="P64" ca="1">INDIRECT("["&amp;datatable!$C$5&amp;"]"&amp;datatable!$E11&amp;"!"&amp;"I48")</f>
        <v>#REF!</v>
      </c>
      <c r="Q64" s="51" t="e" cm="1">
        <f t="array" aca="1" ref="Q64" ca="1">INDIRECT("["&amp;datatable!$C$5&amp;"]"&amp;datatable!$E11&amp;"!"&amp;"I49")</f>
        <v>#REF!</v>
      </c>
      <c r="R64" s="51" t="e" cm="1">
        <f t="array" aca="1" ref="R64" ca="1">INDIRECT("["&amp;datatable!$C$5&amp;"]"&amp;datatable!$E11&amp;"!"&amp;"I50")</f>
        <v>#REF!</v>
      </c>
      <c r="S64" s="51" t="e" cm="1">
        <f t="array" aca="1" ref="S64" ca="1">INDIRECT("["&amp;datatable!$C$5&amp;"]"&amp;datatable!$E11&amp;"!"&amp;"I51")</f>
        <v>#REF!</v>
      </c>
      <c r="T64" s="51" t="e" cm="1">
        <f t="array" aca="1" ref="T64" ca="1">INDIRECT("["&amp;datatable!$C$5&amp;"]"&amp;datatable!$E11&amp;"!"&amp;"I52")</f>
        <v>#REF!</v>
      </c>
      <c r="U64" s="51" t="e" cm="1">
        <f t="array" aca="1" ref="U64" ca="1">INDIRECT("["&amp;datatable!$C$5&amp;"]"&amp;datatable!$E11&amp;"!"&amp;"I53")</f>
        <v>#REF!</v>
      </c>
      <c r="V64" s="51" t="e" cm="1">
        <f t="array" aca="1" ref="V64" ca="1">INDIRECT("["&amp;datatable!$C$5&amp;"]"&amp;datatable!$E11&amp;"!"&amp;"I54")</f>
        <v>#REF!</v>
      </c>
      <c r="W64" s="51" t="e" cm="1">
        <f t="array" aca="1" ref="W64" ca="1">INDIRECT("["&amp;datatable!$C$5&amp;"]"&amp;datatable!$E11&amp;"!"&amp;"I55")</f>
        <v>#REF!</v>
      </c>
      <c r="X64" s="51" t="e" cm="1">
        <f t="array" aca="1" ref="X64" ca="1">INDIRECT("["&amp;datatable!$C$5&amp;"]"&amp;datatable!$E11&amp;"!"&amp;"I56")</f>
        <v>#REF!</v>
      </c>
      <c r="Y64" s="50"/>
    </row>
    <row r="65" spans="3:25">
      <c r="C65" s="30" t="s">
        <v>47</v>
      </c>
      <c r="D65" s="51" t="e" cm="1">
        <f t="array" aca="1" ref="D65" ca="1">INDIRECT("["&amp;datatable!$C$5&amp;"]"&amp;datatable!$E12&amp;"!"&amp;"I2")</f>
        <v>#REF!</v>
      </c>
      <c r="E65" s="51" t="e" cm="1">
        <f t="array" aca="1" ref="E65" ca="1">INDIRECT("["&amp;datatable!$C$5&amp;"]"&amp;datatable!$E12&amp;"!"&amp;"I3")</f>
        <v>#REF!</v>
      </c>
      <c r="F65" s="51" t="e" cm="1">
        <f t="array" aca="1" ref="F65" ca="1">INDIRECT("["&amp;datatable!$C$5&amp;"]"&amp;datatable!$E12&amp;"!"&amp;"I4")</f>
        <v>#REF!</v>
      </c>
      <c r="G65" s="51" t="e" cm="1">
        <f t="array" aca="1" ref="G65" ca="1">INDIRECT("["&amp;datatable!$C$5&amp;"]"&amp;datatable!$E12&amp;"!"&amp;"I5")</f>
        <v>#REF!</v>
      </c>
      <c r="H65" s="51" t="e" cm="1">
        <f t="array" aca="1" ref="H65" ca="1">INDIRECT("["&amp;datatable!$C$5&amp;"]"&amp;datatable!$E12&amp;"!"&amp;"I6")</f>
        <v>#REF!</v>
      </c>
      <c r="I65" s="51" t="e" cm="1">
        <f t="array" aca="1" ref="I65" ca="1">INDIRECT("["&amp;datatable!$C$5&amp;"]"&amp;datatable!$E12&amp;"!"&amp;"I7")</f>
        <v>#REF!</v>
      </c>
      <c r="J65" s="51" t="e" cm="1">
        <f t="array" aca="1" ref="J65" ca="1">INDIRECT("["&amp;datatable!$C$5&amp;"]"&amp;datatable!$E12&amp;"!"&amp;"I8")</f>
        <v>#REF!</v>
      </c>
      <c r="K65" s="51" t="e" cm="1">
        <f t="array" aca="1" ref="K65" ca="1">INDIRECT("["&amp;datatable!$C$5&amp;"]"&amp;datatable!$E12&amp;"!"&amp;"I9")</f>
        <v>#REF!</v>
      </c>
      <c r="L65" s="51" t="e" cm="1">
        <f t="array" aca="1" ref="L65" ca="1">INDIRECT("["&amp;datatable!$C$5&amp;"]"&amp;datatable!$E12&amp;"!"&amp;"I10")</f>
        <v>#REF!</v>
      </c>
      <c r="M65" s="51" t="e" cm="1">
        <f t="array" aca="1" ref="M65" ca="1">INDIRECT("["&amp;datatable!$C$5&amp;"]"&amp;datatable!$E12&amp;"!"&amp;"I11")</f>
        <v>#REF!</v>
      </c>
      <c r="N65" s="51" t="e" cm="1">
        <f t="array" aca="1" ref="N65" ca="1">INDIRECT("["&amp;datatable!$C$5&amp;"]"&amp;datatable!$E12&amp;"!"&amp;"I46")</f>
        <v>#REF!</v>
      </c>
      <c r="O65" s="51" t="e" cm="1">
        <f t="array" aca="1" ref="O65" ca="1">INDIRECT("["&amp;datatable!$C$5&amp;"]"&amp;datatable!$E12&amp;"!"&amp;"I47")</f>
        <v>#REF!</v>
      </c>
      <c r="P65" s="51" t="e" cm="1">
        <f t="array" aca="1" ref="P65" ca="1">INDIRECT("["&amp;datatable!$C$5&amp;"]"&amp;datatable!$E12&amp;"!"&amp;"I48")</f>
        <v>#REF!</v>
      </c>
      <c r="Q65" s="51" t="e" cm="1">
        <f t="array" aca="1" ref="Q65" ca="1">INDIRECT("["&amp;datatable!$C$5&amp;"]"&amp;datatable!$E12&amp;"!"&amp;"I49")</f>
        <v>#REF!</v>
      </c>
      <c r="R65" s="51" t="e" cm="1">
        <f t="array" aca="1" ref="R65" ca="1">INDIRECT("["&amp;datatable!$C$5&amp;"]"&amp;datatable!$E12&amp;"!"&amp;"I50")</f>
        <v>#REF!</v>
      </c>
      <c r="S65" s="51" t="e" cm="1">
        <f t="array" aca="1" ref="S65" ca="1">INDIRECT("["&amp;datatable!$C$5&amp;"]"&amp;datatable!$E12&amp;"!"&amp;"I51")</f>
        <v>#REF!</v>
      </c>
      <c r="T65" s="51" t="e" cm="1">
        <f t="array" aca="1" ref="T65" ca="1">INDIRECT("["&amp;datatable!$C$5&amp;"]"&amp;datatable!$E12&amp;"!"&amp;"I52")</f>
        <v>#REF!</v>
      </c>
      <c r="U65" s="51" t="e" cm="1">
        <f t="array" aca="1" ref="U65" ca="1">INDIRECT("["&amp;datatable!$C$5&amp;"]"&amp;datatable!$E12&amp;"!"&amp;"I53")</f>
        <v>#REF!</v>
      </c>
      <c r="V65" s="51" t="e" cm="1">
        <f t="array" aca="1" ref="V65" ca="1">INDIRECT("["&amp;datatable!$C$5&amp;"]"&amp;datatable!$E12&amp;"!"&amp;"I54")</f>
        <v>#REF!</v>
      </c>
      <c r="W65" s="51" t="e" cm="1">
        <f t="array" aca="1" ref="W65" ca="1">INDIRECT("["&amp;datatable!$C$5&amp;"]"&amp;datatable!$E12&amp;"!"&amp;"I55")</f>
        <v>#REF!</v>
      </c>
      <c r="X65" s="51" t="e" cm="1">
        <f t="array" aca="1" ref="X65" ca="1">INDIRECT("["&amp;datatable!$C$5&amp;"]"&amp;datatable!$E12&amp;"!"&amp;"I56")</f>
        <v>#REF!</v>
      </c>
      <c r="Y65" s="50"/>
    </row>
    <row r="66" spans="3:25">
      <c r="C66" s="30" t="s">
        <v>48</v>
      </c>
      <c r="D66" s="51" t="e" cm="1">
        <f t="array" aca="1" ref="D66" ca="1">INDIRECT("["&amp;datatable!$C$5&amp;"]"&amp;datatable!$E13&amp;"!"&amp;"I2")</f>
        <v>#REF!</v>
      </c>
      <c r="E66" s="51" t="e" cm="1">
        <f t="array" aca="1" ref="E66" ca="1">INDIRECT("["&amp;datatable!$C$5&amp;"]"&amp;datatable!$E13&amp;"!"&amp;"I3")</f>
        <v>#REF!</v>
      </c>
      <c r="F66" s="51" t="e" cm="1">
        <f t="array" aca="1" ref="F66" ca="1">INDIRECT("["&amp;datatable!$C$5&amp;"]"&amp;datatable!$E13&amp;"!"&amp;"I4")</f>
        <v>#REF!</v>
      </c>
      <c r="G66" s="51" t="e" cm="1">
        <f t="array" aca="1" ref="G66" ca="1">INDIRECT("["&amp;datatable!$C$5&amp;"]"&amp;datatable!$E13&amp;"!"&amp;"I5")</f>
        <v>#REF!</v>
      </c>
      <c r="H66" s="51" t="e" cm="1">
        <f t="array" aca="1" ref="H66" ca="1">INDIRECT("["&amp;datatable!$C$5&amp;"]"&amp;datatable!$E13&amp;"!"&amp;"I6")</f>
        <v>#REF!</v>
      </c>
      <c r="I66" s="51" t="e" cm="1">
        <f t="array" aca="1" ref="I66" ca="1">INDIRECT("["&amp;datatable!$C$5&amp;"]"&amp;datatable!$E13&amp;"!"&amp;"I7")</f>
        <v>#REF!</v>
      </c>
      <c r="J66" s="51" t="e" cm="1">
        <f t="array" aca="1" ref="J66" ca="1">INDIRECT("["&amp;datatable!$C$5&amp;"]"&amp;datatable!$E13&amp;"!"&amp;"I8")</f>
        <v>#REF!</v>
      </c>
      <c r="K66" s="51" t="e" cm="1">
        <f t="array" aca="1" ref="K66" ca="1">INDIRECT("["&amp;datatable!$C$5&amp;"]"&amp;datatable!$E13&amp;"!"&amp;"I9")</f>
        <v>#REF!</v>
      </c>
      <c r="L66" s="51" t="e" cm="1">
        <f t="array" aca="1" ref="L66" ca="1">INDIRECT("["&amp;datatable!$C$5&amp;"]"&amp;datatable!$E13&amp;"!"&amp;"I10")</f>
        <v>#REF!</v>
      </c>
      <c r="M66" s="51" t="e" cm="1">
        <f t="array" aca="1" ref="M66" ca="1">INDIRECT("["&amp;datatable!$C$5&amp;"]"&amp;datatable!$E13&amp;"!"&amp;"I11")</f>
        <v>#REF!</v>
      </c>
      <c r="N66" s="51" t="e" cm="1">
        <f t="array" aca="1" ref="N66" ca="1">INDIRECT("["&amp;datatable!$C$5&amp;"]"&amp;datatable!$E13&amp;"!"&amp;"I46")</f>
        <v>#REF!</v>
      </c>
      <c r="O66" s="51" t="e" cm="1">
        <f t="array" aca="1" ref="O66" ca="1">INDIRECT("["&amp;datatable!$C$5&amp;"]"&amp;datatable!$E13&amp;"!"&amp;"I47")</f>
        <v>#REF!</v>
      </c>
      <c r="P66" s="51" t="e" cm="1">
        <f t="array" aca="1" ref="P66" ca="1">INDIRECT("["&amp;datatable!$C$5&amp;"]"&amp;datatable!$E13&amp;"!"&amp;"I48")</f>
        <v>#REF!</v>
      </c>
      <c r="Q66" s="51" t="e" cm="1">
        <f t="array" aca="1" ref="Q66" ca="1">INDIRECT("["&amp;datatable!$C$5&amp;"]"&amp;datatable!$E13&amp;"!"&amp;"I49")</f>
        <v>#REF!</v>
      </c>
      <c r="R66" s="51" t="e" cm="1">
        <f t="array" aca="1" ref="R66" ca="1">INDIRECT("["&amp;datatable!$C$5&amp;"]"&amp;datatable!$E13&amp;"!"&amp;"I50")</f>
        <v>#REF!</v>
      </c>
      <c r="S66" s="51" t="e" cm="1">
        <f t="array" aca="1" ref="S66" ca="1">INDIRECT("["&amp;datatable!$C$5&amp;"]"&amp;datatable!$E13&amp;"!"&amp;"I51")</f>
        <v>#REF!</v>
      </c>
      <c r="T66" s="51" t="e" cm="1">
        <f t="array" aca="1" ref="T66" ca="1">INDIRECT("["&amp;datatable!$C$5&amp;"]"&amp;datatable!$E13&amp;"!"&amp;"I52")</f>
        <v>#REF!</v>
      </c>
      <c r="U66" s="51" t="e" cm="1">
        <f t="array" aca="1" ref="U66" ca="1">INDIRECT("["&amp;datatable!$C$5&amp;"]"&amp;datatable!$E13&amp;"!"&amp;"I53")</f>
        <v>#REF!</v>
      </c>
      <c r="V66" s="51" t="e" cm="1">
        <f t="array" aca="1" ref="V66" ca="1">INDIRECT("["&amp;datatable!$C$5&amp;"]"&amp;datatable!$E13&amp;"!"&amp;"I54")</f>
        <v>#REF!</v>
      </c>
      <c r="W66" s="51" t="e" cm="1">
        <f t="array" aca="1" ref="W66" ca="1">INDIRECT("["&amp;datatable!$C$5&amp;"]"&amp;datatable!$E13&amp;"!"&amp;"I55")</f>
        <v>#REF!</v>
      </c>
      <c r="X66" s="51" t="e" cm="1">
        <f t="array" aca="1" ref="X66" ca="1">INDIRECT("["&amp;datatable!$C$5&amp;"]"&amp;datatable!$E13&amp;"!"&amp;"I56")</f>
        <v>#REF!</v>
      </c>
      <c r="Y66" s="50"/>
    </row>
    <row r="67" spans="3:25">
      <c r="C67" s="30" t="s">
        <v>49</v>
      </c>
      <c r="D67" s="51" t="e" cm="1">
        <f t="array" aca="1" ref="D67" ca="1">INDIRECT("["&amp;datatable!$C$5&amp;"]"&amp;datatable!$E14&amp;"!"&amp;"I2")</f>
        <v>#REF!</v>
      </c>
      <c r="E67" s="51" t="e" cm="1">
        <f t="array" aca="1" ref="E67" ca="1">INDIRECT("["&amp;datatable!$C$5&amp;"]"&amp;datatable!$E14&amp;"!"&amp;"I3")</f>
        <v>#REF!</v>
      </c>
      <c r="F67" s="51" t="e" cm="1">
        <f t="array" aca="1" ref="F67" ca="1">INDIRECT("["&amp;datatable!$C$5&amp;"]"&amp;datatable!$E14&amp;"!"&amp;"I4")</f>
        <v>#REF!</v>
      </c>
      <c r="G67" s="51" t="e" cm="1">
        <f t="array" aca="1" ref="G67" ca="1">INDIRECT("["&amp;datatable!$C$5&amp;"]"&amp;datatable!$E14&amp;"!"&amp;"I5")</f>
        <v>#REF!</v>
      </c>
      <c r="H67" s="51" t="e" cm="1">
        <f t="array" aca="1" ref="H67" ca="1">INDIRECT("["&amp;datatable!$C$5&amp;"]"&amp;datatable!$E14&amp;"!"&amp;"I6")</f>
        <v>#REF!</v>
      </c>
      <c r="I67" s="51" t="e" cm="1">
        <f t="array" aca="1" ref="I67" ca="1">INDIRECT("["&amp;datatable!$C$5&amp;"]"&amp;datatable!$E14&amp;"!"&amp;"I7")</f>
        <v>#REF!</v>
      </c>
      <c r="J67" s="51" t="e" cm="1">
        <f t="array" aca="1" ref="J67" ca="1">INDIRECT("["&amp;datatable!$C$5&amp;"]"&amp;datatable!$E14&amp;"!"&amp;"I8")</f>
        <v>#REF!</v>
      </c>
      <c r="K67" s="51" t="e" cm="1">
        <f t="array" aca="1" ref="K67" ca="1">INDIRECT("["&amp;datatable!$C$5&amp;"]"&amp;datatable!$E14&amp;"!"&amp;"I9")</f>
        <v>#REF!</v>
      </c>
      <c r="L67" s="51" t="e" cm="1">
        <f t="array" aca="1" ref="L67" ca="1">INDIRECT("["&amp;datatable!$C$5&amp;"]"&amp;datatable!$E14&amp;"!"&amp;"I10")</f>
        <v>#REF!</v>
      </c>
      <c r="M67" s="51" t="e" cm="1">
        <f t="array" aca="1" ref="M67" ca="1">INDIRECT("["&amp;datatable!$C$5&amp;"]"&amp;datatable!$E14&amp;"!"&amp;"I11")</f>
        <v>#REF!</v>
      </c>
      <c r="N67" s="51" t="e" cm="1">
        <f t="array" aca="1" ref="N67" ca="1">INDIRECT("["&amp;datatable!$C$5&amp;"]"&amp;datatable!$E14&amp;"!"&amp;"I46")</f>
        <v>#REF!</v>
      </c>
      <c r="O67" s="51" t="e" cm="1">
        <f t="array" aca="1" ref="O67" ca="1">INDIRECT("["&amp;datatable!$C$5&amp;"]"&amp;datatable!$E14&amp;"!"&amp;"I47")</f>
        <v>#REF!</v>
      </c>
      <c r="P67" s="51" t="e" cm="1">
        <f t="array" aca="1" ref="P67" ca="1">INDIRECT("["&amp;datatable!$C$5&amp;"]"&amp;datatable!$E14&amp;"!"&amp;"I48")</f>
        <v>#REF!</v>
      </c>
      <c r="Q67" s="51" t="e" cm="1">
        <f t="array" aca="1" ref="Q67" ca="1">INDIRECT("["&amp;datatable!$C$5&amp;"]"&amp;datatable!$E14&amp;"!"&amp;"I49")</f>
        <v>#REF!</v>
      </c>
      <c r="R67" s="51" t="e" cm="1">
        <f t="array" aca="1" ref="R67" ca="1">INDIRECT("["&amp;datatable!$C$5&amp;"]"&amp;datatable!$E14&amp;"!"&amp;"I50")</f>
        <v>#REF!</v>
      </c>
      <c r="S67" s="51" t="e" cm="1">
        <f t="array" aca="1" ref="S67" ca="1">INDIRECT("["&amp;datatable!$C$5&amp;"]"&amp;datatable!$E14&amp;"!"&amp;"I51")</f>
        <v>#REF!</v>
      </c>
      <c r="T67" s="51" t="e" cm="1">
        <f t="array" aca="1" ref="T67" ca="1">INDIRECT("["&amp;datatable!$C$5&amp;"]"&amp;datatable!$E14&amp;"!"&amp;"I52")</f>
        <v>#REF!</v>
      </c>
      <c r="U67" s="51" t="e" cm="1">
        <f t="array" aca="1" ref="U67" ca="1">INDIRECT("["&amp;datatable!$C$5&amp;"]"&amp;datatable!$E14&amp;"!"&amp;"I53")</f>
        <v>#REF!</v>
      </c>
      <c r="V67" s="51" t="e" cm="1">
        <f t="array" aca="1" ref="V67" ca="1">INDIRECT("["&amp;datatable!$C$5&amp;"]"&amp;datatable!$E14&amp;"!"&amp;"I54")</f>
        <v>#REF!</v>
      </c>
      <c r="W67" s="51" t="e" cm="1">
        <f t="array" aca="1" ref="W67" ca="1">INDIRECT("["&amp;datatable!$C$5&amp;"]"&amp;datatable!$E14&amp;"!"&amp;"I55")</f>
        <v>#REF!</v>
      </c>
      <c r="X67" s="51" t="e" cm="1">
        <f t="array" aca="1" ref="X67" ca="1">INDIRECT("["&amp;datatable!$C$5&amp;"]"&amp;datatable!$E14&amp;"!"&amp;"I56")</f>
        <v>#REF!</v>
      </c>
      <c r="Y67" s="50"/>
    </row>
    <row r="68" spans="3:25">
      <c r="C68" s="30" t="s">
        <v>50</v>
      </c>
      <c r="D68" s="51" t="e" cm="1">
        <f t="array" aca="1" ref="D68" ca="1">INDIRECT("["&amp;datatable!$C$5&amp;"]"&amp;datatable!$E15&amp;"!"&amp;"I2")</f>
        <v>#REF!</v>
      </c>
      <c r="E68" s="51" t="e" cm="1">
        <f t="array" aca="1" ref="E68" ca="1">INDIRECT("["&amp;datatable!$C$5&amp;"]"&amp;datatable!$E15&amp;"!"&amp;"I3")</f>
        <v>#REF!</v>
      </c>
      <c r="F68" s="51" t="e" cm="1">
        <f t="array" aca="1" ref="F68" ca="1">INDIRECT("["&amp;datatable!$C$5&amp;"]"&amp;datatable!$E15&amp;"!"&amp;"I4")</f>
        <v>#REF!</v>
      </c>
      <c r="G68" s="51" t="e" cm="1">
        <f t="array" aca="1" ref="G68" ca="1">INDIRECT("["&amp;datatable!$C$5&amp;"]"&amp;datatable!$E15&amp;"!"&amp;"I5")</f>
        <v>#REF!</v>
      </c>
      <c r="H68" s="51" t="e" cm="1">
        <f t="array" aca="1" ref="H68" ca="1">INDIRECT("["&amp;datatable!$C$5&amp;"]"&amp;datatable!$E15&amp;"!"&amp;"I6")</f>
        <v>#REF!</v>
      </c>
      <c r="I68" s="51" t="e" cm="1">
        <f t="array" aca="1" ref="I68" ca="1">INDIRECT("["&amp;datatable!$C$5&amp;"]"&amp;datatable!$E15&amp;"!"&amp;"I7")</f>
        <v>#REF!</v>
      </c>
      <c r="J68" s="51" t="e" cm="1">
        <f t="array" aca="1" ref="J68" ca="1">INDIRECT("["&amp;datatable!$C$5&amp;"]"&amp;datatable!$E15&amp;"!"&amp;"I8")</f>
        <v>#REF!</v>
      </c>
      <c r="K68" s="51" t="e" cm="1">
        <f t="array" aca="1" ref="K68" ca="1">INDIRECT("["&amp;datatable!$C$5&amp;"]"&amp;datatable!$E15&amp;"!"&amp;"I9")</f>
        <v>#REF!</v>
      </c>
      <c r="L68" s="51" t="e" cm="1">
        <f t="array" aca="1" ref="L68" ca="1">INDIRECT("["&amp;datatable!$C$5&amp;"]"&amp;datatable!$E15&amp;"!"&amp;"I10")</f>
        <v>#REF!</v>
      </c>
      <c r="M68" s="51" t="e" cm="1">
        <f t="array" aca="1" ref="M68" ca="1">INDIRECT("["&amp;datatable!$C$5&amp;"]"&amp;datatable!$E15&amp;"!"&amp;"I11")</f>
        <v>#REF!</v>
      </c>
      <c r="N68" s="51" t="e" cm="1">
        <f t="array" aca="1" ref="N68" ca="1">INDIRECT("["&amp;datatable!$C$5&amp;"]"&amp;datatable!$E15&amp;"!"&amp;"I46")</f>
        <v>#REF!</v>
      </c>
      <c r="O68" s="51" t="e" cm="1">
        <f t="array" aca="1" ref="O68" ca="1">INDIRECT("["&amp;datatable!$C$5&amp;"]"&amp;datatable!$E15&amp;"!"&amp;"I47")</f>
        <v>#REF!</v>
      </c>
      <c r="P68" s="51" t="e" cm="1">
        <f t="array" aca="1" ref="P68" ca="1">INDIRECT("["&amp;datatable!$C$5&amp;"]"&amp;datatable!$E15&amp;"!"&amp;"I48")</f>
        <v>#REF!</v>
      </c>
      <c r="Q68" s="51" t="e" cm="1">
        <f t="array" aca="1" ref="Q68" ca="1">INDIRECT("["&amp;datatable!$C$5&amp;"]"&amp;datatable!$E15&amp;"!"&amp;"I49")</f>
        <v>#REF!</v>
      </c>
      <c r="R68" s="51" t="e" cm="1">
        <f t="array" aca="1" ref="R68" ca="1">INDIRECT("["&amp;datatable!$C$5&amp;"]"&amp;datatable!$E15&amp;"!"&amp;"I50")</f>
        <v>#REF!</v>
      </c>
      <c r="S68" s="51" t="e" cm="1">
        <f t="array" aca="1" ref="S68" ca="1">INDIRECT("["&amp;datatable!$C$5&amp;"]"&amp;datatable!$E15&amp;"!"&amp;"I51")</f>
        <v>#REF!</v>
      </c>
      <c r="T68" s="51" t="e" cm="1">
        <f t="array" aca="1" ref="T68" ca="1">INDIRECT("["&amp;datatable!$C$5&amp;"]"&amp;datatable!$E15&amp;"!"&amp;"I52")</f>
        <v>#REF!</v>
      </c>
      <c r="U68" s="51" t="e" cm="1">
        <f t="array" aca="1" ref="U68" ca="1">INDIRECT("["&amp;datatable!$C$5&amp;"]"&amp;datatable!$E15&amp;"!"&amp;"I53")</f>
        <v>#REF!</v>
      </c>
      <c r="V68" s="51" t="e" cm="1">
        <f t="array" aca="1" ref="V68" ca="1">INDIRECT("["&amp;datatable!$C$5&amp;"]"&amp;datatable!$E15&amp;"!"&amp;"I54")</f>
        <v>#REF!</v>
      </c>
      <c r="W68" s="51" t="e" cm="1">
        <f t="array" aca="1" ref="W68" ca="1">INDIRECT("["&amp;datatable!$C$5&amp;"]"&amp;datatable!$E15&amp;"!"&amp;"I55")</f>
        <v>#REF!</v>
      </c>
      <c r="X68" s="51" t="e" cm="1">
        <f t="array" aca="1" ref="X68" ca="1">INDIRECT("["&amp;datatable!$C$5&amp;"]"&amp;datatable!$E15&amp;"!"&amp;"I56")</f>
        <v>#REF!</v>
      </c>
      <c r="Y68" s="50"/>
    </row>
    <row r="69" spans="3:25">
      <c r="C69" s="30" t="s">
        <v>51</v>
      </c>
      <c r="D69" s="51" t="e" cm="1">
        <f t="array" aca="1" ref="D69" ca="1">INDIRECT("["&amp;datatable!$C$5&amp;"]"&amp;datatable!$E16&amp;"!"&amp;"I2")</f>
        <v>#REF!</v>
      </c>
      <c r="E69" s="51" t="e" cm="1">
        <f t="array" aca="1" ref="E69" ca="1">INDIRECT("["&amp;datatable!$C$5&amp;"]"&amp;datatable!$E16&amp;"!"&amp;"I3")</f>
        <v>#REF!</v>
      </c>
      <c r="F69" s="51" t="e" cm="1">
        <f t="array" aca="1" ref="F69" ca="1">INDIRECT("["&amp;datatable!$C$5&amp;"]"&amp;datatable!$E16&amp;"!"&amp;"I4")</f>
        <v>#REF!</v>
      </c>
      <c r="G69" s="51" t="e" cm="1">
        <f t="array" aca="1" ref="G69" ca="1">INDIRECT("["&amp;datatable!$C$5&amp;"]"&amp;datatable!$E16&amp;"!"&amp;"I5")</f>
        <v>#REF!</v>
      </c>
      <c r="H69" s="51" t="e" cm="1">
        <f t="array" aca="1" ref="H69" ca="1">INDIRECT("["&amp;datatable!$C$5&amp;"]"&amp;datatable!$E16&amp;"!"&amp;"I6")</f>
        <v>#REF!</v>
      </c>
      <c r="I69" s="51" t="e" cm="1">
        <f t="array" aca="1" ref="I69" ca="1">INDIRECT("["&amp;datatable!$C$5&amp;"]"&amp;datatable!$E16&amp;"!"&amp;"I7")</f>
        <v>#REF!</v>
      </c>
      <c r="J69" s="51" t="e" cm="1">
        <f t="array" aca="1" ref="J69" ca="1">INDIRECT("["&amp;datatable!$C$5&amp;"]"&amp;datatable!$E16&amp;"!"&amp;"I8")</f>
        <v>#REF!</v>
      </c>
      <c r="K69" s="51" t="e" cm="1">
        <f t="array" aca="1" ref="K69" ca="1">INDIRECT("["&amp;datatable!$C$5&amp;"]"&amp;datatable!$E16&amp;"!"&amp;"I9")</f>
        <v>#REF!</v>
      </c>
      <c r="L69" s="51" t="e" cm="1">
        <f t="array" aca="1" ref="L69" ca="1">INDIRECT("["&amp;datatable!$C$5&amp;"]"&amp;datatable!$E16&amp;"!"&amp;"I10")</f>
        <v>#REF!</v>
      </c>
      <c r="M69" s="51" t="e" cm="1">
        <f t="array" aca="1" ref="M69" ca="1">INDIRECT("["&amp;datatable!$C$5&amp;"]"&amp;datatable!$E16&amp;"!"&amp;"I11")</f>
        <v>#REF!</v>
      </c>
      <c r="N69" s="51" t="e" cm="1">
        <f t="array" aca="1" ref="N69" ca="1">INDIRECT("["&amp;datatable!$C$5&amp;"]"&amp;datatable!$E16&amp;"!"&amp;"I46")</f>
        <v>#REF!</v>
      </c>
      <c r="O69" s="51" t="e" cm="1">
        <f t="array" aca="1" ref="O69" ca="1">INDIRECT("["&amp;datatable!$C$5&amp;"]"&amp;datatable!$E16&amp;"!"&amp;"I47")</f>
        <v>#REF!</v>
      </c>
      <c r="P69" s="51" t="e" cm="1">
        <f t="array" aca="1" ref="P69" ca="1">INDIRECT("["&amp;datatable!$C$5&amp;"]"&amp;datatable!$E16&amp;"!"&amp;"I48")</f>
        <v>#REF!</v>
      </c>
      <c r="Q69" s="51" t="e" cm="1">
        <f t="array" aca="1" ref="Q69" ca="1">INDIRECT("["&amp;datatable!$C$5&amp;"]"&amp;datatable!$E16&amp;"!"&amp;"I49")</f>
        <v>#REF!</v>
      </c>
      <c r="R69" s="51" t="e" cm="1">
        <f t="array" aca="1" ref="R69" ca="1">INDIRECT("["&amp;datatable!$C$5&amp;"]"&amp;datatable!$E16&amp;"!"&amp;"I50")</f>
        <v>#REF!</v>
      </c>
      <c r="S69" s="51" t="e" cm="1">
        <f t="array" aca="1" ref="S69" ca="1">INDIRECT("["&amp;datatable!$C$5&amp;"]"&amp;datatable!$E16&amp;"!"&amp;"I51")</f>
        <v>#REF!</v>
      </c>
      <c r="T69" s="51" t="e" cm="1">
        <f t="array" aca="1" ref="T69" ca="1">INDIRECT("["&amp;datatable!$C$5&amp;"]"&amp;datatable!$E16&amp;"!"&amp;"I52")</f>
        <v>#REF!</v>
      </c>
      <c r="U69" s="51" t="e" cm="1">
        <f t="array" aca="1" ref="U69" ca="1">INDIRECT("["&amp;datatable!$C$5&amp;"]"&amp;datatable!$E16&amp;"!"&amp;"I53")</f>
        <v>#REF!</v>
      </c>
      <c r="V69" s="51" t="e" cm="1">
        <f t="array" aca="1" ref="V69" ca="1">INDIRECT("["&amp;datatable!$C$5&amp;"]"&amp;datatable!$E16&amp;"!"&amp;"I54")</f>
        <v>#REF!</v>
      </c>
      <c r="W69" s="51" t="e" cm="1">
        <f t="array" aca="1" ref="W69" ca="1">INDIRECT("["&amp;datatable!$C$5&amp;"]"&amp;datatable!$E16&amp;"!"&amp;"I55")</f>
        <v>#REF!</v>
      </c>
      <c r="X69" s="51" t="e" cm="1">
        <f t="array" aca="1" ref="X69" ca="1">INDIRECT("["&amp;datatable!$C$5&amp;"]"&amp;datatable!$E16&amp;"!"&amp;"I56")</f>
        <v>#REF!</v>
      </c>
      <c r="Y69" s="50"/>
    </row>
    <row r="70" spans="3:25">
      <c r="C70" s="30" t="s">
        <v>52</v>
      </c>
      <c r="D70" s="51" t="e" cm="1">
        <f t="array" aca="1" ref="D70" ca="1">INDIRECT("["&amp;datatable!$C$5&amp;"]"&amp;datatable!$E17&amp;"!"&amp;"I2")</f>
        <v>#REF!</v>
      </c>
      <c r="E70" s="51" t="e" cm="1">
        <f t="array" aca="1" ref="E70" ca="1">INDIRECT("["&amp;datatable!$C$5&amp;"]"&amp;datatable!$E17&amp;"!"&amp;"I3")</f>
        <v>#REF!</v>
      </c>
      <c r="F70" s="51" t="e" cm="1">
        <f t="array" aca="1" ref="F70" ca="1">INDIRECT("["&amp;datatable!$C$5&amp;"]"&amp;datatable!$E17&amp;"!"&amp;"I4")</f>
        <v>#REF!</v>
      </c>
      <c r="G70" s="51" t="e" cm="1">
        <f t="array" aca="1" ref="G70" ca="1">INDIRECT("["&amp;datatable!$C$5&amp;"]"&amp;datatable!$E17&amp;"!"&amp;"I5")</f>
        <v>#REF!</v>
      </c>
      <c r="H70" s="51" t="e" cm="1">
        <f t="array" aca="1" ref="H70" ca="1">INDIRECT("["&amp;datatable!$C$5&amp;"]"&amp;datatable!$E17&amp;"!"&amp;"I6")</f>
        <v>#REF!</v>
      </c>
      <c r="I70" s="51" t="e" cm="1">
        <f t="array" aca="1" ref="I70" ca="1">INDIRECT("["&amp;datatable!$C$5&amp;"]"&amp;datatable!$E17&amp;"!"&amp;"I7")</f>
        <v>#REF!</v>
      </c>
      <c r="J70" s="51" t="e" cm="1">
        <f t="array" aca="1" ref="J70" ca="1">INDIRECT("["&amp;datatable!$C$5&amp;"]"&amp;datatable!$E17&amp;"!"&amp;"I8")</f>
        <v>#REF!</v>
      </c>
      <c r="K70" s="51" t="e" cm="1">
        <f t="array" aca="1" ref="K70" ca="1">INDIRECT("["&amp;datatable!$C$5&amp;"]"&amp;datatable!$E17&amp;"!"&amp;"I9")</f>
        <v>#REF!</v>
      </c>
      <c r="L70" s="51" t="e" cm="1">
        <f t="array" aca="1" ref="L70" ca="1">INDIRECT("["&amp;datatable!$C$5&amp;"]"&amp;datatable!$E17&amp;"!"&amp;"I10")</f>
        <v>#REF!</v>
      </c>
      <c r="M70" s="51" t="e" cm="1">
        <f t="array" aca="1" ref="M70" ca="1">INDIRECT("["&amp;datatable!$C$5&amp;"]"&amp;datatable!$E17&amp;"!"&amp;"I11")</f>
        <v>#REF!</v>
      </c>
      <c r="N70" s="51" t="e" cm="1">
        <f t="array" aca="1" ref="N70" ca="1">INDIRECT("["&amp;datatable!$C$5&amp;"]"&amp;datatable!$E17&amp;"!"&amp;"I46")</f>
        <v>#REF!</v>
      </c>
      <c r="O70" s="51" t="e" cm="1">
        <f t="array" aca="1" ref="O70" ca="1">INDIRECT("["&amp;datatable!$C$5&amp;"]"&amp;datatable!$E17&amp;"!"&amp;"I47")</f>
        <v>#REF!</v>
      </c>
      <c r="P70" s="51" t="e" cm="1">
        <f t="array" aca="1" ref="P70" ca="1">INDIRECT("["&amp;datatable!$C$5&amp;"]"&amp;datatable!$E17&amp;"!"&amp;"I48")</f>
        <v>#REF!</v>
      </c>
      <c r="Q70" s="51" t="e" cm="1">
        <f t="array" aca="1" ref="Q70" ca="1">INDIRECT("["&amp;datatable!$C$5&amp;"]"&amp;datatable!$E17&amp;"!"&amp;"I49")</f>
        <v>#REF!</v>
      </c>
      <c r="R70" s="51" t="e" cm="1">
        <f t="array" aca="1" ref="R70" ca="1">INDIRECT("["&amp;datatable!$C$5&amp;"]"&amp;datatable!$E17&amp;"!"&amp;"I50")</f>
        <v>#REF!</v>
      </c>
      <c r="S70" s="51" t="e" cm="1">
        <f t="array" aca="1" ref="S70" ca="1">INDIRECT("["&amp;datatable!$C$5&amp;"]"&amp;datatable!$E17&amp;"!"&amp;"I51")</f>
        <v>#REF!</v>
      </c>
      <c r="T70" s="51" t="e" cm="1">
        <f t="array" aca="1" ref="T70" ca="1">INDIRECT("["&amp;datatable!$C$5&amp;"]"&amp;datatable!$E17&amp;"!"&amp;"I52")</f>
        <v>#REF!</v>
      </c>
      <c r="U70" s="51" t="e" cm="1">
        <f t="array" aca="1" ref="U70" ca="1">INDIRECT("["&amp;datatable!$C$5&amp;"]"&amp;datatable!$E17&amp;"!"&amp;"I53")</f>
        <v>#REF!</v>
      </c>
      <c r="V70" s="51" t="e" cm="1">
        <f t="array" aca="1" ref="V70" ca="1">INDIRECT("["&amp;datatable!$C$5&amp;"]"&amp;datatable!$E17&amp;"!"&amp;"I54")</f>
        <v>#REF!</v>
      </c>
      <c r="W70" s="51" t="e" cm="1">
        <f t="array" aca="1" ref="W70" ca="1">INDIRECT("["&amp;datatable!$C$5&amp;"]"&amp;datatable!$E17&amp;"!"&amp;"I55")</f>
        <v>#REF!</v>
      </c>
      <c r="X70" s="51" t="e" cm="1">
        <f t="array" aca="1" ref="X70" ca="1">INDIRECT("["&amp;datatable!$C$5&amp;"]"&amp;datatable!$E17&amp;"!"&amp;"I56")</f>
        <v>#REF!</v>
      </c>
      <c r="Y70" s="50"/>
    </row>
    <row r="71" spans="3:25">
      <c r="C71" s="50"/>
      <c r="D71" s="53"/>
      <c r="E71" s="53"/>
      <c r="F71" s="50"/>
      <c r="G71" s="50"/>
      <c r="H71" s="50"/>
      <c r="I71" s="50"/>
      <c r="J71" s="50"/>
      <c r="K71" s="50"/>
      <c r="L71" s="50"/>
      <c r="M71" s="50"/>
      <c r="N71" s="50"/>
      <c r="O71" s="50"/>
      <c r="P71" s="50"/>
      <c r="Q71" s="50"/>
      <c r="R71" s="50"/>
      <c r="S71" s="50"/>
      <c r="T71" s="50"/>
      <c r="U71" s="50"/>
      <c r="V71" s="50"/>
      <c r="W71" s="50"/>
      <c r="X71" s="50"/>
      <c r="Y71" s="50"/>
    </row>
  </sheetData>
  <conditionalFormatting sqref="R13 D54:X70">
    <cfRule type="cellIs" dxfId="59" priority="4" operator="equal">
      <formula>"Medium Correct"</formula>
    </cfRule>
    <cfRule type="cellIs" dxfId="58" priority="5" operator="equal">
      <formula>"Low Correct"</formula>
    </cfRule>
    <cfRule type="cellIs" dxfId="57" priority="6" operator="equal">
      <formula>"Medium Maybe"</formula>
    </cfRule>
    <cfRule type="cellIs" dxfId="56" priority="7" operator="equal">
      <formula>"Low Maybe"</formula>
    </cfRule>
    <cfRule type="cellIs" dxfId="55" priority="8" operator="equal">
      <formula>"Medium Incorrect"</formula>
    </cfRule>
    <cfRule type="cellIs" dxfId="54" priority="9" operator="equal">
      <formula>"Low Incorrect"</formula>
    </cfRule>
    <cfRule type="cellIs" dxfId="53" priority="10" operator="equal">
      <formula>"N/A"</formula>
    </cfRule>
  </conditionalFormatting>
  <conditionalFormatting sqref="R13 D55:X70">
    <cfRule type="cellIs" dxfId="52" priority="1" operator="equal">
      <formula>"High Correct"</formula>
    </cfRule>
    <cfRule type="cellIs" dxfId="51" priority="2" operator="equal">
      <formula>"High Incorrect"</formula>
    </cfRule>
    <cfRule type="cellIs" dxfId="50" priority="3" operator="equal">
      <formula>"High Maybe"</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EE36B-608E-41E2-878F-3CB40C871C28}">
  <dimension ref="C5:Y73"/>
  <sheetViews>
    <sheetView topLeftCell="E23" zoomScale="61" zoomScaleNormal="70"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9.33203125"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8">
      <c r="C5" t="s">
        <v>0</v>
      </c>
    </row>
    <row r="6" spans="3:18">
      <c r="D6" s="7" t="s">
        <v>1</v>
      </c>
      <c r="E6" s="10" t="s">
        <v>2</v>
      </c>
      <c r="F6" s="12" t="s">
        <v>3</v>
      </c>
      <c r="G6" s="14" t="s">
        <v>4</v>
      </c>
      <c r="H6" s="16" t="s">
        <v>5</v>
      </c>
      <c r="I6" s="18" t="s">
        <v>6</v>
      </c>
      <c r="J6" s="20" t="s">
        <v>7</v>
      </c>
      <c r="K6" s="22" t="s">
        <v>8</v>
      </c>
      <c r="L6" s="24" t="s">
        <v>9</v>
      </c>
      <c r="M6" s="26" t="s">
        <v>10</v>
      </c>
      <c r="N6" s="28" t="s">
        <v>11</v>
      </c>
      <c r="O6" s="28" t="s">
        <v>12</v>
      </c>
      <c r="Q6" t="s">
        <v>74</v>
      </c>
    </row>
    <row r="7" spans="3:18">
      <c r="C7" s="5" t="s">
        <v>13</v>
      </c>
      <c r="D7" s="8">
        <f ca="1">COUNTIF(INDIRECT("["&amp;datatable!$C$4&amp;"]"&amp;datatable!$A2&amp;"!"&amp;"I:I"),"High Correct")</f>
        <v>8</v>
      </c>
      <c r="E7" s="11">
        <f ca="1">COUNTIF(INDIRECT("["&amp;datatable!$C$4&amp;"]"&amp;datatable!$A2&amp;"!"&amp;"I:I"),"Medium Correct")</f>
        <v>1</v>
      </c>
      <c r="F7" s="13">
        <f ca="1">COUNTIF(INDIRECT("["&amp;datatable!$C$4&amp;"]"&amp;datatable!$A2&amp;"!"&amp;"I:I"),"Low Correct")</f>
        <v>0</v>
      </c>
      <c r="G7" s="15">
        <f ca="1">COUNTIF(INDIRECT("["&amp;datatable!$C$4&amp;"]"&amp;datatable!$A2&amp;"!"&amp;"I:I"),"High Maybe")</f>
        <v>0</v>
      </c>
      <c r="H7" s="17">
        <f ca="1">COUNTIF(INDIRECT("["&amp;datatable!$C$4&amp;"]"&amp;datatable!$A2&amp;"!"&amp;"I:I"),"Medium Maybe")</f>
        <v>0</v>
      </c>
      <c r="I7" s="19">
        <f ca="1">COUNTIF(INDIRECT("["&amp;datatable!$C$4&amp;"]"&amp;datatable!$A2&amp;"!"&amp;"I:I"),"Low Maybe")</f>
        <v>1</v>
      </c>
      <c r="J7" s="21">
        <f ca="1">COUNTIF(INDIRECT("["&amp;datatable!$C$4&amp;"]"&amp;datatable!$A2&amp;"!"&amp;"I:I"),"Low Incorrect")</f>
        <v>0</v>
      </c>
      <c r="K7" s="23">
        <f ca="1">COUNTIF(INDIRECT("["&amp;datatable!$C$4&amp;"]"&amp;datatable!$A2&amp;"!"&amp;"I:I"),"Medium Incorrect")</f>
        <v>1</v>
      </c>
      <c r="L7" s="25">
        <f ca="1">COUNTIF(INDIRECT("["&amp;datatable!$C$4&amp;"]"&amp;datatable!$A2&amp;"!"&amp;"I:I"),"High Incorrect")</f>
        <v>5</v>
      </c>
      <c r="M7" s="27">
        <f ca="1">COUNTIF(INDIRECT("["&amp;datatable!$C$4&amp;"]"&amp;datatable!$A2&amp;"!"&amp;"I:I"),"N/A")</f>
        <v>2</v>
      </c>
      <c r="N7" s="29">
        <f t="shared" ref="N7:N28" ca="1" si="0">SUM(D7:M7)</f>
        <v>18</v>
      </c>
      <c r="O7" s="29">
        <f t="shared" ref="O7:O28" ca="1" si="1">SUM(D7:L7)</f>
        <v>16</v>
      </c>
      <c r="R7" t="s">
        <v>75</v>
      </c>
    </row>
    <row r="8" spans="3:18">
      <c r="C8" s="5" t="s">
        <v>14</v>
      </c>
      <c r="D8" s="8">
        <f ca="1">COUNTIF(INDIRECT("["&amp;datatable!$C$4&amp;"]"&amp;datatable!$A3&amp;"!"&amp;"I:I"),"High Correct")</f>
        <v>10</v>
      </c>
      <c r="E8" s="11">
        <f ca="1">COUNTIF(INDIRECT("["&amp;datatable!$C$4&amp;"]"&amp;datatable!$A3&amp;"!"&amp;"I:I"),"Medium Correct")</f>
        <v>0</v>
      </c>
      <c r="F8" s="13">
        <f ca="1">COUNTIF(INDIRECT("["&amp;datatable!$C$4&amp;"]"&amp;datatable!$A3&amp;"!"&amp;"I:I"),"Low Correct")</f>
        <v>0</v>
      </c>
      <c r="G8" s="15">
        <f ca="1">COUNTIF(INDIRECT("["&amp;datatable!$C$4&amp;"]"&amp;datatable!$A3&amp;"!"&amp;"I:I"),"High Maybe")</f>
        <v>3</v>
      </c>
      <c r="H8" s="17">
        <f ca="1">COUNTIF(INDIRECT("["&amp;datatable!$C$4&amp;"]"&amp;datatable!$A3&amp;"!"&amp;"I:I"),"Medium Maybe")</f>
        <v>0</v>
      </c>
      <c r="I8" s="19">
        <f ca="1">COUNTIF(INDIRECT("["&amp;datatable!$C$4&amp;"]"&amp;datatable!$A3&amp;"!"&amp;"I:I"),"Low Maybe")</f>
        <v>0</v>
      </c>
      <c r="J8" s="21">
        <f ca="1">COUNTIF(INDIRECT("["&amp;datatable!$C$4&amp;"]"&amp;datatable!$A3&amp;"!"&amp;"I:I"),"Low Incorrect")</f>
        <v>0</v>
      </c>
      <c r="K8" s="23">
        <f ca="1">COUNTIF(INDIRECT("["&amp;datatable!$C$4&amp;"]"&amp;datatable!$A3&amp;"!"&amp;"I:I"),"Medium Incorrect")</f>
        <v>1</v>
      </c>
      <c r="L8" s="25">
        <f ca="1">COUNTIF(INDIRECT("["&amp;datatable!$C$4&amp;"]"&amp;datatable!$A3&amp;"!"&amp;"I:I"),"High Incorrect")</f>
        <v>4</v>
      </c>
      <c r="M8" s="27">
        <f ca="1">COUNTIF(INDIRECT("["&amp;datatable!$C$4&amp;"]"&amp;datatable!$A3&amp;"!"&amp;"I:I"),"N/A")</f>
        <v>0</v>
      </c>
      <c r="N8" s="29">
        <f t="shared" ca="1" si="0"/>
        <v>18</v>
      </c>
      <c r="O8" s="29">
        <f t="shared" ca="1" si="1"/>
        <v>18</v>
      </c>
      <c r="R8" t="s">
        <v>76</v>
      </c>
    </row>
    <row r="9" spans="3:18">
      <c r="C9" s="5" t="s">
        <v>15</v>
      </c>
      <c r="D9" s="8">
        <f ca="1">COUNTIF(INDIRECT("["&amp;datatable!$C$4&amp;"]"&amp;datatable!$A4&amp;"!"&amp;"I:I"),"High Correct")</f>
        <v>3</v>
      </c>
      <c r="E9" s="11">
        <f ca="1">COUNTIF(INDIRECT("["&amp;datatable!$C$4&amp;"]"&amp;datatable!$A4&amp;"!"&amp;"I:I"),"Medium Correct")</f>
        <v>0</v>
      </c>
      <c r="F9" s="13">
        <f ca="1">COUNTIF(INDIRECT("["&amp;datatable!$C$4&amp;"]"&amp;datatable!$A4&amp;"!"&amp;"I:I"),"Low Correct")</f>
        <v>1</v>
      </c>
      <c r="G9" s="15">
        <f ca="1">COUNTIF(INDIRECT("["&amp;datatable!$C$4&amp;"]"&amp;datatable!$A4&amp;"!"&amp;"I:I"),"High Maybe")</f>
        <v>5</v>
      </c>
      <c r="H9" s="17">
        <f ca="1">COUNTIF(INDIRECT("["&amp;datatable!$C$4&amp;"]"&amp;datatable!$A4&amp;"!"&amp;"I:I"),"Medium Maybe")</f>
        <v>4</v>
      </c>
      <c r="I9" s="19">
        <f ca="1">COUNTIF(INDIRECT("["&amp;datatable!$C$4&amp;"]"&amp;datatable!$A4&amp;"!"&amp;"I:I"),"Low Maybe")</f>
        <v>2</v>
      </c>
      <c r="J9" s="21">
        <f ca="1">COUNTIF(INDIRECT("["&amp;datatable!$C$4&amp;"]"&amp;datatable!$A4&amp;"!"&amp;"I:I"),"Low Incorrect")</f>
        <v>0</v>
      </c>
      <c r="K9" s="23">
        <f ca="1">COUNTIF(INDIRECT("["&amp;datatable!$C$4&amp;"]"&amp;datatable!$A4&amp;"!"&amp;"I:I"),"Medium Incorrect")</f>
        <v>1</v>
      </c>
      <c r="L9" s="25">
        <f ca="1">COUNTIF(INDIRECT("["&amp;datatable!$C$4&amp;"]"&amp;datatable!$A4&amp;"!"&amp;"I:I"),"High Incorrect")</f>
        <v>2</v>
      </c>
      <c r="M9" s="27">
        <f ca="1">COUNTIF(INDIRECT("["&amp;datatable!$C$4&amp;"]"&amp;datatable!$A4&amp;"!"&amp;"I:I"),"N/A")</f>
        <v>0</v>
      </c>
      <c r="N9" s="29">
        <f t="shared" ca="1" si="0"/>
        <v>18</v>
      </c>
      <c r="O9" s="29">
        <f t="shared" ca="1" si="1"/>
        <v>18</v>
      </c>
      <c r="R9" t="s">
        <v>77</v>
      </c>
    </row>
    <row r="10" spans="3:18">
      <c r="C10" s="5" t="s">
        <v>16</v>
      </c>
      <c r="D10" s="8">
        <f ca="1">COUNTIF(INDIRECT("["&amp;datatable!$C$4&amp;"]"&amp;datatable!$A5&amp;"!"&amp;"I:I"),"High Correct")</f>
        <v>8</v>
      </c>
      <c r="E10" s="11">
        <f ca="1">COUNTIF(INDIRECT("["&amp;datatable!$C$4&amp;"]"&amp;datatable!$A5&amp;"!"&amp;"I:I"),"Medium Correct")</f>
        <v>0</v>
      </c>
      <c r="F10" s="13">
        <f ca="1">COUNTIF(INDIRECT("["&amp;datatable!$C$4&amp;"]"&amp;datatable!$A5&amp;"!"&amp;"I:I"),"Low Correct")</f>
        <v>1</v>
      </c>
      <c r="G10" s="15">
        <f ca="1">COUNTIF(INDIRECT("["&amp;datatable!$C$4&amp;"]"&amp;datatable!$A5&amp;"!"&amp;"I:I"),"High Maybe")</f>
        <v>1</v>
      </c>
      <c r="H10" s="17">
        <f ca="1">COUNTIF(INDIRECT("["&amp;datatable!$C$4&amp;"]"&amp;datatable!$A5&amp;"!"&amp;"I:I"),"Medium Maybe")</f>
        <v>0</v>
      </c>
      <c r="I10" s="19">
        <f ca="1">COUNTIF(INDIRECT("["&amp;datatable!$C$4&amp;"]"&amp;datatable!$A5&amp;"!"&amp;"I:I"),"Low Maybe")</f>
        <v>0</v>
      </c>
      <c r="J10" s="21">
        <f ca="1">COUNTIF(INDIRECT("["&amp;datatable!$C$4&amp;"]"&amp;datatable!$A5&amp;"!"&amp;"I:I"),"Low Incorrect")</f>
        <v>0</v>
      </c>
      <c r="K10" s="23">
        <f ca="1">COUNTIF(INDIRECT("["&amp;datatable!$C$4&amp;"]"&amp;datatable!$A5&amp;"!"&amp;"I:I"),"Medium Incorrect")</f>
        <v>3</v>
      </c>
      <c r="L10" s="25">
        <f ca="1">COUNTIF(INDIRECT("["&amp;datatable!$C$4&amp;"]"&amp;datatable!$A5&amp;"!"&amp;"I:I"),"High Incorrect")</f>
        <v>5</v>
      </c>
      <c r="M10" s="27">
        <f ca="1">COUNTIF(INDIRECT("["&amp;datatable!$C$4&amp;"]"&amp;datatable!$A5&amp;"!"&amp;"I:I"),"N/A")</f>
        <v>0</v>
      </c>
      <c r="N10" s="29">
        <f t="shared" ca="1" si="0"/>
        <v>18</v>
      </c>
      <c r="O10" s="29">
        <f t="shared" ca="1" si="1"/>
        <v>18</v>
      </c>
      <c r="R10" t="s">
        <v>78</v>
      </c>
    </row>
    <row r="11" spans="3:18">
      <c r="C11" s="5" t="s">
        <v>17</v>
      </c>
      <c r="D11" s="8">
        <f ca="1">COUNTIF(INDIRECT("["&amp;datatable!$C$4&amp;"]"&amp;datatable!$A6&amp;"!"&amp;"I:I"),"High Correct")</f>
        <v>7</v>
      </c>
      <c r="E11" s="11">
        <f ca="1">COUNTIF(INDIRECT("["&amp;datatable!$C$4&amp;"]"&amp;datatable!$A6&amp;"!"&amp;"I:I"),"Medium Correct")</f>
        <v>3</v>
      </c>
      <c r="F11" s="13">
        <f ca="1">COUNTIF(INDIRECT("["&amp;datatable!$C$4&amp;"]"&amp;datatable!$A6&amp;"!"&amp;"I:I"),"Low Correct")</f>
        <v>0</v>
      </c>
      <c r="G11" s="15">
        <f ca="1">COUNTIF(INDIRECT("["&amp;datatable!$C$4&amp;"]"&amp;datatable!$A6&amp;"!"&amp;"I:I"),"High Maybe")</f>
        <v>1</v>
      </c>
      <c r="H11" s="17">
        <f ca="1">COUNTIF(INDIRECT("["&amp;datatable!$C$4&amp;"]"&amp;datatable!$A6&amp;"!"&amp;"I:I"),"Medium Maybe")</f>
        <v>0</v>
      </c>
      <c r="I11" s="19">
        <f ca="1">COUNTIF(INDIRECT("["&amp;datatable!$C$4&amp;"]"&amp;datatable!$A6&amp;"!"&amp;"I:I"),"Low Maybe")</f>
        <v>1</v>
      </c>
      <c r="J11" s="21">
        <f ca="1">COUNTIF(INDIRECT("["&amp;datatable!$C$4&amp;"]"&amp;datatable!$A6&amp;"!"&amp;"I:I"),"Low Incorrect")</f>
        <v>0</v>
      </c>
      <c r="K11" s="23">
        <f ca="1">COUNTIF(INDIRECT("["&amp;datatable!$C$4&amp;"]"&amp;datatable!$A6&amp;"!"&amp;"I:I"),"Medium Incorrect")</f>
        <v>1</v>
      </c>
      <c r="L11" s="25">
        <f ca="1">COUNTIF(INDIRECT("["&amp;datatable!$C$4&amp;"]"&amp;datatable!$A6&amp;"!"&amp;"I:I"),"High Incorrect")</f>
        <v>2</v>
      </c>
      <c r="M11" s="27">
        <f ca="1">COUNTIF(INDIRECT("["&amp;datatable!$C$4&amp;"]"&amp;datatable!$A6&amp;"!"&amp;"I:I"),"N/A")</f>
        <v>3</v>
      </c>
      <c r="N11" s="29">
        <f t="shared" ca="1" si="0"/>
        <v>18</v>
      </c>
      <c r="O11" s="29">
        <f t="shared" ca="1" si="1"/>
        <v>15</v>
      </c>
      <c r="R11" t="s">
        <v>79</v>
      </c>
    </row>
    <row r="12" spans="3:18">
      <c r="C12" s="5" t="s">
        <v>18</v>
      </c>
      <c r="D12" s="8">
        <f ca="1">COUNTIF(INDIRECT("["&amp;datatable!$C$4&amp;"]"&amp;datatable!$A7&amp;"!"&amp;"I:I"),"High Correct")</f>
        <v>1</v>
      </c>
      <c r="E12" s="11">
        <f ca="1">COUNTIF(INDIRECT("["&amp;datatable!$C$4&amp;"]"&amp;datatable!$A7&amp;"!"&amp;"I:I"),"Medium Correct")</f>
        <v>0</v>
      </c>
      <c r="F12" s="13">
        <f ca="1">COUNTIF(INDIRECT("["&amp;datatable!$C$4&amp;"]"&amp;datatable!$A7&amp;"!"&amp;"I:I"),"Low Correct")</f>
        <v>4</v>
      </c>
      <c r="G12" s="15">
        <f ca="1">COUNTIF(INDIRECT("["&amp;datatable!$C$4&amp;"]"&amp;datatable!$A7&amp;"!"&amp;"I:I"),"High Maybe")</f>
        <v>1</v>
      </c>
      <c r="H12" s="17">
        <f ca="1">COUNTIF(INDIRECT("["&amp;datatable!$C$4&amp;"]"&amp;datatable!$A7&amp;"!"&amp;"I:I"),"Medium Maybe")</f>
        <v>1</v>
      </c>
      <c r="I12" s="19">
        <f ca="1">COUNTIF(INDIRECT("["&amp;datatable!$C$4&amp;"]"&amp;datatable!$A7&amp;"!"&amp;"I:I"),"Low Maybe")</f>
        <v>0</v>
      </c>
      <c r="J12" s="21">
        <f ca="1">COUNTIF(INDIRECT("["&amp;datatable!$C$4&amp;"]"&amp;datatable!$A7&amp;"!"&amp;"I:I"),"Low Incorrect")</f>
        <v>0</v>
      </c>
      <c r="K12" s="23">
        <f ca="1">COUNTIF(INDIRECT("["&amp;datatable!$C$4&amp;"]"&amp;datatable!$A7&amp;"!"&amp;"I:I"),"Medium Incorrect")</f>
        <v>2</v>
      </c>
      <c r="L12" s="25">
        <f ca="1">COUNTIF(INDIRECT("["&amp;datatable!$C$4&amp;"]"&amp;datatable!$A7&amp;"!"&amp;"I:I"),"High Incorrect")</f>
        <v>7</v>
      </c>
      <c r="M12" s="27">
        <f ca="1">COUNTIF(INDIRECT("["&amp;datatable!$C$4&amp;"]"&amp;datatable!$A7&amp;"!"&amp;"I:I"),"N/A")</f>
        <v>2</v>
      </c>
      <c r="N12" s="29">
        <f t="shared" ca="1" si="0"/>
        <v>18</v>
      </c>
      <c r="O12" s="29">
        <f t="shared" ca="1" si="1"/>
        <v>16</v>
      </c>
      <c r="R12" t="s">
        <v>80</v>
      </c>
    </row>
    <row r="13" spans="3:18">
      <c r="C13" s="5" t="s">
        <v>19</v>
      </c>
      <c r="D13" s="8">
        <f ca="1">COUNTIF(INDIRECT("["&amp;datatable!$C$4&amp;"]"&amp;datatable!$A8&amp;"!"&amp;"I:I"),"High Correct")</f>
        <v>4</v>
      </c>
      <c r="E13" s="11">
        <f ca="1">COUNTIF(INDIRECT("["&amp;datatable!$C$4&amp;"]"&amp;datatable!$A8&amp;"!"&amp;"I:I"),"Medium Correct")</f>
        <v>1</v>
      </c>
      <c r="F13" s="13">
        <f ca="1">COUNTIF(INDIRECT("["&amp;datatable!$C$4&amp;"]"&amp;datatable!$A8&amp;"!"&amp;"I:I"),"Low Correct")</f>
        <v>0</v>
      </c>
      <c r="G13" s="15">
        <f ca="1">COUNTIF(INDIRECT("["&amp;datatable!$C$4&amp;"]"&amp;datatable!$A8&amp;"!"&amp;"I:I"),"High Maybe")</f>
        <v>1</v>
      </c>
      <c r="H13" s="17">
        <f ca="1">COUNTIF(INDIRECT("["&amp;datatable!$C$4&amp;"]"&amp;datatable!$A8&amp;"!"&amp;"I:I"),"Medium Maybe")</f>
        <v>2</v>
      </c>
      <c r="I13" s="19">
        <f ca="1">COUNTIF(INDIRECT("["&amp;datatable!$C$4&amp;"]"&amp;datatable!$A8&amp;"!"&amp;"I:I"),"Low Maybe")</f>
        <v>1</v>
      </c>
      <c r="J13" s="21">
        <f ca="1">COUNTIF(INDIRECT("["&amp;datatable!$C$4&amp;"]"&amp;datatable!$A8&amp;"!"&amp;"I:I"),"Low Incorrect")</f>
        <v>4</v>
      </c>
      <c r="K13" s="23">
        <f ca="1">COUNTIF(INDIRECT("["&amp;datatable!$C$4&amp;"]"&amp;datatable!$A8&amp;"!"&amp;"I:I"),"Medium Incorrect")</f>
        <v>3</v>
      </c>
      <c r="L13" s="25">
        <f ca="1">COUNTIF(INDIRECT("["&amp;datatable!$C$4&amp;"]"&amp;datatable!$A8&amp;"!"&amp;"I:I"),"High Incorrect")</f>
        <v>1</v>
      </c>
      <c r="M13" s="27">
        <f ca="1">COUNTIF(INDIRECT("["&amp;datatable!$C$4&amp;"]"&amp;datatable!$A8&amp;"!"&amp;"I:I"),"N/A")</f>
        <v>1</v>
      </c>
      <c r="N13" s="29">
        <f t="shared" ca="1" si="0"/>
        <v>18</v>
      </c>
      <c r="O13" s="29">
        <f t="shared" ca="1" si="1"/>
        <v>17</v>
      </c>
      <c r="R13" t="s">
        <v>81</v>
      </c>
    </row>
    <row r="14" spans="3:18">
      <c r="C14" s="5" t="s">
        <v>20</v>
      </c>
      <c r="D14" s="8">
        <f ca="1">COUNTIF(INDIRECT("["&amp;datatable!$C$4&amp;"]"&amp;datatable!$A9&amp;"!"&amp;"I:I"),"High Correct")</f>
        <v>9</v>
      </c>
      <c r="E14" s="11">
        <f ca="1">COUNTIF(INDIRECT("["&amp;datatable!$C$4&amp;"]"&amp;datatable!$A9&amp;"!"&amp;"I:I"),"Medium Correct")</f>
        <v>1</v>
      </c>
      <c r="F14" s="13">
        <f ca="1">COUNTIF(INDIRECT("["&amp;datatable!$C$4&amp;"]"&amp;datatable!$A9&amp;"!"&amp;"I:I"),"Low Correct")</f>
        <v>0</v>
      </c>
      <c r="G14" s="15">
        <f ca="1">COUNTIF(INDIRECT("["&amp;datatable!$C$4&amp;"]"&amp;datatable!$A9&amp;"!"&amp;"I:I"),"High Maybe")</f>
        <v>0</v>
      </c>
      <c r="H14" s="17">
        <f ca="1">COUNTIF(INDIRECT("["&amp;datatable!$C$4&amp;"]"&amp;datatable!$A9&amp;"!"&amp;"I:I"),"Medium Maybe")</f>
        <v>1</v>
      </c>
      <c r="I14" s="19">
        <f ca="1">COUNTIF(INDIRECT("["&amp;datatable!$C$4&amp;"]"&amp;datatable!$A9&amp;"!"&amp;"I:I"),"Low Maybe")</f>
        <v>0</v>
      </c>
      <c r="J14" s="21">
        <f ca="1">COUNTIF(INDIRECT("["&amp;datatable!$C$4&amp;"]"&amp;datatable!$A9&amp;"!"&amp;"I:I"),"Low Incorrect")</f>
        <v>0</v>
      </c>
      <c r="K14" s="23">
        <f ca="1">COUNTIF(INDIRECT("["&amp;datatable!$C$4&amp;"]"&amp;datatable!$A9&amp;"!"&amp;"I:I"),"Medium Incorrect")</f>
        <v>0</v>
      </c>
      <c r="L14" s="25">
        <f ca="1">COUNTIF(INDIRECT("["&amp;datatable!$C$4&amp;"]"&amp;datatable!$A9&amp;"!"&amp;"I:I"),"High Incorrect")</f>
        <v>6</v>
      </c>
      <c r="M14" s="27">
        <f ca="1">COUNTIF(INDIRECT("["&amp;datatable!$C$4&amp;"]"&amp;datatable!$A9&amp;"!"&amp;"I:I"),"N/A")</f>
        <v>1</v>
      </c>
      <c r="N14" s="29">
        <f t="shared" ca="1" si="0"/>
        <v>18</v>
      </c>
      <c r="O14" s="29">
        <f t="shared" ca="1" si="1"/>
        <v>17</v>
      </c>
      <c r="R14" t="s">
        <v>82</v>
      </c>
    </row>
    <row r="15" spans="3:18">
      <c r="C15" s="5" t="s">
        <v>21</v>
      </c>
      <c r="D15" s="8">
        <f ca="1">COUNTIF(INDIRECT("["&amp;datatable!$C$4&amp;"]"&amp;datatable!$A10&amp;"!"&amp;"I:I"),"High Correct")</f>
        <v>6</v>
      </c>
      <c r="E15" s="11">
        <f ca="1">COUNTIF(INDIRECT("["&amp;datatable!$C$4&amp;"]"&amp;datatable!$A10&amp;"!"&amp;"I:I"),"Medium Correct")</f>
        <v>7</v>
      </c>
      <c r="F15" s="13">
        <f ca="1">COUNTIF(INDIRECT("["&amp;datatable!$C$4&amp;"]"&amp;datatable!$A10&amp;"!"&amp;"I:I"),"Low Correct")</f>
        <v>0</v>
      </c>
      <c r="G15" s="15">
        <f ca="1">COUNTIF(INDIRECT("["&amp;datatable!$C$4&amp;"]"&amp;datatable!$A10&amp;"!"&amp;"I:I"),"High Maybe")</f>
        <v>0</v>
      </c>
      <c r="H15" s="17">
        <f ca="1">COUNTIF(INDIRECT("["&amp;datatable!$C$4&amp;"]"&amp;datatable!$A10&amp;"!"&amp;"I:I"),"Medium Maybe")</f>
        <v>0</v>
      </c>
      <c r="I15" s="19">
        <f ca="1">COUNTIF(INDIRECT("["&amp;datatable!$C$4&amp;"]"&amp;datatable!$A10&amp;"!"&amp;"I:I"),"Low Maybe")</f>
        <v>0</v>
      </c>
      <c r="J15" s="21">
        <f ca="1">COUNTIF(INDIRECT("["&amp;datatable!$C$4&amp;"]"&amp;datatable!$A10&amp;"!"&amp;"I:I"),"Low Incorrect")</f>
        <v>0</v>
      </c>
      <c r="K15" s="23">
        <f ca="1">COUNTIF(INDIRECT("["&amp;datatable!$C$4&amp;"]"&amp;datatable!$A10&amp;"!"&amp;"I:I"),"Medium Incorrect")</f>
        <v>1</v>
      </c>
      <c r="L15" s="25">
        <f ca="1">COUNTIF(INDIRECT("["&amp;datatable!$C$4&amp;"]"&amp;datatable!$A10&amp;"!"&amp;"I:I"),"High Incorrect")</f>
        <v>3</v>
      </c>
      <c r="M15" s="27">
        <f ca="1">COUNTIF(INDIRECT("["&amp;datatable!$C$4&amp;"]"&amp;datatable!$A10&amp;"!"&amp;"I:I"),"N/A")</f>
        <v>1</v>
      </c>
      <c r="N15" s="29">
        <f t="shared" ca="1" si="0"/>
        <v>18</v>
      </c>
      <c r="O15" s="29">
        <f t="shared" ca="1" si="1"/>
        <v>17</v>
      </c>
      <c r="R15" t="s">
        <v>83</v>
      </c>
    </row>
    <row r="16" spans="3:18">
      <c r="C16" s="5" t="s">
        <v>22</v>
      </c>
      <c r="D16" s="8">
        <f ca="1">COUNTIF(INDIRECT("["&amp;datatable!$C$4&amp;"]"&amp;datatable!$A11&amp;"!"&amp;"I:I"),"High Correct")</f>
        <v>6</v>
      </c>
      <c r="E16" s="11">
        <f ca="1">COUNTIF(INDIRECT("["&amp;datatable!$C$4&amp;"]"&amp;datatable!$A11&amp;"!"&amp;"I:I"),"Medium Correct")</f>
        <v>1</v>
      </c>
      <c r="F16" s="13">
        <f ca="1">COUNTIF(INDIRECT("["&amp;datatable!$C$4&amp;"]"&amp;datatable!$A11&amp;"!"&amp;"I:I"),"Low Correct")</f>
        <v>4</v>
      </c>
      <c r="G16" s="15">
        <f ca="1">COUNTIF(INDIRECT("["&amp;datatable!$C$4&amp;"]"&amp;datatable!$A11&amp;"!"&amp;"I:I"),"High Maybe")</f>
        <v>2</v>
      </c>
      <c r="H16" s="17">
        <f ca="1">COUNTIF(INDIRECT("["&amp;datatable!$C$4&amp;"]"&amp;datatable!$A11&amp;"!"&amp;"I:I"),"Medium Maybe")</f>
        <v>0</v>
      </c>
      <c r="I16" s="19">
        <f ca="1">COUNTIF(INDIRECT("["&amp;datatable!$C$4&amp;"]"&amp;datatable!$A11&amp;"!"&amp;"I:I"),"Low Maybe")</f>
        <v>0</v>
      </c>
      <c r="J16" s="21">
        <f ca="1">COUNTIF(INDIRECT("["&amp;datatable!$C$4&amp;"]"&amp;datatable!$A11&amp;"!"&amp;"I:I"),"Low Incorrect")</f>
        <v>1</v>
      </c>
      <c r="K16" s="23">
        <f ca="1">COUNTIF(INDIRECT("["&amp;datatable!$C$4&amp;"]"&amp;datatable!$A11&amp;"!"&amp;"I:I"),"Medium Incorrect")</f>
        <v>1</v>
      </c>
      <c r="L16" s="25">
        <f ca="1">COUNTIF(INDIRECT("["&amp;datatable!$C$4&amp;"]"&amp;datatable!$A11&amp;"!"&amp;"I:I"),"High Incorrect")</f>
        <v>3</v>
      </c>
      <c r="M16" s="27">
        <f ca="1">COUNTIF(INDIRECT("["&amp;datatable!$C$4&amp;"]"&amp;datatable!$A11&amp;"!"&amp;"I:I"),"N/A")</f>
        <v>0</v>
      </c>
      <c r="N16" s="29">
        <f t="shared" ca="1" si="0"/>
        <v>18</v>
      </c>
      <c r="O16" s="29">
        <f t="shared" ca="1" si="1"/>
        <v>18</v>
      </c>
      <c r="R16" t="s">
        <v>84</v>
      </c>
    </row>
    <row r="17" spans="3:18">
      <c r="C17" s="5" t="s">
        <v>23</v>
      </c>
      <c r="D17" s="8">
        <f ca="1">COUNTIF(INDIRECT("["&amp;datatable!$C$4&amp;"]"&amp;datatable!$A12&amp;"!"&amp;"I:I"),"High Correct")</f>
        <v>14</v>
      </c>
      <c r="E17" s="11">
        <f ca="1">COUNTIF(INDIRECT("["&amp;datatable!$C$4&amp;"]"&amp;datatable!$A12&amp;"!"&amp;"I:I"),"Medium Correct")</f>
        <v>1</v>
      </c>
      <c r="F17" s="13">
        <f ca="1">COUNTIF(INDIRECT("["&amp;datatable!$C$4&amp;"]"&amp;datatable!$A12&amp;"!"&amp;"I:I"),"Low Correct")</f>
        <v>2</v>
      </c>
      <c r="G17" s="15">
        <f ca="1">COUNTIF(INDIRECT("["&amp;datatable!$C$4&amp;"]"&amp;datatable!$A12&amp;"!"&amp;"I:I"),"High Maybe")</f>
        <v>0</v>
      </c>
      <c r="H17" s="17">
        <f ca="1">COUNTIF(INDIRECT("["&amp;datatable!$C$4&amp;"]"&amp;datatable!$A12&amp;"!"&amp;"I:I"),"Medium Maybe")</f>
        <v>0</v>
      </c>
      <c r="I17" s="19">
        <f ca="1">COUNTIF(INDIRECT("["&amp;datatable!$C$4&amp;"]"&amp;datatable!$A12&amp;"!"&amp;"I:I"),"Low Maybe")</f>
        <v>0</v>
      </c>
      <c r="J17" s="21">
        <f ca="1">COUNTIF(INDIRECT("["&amp;datatable!$C$4&amp;"]"&amp;datatable!$A12&amp;"!"&amp;"I:I"),"Low Incorrect")</f>
        <v>0</v>
      </c>
      <c r="K17" s="23">
        <f ca="1">COUNTIF(INDIRECT("["&amp;datatable!$C$4&amp;"]"&amp;datatable!$A12&amp;"!"&amp;"I:I"),"Medium Incorrect")</f>
        <v>0</v>
      </c>
      <c r="L17" s="25">
        <f ca="1">COUNTIF(INDIRECT("["&amp;datatable!$C$4&amp;"]"&amp;datatable!$A12&amp;"!"&amp;"I:I"),"High Incorrect")</f>
        <v>0</v>
      </c>
      <c r="M17" s="27">
        <f ca="1">COUNTIF(INDIRECT("["&amp;datatable!$C$4&amp;"]"&amp;datatable!$A12&amp;"!"&amp;"I:I"),"N/A")</f>
        <v>1</v>
      </c>
      <c r="N17" s="29">
        <f t="shared" ca="1" si="0"/>
        <v>18</v>
      </c>
      <c r="O17" s="29">
        <f t="shared" ca="1" si="1"/>
        <v>17</v>
      </c>
      <c r="R17" t="s">
        <v>85</v>
      </c>
    </row>
    <row r="18" spans="3:18">
      <c r="C18" s="5" t="s">
        <v>24</v>
      </c>
      <c r="D18" s="8">
        <f ca="1">COUNTIF(INDIRECT("["&amp;datatable!$C$4&amp;"]"&amp;datatable!$A13&amp;"!"&amp;"I:I"),"High Correct")</f>
        <v>8</v>
      </c>
      <c r="E18" s="11">
        <f ca="1">COUNTIF(INDIRECT("["&amp;datatable!$C$4&amp;"]"&amp;datatable!$A13&amp;"!"&amp;"I:I"),"Medium Correct")</f>
        <v>0</v>
      </c>
      <c r="F18" s="13">
        <f ca="1">COUNTIF(INDIRECT("["&amp;datatable!$C$4&amp;"]"&amp;datatable!$A13&amp;"!"&amp;"I:I"),"Low Correct")</f>
        <v>1</v>
      </c>
      <c r="G18" s="15">
        <f ca="1">COUNTIF(INDIRECT("["&amp;datatable!$C$4&amp;"]"&amp;datatable!$A13&amp;"!"&amp;"I:I"),"High Maybe")</f>
        <v>0</v>
      </c>
      <c r="H18" s="17">
        <f ca="1">COUNTIF(INDIRECT("["&amp;datatable!$C$4&amp;"]"&amp;datatable!$A13&amp;"!"&amp;"I:I"),"Medium Maybe")</f>
        <v>3</v>
      </c>
      <c r="I18" s="19">
        <f ca="1">COUNTIF(INDIRECT("["&amp;datatable!$C$4&amp;"]"&amp;datatable!$A13&amp;"!"&amp;"I:I"),"Low Maybe")</f>
        <v>1</v>
      </c>
      <c r="J18" s="21">
        <f ca="1">COUNTIF(INDIRECT("["&amp;datatable!$C$4&amp;"]"&amp;datatable!$A13&amp;"!"&amp;"I:I"),"Low Incorrect")</f>
        <v>0</v>
      </c>
      <c r="K18" s="23">
        <f ca="1">COUNTIF(INDIRECT("["&amp;datatable!$C$4&amp;"]"&amp;datatable!$A13&amp;"!"&amp;"I:I"),"Medium Incorrect")</f>
        <v>1</v>
      </c>
      <c r="L18" s="25">
        <f ca="1">COUNTIF(INDIRECT("["&amp;datatable!$C$4&amp;"]"&amp;datatable!$A13&amp;"!"&amp;"I:I"),"High Incorrect")</f>
        <v>2</v>
      </c>
      <c r="M18" s="27">
        <f ca="1">COUNTIF(INDIRECT("["&amp;datatable!$C$4&amp;"]"&amp;datatable!$A13&amp;"!"&amp;"I:I"),"N/A")</f>
        <v>2</v>
      </c>
      <c r="N18" s="29">
        <f t="shared" ca="1" si="0"/>
        <v>18</v>
      </c>
      <c r="O18" s="29">
        <f t="shared" ca="1" si="1"/>
        <v>16</v>
      </c>
      <c r="R18" t="s">
        <v>86</v>
      </c>
    </row>
    <row r="19" spans="3:18">
      <c r="C19" s="5" t="s">
        <v>25</v>
      </c>
      <c r="D19" s="8">
        <f ca="1">COUNTIF(INDIRECT("["&amp;datatable!$C$4&amp;"]"&amp;datatable!$A14&amp;"!"&amp;"I:I"),"High Correct")</f>
        <v>13</v>
      </c>
      <c r="E19" s="11">
        <f ca="1">COUNTIF(INDIRECT("["&amp;datatable!$C$4&amp;"]"&amp;datatable!$A14&amp;"!"&amp;"I:I"),"Medium Correct")</f>
        <v>0</v>
      </c>
      <c r="F19" s="13">
        <f ca="1">COUNTIF(INDIRECT("["&amp;datatable!$C$4&amp;"]"&amp;datatable!$A14&amp;"!"&amp;"I:I"),"Low Correct")</f>
        <v>1</v>
      </c>
      <c r="G19" s="15">
        <f ca="1">COUNTIF(INDIRECT("["&amp;datatable!$C$4&amp;"]"&amp;datatable!$A14&amp;"!"&amp;"I:I"),"High Maybe")</f>
        <v>0</v>
      </c>
      <c r="H19" s="17">
        <f ca="1">COUNTIF(INDIRECT("["&amp;datatable!$C$4&amp;"]"&amp;datatable!$A14&amp;"!"&amp;"I:I"),"Medium Maybe")</f>
        <v>0</v>
      </c>
      <c r="I19" s="19">
        <f ca="1">COUNTIF(INDIRECT("["&amp;datatable!$C$4&amp;"]"&amp;datatable!$A14&amp;"!"&amp;"I:I"),"Low Maybe")</f>
        <v>0</v>
      </c>
      <c r="J19" s="21">
        <f ca="1">COUNTIF(INDIRECT("["&amp;datatable!$C$4&amp;"]"&amp;datatable!$A14&amp;"!"&amp;"I:I"),"Low Incorrect")</f>
        <v>1</v>
      </c>
      <c r="K19" s="23">
        <f ca="1">COUNTIF(INDIRECT("["&amp;datatable!$C$4&amp;"]"&amp;datatable!$A14&amp;"!"&amp;"I:I"),"Medium Incorrect")</f>
        <v>0</v>
      </c>
      <c r="L19" s="25">
        <f ca="1">COUNTIF(INDIRECT("["&amp;datatable!$C$4&amp;"]"&amp;datatable!$A14&amp;"!"&amp;"I:I"),"High Incorrect")</f>
        <v>1</v>
      </c>
      <c r="M19" s="27">
        <f ca="1">COUNTIF(INDIRECT("["&amp;datatable!$C$4&amp;"]"&amp;datatable!$A14&amp;"!"&amp;"I:I"),"N/A")</f>
        <v>2</v>
      </c>
      <c r="N19" s="29">
        <f t="shared" ca="1" si="0"/>
        <v>18</v>
      </c>
      <c r="O19" s="29">
        <f t="shared" ca="1" si="1"/>
        <v>16</v>
      </c>
      <c r="R19" s="51" t="s">
        <v>87</v>
      </c>
    </row>
    <row r="20" spans="3:18">
      <c r="C20" s="5" t="s">
        <v>26</v>
      </c>
      <c r="D20" s="8">
        <f ca="1">COUNTIF(INDIRECT("["&amp;datatable!$C$4&amp;"]"&amp;datatable!$A15&amp;"!"&amp;"I:I"),"High Correct")</f>
        <v>10</v>
      </c>
      <c r="E20" s="11">
        <f ca="1">COUNTIF(INDIRECT("["&amp;datatable!$C$4&amp;"]"&amp;datatable!$A15&amp;"!"&amp;"I:I"),"Medium Correct")</f>
        <v>0</v>
      </c>
      <c r="F20" s="13">
        <f ca="1">COUNTIF(INDIRECT("["&amp;datatable!$C$4&amp;"]"&amp;datatable!$A15&amp;"!"&amp;"I:I"),"Low Correct")</f>
        <v>0</v>
      </c>
      <c r="G20" s="15">
        <f ca="1">COUNTIF(INDIRECT("["&amp;datatable!$C$4&amp;"]"&amp;datatable!$A15&amp;"!"&amp;"I:I"),"High Maybe")</f>
        <v>1</v>
      </c>
      <c r="H20" s="17">
        <f ca="1">COUNTIF(INDIRECT("["&amp;datatable!$C$4&amp;"]"&amp;datatable!$A15&amp;"!"&amp;"I:I"),"Medium Maybe")</f>
        <v>1</v>
      </c>
      <c r="I20" s="19">
        <f ca="1">COUNTIF(INDIRECT("["&amp;datatable!$C$4&amp;"]"&amp;datatable!$A15&amp;"!"&amp;"I:I"),"Low Maybe")</f>
        <v>0</v>
      </c>
      <c r="J20" s="21">
        <f ca="1">COUNTIF(INDIRECT("["&amp;datatable!$C$4&amp;"]"&amp;datatable!$A15&amp;"!"&amp;"I:I"),"Low Incorrect")</f>
        <v>0</v>
      </c>
      <c r="K20" s="23">
        <f ca="1">COUNTIF(INDIRECT("["&amp;datatable!$C$4&amp;"]"&amp;datatable!$A15&amp;"!"&amp;"I:I"),"Medium Incorrect")</f>
        <v>0</v>
      </c>
      <c r="L20" s="25">
        <f ca="1">COUNTIF(INDIRECT("["&amp;datatable!$C$4&amp;"]"&amp;datatable!$A15&amp;"!"&amp;"I:I"),"High Incorrect")</f>
        <v>5</v>
      </c>
      <c r="M20" s="27">
        <f ca="1">COUNTIF(INDIRECT("["&amp;datatable!$C$4&amp;"]"&amp;datatable!$A15&amp;"!"&amp;"I:I"),"N/A")</f>
        <v>1</v>
      </c>
      <c r="N20" s="29">
        <f t="shared" ca="1" si="0"/>
        <v>18</v>
      </c>
      <c r="O20" s="29">
        <f t="shared" ca="1" si="1"/>
        <v>17</v>
      </c>
    </row>
    <row r="21" spans="3:18">
      <c r="C21" s="5" t="s">
        <v>27</v>
      </c>
      <c r="D21" s="8">
        <f ca="1">COUNTIF(INDIRECT("["&amp;datatable!$C$4&amp;"]"&amp;datatable!$A16&amp;"!"&amp;"I:I"),"High Correct")</f>
        <v>10</v>
      </c>
      <c r="E21" s="11">
        <f ca="1">COUNTIF(INDIRECT("["&amp;datatable!$C$4&amp;"]"&amp;datatable!$A16&amp;"!"&amp;"I:I"),"Medium Correct")</f>
        <v>1</v>
      </c>
      <c r="F21" s="13">
        <f ca="1">COUNTIF(INDIRECT("["&amp;datatable!$C$4&amp;"]"&amp;datatable!$A16&amp;"!"&amp;"I:I"),"Low Correct")</f>
        <v>1</v>
      </c>
      <c r="G21" s="15">
        <f ca="1">COUNTIF(INDIRECT("["&amp;datatable!$C$4&amp;"]"&amp;datatable!$A16&amp;"!"&amp;"I:I"),"High Maybe")</f>
        <v>2</v>
      </c>
      <c r="H21" s="17">
        <f ca="1">COUNTIF(INDIRECT("["&amp;datatable!$C$4&amp;"]"&amp;datatable!$A16&amp;"!"&amp;"I:I"),"Medium Maybe")</f>
        <v>1</v>
      </c>
      <c r="I21" s="19">
        <f ca="1">COUNTIF(INDIRECT("["&amp;datatable!$C$4&amp;"]"&amp;datatable!$A16&amp;"!"&amp;"I:I"),"Low Maybe")</f>
        <v>0</v>
      </c>
      <c r="J21" s="21">
        <f ca="1">COUNTIF(INDIRECT("["&amp;datatable!$C$4&amp;"]"&amp;datatable!$A16&amp;"!"&amp;"I:I"),"Low Incorrect")</f>
        <v>0</v>
      </c>
      <c r="K21" s="23">
        <f ca="1">COUNTIF(INDIRECT("["&amp;datatable!$C$4&amp;"]"&amp;datatable!$A16&amp;"!"&amp;"I:I"),"Medium Incorrect")</f>
        <v>0</v>
      </c>
      <c r="L21" s="25">
        <f ca="1">COUNTIF(INDIRECT("["&amp;datatable!$C$4&amp;"]"&amp;datatable!$A16&amp;"!"&amp;"I:I"),"High Incorrect")</f>
        <v>2</v>
      </c>
      <c r="M21" s="27">
        <f ca="1">COUNTIF(INDIRECT("["&amp;datatable!$C$4&amp;"]"&amp;datatable!$A16&amp;"!"&amp;"I:I"),"N/A")</f>
        <v>1</v>
      </c>
      <c r="N21" s="29">
        <f t="shared" ca="1" si="0"/>
        <v>18</v>
      </c>
      <c r="O21" s="29">
        <f t="shared" ca="1" si="1"/>
        <v>17</v>
      </c>
      <c r="R21" t="s">
        <v>88</v>
      </c>
    </row>
    <row r="22" spans="3:18">
      <c r="C22" s="5" t="s">
        <v>28</v>
      </c>
      <c r="D22" s="8">
        <f ca="1">COUNTIF(INDIRECT("["&amp;datatable!$C$4&amp;"]"&amp;datatable!$A17&amp;"!"&amp;"I:I"),"High Correct")</f>
        <v>10</v>
      </c>
      <c r="E22" s="11">
        <f ca="1">COUNTIF(INDIRECT("["&amp;datatable!$C$4&amp;"]"&amp;datatable!$A17&amp;"!"&amp;"I:I"),"Medium Correct")</f>
        <v>1</v>
      </c>
      <c r="F22" s="13">
        <f ca="1">COUNTIF(INDIRECT("["&amp;datatable!$C$4&amp;"]"&amp;datatable!$A17&amp;"!"&amp;"I:I"),"Low Correct")</f>
        <v>0</v>
      </c>
      <c r="G22" s="15">
        <f ca="1">COUNTIF(INDIRECT("["&amp;datatable!$C$4&amp;"]"&amp;datatable!$A17&amp;"!"&amp;"I:I"),"High Maybe")</f>
        <v>1</v>
      </c>
      <c r="H22" s="17">
        <f ca="1">COUNTIF(INDIRECT("["&amp;datatable!$C$4&amp;"]"&amp;datatable!$A17&amp;"!"&amp;"I:I"),"Medium Maybe")</f>
        <v>1</v>
      </c>
      <c r="I22" s="19">
        <f ca="1">COUNTIF(INDIRECT("["&amp;datatable!$C$4&amp;"]"&amp;datatable!$A17&amp;"!"&amp;"I:I"),"Low Maybe")</f>
        <v>1</v>
      </c>
      <c r="J22" s="21">
        <f ca="1">COUNTIF(INDIRECT("["&amp;datatable!$C$4&amp;"]"&amp;datatable!$A17&amp;"!"&amp;"I:I"),"Low Incorrect")</f>
        <v>0</v>
      </c>
      <c r="K22" s="23">
        <f ca="1">COUNTIF(INDIRECT("["&amp;datatable!$C$4&amp;"]"&amp;datatable!$A17&amp;"!"&amp;"I:I"),"Medium Incorrect")</f>
        <v>0</v>
      </c>
      <c r="L22" s="25">
        <f ca="1">COUNTIF(INDIRECT("["&amp;datatable!$C$4&amp;"]"&amp;datatable!$A17&amp;"!"&amp;"I:I"),"High Incorrect")</f>
        <v>3</v>
      </c>
      <c r="M22" s="27">
        <f ca="1">COUNTIF(INDIRECT("["&amp;datatable!$C$4&amp;"]"&amp;datatable!$A17&amp;"!"&amp;"I:I"),"N/A")</f>
        <v>1</v>
      </c>
      <c r="N22" s="29">
        <f t="shared" ca="1" si="0"/>
        <v>18</v>
      </c>
      <c r="O22" s="29">
        <f t="shared" ca="1" si="1"/>
        <v>17</v>
      </c>
    </row>
    <row r="23" spans="3:18">
      <c r="C23" s="5" t="s">
        <v>29</v>
      </c>
      <c r="D23" s="8">
        <f ca="1">COUNTIF(INDIRECT("["&amp;datatable!$C$4&amp;"]"&amp;datatable!$A18&amp;"!"&amp;"I:I"),"High Correct")</f>
        <v>1</v>
      </c>
      <c r="E23" s="11">
        <f ca="1">COUNTIF(INDIRECT("["&amp;datatable!$C$4&amp;"]"&amp;datatable!$A18&amp;"!"&amp;"I:I"),"Medium Correct")</f>
        <v>8</v>
      </c>
      <c r="F23" s="13">
        <f ca="1">COUNTIF(INDIRECT("["&amp;datatable!$C$4&amp;"]"&amp;datatable!$A18&amp;"!"&amp;"I:I"),"Low Correct")</f>
        <v>0</v>
      </c>
      <c r="G23" s="15">
        <f ca="1">COUNTIF(INDIRECT("["&amp;datatable!$C$4&amp;"]"&amp;datatable!$A18&amp;"!"&amp;"I:I"),"High Maybe")</f>
        <v>0</v>
      </c>
      <c r="H23" s="17">
        <f ca="1">COUNTIF(INDIRECT("["&amp;datatable!$C$4&amp;"]"&amp;datatable!$A18&amp;"!"&amp;"I:I"),"Medium Maybe")</f>
        <v>1</v>
      </c>
      <c r="I23" s="19">
        <f ca="1">COUNTIF(INDIRECT("["&amp;datatable!$C$4&amp;"]"&amp;datatable!$A18&amp;"!"&amp;"I:I"),"Low Maybe")</f>
        <v>0</v>
      </c>
      <c r="J23" s="21">
        <f ca="1">COUNTIF(INDIRECT("["&amp;datatable!$C$4&amp;"]"&amp;datatable!$A18&amp;"!"&amp;"I:I"),"Low Incorrect")</f>
        <v>0</v>
      </c>
      <c r="K23" s="23">
        <f ca="1">COUNTIF(INDIRECT("["&amp;datatable!$C$4&amp;"]"&amp;datatable!$A18&amp;"!"&amp;"I:I"),"Medium Incorrect")</f>
        <v>0</v>
      </c>
      <c r="L23" s="25">
        <f ca="1">COUNTIF(INDIRECT("["&amp;datatable!$C$4&amp;"]"&amp;datatable!$A18&amp;"!"&amp;"I:I"),"High Incorrect")</f>
        <v>1</v>
      </c>
      <c r="M23" s="27">
        <f ca="1">COUNTIF(INDIRECT("["&amp;datatable!$C$4&amp;"]"&amp;datatable!$A18&amp;"!"&amp;"I:I"),"N/A")</f>
        <v>7</v>
      </c>
      <c r="N23" s="29">
        <f t="shared" ca="1" si="0"/>
        <v>18</v>
      </c>
      <c r="O23" s="29">
        <f t="shared" ca="1" si="1"/>
        <v>11</v>
      </c>
      <c r="Q23" t="s">
        <v>89</v>
      </c>
      <c r="R23" t="s">
        <v>90</v>
      </c>
    </row>
    <row r="24" spans="3:18">
      <c r="C24" s="5" t="s">
        <v>30</v>
      </c>
      <c r="D24" s="8">
        <f ca="1">COUNTIF(INDIRECT("["&amp;datatable!$C$4&amp;"]"&amp;datatable!$A19&amp;"!"&amp;"I:I"),"High Correct")</f>
        <v>2</v>
      </c>
      <c r="E24" s="11">
        <f ca="1">COUNTIF(INDIRECT("["&amp;datatable!$C$4&amp;"]"&amp;datatable!$A19&amp;"!"&amp;"I:I"),"Medium Correct")</f>
        <v>2</v>
      </c>
      <c r="F24" s="13">
        <f ca="1">COUNTIF(INDIRECT("["&amp;datatable!$C$4&amp;"]"&amp;datatable!$A19&amp;"!"&amp;"I:I"),"Low Correct")</f>
        <v>1</v>
      </c>
      <c r="G24" s="15">
        <f ca="1">COUNTIF(INDIRECT("["&amp;datatable!$C$4&amp;"]"&amp;datatable!$A19&amp;"!"&amp;"I:I"),"High Maybe")</f>
        <v>1</v>
      </c>
      <c r="H24" s="17">
        <f ca="1">COUNTIF(INDIRECT("["&amp;datatable!$C$4&amp;"]"&amp;datatable!$A19&amp;"!"&amp;"I:I"),"Medium Maybe")</f>
        <v>2</v>
      </c>
      <c r="I24" s="19">
        <f ca="1">COUNTIF(INDIRECT("["&amp;datatable!$C$4&amp;"]"&amp;datatable!$A19&amp;"!"&amp;"I:I"),"Low Maybe")</f>
        <v>1</v>
      </c>
      <c r="J24" s="21">
        <f ca="1">COUNTIF(INDIRECT("["&amp;datatable!$C$4&amp;"]"&amp;datatable!$A19&amp;"!"&amp;"I:I"),"Low Incorrect")</f>
        <v>1</v>
      </c>
      <c r="K24" s="23">
        <f ca="1">COUNTIF(INDIRECT("["&amp;datatable!$C$4&amp;"]"&amp;datatable!$A19&amp;"!"&amp;"I:I"),"Medium Incorrect")</f>
        <v>4</v>
      </c>
      <c r="L24" s="25">
        <f ca="1">COUNTIF(INDIRECT("["&amp;datatable!$C$4&amp;"]"&amp;datatable!$A19&amp;"!"&amp;"I:I"),"High Incorrect")</f>
        <v>4</v>
      </c>
      <c r="M24" s="27">
        <f ca="1">COUNTIF(INDIRECT("["&amp;datatable!$C$4&amp;"]"&amp;datatable!$A19&amp;"!"&amp;"I:I"),"N/A")</f>
        <v>0</v>
      </c>
      <c r="N24" s="29">
        <f t="shared" ca="1" si="0"/>
        <v>18</v>
      </c>
      <c r="O24" s="29">
        <f t="shared" ca="1" si="1"/>
        <v>18</v>
      </c>
    </row>
    <row r="25" spans="3:18">
      <c r="C25" s="5" t="s">
        <v>31</v>
      </c>
      <c r="D25" s="8">
        <f ca="1">COUNTIF(INDIRECT("["&amp;datatable!$C$4&amp;"]"&amp;datatable!$A20&amp;"!"&amp;"I:I"),"High Correct")</f>
        <v>1</v>
      </c>
      <c r="E25" s="11">
        <f ca="1">COUNTIF(INDIRECT("["&amp;datatable!$C$4&amp;"]"&amp;datatable!$A20&amp;"!"&amp;"I:I"),"Medium Correct")</f>
        <v>6</v>
      </c>
      <c r="F25" s="13">
        <f ca="1">COUNTIF(INDIRECT("["&amp;datatable!$C$4&amp;"]"&amp;datatable!$A20&amp;"!"&amp;"I:I"),"Low Correct")</f>
        <v>0</v>
      </c>
      <c r="G25" s="15">
        <f ca="1">COUNTIF(INDIRECT("["&amp;datatable!$C$4&amp;"]"&amp;datatable!$A20&amp;"!"&amp;"I:I"),"High Maybe")</f>
        <v>0</v>
      </c>
      <c r="H25" s="17">
        <f ca="1">COUNTIF(INDIRECT("["&amp;datatable!$C$4&amp;"]"&amp;datatable!$A20&amp;"!"&amp;"I:I"),"Medium Maybe")</f>
        <v>1</v>
      </c>
      <c r="I25" s="19">
        <f ca="1">COUNTIF(INDIRECT("["&amp;datatable!$C$4&amp;"]"&amp;datatable!$A20&amp;"!"&amp;"I:I"),"Low Maybe")</f>
        <v>0</v>
      </c>
      <c r="J25" s="21">
        <f ca="1">COUNTIF(INDIRECT("["&amp;datatable!$C$4&amp;"]"&amp;datatable!$A20&amp;"!"&amp;"I:I"),"Low Incorrect")</f>
        <v>1</v>
      </c>
      <c r="K25" s="23">
        <f ca="1">COUNTIF(INDIRECT("["&amp;datatable!$C$4&amp;"]"&amp;datatable!$A20&amp;"!"&amp;"I:I"),"Medium Incorrect")</f>
        <v>0</v>
      </c>
      <c r="L25" s="25">
        <f ca="1">COUNTIF(INDIRECT("["&amp;datatable!$C$4&amp;"]"&amp;datatable!$A20&amp;"!"&amp;"I:I"),"High Incorrect")</f>
        <v>1</v>
      </c>
      <c r="M25" s="27">
        <f ca="1">COUNTIF(INDIRECT("["&amp;datatable!$C$4&amp;"]"&amp;datatable!$A20&amp;"!"&amp;"I:I"),"N/A")</f>
        <v>8</v>
      </c>
      <c r="N25" s="29">
        <f t="shared" ca="1" si="0"/>
        <v>18</v>
      </c>
      <c r="O25" s="29">
        <f t="shared" ca="1" si="1"/>
        <v>10</v>
      </c>
      <c r="R25" t="s">
        <v>91</v>
      </c>
    </row>
    <row r="26" spans="3:18">
      <c r="C26" s="5" t="s">
        <v>32</v>
      </c>
      <c r="D26" s="8">
        <f ca="1">COUNTIF(INDIRECT("["&amp;datatable!$C$4&amp;"]"&amp;datatable!$A21&amp;"!"&amp;"I:I"),"High Correct")</f>
        <v>3</v>
      </c>
      <c r="E26" s="11">
        <f ca="1">COUNTIF(INDIRECT("["&amp;datatable!$C$4&amp;"]"&amp;datatable!$A21&amp;"!"&amp;"I:I"),"Medium Correct")</f>
        <v>1</v>
      </c>
      <c r="F26" s="13">
        <f ca="1">COUNTIF(INDIRECT("["&amp;datatable!$C$4&amp;"]"&amp;datatable!$A21&amp;"!"&amp;"I:I"),"Low Correct")</f>
        <v>1</v>
      </c>
      <c r="G26" s="15">
        <f ca="1">COUNTIF(INDIRECT("["&amp;datatable!$C$4&amp;"]"&amp;datatable!$A21&amp;"!"&amp;"I:I"),"High Maybe")</f>
        <v>2</v>
      </c>
      <c r="H26" s="17">
        <f ca="1">COUNTIF(INDIRECT("["&amp;datatable!$C$4&amp;"]"&amp;datatable!$A21&amp;"!"&amp;"I:I"),"Medium Maybe")</f>
        <v>4</v>
      </c>
      <c r="I26" s="19">
        <f ca="1">COUNTIF(INDIRECT("["&amp;datatable!$C$4&amp;"]"&amp;datatable!$A21&amp;"!"&amp;"I:I"),"Low Maybe")</f>
        <v>0</v>
      </c>
      <c r="J26" s="21">
        <f ca="1">COUNTIF(INDIRECT("["&amp;datatable!$C$4&amp;"]"&amp;datatable!$A21&amp;"!"&amp;"I:I"),"Low Incorrect")</f>
        <v>0</v>
      </c>
      <c r="K26" s="23">
        <f ca="1">COUNTIF(INDIRECT("["&amp;datatable!$C$4&amp;"]"&amp;datatable!$A21&amp;"!"&amp;"I:I"),"Medium Incorrect")</f>
        <v>3</v>
      </c>
      <c r="L26" s="25">
        <f ca="1">COUNTIF(INDIRECT("["&amp;datatable!$C$4&amp;"]"&amp;datatable!$A21&amp;"!"&amp;"I:I"),"High Incorrect")</f>
        <v>3</v>
      </c>
      <c r="M26" s="27">
        <f ca="1">COUNTIF(INDIRECT("["&amp;datatable!$C$4&amp;"]"&amp;datatable!$A21&amp;"!"&amp;"I:I"),"N/A")</f>
        <v>1</v>
      </c>
      <c r="N26" s="29">
        <f t="shared" ca="1" si="0"/>
        <v>18</v>
      </c>
      <c r="O26" s="29">
        <f t="shared" ca="1" si="1"/>
        <v>17</v>
      </c>
      <c r="R26" t="s">
        <v>92</v>
      </c>
    </row>
    <row r="27" spans="3:18">
      <c r="C27" s="5" t="s">
        <v>33</v>
      </c>
      <c r="D27" s="8">
        <f ca="1">COUNTIF(INDIRECT("["&amp;datatable!$C$4&amp;"]"&amp;datatable!$A22&amp;"!"&amp;"I:I"),"High Correct")</f>
        <v>2</v>
      </c>
      <c r="E27" s="11">
        <f ca="1">COUNTIF(INDIRECT("["&amp;datatable!$C$4&amp;"]"&amp;datatable!$A22&amp;"!"&amp;"I:I"),"Medium Correct")</f>
        <v>0</v>
      </c>
      <c r="F27" s="13">
        <f ca="1">COUNTIF(INDIRECT("["&amp;datatable!$C$4&amp;"]"&amp;datatable!$A22&amp;"!"&amp;"I:I"),"Low Correct")</f>
        <v>0</v>
      </c>
      <c r="G27" s="15">
        <f ca="1">COUNTIF(INDIRECT("["&amp;datatable!$C$4&amp;"]"&amp;datatable!$A22&amp;"!"&amp;"I:I"),"High Maybe")</f>
        <v>1</v>
      </c>
      <c r="H27" s="17">
        <f ca="1">COUNTIF(INDIRECT("["&amp;datatable!$C$4&amp;"]"&amp;datatable!$A22&amp;"!"&amp;"I:I"),"Medium Maybe")</f>
        <v>0</v>
      </c>
      <c r="I27" s="19">
        <f ca="1">COUNTIF(INDIRECT("["&amp;datatable!$C$4&amp;"]"&amp;datatable!$A22&amp;"!"&amp;"I:I"),"Low Maybe")</f>
        <v>1</v>
      </c>
      <c r="J27" s="21">
        <f ca="1">COUNTIF(INDIRECT("["&amp;datatable!$C$4&amp;"]"&amp;datatable!$A22&amp;"!"&amp;"I:I"),"Low Incorrect")</f>
        <v>1</v>
      </c>
      <c r="K27" s="23">
        <f ca="1">COUNTIF(INDIRECT("["&amp;datatable!$C$4&amp;"]"&amp;datatable!$A22&amp;"!"&amp;"I:I"),"Medium Incorrect")</f>
        <v>0</v>
      </c>
      <c r="L27" s="25">
        <f ca="1">COUNTIF(INDIRECT("["&amp;datatable!$C$4&amp;"]"&amp;datatable!$A22&amp;"!"&amp;"I:I"),"High Incorrect")</f>
        <v>4</v>
      </c>
      <c r="M27" s="27">
        <f ca="1">COUNTIF(INDIRECT("["&amp;datatable!$C$4&amp;"]"&amp;datatable!$A22&amp;"!"&amp;"I:I"),"N/A")</f>
        <v>9</v>
      </c>
      <c r="N27" s="29">
        <f t="shared" ca="1" si="0"/>
        <v>18</v>
      </c>
      <c r="O27" s="29">
        <f t="shared" ca="1" si="1"/>
        <v>9</v>
      </c>
      <c r="R27" t="s">
        <v>93</v>
      </c>
    </row>
    <row r="28" spans="3:18">
      <c r="C28" s="6" t="s">
        <v>34</v>
      </c>
      <c r="D28" s="9">
        <f t="shared" ref="D28:M28" ca="1" si="2">SUM(D7:D27)</f>
        <v>136</v>
      </c>
      <c r="E28" s="9">
        <f t="shared" ca="1" si="2"/>
        <v>34</v>
      </c>
      <c r="F28" s="9">
        <f t="shared" ca="1" si="2"/>
        <v>17</v>
      </c>
      <c r="G28" s="9">
        <f t="shared" ca="1" si="2"/>
        <v>22</v>
      </c>
      <c r="H28" s="9">
        <f t="shared" ca="1" si="2"/>
        <v>22</v>
      </c>
      <c r="I28" s="9">
        <f t="shared" ca="1" si="2"/>
        <v>9</v>
      </c>
      <c r="J28" s="9">
        <f t="shared" ca="1" si="2"/>
        <v>9</v>
      </c>
      <c r="K28" s="9">
        <f t="shared" ca="1" si="2"/>
        <v>22</v>
      </c>
      <c r="L28" s="9">
        <f t="shared" ca="1" si="2"/>
        <v>64</v>
      </c>
      <c r="M28" s="9">
        <f t="shared" ca="1" si="2"/>
        <v>43</v>
      </c>
      <c r="N28" s="29">
        <f t="shared" ca="1" si="0"/>
        <v>378</v>
      </c>
      <c r="O28" s="29">
        <f t="shared" ca="1" si="1"/>
        <v>335</v>
      </c>
      <c r="R28" t="s">
        <v>92</v>
      </c>
    </row>
    <row r="29" spans="3:18">
      <c r="R29" t="s">
        <v>88</v>
      </c>
    </row>
    <row r="30" spans="3:18">
      <c r="C30" s="30" t="s">
        <v>35</v>
      </c>
      <c r="R30" t="s">
        <v>92</v>
      </c>
    </row>
    <row r="31" spans="3:18">
      <c r="C31" s="30"/>
      <c r="D31" s="31" t="s">
        <v>1</v>
      </c>
      <c r="E31" s="32" t="s">
        <v>2</v>
      </c>
      <c r="F31" s="33" t="s">
        <v>3</v>
      </c>
      <c r="G31" s="34" t="s">
        <v>4</v>
      </c>
      <c r="H31" s="35" t="s">
        <v>5</v>
      </c>
      <c r="I31" s="36" t="s">
        <v>6</v>
      </c>
      <c r="J31" s="37" t="s">
        <v>7</v>
      </c>
      <c r="K31" s="38" t="s">
        <v>8</v>
      </c>
      <c r="L31" s="39" t="s">
        <v>9</v>
      </c>
      <c r="M31" s="40" t="s">
        <v>10</v>
      </c>
      <c r="N31" s="41" t="s">
        <v>36</v>
      </c>
      <c r="O31" s="41" t="s">
        <v>12</v>
      </c>
      <c r="R31" t="s">
        <v>94</v>
      </c>
    </row>
    <row r="32" spans="3:18">
      <c r="C32" s="42" t="s">
        <v>37</v>
      </c>
      <c r="D32" s="8">
        <f ca="1">COUNTIF(INDIRECT("["&amp;datatable!$C$4&amp;"]"&amp;datatable!$B2&amp;"!"&amp;"I:I"),"High Correct")</f>
        <v>10</v>
      </c>
      <c r="E32" s="11">
        <f ca="1">COUNTIF(INDIRECT("["&amp;datatable!$C$4&amp;"]"&amp;datatable!$B2&amp;"!"&amp;"I:I"),"Medium Correct")</f>
        <v>1</v>
      </c>
      <c r="F32" s="13">
        <f ca="1">COUNTIF(INDIRECT("["&amp;datatable!$C$4&amp;"]"&amp;datatable!$B2&amp;"!"&amp;"I:I"),"Low Correct")</f>
        <v>0</v>
      </c>
      <c r="G32" s="15">
        <f ca="1">COUNTIF(INDIRECT("["&amp;datatable!$C$4&amp;"]"&amp;datatable!$B2&amp;"!"&amp;"I:I"),"High Maybe")</f>
        <v>1</v>
      </c>
      <c r="H32" s="17">
        <f ca="1">COUNTIF(INDIRECT("["&amp;datatable!$C$4&amp;"]"&amp;datatable!$B2&amp;"!"&amp;"I:I"),"Medium Maybe")</f>
        <v>2</v>
      </c>
      <c r="I32" s="19">
        <f ca="1">COUNTIF(INDIRECT("["&amp;datatable!$C$4&amp;"]"&amp;datatable!$B2&amp;"!"&amp;"I:I"),"Low Maybe")</f>
        <v>1</v>
      </c>
      <c r="J32" s="21">
        <f ca="1">COUNTIF(INDIRECT("["&amp;datatable!$C$4&amp;"]"&amp;datatable!$B2&amp;"!"&amp;"I:I"),"Low Incorrect")</f>
        <v>0</v>
      </c>
      <c r="K32" s="23">
        <f ca="1">COUNTIF(INDIRECT("["&amp;datatable!$C$4&amp;"]"&amp;datatable!$B2&amp;"!"&amp;"I:I"),"Medium Incorrect")</f>
        <v>2</v>
      </c>
      <c r="L32" s="25">
        <f ca="1">COUNTIF(INDIRECT("["&amp;datatable!$C$4&amp;"]"&amp;datatable!$B2&amp;"!"&amp;"I:I"),"High Incorrect")</f>
        <v>0</v>
      </c>
      <c r="M32" s="27">
        <f ca="1">COUNTIF(INDIRECT("["&amp;datatable!$C$4&amp;"]"&amp;datatable!$B2&amp;"!"&amp;"I:I"),"N/A")</f>
        <v>4</v>
      </c>
      <c r="N32" s="43">
        <f t="shared" ref="N32:N47" ca="1" si="3">SUM(D32:M32)</f>
        <v>21</v>
      </c>
      <c r="O32" s="43">
        <f t="shared" ref="O32:O47" ca="1" si="4">SUM(D32:L32)</f>
        <v>17</v>
      </c>
    </row>
    <row r="33" spans="3:15">
      <c r="C33" s="44" t="s">
        <v>38</v>
      </c>
      <c r="D33" s="8">
        <f ca="1">COUNTIF(INDIRECT("["&amp;datatable!$C$4&amp;"]"&amp;datatable!$B3&amp;"!"&amp;"I:I"),"High Correct")</f>
        <v>7</v>
      </c>
      <c r="E33" s="11">
        <f ca="1">COUNTIF(INDIRECT("["&amp;datatable!$C$4&amp;"]"&amp;datatable!$B3&amp;"!"&amp;"I:I"),"Medium Correct")</f>
        <v>1</v>
      </c>
      <c r="F33" s="13">
        <f ca="1">COUNTIF(INDIRECT("["&amp;datatable!$C$4&amp;"]"&amp;datatable!$B3&amp;"!"&amp;"I:I"),"Low Correct")</f>
        <v>1</v>
      </c>
      <c r="G33" s="15">
        <f ca="1">COUNTIF(INDIRECT("["&amp;datatable!$C$4&amp;"]"&amp;datatable!$B3&amp;"!"&amp;"I:I"),"High Maybe")</f>
        <v>0</v>
      </c>
      <c r="H33" s="17">
        <f ca="1">COUNTIF(INDIRECT("["&amp;datatable!$C$4&amp;"]"&amp;datatable!$B3&amp;"!"&amp;"I:I"),"Medium Maybe")</f>
        <v>1</v>
      </c>
      <c r="I33" s="19">
        <f ca="1">COUNTIF(INDIRECT("["&amp;datatable!$C$4&amp;"]"&amp;datatable!$B3&amp;"!"&amp;"I:I"),"Low Maybe")</f>
        <v>0</v>
      </c>
      <c r="J33" s="21">
        <f ca="1">COUNTIF(INDIRECT("["&amp;datatable!$C$4&amp;"]"&amp;datatable!$B3&amp;"!"&amp;"I:I"),"Low Incorrect")</f>
        <v>1</v>
      </c>
      <c r="K33" s="23">
        <f ca="1">COUNTIF(INDIRECT("["&amp;datatable!$C$4&amp;"]"&amp;datatable!$B3&amp;"!"&amp;"I:I"),"Medium Incorrect")</f>
        <v>1</v>
      </c>
      <c r="L33" s="25">
        <f ca="1">COUNTIF(INDIRECT("["&amp;datatable!$C$4&amp;"]"&amp;datatable!$B3&amp;"!"&amp;"I:I"),"High Incorrect")</f>
        <v>8</v>
      </c>
      <c r="M33" s="27">
        <f ca="1">COUNTIF(INDIRECT("["&amp;datatable!$C$4&amp;"]"&amp;datatable!$B3&amp;"!"&amp;"I:I"),"N/A")</f>
        <v>1</v>
      </c>
      <c r="N33" s="43">
        <f t="shared" ca="1" si="3"/>
        <v>21</v>
      </c>
      <c r="O33" s="43">
        <f t="shared" ca="1" si="4"/>
        <v>20</v>
      </c>
    </row>
    <row r="34" spans="3:15">
      <c r="C34" s="44" t="s">
        <v>39</v>
      </c>
      <c r="D34" s="8">
        <f ca="1">COUNTIF(INDIRECT("["&amp;datatable!$C$4&amp;"]"&amp;datatable!$B4&amp;"!"&amp;"I:I"),"High Correct")</f>
        <v>10</v>
      </c>
      <c r="E34" s="11">
        <f ca="1">COUNTIF(INDIRECT("["&amp;datatable!$C$4&amp;"]"&amp;datatable!$B4&amp;"!"&amp;"I:I"),"Medium Correct")</f>
        <v>0</v>
      </c>
      <c r="F34" s="13">
        <f ca="1">COUNTIF(INDIRECT("["&amp;datatable!$C$4&amp;"]"&amp;datatable!$B4&amp;"!"&amp;"I:I"),"Low Correct")</f>
        <v>0</v>
      </c>
      <c r="G34" s="15">
        <f ca="1">COUNTIF(INDIRECT("["&amp;datatable!$C$4&amp;"]"&amp;datatable!$B4&amp;"!"&amp;"I:I"),"High Maybe")</f>
        <v>2</v>
      </c>
      <c r="H34" s="17">
        <f ca="1">COUNTIF(INDIRECT("["&amp;datatable!$C$4&amp;"]"&amp;datatable!$B4&amp;"!"&amp;"I:I"),"Medium Maybe")</f>
        <v>2</v>
      </c>
      <c r="I34" s="19">
        <f ca="1">COUNTIF(INDIRECT("["&amp;datatable!$C$4&amp;"]"&amp;datatable!$B4&amp;"!"&amp;"I:I"),"Low Maybe")</f>
        <v>0</v>
      </c>
      <c r="J34" s="21">
        <f ca="1">COUNTIF(INDIRECT("["&amp;datatable!$C$4&amp;"]"&amp;datatable!$B4&amp;"!"&amp;"I:I"),"Low Incorrect")</f>
        <v>0</v>
      </c>
      <c r="K34" s="23">
        <f ca="1">COUNTIF(INDIRECT("["&amp;datatable!$C$4&amp;"]"&amp;datatable!$B4&amp;"!"&amp;"I:I"),"Medium Incorrect")</f>
        <v>1</v>
      </c>
      <c r="L34" s="25">
        <f ca="1">COUNTIF(INDIRECT("["&amp;datatable!$C$4&amp;"]"&amp;datatable!$B4&amp;"!"&amp;"I:I"),"High Incorrect")</f>
        <v>4</v>
      </c>
      <c r="M34" s="27">
        <f ca="1">COUNTIF(INDIRECT("["&amp;datatable!$C$4&amp;"]"&amp;datatable!$B4&amp;"!"&amp;"I:I"),"N/A")</f>
        <v>2</v>
      </c>
      <c r="N34" s="43">
        <f t="shared" ca="1" si="3"/>
        <v>21</v>
      </c>
      <c r="O34" s="43">
        <f t="shared" ca="1" si="4"/>
        <v>19</v>
      </c>
    </row>
    <row r="35" spans="3:15">
      <c r="C35" s="44" t="s">
        <v>40</v>
      </c>
      <c r="D35" s="8">
        <f ca="1">COUNTIF(INDIRECT("["&amp;datatable!$C$4&amp;"]"&amp;datatable!$B5&amp;"!"&amp;"I:I"),"High Correct")</f>
        <v>10</v>
      </c>
      <c r="E35" s="11">
        <f ca="1">COUNTIF(INDIRECT("["&amp;datatable!$C$4&amp;"]"&amp;datatable!$B5&amp;"!"&amp;"I:I"),"Medium Correct")</f>
        <v>3</v>
      </c>
      <c r="F35" s="13">
        <f ca="1">COUNTIF(INDIRECT("["&amp;datatable!$C$4&amp;"]"&amp;datatable!$B5&amp;"!"&amp;"I:I"),"Low Correct")</f>
        <v>1</v>
      </c>
      <c r="G35" s="15">
        <f ca="1">COUNTIF(INDIRECT("["&amp;datatable!$C$4&amp;"]"&amp;datatable!$B5&amp;"!"&amp;"I:I"),"High Maybe")</f>
        <v>1</v>
      </c>
      <c r="H35" s="17">
        <f ca="1">COUNTIF(INDIRECT("["&amp;datatable!$C$4&amp;"]"&amp;datatable!$B5&amp;"!"&amp;"I:I"),"Medium Maybe")</f>
        <v>1</v>
      </c>
      <c r="I35" s="19">
        <f ca="1">COUNTIF(INDIRECT("["&amp;datatable!$C$4&amp;"]"&amp;datatable!$B5&amp;"!"&amp;"I:I"),"Low Maybe")</f>
        <v>0</v>
      </c>
      <c r="J35" s="21">
        <f ca="1">COUNTIF(INDIRECT("["&amp;datatable!$C$4&amp;"]"&amp;datatable!$B5&amp;"!"&amp;"I:I"),"Low Incorrect")</f>
        <v>1</v>
      </c>
      <c r="K35" s="23">
        <f ca="1">COUNTIF(INDIRECT("["&amp;datatable!$C$4&amp;"]"&amp;datatable!$B5&amp;"!"&amp;"I:I"),"Medium Incorrect")</f>
        <v>0</v>
      </c>
      <c r="L35" s="25">
        <f ca="1">COUNTIF(INDIRECT("["&amp;datatable!$C$4&amp;"]"&amp;datatable!$B5&amp;"!"&amp;"I:I"),"High Incorrect")</f>
        <v>3</v>
      </c>
      <c r="M35" s="27">
        <f ca="1">COUNTIF(INDIRECT("["&amp;datatable!$C$4&amp;"]"&amp;datatable!$B5&amp;"!"&amp;"I:I"),"N/A")</f>
        <v>1</v>
      </c>
      <c r="N35" s="43">
        <f t="shared" ca="1" si="3"/>
        <v>21</v>
      </c>
      <c r="O35" s="43">
        <f t="shared" ca="1" si="4"/>
        <v>20</v>
      </c>
    </row>
    <row r="36" spans="3:15">
      <c r="C36" s="44" t="s">
        <v>41</v>
      </c>
      <c r="D36" s="8">
        <f ca="1">COUNTIF(INDIRECT("["&amp;datatable!$C$4&amp;"]"&amp;datatable!$B6&amp;"!"&amp;"I:I"),"High Correct")</f>
        <v>7</v>
      </c>
      <c r="E36" s="11">
        <f ca="1">COUNTIF(INDIRECT("["&amp;datatable!$C$4&amp;"]"&amp;datatable!$B6&amp;"!"&amp;"I:I"),"Medium Correct")</f>
        <v>3</v>
      </c>
      <c r="F36" s="13">
        <f ca="1">COUNTIF(INDIRECT("["&amp;datatable!$C$4&amp;"]"&amp;datatable!$B6&amp;"!"&amp;"I:I"),"Low Correct")</f>
        <v>0</v>
      </c>
      <c r="G36" s="15">
        <f ca="1">COUNTIF(INDIRECT("["&amp;datatable!$C$4&amp;"]"&amp;datatable!$B6&amp;"!"&amp;"I:I"),"High Maybe")</f>
        <v>3</v>
      </c>
      <c r="H36" s="17">
        <f ca="1">COUNTIF(INDIRECT("["&amp;datatable!$C$4&amp;"]"&amp;datatable!$B6&amp;"!"&amp;"I:I"),"Medium Maybe")</f>
        <v>1</v>
      </c>
      <c r="I36" s="19">
        <f ca="1">COUNTIF(INDIRECT("["&amp;datatable!$C$4&amp;"]"&amp;datatable!$B6&amp;"!"&amp;"I:I"),"Low Maybe")</f>
        <v>0</v>
      </c>
      <c r="J36" s="21">
        <f ca="1">COUNTIF(INDIRECT("["&amp;datatable!$C$4&amp;"]"&amp;datatable!$B6&amp;"!"&amp;"I:I"),"Low Incorrect")</f>
        <v>2</v>
      </c>
      <c r="K36" s="23">
        <f ca="1">COUNTIF(INDIRECT("["&amp;datatable!$C$4&amp;"]"&amp;datatable!$B6&amp;"!"&amp;"I:I"),"Medium Incorrect")</f>
        <v>0</v>
      </c>
      <c r="L36" s="25">
        <f ca="1">COUNTIF(INDIRECT("["&amp;datatable!$C$4&amp;"]"&amp;datatable!$B6&amp;"!"&amp;"I:I"),"High Incorrect")</f>
        <v>4</v>
      </c>
      <c r="M36" s="27">
        <f ca="1">COUNTIF(INDIRECT("["&amp;datatable!$C$4&amp;"]"&amp;datatable!$B6&amp;"!"&amp;"I:I"),"N/A")</f>
        <v>1</v>
      </c>
      <c r="N36" s="43">
        <f t="shared" ca="1" si="3"/>
        <v>21</v>
      </c>
      <c r="O36" s="43">
        <f t="shared" ca="1" si="4"/>
        <v>20</v>
      </c>
    </row>
    <row r="37" spans="3:15">
      <c r="C37" s="44" t="s">
        <v>42</v>
      </c>
      <c r="D37" s="8">
        <f ca="1">COUNTIF(INDIRECT("["&amp;datatable!$C$4&amp;"]"&amp;datatable!$B7&amp;"!"&amp;"I:I"),"High Correct")</f>
        <v>6</v>
      </c>
      <c r="E37" s="11">
        <f ca="1">COUNTIF(INDIRECT("["&amp;datatable!$C$4&amp;"]"&amp;datatable!$B7&amp;"!"&amp;"I:I"),"Medium Correct")</f>
        <v>3</v>
      </c>
      <c r="F37" s="13">
        <f ca="1">COUNTIF(INDIRECT("["&amp;datatable!$C$4&amp;"]"&amp;datatable!$B7&amp;"!"&amp;"I:I"),"Low Correct")</f>
        <v>0</v>
      </c>
      <c r="G37" s="15">
        <f ca="1">COUNTIF(INDIRECT("["&amp;datatable!$C$4&amp;"]"&amp;datatable!$B7&amp;"!"&amp;"I:I"),"High Maybe")</f>
        <v>0</v>
      </c>
      <c r="H37" s="17">
        <f ca="1">COUNTIF(INDIRECT("["&amp;datatable!$C$4&amp;"]"&amp;datatable!$B7&amp;"!"&amp;"I:I"),"Medium Maybe")</f>
        <v>0</v>
      </c>
      <c r="I37" s="19">
        <f ca="1">COUNTIF(INDIRECT("["&amp;datatable!$C$4&amp;"]"&amp;datatable!$B7&amp;"!"&amp;"I:I"),"Low Maybe")</f>
        <v>0</v>
      </c>
      <c r="J37" s="21">
        <f ca="1">COUNTIF(INDIRECT("["&amp;datatable!$C$4&amp;"]"&amp;datatable!$B7&amp;"!"&amp;"I:I"),"Low Incorrect")</f>
        <v>0</v>
      </c>
      <c r="K37" s="23">
        <f ca="1">COUNTIF(INDIRECT("["&amp;datatable!$C$4&amp;"]"&amp;datatable!$B7&amp;"!"&amp;"I:I"),"Medium Incorrect")</f>
        <v>0</v>
      </c>
      <c r="L37" s="25">
        <f ca="1">COUNTIF(INDIRECT("["&amp;datatable!$C$4&amp;"]"&amp;datatable!$B7&amp;"!"&amp;"I:I"),"High Incorrect")</f>
        <v>0</v>
      </c>
      <c r="M37" s="27">
        <f ca="1">COUNTIF(INDIRECT("["&amp;datatable!$C$4&amp;"]"&amp;datatable!$B7&amp;"!"&amp;"I:I"),"N/A")</f>
        <v>12</v>
      </c>
      <c r="N37" s="43">
        <f t="shared" ca="1" si="3"/>
        <v>21</v>
      </c>
      <c r="O37" s="43">
        <f t="shared" ca="1" si="4"/>
        <v>9</v>
      </c>
    </row>
    <row r="38" spans="3:15">
      <c r="C38" s="44" t="s">
        <v>43</v>
      </c>
      <c r="D38" s="8">
        <f ca="1">COUNTIF(INDIRECT("["&amp;datatable!$C$4&amp;"]"&amp;datatable!$B8&amp;"!"&amp;"I:I"),"High Correct")</f>
        <v>12</v>
      </c>
      <c r="E38" s="11">
        <f ca="1">COUNTIF(INDIRECT("["&amp;datatable!$C$4&amp;"]"&amp;datatable!$B8&amp;"!"&amp;"I:I"),"Medium Correct")</f>
        <v>1</v>
      </c>
      <c r="F38" s="13">
        <f ca="1">COUNTIF(INDIRECT("["&amp;datatable!$C$4&amp;"]"&amp;datatable!$B8&amp;"!"&amp;"I:I"),"Low Correct")</f>
        <v>2</v>
      </c>
      <c r="G38" s="15">
        <f ca="1">COUNTIF(INDIRECT("["&amp;datatable!$C$4&amp;"]"&amp;datatable!$B8&amp;"!"&amp;"I:I"),"High Maybe")</f>
        <v>1</v>
      </c>
      <c r="H38" s="17">
        <f ca="1">COUNTIF(INDIRECT("["&amp;datatable!$C$4&amp;"]"&amp;datatable!$B8&amp;"!"&amp;"I:I"),"Medium Maybe")</f>
        <v>1</v>
      </c>
      <c r="I38" s="19">
        <f ca="1">COUNTIF(INDIRECT("["&amp;datatable!$C$4&amp;"]"&amp;datatable!$B8&amp;"!"&amp;"I:I"),"Low Maybe")</f>
        <v>1</v>
      </c>
      <c r="J38" s="21">
        <f ca="1">COUNTIF(INDIRECT("["&amp;datatable!$C$4&amp;"]"&amp;datatable!$B8&amp;"!"&amp;"I:I"),"Low Incorrect")</f>
        <v>0</v>
      </c>
      <c r="K38" s="23">
        <f ca="1">COUNTIF(INDIRECT("["&amp;datatable!$C$4&amp;"]"&amp;datatable!$B8&amp;"!"&amp;"I:I"),"Medium Incorrect")</f>
        <v>0</v>
      </c>
      <c r="L38" s="25">
        <f ca="1">COUNTIF(INDIRECT("["&amp;datatable!$C$4&amp;"]"&amp;datatable!$B8&amp;"!"&amp;"I:I"),"High Incorrect")</f>
        <v>1</v>
      </c>
      <c r="M38" s="27">
        <f ca="1">COUNTIF(INDIRECT("["&amp;datatable!$C$4&amp;"]"&amp;datatable!$B8&amp;"!"&amp;"I:I"),"N/A")</f>
        <v>2</v>
      </c>
      <c r="N38" s="43">
        <f t="shared" ca="1" si="3"/>
        <v>21</v>
      </c>
      <c r="O38" s="43">
        <f t="shared" ca="1" si="4"/>
        <v>19</v>
      </c>
    </row>
    <row r="39" spans="3:15">
      <c r="C39" s="44" t="s">
        <v>44</v>
      </c>
      <c r="D39" s="8">
        <f ca="1">COUNTIF(INDIRECT("["&amp;datatable!$C$4&amp;"]"&amp;datatable!$B9&amp;"!"&amp;"I:I"),"High Correct")</f>
        <v>14</v>
      </c>
      <c r="E39" s="11">
        <f ca="1">COUNTIF(INDIRECT("["&amp;datatable!$C$4&amp;"]"&amp;datatable!$B9&amp;"!"&amp;"I:I"),"Medium Correct")</f>
        <v>3</v>
      </c>
      <c r="F39" s="13">
        <f ca="1">COUNTIF(INDIRECT("["&amp;datatable!$C$4&amp;"]"&amp;datatable!$B9&amp;"!"&amp;"I:I"),"Low Correct")</f>
        <v>2</v>
      </c>
      <c r="G39" s="15">
        <f ca="1">COUNTIF(INDIRECT("["&amp;datatable!$C$4&amp;"]"&amp;datatable!$B9&amp;"!"&amp;"I:I"),"High Maybe")</f>
        <v>0</v>
      </c>
      <c r="H39" s="17">
        <f ca="1">COUNTIF(INDIRECT("["&amp;datatable!$C$4&amp;"]"&amp;datatable!$B9&amp;"!"&amp;"I:I"),"Medium Maybe")</f>
        <v>0</v>
      </c>
      <c r="I39" s="19">
        <f ca="1">COUNTIF(INDIRECT("["&amp;datatable!$C$4&amp;"]"&amp;datatable!$B9&amp;"!"&amp;"I:I"),"Low Maybe")</f>
        <v>0</v>
      </c>
      <c r="J39" s="21">
        <f ca="1">COUNTIF(INDIRECT("["&amp;datatable!$C$4&amp;"]"&amp;datatable!$B9&amp;"!"&amp;"I:I"),"Low Incorrect")</f>
        <v>1</v>
      </c>
      <c r="K39" s="23">
        <f ca="1">COUNTIF(INDIRECT("["&amp;datatable!$C$4&amp;"]"&amp;datatable!$B9&amp;"!"&amp;"I:I"),"Medium Incorrect")</f>
        <v>0</v>
      </c>
      <c r="L39" s="25">
        <f ca="1">COUNTIF(INDIRECT("["&amp;datatable!$C$4&amp;"]"&amp;datatable!$B9&amp;"!"&amp;"I:I"),"High Incorrect")</f>
        <v>0</v>
      </c>
      <c r="M39" s="27">
        <f ca="1">COUNTIF(INDIRECT("["&amp;datatable!$C$4&amp;"]"&amp;datatable!$B9&amp;"!"&amp;"I:I"),"N/A")</f>
        <v>1</v>
      </c>
      <c r="N39" s="43">
        <f t="shared" ca="1" si="3"/>
        <v>21</v>
      </c>
      <c r="O39" s="43">
        <f t="shared" ca="1" si="4"/>
        <v>20</v>
      </c>
    </row>
    <row r="40" spans="3:15">
      <c r="C40" s="44" t="s">
        <v>45</v>
      </c>
      <c r="D40" s="8">
        <f ca="1">COUNTIF(INDIRECT("["&amp;datatable!$C$4&amp;"]"&amp;datatable!$B10&amp;"!"&amp;"I:I"),"High Correct")</f>
        <v>4</v>
      </c>
      <c r="E40" s="11">
        <f ca="1">COUNTIF(INDIRECT("["&amp;datatable!$C$4&amp;"]"&amp;datatable!$B10&amp;"!"&amp;"I:I"),"Medium Correct")</f>
        <v>0</v>
      </c>
      <c r="F40" s="13">
        <f ca="1">COUNTIF(INDIRECT("["&amp;datatable!$C$4&amp;"]"&amp;datatable!$B10&amp;"!"&amp;"I:I"),"Low Correct")</f>
        <v>1</v>
      </c>
      <c r="G40" s="15">
        <f ca="1">COUNTIF(INDIRECT("["&amp;datatable!$C$4&amp;"]"&amp;datatable!$B10&amp;"!"&amp;"I:I"),"High Maybe")</f>
        <v>2</v>
      </c>
      <c r="H40" s="17">
        <f ca="1">COUNTIF(INDIRECT("["&amp;datatable!$C$4&amp;"]"&amp;datatable!$B10&amp;"!"&amp;"I:I"),"Medium Maybe")</f>
        <v>3</v>
      </c>
      <c r="I40" s="19">
        <f ca="1">COUNTIF(INDIRECT("["&amp;datatable!$C$4&amp;"]"&amp;datatable!$B10&amp;"!"&amp;"I:I"),"Low Maybe")</f>
        <v>1</v>
      </c>
      <c r="J40" s="21">
        <f ca="1">COUNTIF(INDIRECT("["&amp;datatable!$C$4&amp;"]"&amp;datatable!$B10&amp;"!"&amp;"I:I"),"Low Incorrect")</f>
        <v>0</v>
      </c>
      <c r="K40" s="23">
        <f ca="1">COUNTIF(INDIRECT("["&amp;datatable!$C$4&amp;"]"&amp;datatable!$B10&amp;"!"&amp;"I:I"),"Medium Incorrect")</f>
        <v>3</v>
      </c>
      <c r="L40" s="25">
        <f ca="1">COUNTIF(INDIRECT("["&amp;datatable!$C$4&amp;"]"&amp;datatable!$B10&amp;"!"&amp;"I:I"),"High Incorrect")</f>
        <v>3</v>
      </c>
      <c r="M40" s="27">
        <f ca="1">COUNTIF(INDIRECT("["&amp;datatable!$C$4&amp;"]"&amp;datatable!$B10&amp;"!"&amp;"I:I"),"N/A")</f>
        <v>4</v>
      </c>
      <c r="N40" s="43">
        <f t="shared" ca="1" si="3"/>
        <v>21</v>
      </c>
      <c r="O40" s="43">
        <f t="shared" ca="1" si="4"/>
        <v>17</v>
      </c>
    </row>
    <row r="41" spans="3:15">
      <c r="C41" s="44" t="s">
        <v>46</v>
      </c>
      <c r="D41" s="8">
        <f ca="1">COUNTIF(INDIRECT("["&amp;datatable!$C$4&amp;"]"&amp;datatable!$B11&amp;"!"&amp;"I:I"),"High Correct")</f>
        <v>7</v>
      </c>
      <c r="E41" s="11">
        <f ca="1">COUNTIF(INDIRECT("["&amp;datatable!$C$4&amp;"]"&amp;datatable!$B11&amp;"!"&amp;"I:I"),"Medium Correct")</f>
        <v>2</v>
      </c>
      <c r="F41" s="13">
        <f ca="1">COUNTIF(INDIRECT("["&amp;datatable!$C$4&amp;"]"&amp;datatable!$B11&amp;"!"&amp;"I:I"),"Low Correct")</f>
        <v>0</v>
      </c>
      <c r="G41" s="15">
        <f ca="1">COUNTIF(INDIRECT("["&amp;datatable!$C$4&amp;"]"&amp;datatable!$B11&amp;"!"&amp;"I:I"),"High Maybe")</f>
        <v>3</v>
      </c>
      <c r="H41" s="17">
        <f ca="1">COUNTIF(INDIRECT("["&amp;datatable!$C$4&amp;"]"&amp;datatable!$B11&amp;"!"&amp;"I:I"),"Medium Maybe")</f>
        <v>1</v>
      </c>
      <c r="I41" s="19">
        <f ca="1">COUNTIF(INDIRECT("["&amp;datatable!$C$4&amp;"]"&amp;datatable!$B11&amp;"!"&amp;"I:I"),"Low Maybe")</f>
        <v>1</v>
      </c>
      <c r="J41" s="21">
        <f ca="1">COUNTIF(INDIRECT("["&amp;datatable!$C$4&amp;"]"&amp;datatable!$B11&amp;"!"&amp;"I:I"),"Low Incorrect")</f>
        <v>1</v>
      </c>
      <c r="K41" s="23">
        <f ca="1">COUNTIF(INDIRECT("["&amp;datatable!$C$4&amp;"]"&amp;datatable!$B11&amp;"!"&amp;"I:I"),"Medium Incorrect")</f>
        <v>2</v>
      </c>
      <c r="L41" s="25">
        <f ca="1">COUNTIF(INDIRECT("["&amp;datatable!$C$4&amp;"]"&amp;datatable!$B11&amp;"!"&amp;"I:I"),"High Incorrect")</f>
        <v>3</v>
      </c>
      <c r="M41" s="27">
        <f ca="1">COUNTIF(INDIRECT("["&amp;datatable!$C$4&amp;"]"&amp;datatable!$B11&amp;"!"&amp;"I:I"),"N/A")</f>
        <v>1</v>
      </c>
      <c r="N41" s="43">
        <f t="shared" ca="1" si="3"/>
        <v>21</v>
      </c>
      <c r="O41" s="43">
        <f t="shared" ca="1" si="4"/>
        <v>20</v>
      </c>
    </row>
    <row r="42" spans="3:15">
      <c r="C42" s="44" t="s">
        <v>47</v>
      </c>
      <c r="D42" s="8">
        <f ca="1">COUNTIF(INDIRECT("["&amp;datatable!$C$4&amp;"]"&amp;datatable!$B12&amp;"!"&amp;"I:I"),"High Correct")</f>
        <v>7</v>
      </c>
      <c r="E42" s="11">
        <f ca="1">COUNTIF(INDIRECT("["&amp;datatable!$C$4&amp;"]"&amp;datatable!$B12&amp;"!"&amp;"I:I"),"Medium Correct")</f>
        <v>2</v>
      </c>
      <c r="F42" s="13">
        <f ca="1">COUNTIF(INDIRECT("["&amp;datatable!$C$4&amp;"]"&amp;datatable!$B12&amp;"!"&amp;"I:I"),"Low Correct")</f>
        <v>0</v>
      </c>
      <c r="G42" s="15">
        <f ca="1">COUNTIF(INDIRECT("["&amp;datatable!$C$4&amp;"]"&amp;datatable!$B12&amp;"!"&amp;"I:I"),"High Maybe")</f>
        <v>3</v>
      </c>
      <c r="H42" s="17">
        <f ca="1">COUNTIF(INDIRECT("["&amp;datatable!$C$4&amp;"]"&amp;datatable!$B12&amp;"!"&amp;"I:I"),"Medium Maybe")</f>
        <v>3</v>
      </c>
      <c r="I42" s="19">
        <f ca="1">COUNTIF(INDIRECT("["&amp;datatable!$C$4&amp;"]"&amp;datatable!$B12&amp;"!"&amp;"I:I"),"Low Maybe")</f>
        <v>1</v>
      </c>
      <c r="J42" s="21">
        <f ca="1">COUNTIF(INDIRECT("["&amp;datatable!$C$4&amp;"]"&amp;datatable!$B12&amp;"!"&amp;"I:I"),"Low Incorrect")</f>
        <v>1</v>
      </c>
      <c r="K42" s="23">
        <f ca="1">COUNTIF(INDIRECT("["&amp;datatable!$C$4&amp;"]"&amp;datatable!$B12&amp;"!"&amp;"I:I"),"Medium Incorrect")</f>
        <v>2</v>
      </c>
      <c r="L42" s="25">
        <f ca="1">COUNTIF(INDIRECT("["&amp;datatable!$C$4&amp;"]"&amp;datatable!$B12&amp;"!"&amp;"I:I"),"High Incorrect")</f>
        <v>2</v>
      </c>
      <c r="M42" s="27">
        <f ca="1">COUNTIF(INDIRECT("["&amp;datatable!$C$4&amp;"]"&amp;datatable!$B12&amp;"!"&amp;"I:I"),"N/A")</f>
        <v>0</v>
      </c>
      <c r="N42" s="43">
        <f t="shared" ca="1" si="3"/>
        <v>21</v>
      </c>
      <c r="O42" s="43">
        <f t="shared" ca="1" si="4"/>
        <v>21</v>
      </c>
    </row>
    <row r="43" spans="3:15">
      <c r="C43" s="44" t="s">
        <v>48</v>
      </c>
      <c r="D43" s="8">
        <f ca="1">COUNTIF(INDIRECT("["&amp;datatable!$C$4&amp;"]"&amp;datatable!$B13&amp;"!"&amp;"I:I"),"High Correct")</f>
        <v>10</v>
      </c>
      <c r="E43" s="11">
        <f ca="1">COUNTIF(INDIRECT("["&amp;datatable!$C$4&amp;"]"&amp;datatable!$B13&amp;"!"&amp;"I:I"),"Medium Correct")</f>
        <v>6</v>
      </c>
      <c r="F43" s="13">
        <f ca="1">COUNTIF(INDIRECT("["&amp;datatable!$C$4&amp;"]"&amp;datatable!$B13&amp;"!"&amp;"I:I"),"Low Correct")</f>
        <v>2</v>
      </c>
      <c r="G43" s="15">
        <f ca="1">COUNTIF(INDIRECT("["&amp;datatable!$C$4&amp;"]"&amp;datatable!$B13&amp;"!"&amp;"I:I"),"High Maybe")</f>
        <v>0</v>
      </c>
      <c r="H43" s="17">
        <f ca="1">COUNTIF(INDIRECT("["&amp;datatable!$C$4&amp;"]"&amp;datatable!$B13&amp;"!"&amp;"I:I"),"Medium Maybe")</f>
        <v>1</v>
      </c>
      <c r="I43" s="19">
        <f ca="1">COUNTIF(INDIRECT("["&amp;datatable!$C$4&amp;"]"&amp;datatable!$B13&amp;"!"&amp;"I:I"),"Low Maybe")</f>
        <v>0</v>
      </c>
      <c r="J43" s="21">
        <f ca="1">COUNTIF(INDIRECT("["&amp;datatable!$C$4&amp;"]"&amp;datatable!$B13&amp;"!"&amp;"I:I"),"Low Incorrect")</f>
        <v>1</v>
      </c>
      <c r="K43" s="23">
        <f ca="1">COUNTIF(INDIRECT("["&amp;datatable!$C$4&amp;"]"&amp;datatable!$B13&amp;"!"&amp;"I:I"),"Medium Incorrect")</f>
        <v>0</v>
      </c>
      <c r="L43" s="25">
        <f ca="1">COUNTIF(INDIRECT("["&amp;datatable!$C$4&amp;"]"&amp;datatable!$B13&amp;"!"&amp;"I:I"),"High Incorrect")</f>
        <v>1</v>
      </c>
      <c r="M43" s="27">
        <f ca="1">COUNTIF(INDIRECT("["&amp;datatable!$C$4&amp;"]"&amp;datatable!$B13&amp;"!"&amp;"I:I"),"N/A")</f>
        <v>0</v>
      </c>
      <c r="N43" s="43">
        <f t="shared" ca="1" si="3"/>
        <v>21</v>
      </c>
      <c r="O43" s="43">
        <f t="shared" ca="1" si="4"/>
        <v>21</v>
      </c>
    </row>
    <row r="44" spans="3:15">
      <c r="C44" s="44" t="s">
        <v>49</v>
      </c>
      <c r="D44" s="8">
        <f ca="1">COUNTIF(INDIRECT("["&amp;datatable!$C$4&amp;"]"&amp;datatable!$B14&amp;"!"&amp;"I:I"),"High Correct")</f>
        <v>4</v>
      </c>
      <c r="E44" s="11">
        <f ca="1">COUNTIF(INDIRECT("["&amp;datatable!$C$4&amp;"]"&amp;datatable!$B14&amp;"!"&amp;"I:I"),"Medium Correct")</f>
        <v>0</v>
      </c>
      <c r="F44" s="13">
        <f ca="1">COUNTIF(INDIRECT("["&amp;datatable!$C$4&amp;"]"&amp;datatable!$B14&amp;"!"&amp;"I:I"),"Low Correct")</f>
        <v>1</v>
      </c>
      <c r="G44" s="15">
        <f ca="1">COUNTIF(INDIRECT("["&amp;datatable!$C$4&amp;"]"&amp;datatable!$B14&amp;"!"&amp;"I:I"),"High Maybe")</f>
        <v>1</v>
      </c>
      <c r="H44" s="17">
        <f ca="1">COUNTIF(INDIRECT("["&amp;datatable!$C$4&amp;"]"&amp;datatable!$B14&amp;"!"&amp;"I:I"),"Medium Maybe")</f>
        <v>2</v>
      </c>
      <c r="I44" s="19">
        <f ca="1">COUNTIF(INDIRECT("["&amp;datatable!$C$4&amp;"]"&amp;datatable!$B14&amp;"!"&amp;"I:I"),"Low Maybe")</f>
        <v>1</v>
      </c>
      <c r="J44" s="21">
        <f ca="1">COUNTIF(INDIRECT("["&amp;datatable!$C$4&amp;"]"&amp;datatable!$B14&amp;"!"&amp;"I:I"),"Low Incorrect")</f>
        <v>0</v>
      </c>
      <c r="K44" s="23">
        <f ca="1">COUNTIF(INDIRECT("["&amp;datatable!$C$4&amp;"]"&amp;datatable!$B14&amp;"!"&amp;"I:I"),"Medium Incorrect")</f>
        <v>2</v>
      </c>
      <c r="L44" s="25">
        <f ca="1">COUNTIF(INDIRECT("["&amp;datatable!$C$4&amp;"]"&amp;datatable!$B14&amp;"!"&amp;"I:I"),"High Incorrect")</f>
        <v>6</v>
      </c>
      <c r="M44" s="27">
        <f ca="1">COUNTIF(INDIRECT("["&amp;datatable!$C$4&amp;"]"&amp;datatable!$B14&amp;"!"&amp;"I:I"),"N/A")</f>
        <v>4</v>
      </c>
      <c r="N44" s="43">
        <f t="shared" ca="1" si="3"/>
        <v>21</v>
      </c>
      <c r="O44" s="43">
        <f t="shared" ca="1" si="4"/>
        <v>17</v>
      </c>
    </row>
    <row r="45" spans="3:15">
      <c r="C45" s="44" t="s">
        <v>50</v>
      </c>
      <c r="D45" s="8">
        <f ca="1">COUNTIF(INDIRECT("["&amp;datatable!$C$4&amp;"]"&amp;datatable!$B15&amp;"!"&amp;"I:I"),"High Correct")</f>
        <v>6</v>
      </c>
      <c r="E45" s="11">
        <f ca="1">COUNTIF(INDIRECT("["&amp;datatable!$C$4&amp;"]"&amp;datatable!$B15&amp;"!"&amp;"I:I"),"Medium Correct")</f>
        <v>3</v>
      </c>
      <c r="F45" s="13">
        <f ca="1">COUNTIF(INDIRECT("["&amp;datatable!$C$4&amp;"]"&amp;datatable!$B15&amp;"!"&amp;"I:I"),"Low Correct")</f>
        <v>0</v>
      </c>
      <c r="G45" s="15">
        <f ca="1">COUNTIF(INDIRECT("["&amp;datatable!$C$4&amp;"]"&amp;datatable!$B15&amp;"!"&amp;"I:I"),"High Maybe")</f>
        <v>3</v>
      </c>
      <c r="H45" s="17">
        <f ca="1">COUNTIF(INDIRECT("["&amp;datatable!$C$4&amp;"]"&amp;datatable!$B15&amp;"!"&amp;"I:I"),"Medium Maybe")</f>
        <v>2</v>
      </c>
      <c r="I45" s="19">
        <f ca="1">COUNTIF(INDIRECT("["&amp;datatable!$C$4&amp;"]"&amp;datatable!$B15&amp;"!"&amp;"I:I"),"Low Maybe")</f>
        <v>1</v>
      </c>
      <c r="J45" s="21">
        <f ca="1">COUNTIF(INDIRECT("["&amp;datatable!$C$4&amp;"]"&amp;datatable!$B15&amp;"!"&amp;"I:I"),"Low Incorrect")</f>
        <v>1</v>
      </c>
      <c r="K45" s="23">
        <f ca="1">COUNTIF(INDIRECT("["&amp;datatable!$C$4&amp;"]"&amp;datatable!$B15&amp;"!"&amp;"I:I"),"Medium Incorrect")</f>
        <v>4</v>
      </c>
      <c r="L45" s="25">
        <f ca="1">COUNTIF(INDIRECT("["&amp;datatable!$C$4&amp;"]"&amp;datatable!$B15&amp;"!"&amp;"I:I"),"High Incorrect")</f>
        <v>1</v>
      </c>
      <c r="M45" s="27">
        <f ca="1">COUNTIF(INDIRECT("["&amp;datatable!$C$4&amp;"]"&amp;datatable!$B15&amp;"!"&amp;"I:I"),"N/A")</f>
        <v>0</v>
      </c>
      <c r="N45" s="43">
        <f t="shared" ca="1" si="3"/>
        <v>21</v>
      </c>
      <c r="O45" s="43">
        <f t="shared" ca="1" si="4"/>
        <v>21</v>
      </c>
    </row>
    <row r="46" spans="3:15">
      <c r="C46" s="45" t="s">
        <v>51</v>
      </c>
      <c r="D46" s="8">
        <f ca="1">COUNTIF(INDIRECT("["&amp;datatable!$C$4&amp;"]"&amp;datatable!$B16&amp;"!"&amp;"I:I"),"High Correct")</f>
        <v>1</v>
      </c>
      <c r="E46" s="11">
        <f ca="1">COUNTIF(INDIRECT("["&amp;datatable!$C$4&amp;"]"&amp;datatable!$B16&amp;"!"&amp;"I:I"),"Medium Correct")</f>
        <v>2</v>
      </c>
      <c r="F46" s="13">
        <f ca="1">COUNTIF(INDIRECT("["&amp;datatable!$C$4&amp;"]"&amp;datatable!$B16&amp;"!"&amp;"I:I"),"Low Correct")</f>
        <v>0</v>
      </c>
      <c r="G46" s="15">
        <f ca="1">COUNTIF(INDIRECT("["&amp;datatable!$C$4&amp;"]"&amp;datatable!$B16&amp;"!"&amp;"I:I"),"High Maybe")</f>
        <v>0</v>
      </c>
      <c r="H46" s="17">
        <f ca="1">COUNTIF(INDIRECT("["&amp;datatable!$C$4&amp;"]"&amp;datatable!$B16&amp;"!"&amp;"I:I"),"Medium Maybe")</f>
        <v>0</v>
      </c>
      <c r="I46" s="19">
        <f ca="1">COUNTIF(INDIRECT("["&amp;datatable!$C$4&amp;"]"&amp;datatable!$B16&amp;"!"&amp;"I:I"),"Low Maybe")</f>
        <v>1</v>
      </c>
      <c r="J46" s="21">
        <f ca="1">COUNTIF(INDIRECT("["&amp;datatable!$C$4&amp;"]"&amp;datatable!$B16&amp;"!"&amp;"I:I"),"Low Incorrect")</f>
        <v>0</v>
      </c>
      <c r="K46" s="23">
        <f ca="1">COUNTIF(INDIRECT("["&amp;datatable!$C$4&amp;"]"&amp;datatable!$B16&amp;"!"&amp;"I:I"),"Medium Incorrect")</f>
        <v>1</v>
      </c>
      <c r="L46" s="25">
        <f ca="1">COUNTIF(INDIRECT("["&amp;datatable!$C$4&amp;"]"&amp;datatable!$B16&amp;"!"&amp;"I:I"),"High Incorrect")</f>
        <v>14</v>
      </c>
      <c r="M46" s="27">
        <f ca="1">COUNTIF(INDIRECT("["&amp;datatable!$C$4&amp;"]"&amp;datatable!$B16&amp;"!"&amp;"I:I"),"N/A")</f>
        <v>2</v>
      </c>
      <c r="N46" s="43">
        <f t="shared" ca="1" si="3"/>
        <v>21</v>
      </c>
      <c r="O46" s="43">
        <f t="shared" ca="1" si="4"/>
        <v>19</v>
      </c>
    </row>
    <row r="47" spans="3:15">
      <c r="C47" s="44" t="s">
        <v>52</v>
      </c>
      <c r="D47" s="8">
        <f ca="1">COUNTIF(INDIRECT("["&amp;datatable!$C$4&amp;"]"&amp;datatable!$B17&amp;"!"&amp;"I:I"),"High Correct")</f>
        <v>11</v>
      </c>
      <c r="E47" s="11">
        <f ca="1">COUNTIF(INDIRECT("["&amp;datatable!$C$4&amp;"]"&amp;datatable!$B17&amp;"!"&amp;"I:I"),"Medium Correct")</f>
        <v>2</v>
      </c>
      <c r="F47" s="13">
        <f ca="1">COUNTIF(INDIRECT("["&amp;datatable!$C$4&amp;"]"&amp;datatable!$B17&amp;"!"&amp;"I:I"),"Low Correct")</f>
        <v>2</v>
      </c>
      <c r="G47" s="15">
        <f ca="1">COUNTIF(INDIRECT("["&amp;datatable!$C$4&amp;"]"&amp;datatable!$B17&amp;"!"&amp;"I:I"),"High Maybe")</f>
        <v>1</v>
      </c>
      <c r="H47" s="17">
        <f ca="1">COUNTIF(INDIRECT("["&amp;datatable!$C$4&amp;"]"&amp;datatable!$B17&amp;"!"&amp;"I:I"),"Medium Maybe")</f>
        <v>0</v>
      </c>
      <c r="I47" s="19">
        <f ca="1">COUNTIF(INDIRECT("["&amp;datatable!$C$4&amp;"]"&amp;datatable!$B17&amp;"!"&amp;"I:I"),"Low Maybe")</f>
        <v>0</v>
      </c>
      <c r="J47" s="21">
        <f ca="1">COUNTIF(INDIRECT("["&amp;datatable!$C$4&amp;"]"&amp;datatable!$B17&amp;"!"&amp;"I:I"),"Low Incorrect")</f>
        <v>0</v>
      </c>
      <c r="K47" s="23">
        <f ca="1">COUNTIF(INDIRECT("["&amp;datatable!$C$4&amp;"]"&amp;datatable!$B17&amp;"!"&amp;"I:I"),"Medium Incorrect")</f>
        <v>1</v>
      </c>
      <c r="L47" s="25">
        <f ca="1">COUNTIF(INDIRECT("["&amp;datatable!$C$4&amp;"]"&amp;datatable!$B17&amp;"!"&amp;"I:I"),"High Incorrect")</f>
        <v>0</v>
      </c>
      <c r="M47" s="27">
        <f ca="1">COUNTIF(INDIRECT("["&amp;datatable!$C$4&amp;"]"&amp;datatable!$B17&amp;"!"&amp;"I:I"),"N/A")</f>
        <v>4</v>
      </c>
      <c r="N47" s="43">
        <f t="shared" ca="1" si="3"/>
        <v>21</v>
      </c>
      <c r="O47" s="43">
        <f t="shared" ca="1" si="4"/>
        <v>17</v>
      </c>
    </row>
    <row r="48" spans="3:15">
      <c r="C48" s="44" t="s">
        <v>53</v>
      </c>
      <c r="D48" s="8">
        <f ca="1">COUNTIF(INDIRECT("["&amp;datatable!$C$4&amp;"]"&amp;datatable!$B18&amp;"!"&amp;"I:I"),"High Correct")</f>
        <v>1</v>
      </c>
      <c r="E48" s="11">
        <f ca="1">COUNTIF(INDIRECT("["&amp;datatable!$C$4&amp;"]"&amp;datatable!$B18&amp;"!"&amp;"I:I"),"Medium Correct")</f>
        <v>0</v>
      </c>
      <c r="F48" s="13">
        <f ca="1">COUNTIF(INDIRECT("["&amp;datatable!$C$4&amp;"]"&amp;datatable!$B18&amp;"!"&amp;"I:I"),"Low Correct")</f>
        <v>0</v>
      </c>
      <c r="G48" s="15">
        <f ca="1">COUNTIF(INDIRECT("["&amp;datatable!$C$4&amp;"]"&amp;datatable!$B18&amp;"!"&amp;"I:I"),"High Maybe")</f>
        <v>0</v>
      </c>
      <c r="H48" s="17">
        <f ca="1">COUNTIF(INDIRECT("["&amp;datatable!$C$4&amp;"]"&amp;datatable!$B18&amp;"!"&amp;"I:I"),"Medium Maybe")</f>
        <v>2</v>
      </c>
      <c r="I48" s="19">
        <f ca="1">COUNTIF(INDIRECT("["&amp;datatable!$C$4&amp;"]"&amp;datatable!$B18&amp;"!"&amp;"I:I"),"Low Maybe")</f>
        <v>0</v>
      </c>
      <c r="J48" s="21">
        <f ca="1">COUNTIF(INDIRECT("["&amp;datatable!$C$4&amp;"]"&amp;datatable!$B18&amp;"!"&amp;"I:I"),"Low Incorrect")</f>
        <v>0</v>
      </c>
      <c r="K48" s="23">
        <f ca="1">COUNTIF(INDIRECT("["&amp;datatable!$C$4&amp;"]"&amp;datatable!$B18&amp;"!"&amp;"I:I"),"Medium Incorrect")</f>
        <v>2</v>
      </c>
      <c r="L48" s="25">
        <f ca="1">COUNTIF(INDIRECT("["&amp;datatable!$C$4&amp;"]"&amp;datatable!$B18&amp;"!"&amp;"I:I"),"High Incorrect")</f>
        <v>14</v>
      </c>
      <c r="M48" s="27">
        <f ca="1">COUNTIF(INDIRECT("["&amp;datatable!$C$4&amp;"]"&amp;datatable!$B18&amp;"!"&amp;"I:I"),"N/A")</f>
        <v>2</v>
      </c>
      <c r="N48" s="43">
        <f t="shared" ref="N48" ca="1" si="5">SUM(D48:M48)</f>
        <v>21</v>
      </c>
      <c r="O48" s="43">
        <f t="shared" ref="O48" ca="1" si="6">SUM(D48:L48)</f>
        <v>19</v>
      </c>
    </row>
    <row r="49" spans="3:25">
      <c r="C49" s="44" t="s">
        <v>54</v>
      </c>
      <c r="D49" s="8">
        <f ca="1">COUNTIF(INDIRECT("["&amp;datatable!$C$4&amp;"]"&amp;datatable!$B19&amp;"!"&amp;"I:I"),"High Correct")</f>
        <v>9</v>
      </c>
      <c r="E49" s="11">
        <f ca="1">COUNTIF(INDIRECT("["&amp;datatable!$C$4&amp;"]"&amp;datatable!$B19&amp;"!"&amp;"I:I"),"Medium Correct")</f>
        <v>2</v>
      </c>
      <c r="F49" s="13">
        <f ca="1">COUNTIF(INDIRECT("["&amp;datatable!$C$4&amp;"]"&amp;datatable!$B19&amp;"!"&amp;"I:I"),"Low Correct")</f>
        <v>5</v>
      </c>
      <c r="G49" s="15">
        <f ca="1">COUNTIF(INDIRECT("["&amp;datatable!$C$4&amp;"]"&amp;datatable!$B19&amp;"!"&amp;"I:I"),"High Maybe")</f>
        <v>1</v>
      </c>
      <c r="H49" s="17">
        <f ca="1">COUNTIF(INDIRECT("["&amp;datatable!$C$4&amp;"]"&amp;datatable!$B19&amp;"!"&amp;"I:I"),"Medium Maybe")</f>
        <v>0</v>
      </c>
      <c r="I49" s="19">
        <f ca="1">COUNTIF(INDIRECT("["&amp;datatable!$C$4&amp;"]"&amp;datatable!$B19&amp;"!"&amp;"I:I"),"Low Maybe")</f>
        <v>1</v>
      </c>
      <c r="J49" s="21">
        <f ca="1">COUNTIF(INDIRECT("["&amp;datatable!$C$4&amp;"]"&amp;datatable!$B19&amp;"!"&amp;"I:I"),"Low Incorrect")</f>
        <v>0</v>
      </c>
      <c r="K49" s="23">
        <f ca="1">COUNTIF(INDIRECT("["&amp;datatable!$C$4&amp;"]"&amp;datatable!$B19&amp;"!"&amp;"I:I"),"Medium Incorrect")</f>
        <v>1</v>
      </c>
      <c r="L49" s="25">
        <f ca="1">COUNTIF(INDIRECT("["&amp;datatable!$C$4&amp;"]"&amp;datatable!$B19&amp;"!"&amp;"I:I"),"High Incorrect")</f>
        <v>0</v>
      </c>
      <c r="M49" s="27">
        <f ca="1">COUNTIF(INDIRECT("["&amp;datatable!$C$4&amp;"]"&amp;datatable!$B19&amp;"!"&amp;"I:I"),"N/A")</f>
        <v>2</v>
      </c>
      <c r="N49" s="43">
        <f t="shared" ref="N49" ca="1" si="7">SUM(D49:M49)</f>
        <v>21</v>
      </c>
      <c r="O49" s="43">
        <f t="shared" ref="O49" ca="1" si="8">SUM(D49:L49)</f>
        <v>19</v>
      </c>
    </row>
    <row r="50" spans="3:25">
      <c r="C50" s="46" t="s">
        <v>36</v>
      </c>
      <c r="D50" s="47">
        <f ca="1">SUM(D32:D49)</f>
        <v>136</v>
      </c>
      <c r="E50" s="47">
        <f t="shared" ref="E50:M50" ca="1" si="9">SUM(E32:E49)</f>
        <v>34</v>
      </c>
      <c r="F50" s="47">
        <f t="shared" ca="1" si="9"/>
        <v>17</v>
      </c>
      <c r="G50" s="47">
        <f t="shared" ca="1" si="9"/>
        <v>22</v>
      </c>
      <c r="H50" s="47">
        <f t="shared" ca="1" si="9"/>
        <v>22</v>
      </c>
      <c r="I50" s="47">
        <f t="shared" ca="1" si="9"/>
        <v>9</v>
      </c>
      <c r="J50" s="47">
        <f t="shared" ca="1" si="9"/>
        <v>9</v>
      </c>
      <c r="K50" s="47">
        <f t="shared" ca="1" si="9"/>
        <v>22</v>
      </c>
      <c r="L50" s="47">
        <f t="shared" ca="1" si="9"/>
        <v>64</v>
      </c>
      <c r="M50" s="47">
        <f t="shared" ca="1" si="9"/>
        <v>43</v>
      </c>
      <c r="N50" s="43">
        <f ca="1">SUM(D50:M50)</f>
        <v>378</v>
      </c>
      <c r="O50" s="43">
        <f ca="1">SUM(D50:L50)</f>
        <v>335</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INDIRECT("["&amp;datatable!$C$4&amp;"]"&amp;datatable!$B2&amp;"!"&amp;"I2")</f>
        <v>N/A</v>
      </c>
      <c r="E55" s="51" t="str" cm="1">
        <f t="array" aca="1" ref="E55" ca="1">INDIRECT("["&amp;datatable!$C$4&amp;"]"&amp;datatable!$B2&amp;"!"&amp;"I3")</f>
        <v>High Correct</v>
      </c>
      <c r="F55" s="51" t="str" cm="1">
        <f t="array" aca="1" ref="F55" ca="1">INDIRECT("["&amp;datatable!$C$4&amp;"]"&amp;datatable!$B2&amp;"!"&amp;"I4")</f>
        <v>Medium Maybe</v>
      </c>
      <c r="G55" s="51" t="str" cm="1">
        <f t="array" aca="1" ref="G55" ca="1">INDIRECT("["&amp;datatable!$C$4&amp;"]"&amp;datatable!$B2&amp;"!"&amp;"I5")</f>
        <v>High Correct</v>
      </c>
      <c r="H55" s="51" t="str" cm="1">
        <f t="array" aca="1" ref="H55" ca="1">INDIRECT("["&amp;datatable!$C$4&amp;"]"&amp;datatable!$B2&amp;"!"&amp;"I6")</f>
        <v>High Maybe</v>
      </c>
      <c r="I55" s="51" t="str" cm="1">
        <f t="array" aca="1" ref="I55" ca="1">INDIRECT("["&amp;datatable!$C$4&amp;"]"&amp;datatable!$B2&amp;"!"&amp;"I7")</f>
        <v>Medium Incorrect</v>
      </c>
      <c r="J55" s="51" t="str" cm="1">
        <f t="array" aca="1" ref="J55" ca="1">INDIRECT("["&amp;datatable!$C$4&amp;"]"&amp;datatable!$B2&amp;"!"&amp;"I8")</f>
        <v>Low Maybe</v>
      </c>
      <c r="K55" s="51" t="str" cm="1">
        <f t="array" aca="1" ref="K55" ca="1">INDIRECT("["&amp;datatable!$C$4&amp;"]"&amp;datatable!$B2&amp;"!"&amp;"I9")</f>
        <v>High Correct</v>
      </c>
      <c r="L55" s="51" t="str" cm="1">
        <f t="array" aca="1" ref="L55" ca="1">INDIRECT("["&amp;datatable!$C$4&amp;"]"&amp;datatable!$B2&amp;"!"&amp;"I10")</f>
        <v>Medium Correct</v>
      </c>
      <c r="M55" s="51" t="str" cm="1">
        <f t="array" aca="1" ref="M55" ca="1">INDIRECT("["&amp;datatable!$C$4&amp;"]"&amp;datatable!$B2&amp;"!"&amp;"I11")</f>
        <v>High Correct</v>
      </c>
      <c r="N55" s="51" t="str" cm="1">
        <f t="array" aca="1" ref="N55" ca="1">INDIRECT("["&amp;datatable!$C$4&amp;"]"&amp;datatable!$B2&amp;"!"&amp;"I46")</f>
        <v>High Correct</v>
      </c>
      <c r="O55" s="51" t="str" cm="1">
        <f t="array" aca="1" ref="O55" ca="1">INDIRECT("["&amp;datatable!$C$4&amp;"]"&amp;datatable!$B2&amp;"!"&amp;"I47")</f>
        <v>High Correct</v>
      </c>
      <c r="P55" s="51" t="str" cm="1">
        <f t="array" aca="1" ref="P55" ca="1">INDIRECT("["&amp;datatable!$C$4&amp;"]"&amp;datatable!$B2&amp;"!"&amp;"I48")</f>
        <v>High Correct</v>
      </c>
      <c r="Q55" s="51" t="str" cm="1">
        <f t="array" aca="1" ref="Q55" ca="1">INDIRECT("["&amp;datatable!$C$4&amp;"]"&amp;datatable!$B2&amp;"!"&amp;"I49")</f>
        <v>High Correct</v>
      </c>
      <c r="R55" s="51" t="str" cm="1">
        <f t="array" aca="1" ref="R55" ca="1">INDIRECT("["&amp;datatable!$C$4&amp;"]"&amp;datatable!$B2&amp;"!"&amp;"I50")</f>
        <v>High Correct</v>
      </c>
      <c r="S55" s="51" t="str" cm="1">
        <f t="array" aca="1" ref="S55" ca="1">INDIRECT("["&amp;datatable!$C$4&amp;"]"&amp;datatable!$B2&amp;"!"&amp;"I51")</f>
        <v>High Correct</v>
      </c>
      <c r="T55" s="51" t="str" cm="1">
        <f t="array" aca="1" ref="T55" ca="1">INDIRECT("["&amp;datatable!$C$4&amp;"]"&amp;datatable!$B2&amp;"!"&amp;"I52")</f>
        <v>N/A</v>
      </c>
      <c r="U55" s="51" t="str" cm="1">
        <f t="array" aca="1" ref="U55" ca="1">INDIRECT("["&amp;datatable!$C$4&amp;"]"&amp;datatable!$B2&amp;"!"&amp;"I53")</f>
        <v>Medium Maybe</v>
      </c>
      <c r="V55" s="51" t="str" cm="1">
        <f t="array" aca="1" ref="V55" ca="1">INDIRECT("["&amp;datatable!$C$4&amp;"]"&amp;datatable!$B2&amp;"!"&amp;"I54")</f>
        <v>N/A</v>
      </c>
      <c r="W55" s="51" t="str" cm="1">
        <f t="array" aca="1" ref="W55" ca="1">INDIRECT("["&amp;datatable!$C$4&amp;"]"&amp;datatable!$B2&amp;"!"&amp;"I55")</f>
        <v>Medium Incorrect</v>
      </c>
      <c r="X55" s="51" t="str" cm="1">
        <f t="array" aca="1" ref="X55" ca="1">INDIRECT("["&amp;datatable!$C$4&amp;"]"&amp;datatable!$B2&amp;"!"&amp;"I56")</f>
        <v>N/A</v>
      </c>
      <c r="Y55" s="50"/>
    </row>
    <row r="56" spans="3:25">
      <c r="C56" s="30" t="s">
        <v>38</v>
      </c>
      <c r="D56" s="51" t="str" cm="1">
        <f t="array" aca="1" ref="D56" ca="1">INDIRECT("["&amp;datatable!$C$4&amp;"]"&amp;datatable!$B3&amp;"!"&amp;"I2")</f>
        <v>Medium Incorrect</v>
      </c>
      <c r="E56" s="51" t="str" cm="1">
        <f t="array" aca="1" ref="E56" ca="1">INDIRECT("["&amp;datatable!$C$4&amp;"]"&amp;datatable!$B3&amp;"!"&amp;"I3")</f>
        <v>High Incorrect</v>
      </c>
      <c r="F56" s="51" t="str" cm="1">
        <f t="array" aca="1" ref="F56" ca="1">INDIRECT("["&amp;datatable!$C$4&amp;"]"&amp;datatable!$B3&amp;"!"&amp;"I4")</f>
        <v>Medium Maybe</v>
      </c>
      <c r="G56" s="51" t="str" cm="1">
        <f t="array" aca="1" ref="G56" ca="1">INDIRECT("["&amp;datatable!$C$4&amp;"]"&amp;datatable!$B3&amp;"!"&amp;"I5")</f>
        <v>High Correct</v>
      </c>
      <c r="H56" s="51" t="str" cm="1">
        <f t="array" aca="1" ref="H56" ca="1">INDIRECT("["&amp;datatable!$C$4&amp;"]"&amp;datatable!$B3&amp;"!"&amp;"I6")</f>
        <v>N/A</v>
      </c>
      <c r="I56" s="51" t="str" cm="1">
        <f t="array" aca="1" ref="I56" ca="1">INDIRECT("["&amp;datatable!$C$4&amp;"]"&amp;datatable!$B3&amp;"!"&amp;"I7")</f>
        <v>High Incorrect</v>
      </c>
      <c r="J56" s="51" t="str" cm="1">
        <f t="array" aca="1" ref="J56" ca="1">INDIRECT("["&amp;datatable!$C$4&amp;"]"&amp;datatable!$B3&amp;"!"&amp;"I8")</f>
        <v>High Correct</v>
      </c>
      <c r="K56" s="51" t="str" cm="1">
        <f t="array" aca="1" ref="K56" ca="1">INDIRECT("["&amp;datatable!$C$4&amp;"]"&amp;datatable!$B3&amp;"!"&amp;"I9")</f>
        <v>High Correct</v>
      </c>
      <c r="L56" s="51" t="str" cm="1">
        <f t="array" aca="1" ref="L56" ca="1">INDIRECT("["&amp;datatable!$C$4&amp;"]"&amp;datatable!$B3&amp;"!"&amp;"I10")</f>
        <v>Medium Correct</v>
      </c>
      <c r="M56" s="51" t="str" cm="1">
        <f t="array" aca="1" ref="M56" ca="1">INDIRECT("["&amp;datatable!$C$4&amp;"]"&amp;datatable!$B3&amp;"!"&amp;"I11")</f>
        <v>Low Correct</v>
      </c>
      <c r="N56" s="51" t="str" cm="1">
        <f t="array" aca="1" ref="N56" ca="1">INDIRECT("["&amp;datatable!$C$4&amp;"]"&amp;datatable!$B3&amp;"!"&amp;"I46")</f>
        <v>High Correct</v>
      </c>
      <c r="O56" s="51" t="str" cm="1">
        <f t="array" aca="1" ref="O56" ca="1">INDIRECT("["&amp;datatable!$C$4&amp;"]"&amp;datatable!$B3&amp;"!"&amp;"I47")</f>
        <v>High Correct</v>
      </c>
      <c r="P56" s="51" t="str" cm="1">
        <f t="array" aca="1" ref="P56" ca="1">INDIRECT("["&amp;datatable!$C$4&amp;"]"&amp;datatable!$B3&amp;"!"&amp;"I48")</f>
        <v>Low Incorrect</v>
      </c>
      <c r="Q56" s="51" t="str" cm="1">
        <f t="array" aca="1" ref="Q56" ca="1">INDIRECT("["&amp;datatable!$C$4&amp;"]"&amp;datatable!$B3&amp;"!"&amp;"I49")</f>
        <v>High Incorrect</v>
      </c>
      <c r="R56" s="51" t="str" cm="1">
        <f t="array" aca="1" ref="R56" ca="1">INDIRECT("["&amp;datatable!$C$4&amp;"]"&amp;datatable!$B3&amp;"!"&amp;"I50")</f>
        <v>High Incorrect</v>
      </c>
      <c r="S56" s="51" t="str" cm="1">
        <f t="array" aca="1" ref="S56" ca="1">INDIRECT("["&amp;datatable!$C$4&amp;"]"&amp;datatable!$B3&amp;"!"&amp;"I51")</f>
        <v>High Correct</v>
      </c>
      <c r="T56" s="51" t="str" cm="1">
        <f t="array" aca="1" ref="T56" ca="1">INDIRECT("["&amp;datatable!$C$4&amp;"]"&amp;datatable!$B3&amp;"!"&amp;"I52")</f>
        <v>High Incorrect</v>
      </c>
      <c r="U56" s="51" t="str" cm="1">
        <f t="array" aca="1" ref="U56" ca="1">INDIRECT("["&amp;datatable!$C$4&amp;"]"&amp;datatable!$B3&amp;"!"&amp;"I53")</f>
        <v>High Correct</v>
      </c>
      <c r="V56" s="51" t="str" cm="1">
        <f t="array" aca="1" ref="V56" ca="1">INDIRECT("["&amp;datatable!$C$4&amp;"]"&amp;datatable!$B3&amp;"!"&amp;"I54")</f>
        <v>High Incorrect</v>
      </c>
      <c r="W56" s="51" t="str" cm="1">
        <f t="array" aca="1" ref="W56" ca="1">INDIRECT("["&amp;datatable!$C$4&amp;"]"&amp;datatable!$B3&amp;"!"&amp;"I55")</f>
        <v>High Incorrect</v>
      </c>
      <c r="X56" s="51" t="str" cm="1">
        <f t="array" aca="1" ref="X56" ca="1">INDIRECT("["&amp;datatable!$C$4&amp;"]"&amp;datatable!$B3&amp;"!"&amp;"I56")</f>
        <v>High Incorrect</v>
      </c>
      <c r="Y56" s="50"/>
    </row>
    <row r="57" spans="3:25">
      <c r="C57" s="30" t="s">
        <v>39</v>
      </c>
      <c r="D57" s="51" t="str" cm="1">
        <f t="array" aca="1" ref="D57" ca="1">INDIRECT("["&amp;datatable!$C$4&amp;"]"&amp;datatable!$B4&amp;"!"&amp;"I2")</f>
        <v>High Correct</v>
      </c>
      <c r="E57" s="51" t="str" cm="1">
        <f t="array" aca="1" ref="E57" ca="1">INDIRECT("["&amp;datatable!$C$4&amp;"]"&amp;datatable!$B4&amp;"!"&amp;"I3")</f>
        <v>High Correct</v>
      </c>
      <c r="F57" s="51" t="str" cm="1">
        <f t="array" aca="1" ref="F57" ca="1">INDIRECT("["&amp;datatable!$C$4&amp;"]"&amp;datatable!$B4&amp;"!"&amp;"I4")</f>
        <v>High Maybe</v>
      </c>
      <c r="G57" s="51" t="str" cm="1">
        <f t="array" aca="1" ref="G57" ca="1">INDIRECT("["&amp;datatable!$C$4&amp;"]"&amp;datatable!$B4&amp;"!"&amp;"I5")</f>
        <v>High Incorrect</v>
      </c>
      <c r="H57" s="51" t="str" cm="1">
        <f t="array" aca="1" ref="H57" ca="1">INDIRECT("["&amp;datatable!$C$4&amp;"]"&amp;datatable!$B4&amp;"!"&amp;"I6")</f>
        <v>High Correct</v>
      </c>
      <c r="I57" s="51" t="str" cm="1">
        <f t="array" aca="1" ref="I57" ca="1">INDIRECT("["&amp;datatable!$C$4&amp;"]"&amp;datatable!$B4&amp;"!"&amp;"I7")</f>
        <v>High Incorrect</v>
      </c>
      <c r="J57" s="51" t="str" cm="1">
        <f t="array" aca="1" ref="J57" ca="1">INDIRECT("["&amp;datatable!$C$4&amp;"]"&amp;datatable!$B4&amp;"!"&amp;"I8")</f>
        <v>High Maybe</v>
      </c>
      <c r="K57" s="51" t="str" cm="1">
        <f t="array" aca="1" ref="K57" ca="1">INDIRECT("["&amp;datatable!$C$4&amp;"]"&amp;datatable!$B4&amp;"!"&amp;"I9")</f>
        <v>High Incorrect</v>
      </c>
      <c r="L57" s="51" t="str" cm="1">
        <f t="array" aca="1" ref="L57" ca="1">INDIRECT("["&amp;datatable!$C$4&amp;"]"&amp;datatable!$B4&amp;"!"&amp;"I10")</f>
        <v>High Correct</v>
      </c>
      <c r="M57" s="51" t="str" cm="1">
        <f t="array" aca="1" ref="M57" ca="1">INDIRECT("["&amp;datatable!$C$4&amp;"]"&amp;datatable!$B4&amp;"!"&amp;"I11")</f>
        <v>High Incorrect</v>
      </c>
      <c r="N57" s="51" t="str" cm="1">
        <f t="array" aca="1" ref="N57" ca="1">INDIRECT("["&amp;datatable!$C$4&amp;"]"&amp;datatable!$B4&amp;"!"&amp;"I46")</f>
        <v>High Correct</v>
      </c>
      <c r="O57" s="51" t="str" cm="1">
        <f t="array" aca="1" ref="O57" ca="1">INDIRECT("["&amp;datatable!$C$4&amp;"]"&amp;datatable!$B4&amp;"!"&amp;"I47")</f>
        <v>Medium Incorrect</v>
      </c>
      <c r="P57" s="51" t="str" cm="1">
        <f t="array" aca="1" ref="P57" ca="1">INDIRECT("["&amp;datatable!$C$4&amp;"]"&amp;datatable!$B4&amp;"!"&amp;"I48")</f>
        <v>High Correct</v>
      </c>
      <c r="Q57" s="51" t="str" cm="1">
        <f t="array" aca="1" ref="Q57" ca="1">INDIRECT("["&amp;datatable!$C$4&amp;"]"&amp;datatable!$B4&amp;"!"&amp;"I49")</f>
        <v>High Correct</v>
      </c>
      <c r="R57" s="51" t="str" cm="1">
        <f t="array" aca="1" ref="R57" ca="1">INDIRECT("["&amp;datatable!$C$4&amp;"]"&amp;datatable!$B4&amp;"!"&amp;"I50")</f>
        <v>High Correct</v>
      </c>
      <c r="S57" s="51" t="str" cm="1">
        <f t="array" aca="1" ref="S57" ca="1">INDIRECT("["&amp;datatable!$C$4&amp;"]"&amp;datatable!$B4&amp;"!"&amp;"I51")</f>
        <v>High Correct</v>
      </c>
      <c r="T57" s="51" t="str" cm="1">
        <f t="array" aca="1" ref="T57" ca="1">INDIRECT("["&amp;datatable!$C$4&amp;"]"&amp;datatable!$B4&amp;"!"&amp;"I52")</f>
        <v>N/A</v>
      </c>
      <c r="U57" s="51" t="str" cm="1">
        <f t="array" aca="1" ref="U57" ca="1">INDIRECT("["&amp;datatable!$C$4&amp;"]"&amp;datatable!$B4&amp;"!"&amp;"I53")</f>
        <v>Medium Maybe</v>
      </c>
      <c r="V57" s="51" t="str" cm="1">
        <f t="array" aca="1" ref="V57" ca="1">INDIRECT("["&amp;datatable!$C$4&amp;"]"&amp;datatable!$B4&amp;"!"&amp;"I54")</f>
        <v>High Correct</v>
      </c>
      <c r="W57" s="51" t="str" cm="1">
        <f t="array" aca="1" ref="W57" ca="1">INDIRECT("["&amp;datatable!$C$4&amp;"]"&amp;datatable!$B4&amp;"!"&amp;"I55")</f>
        <v>Medium Maybe</v>
      </c>
      <c r="X57" s="51" t="str" cm="1">
        <f t="array" aca="1" ref="X57" ca="1">INDIRECT("["&amp;datatable!$C$4&amp;"]"&amp;datatable!$B4&amp;"!"&amp;"I56")</f>
        <v>N/A</v>
      </c>
      <c r="Y57" s="50"/>
    </row>
    <row r="58" spans="3:25">
      <c r="C58" s="30" t="s">
        <v>40</v>
      </c>
      <c r="D58" s="51" t="str" cm="1">
        <f t="array" aca="1" ref="D58" ca="1">INDIRECT("["&amp;datatable!$C$4&amp;"]"&amp;datatable!$B5&amp;"!"&amp;"I2")</f>
        <v>High Correct</v>
      </c>
      <c r="E58" s="51" t="str" cm="1">
        <f t="array" aca="1" ref="E58" ca="1">INDIRECT("["&amp;datatable!$C$4&amp;"]"&amp;datatable!$B5&amp;"!"&amp;"I3")</f>
        <v>High Maybe</v>
      </c>
      <c r="F58" s="51" t="str" cm="1">
        <f t="array" aca="1" ref="F58" ca="1">INDIRECT("["&amp;datatable!$C$4&amp;"]"&amp;datatable!$B5&amp;"!"&amp;"I4")</f>
        <v>Medium Maybe</v>
      </c>
      <c r="G58" s="51" t="str" cm="1">
        <f t="array" aca="1" ref="G58" ca="1">INDIRECT("["&amp;datatable!$C$4&amp;"]"&amp;datatable!$B5&amp;"!"&amp;"I5")</f>
        <v>High Incorrect</v>
      </c>
      <c r="H58" s="51" t="str" cm="1">
        <f t="array" aca="1" ref="H58" ca="1">INDIRECT("["&amp;datatable!$C$4&amp;"]"&amp;datatable!$B5&amp;"!"&amp;"I6")</f>
        <v>Medium Correct</v>
      </c>
      <c r="I58" s="51" t="str" cm="1">
        <f t="array" aca="1" ref="I58" ca="1">INDIRECT("["&amp;datatable!$C$4&amp;"]"&amp;datatable!$B5&amp;"!"&amp;"I7")</f>
        <v>High Incorrect</v>
      </c>
      <c r="J58" s="51" t="str" cm="1">
        <f t="array" aca="1" ref="J58" ca="1">INDIRECT("["&amp;datatable!$C$4&amp;"]"&amp;datatable!$B5&amp;"!"&amp;"I8")</f>
        <v>Low Incorrect</v>
      </c>
      <c r="K58" s="51" t="str" cm="1">
        <f t="array" aca="1" ref="K58" ca="1">INDIRECT("["&amp;datatable!$C$4&amp;"]"&amp;datatable!$B5&amp;"!"&amp;"I9")</f>
        <v>High Correct</v>
      </c>
      <c r="L58" s="51" t="str" cm="1">
        <f t="array" aca="1" ref="L58" ca="1">INDIRECT("["&amp;datatable!$C$4&amp;"]"&amp;datatable!$B5&amp;"!"&amp;"I10")</f>
        <v>Medium Correct</v>
      </c>
      <c r="M58" s="51" t="str" cm="1">
        <f t="array" aca="1" ref="M58" ca="1">INDIRECT("["&amp;datatable!$C$4&amp;"]"&amp;datatable!$B5&amp;"!"&amp;"I11")</f>
        <v>High Correct</v>
      </c>
      <c r="N58" s="51" t="str" cm="1">
        <f t="array" aca="1" ref="N58" ca="1">INDIRECT("["&amp;datatable!$C$4&amp;"]"&amp;datatable!$B5&amp;"!"&amp;"I46")</f>
        <v>High Correct</v>
      </c>
      <c r="O58" s="51" t="str" cm="1">
        <f t="array" aca="1" ref="O58" ca="1">INDIRECT("["&amp;datatable!$C$4&amp;"]"&amp;datatable!$B5&amp;"!"&amp;"I47")</f>
        <v>High Correct</v>
      </c>
      <c r="P58" s="51" t="str" cm="1">
        <f t="array" aca="1" ref="P58" ca="1">INDIRECT("["&amp;datatable!$C$4&amp;"]"&amp;datatable!$B5&amp;"!"&amp;"I48")</f>
        <v>High Correct</v>
      </c>
      <c r="Q58" s="51" t="str" cm="1">
        <f t="array" aca="1" ref="Q58" ca="1">INDIRECT("["&amp;datatable!$C$4&amp;"]"&amp;datatable!$B5&amp;"!"&amp;"I49")</f>
        <v>High Correct</v>
      </c>
      <c r="R58" s="51" t="str" cm="1">
        <f t="array" aca="1" ref="R58" ca="1">INDIRECT("["&amp;datatable!$C$4&amp;"]"&amp;datatable!$B5&amp;"!"&amp;"I50")</f>
        <v>High Correct</v>
      </c>
      <c r="S58" s="51" t="str" cm="1">
        <f t="array" aca="1" ref="S58" ca="1">INDIRECT("["&amp;datatable!$C$4&amp;"]"&amp;datatable!$B5&amp;"!"&amp;"I51")</f>
        <v>High Correct</v>
      </c>
      <c r="T58" s="51" t="str" cm="1">
        <f t="array" aca="1" ref="T58" ca="1">INDIRECT("["&amp;datatable!$C$4&amp;"]"&amp;datatable!$B5&amp;"!"&amp;"I52")</f>
        <v>Medium Correct</v>
      </c>
      <c r="U58" s="51" t="str" cm="1">
        <f t="array" aca="1" ref="U58" ca="1">INDIRECT("["&amp;datatable!$C$4&amp;"]"&amp;datatable!$B5&amp;"!"&amp;"I53")</f>
        <v>Low Correct</v>
      </c>
      <c r="V58" s="51" t="str" cm="1">
        <f t="array" aca="1" ref="V58" ca="1">INDIRECT("["&amp;datatable!$C$4&amp;"]"&amp;datatable!$B5&amp;"!"&amp;"I54")</f>
        <v>N/A</v>
      </c>
      <c r="W58" s="51" t="str" cm="1">
        <f t="array" aca="1" ref="W58" ca="1">INDIRECT("["&amp;datatable!$C$4&amp;"]"&amp;datatable!$B5&amp;"!"&amp;"I55")</f>
        <v>High Correct</v>
      </c>
      <c r="X58" s="51" t="str" cm="1">
        <f t="array" aca="1" ref="X58" ca="1">INDIRECT("["&amp;datatable!$C$4&amp;"]"&amp;datatable!$B5&amp;"!"&amp;"I56")</f>
        <v>High Incorrect</v>
      </c>
      <c r="Y58" s="50"/>
    </row>
    <row r="59" spans="3:25">
      <c r="C59" s="30" t="s">
        <v>41</v>
      </c>
      <c r="D59" s="51" t="str" cm="1">
        <f t="array" aca="1" ref="D59" ca="1">INDIRECT("["&amp;datatable!$C$4&amp;"]"&amp;datatable!$B6&amp;"!"&amp;"I2")</f>
        <v>High Correct</v>
      </c>
      <c r="E59" s="51" t="str" cm="1">
        <f t="array" aca="1" ref="E59" ca="1">INDIRECT("["&amp;datatable!$C$4&amp;"]"&amp;datatable!$B6&amp;"!"&amp;"I3")</f>
        <v>High Maybe</v>
      </c>
      <c r="F59" s="51" t="str" cm="1">
        <f t="array" aca="1" ref="F59" ca="1">INDIRECT("["&amp;datatable!$C$4&amp;"]"&amp;datatable!$B6&amp;"!"&amp;"I4")</f>
        <v>High Maybe</v>
      </c>
      <c r="G59" s="51" t="str" cm="1">
        <f t="array" aca="1" ref="G59" ca="1">INDIRECT("["&amp;datatable!$C$4&amp;"]"&amp;datatable!$B6&amp;"!"&amp;"I5")</f>
        <v>High Correct</v>
      </c>
      <c r="H59" s="51" t="str" cm="1">
        <f t="array" aca="1" ref="H59" ca="1">INDIRECT("["&amp;datatable!$C$4&amp;"]"&amp;datatable!$B6&amp;"!"&amp;"I6")</f>
        <v>Medium Correct</v>
      </c>
      <c r="I59" s="51" t="str" cm="1">
        <f t="array" aca="1" ref="I59" ca="1">INDIRECT("["&amp;datatable!$C$4&amp;"]"&amp;datatable!$B6&amp;"!"&amp;"I7")</f>
        <v>Medium Maybe</v>
      </c>
      <c r="J59" s="51" t="str" cm="1">
        <f t="array" aca="1" ref="J59" ca="1">INDIRECT("["&amp;datatable!$C$4&amp;"]"&amp;datatable!$B6&amp;"!"&amp;"I8")</f>
        <v>Low Incorrect</v>
      </c>
      <c r="K59" s="51" t="str" cm="1">
        <f t="array" aca="1" ref="K59" ca="1">INDIRECT("["&amp;datatable!$C$4&amp;"]"&amp;datatable!$B6&amp;"!"&amp;"I9")</f>
        <v>High Incorrect</v>
      </c>
      <c r="L59" s="51" t="str" cm="1">
        <f t="array" aca="1" ref="L59" ca="1">INDIRECT("["&amp;datatable!$C$4&amp;"]"&amp;datatable!$B6&amp;"!"&amp;"I10")</f>
        <v>High Incorrect</v>
      </c>
      <c r="M59" s="51" t="str" cm="1">
        <f t="array" aca="1" ref="M59" ca="1">INDIRECT("["&amp;datatable!$C$4&amp;"]"&amp;datatable!$B6&amp;"!"&amp;"I11")</f>
        <v>High Correct</v>
      </c>
      <c r="N59" s="51" t="str" cm="1">
        <f t="array" aca="1" ref="N59" ca="1">INDIRECT("["&amp;datatable!$C$4&amp;"]"&amp;datatable!$B6&amp;"!"&amp;"I46")</f>
        <v>High Correct</v>
      </c>
      <c r="O59" s="51" t="str" cm="1">
        <f t="array" aca="1" ref="O59" ca="1">INDIRECT("["&amp;datatable!$C$4&amp;"]"&amp;datatable!$B6&amp;"!"&amp;"I47")</f>
        <v>High Correct</v>
      </c>
      <c r="P59" s="51" t="str" cm="1">
        <f t="array" aca="1" ref="P59" ca="1">INDIRECT("["&amp;datatable!$C$4&amp;"]"&amp;datatable!$B6&amp;"!"&amp;"I48")</f>
        <v>High Correct</v>
      </c>
      <c r="Q59" s="51" t="str" cm="1">
        <f t="array" aca="1" ref="Q59" ca="1">INDIRECT("["&amp;datatable!$C$4&amp;"]"&amp;datatable!$B6&amp;"!"&amp;"I49")</f>
        <v>High Correct</v>
      </c>
      <c r="R59" s="51" t="str" cm="1">
        <f t="array" aca="1" ref="R59" ca="1">INDIRECT("["&amp;datatable!$C$4&amp;"]"&amp;datatable!$B6&amp;"!"&amp;"I50")</f>
        <v>High Maybe</v>
      </c>
      <c r="S59" s="51" t="str" cm="1">
        <f t="array" aca="1" ref="S59" ca="1">INDIRECT("["&amp;datatable!$C$4&amp;"]"&amp;datatable!$B6&amp;"!"&amp;"I51")</f>
        <v>High Incorrect</v>
      </c>
      <c r="T59" s="51" t="str" cm="1">
        <f t="array" aca="1" ref="T59" ca="1">INDIRECT("["&amp;datatable!$C$4&amp;"]"&amp;datatable!$B6&amp;"!"&amp;"I52")</f>
        <v>Medium Correct</v>
      </c>
      <c r="U59" s="51" t="str" cm="1">
        <f t="array" aca="1" ref="U59" ca="1">INDIRECT("["&amp;datatable!$C$4&amp;"]"&amp;datatable!$B6&amp;"!"&amp;"I53")</f>
        <v>Medium Correct</v>
      </c>
      <c r="V59" s="51" t="str" cm="1">
        <f t="array" aca="1" ref="V59" ca="1">INDIRECT("["&amp;datatable!$C$4&amp;"]"&amp;datatable!$B6&amp;"!"&amp;"I54")</f>
        <v>Low Incorrect</v>
      </c>
      <c r="W59" s="51" t="str" cm="1">
        <f t="array" aca="1" ref="W59" ca="1">INDIRECT("["&amp;datatable!$C$4&amp;"]"&amp;datatable!$B6&amp;"!"&amp;"I55")</f>
        <v>High Incorrect</v>
      </c>
      <c r="X59" s="51" t="str" cm="1">
        <f t="array" aca="1" ref="X59" ca="1">INDIRECT("["&amp;datatable!$C$4&amp;"]"&amp;datatable!$B6&amp;"!"&amp;"I56")</f>
        <v>N/A</v>
      </c>
      <c r="Y59" s="50"/>
    </row>
    <row r="60" spans="3:25">
      <c r="C60" s="30" t="s">
        <v>42</v>
      </c>
      <c r="D60" s="51" t="str" cm="1">
        <f t="array" aca="1" ref="D60" ca="1">INDIRECT("["&amp;datatable!$C$4&amp;"]"&amp;datatable!$B7&amp;"!"&amp;"I2")</f>
        <v>High Correct</v>
      </c>
      <c r="E60" s="51" t="str" cm="1">
        <f t="array" aca="1" ref="E60" ca="1">INDIRECT("["&amp;datatable!$C$4&amp;"]"&amp;datatable!$B7&amp;"!"&amp;"I3")</f>
        <v>High Correct</v>
      </c>
      <c r="F60" s="51" t="str" cm="1">
        <f t="array" aca="1" ref="F60" ca="1">INDIRECT("["&amp;datatable!$C$4&amp;"]"&amp;datatable!$B7&amp;"!"&amp;"I4")</f>
        <v>High Correct</v>
      </c>
      <c r="G60" s="51" t="str" cm="1">
        <f t="array" aca="1" ref="G60" ca="1">INDIRECT("["&amp;datatable!$C$4&amp;"]"&amp;datatable!$B7&amp;"!"&amp;"I5")</f>
        <v>High Correct</v>
      </c>
      <c r="H60" s="51" t="str" cm="1">
        <f t="array" aca="1" ref="H60" ca="1">INDIRECT("["&amp;datatable!$C$4&amp;"]"&amp;datatable!$B7&amp;"!"&amp;"I6")</f>
        <v>N/A</v>
      </c>
      <c r="I60" s="51" t="str" cm="1">
        <f t="array" aca="1" ref="I60" ca="1">INDIRECT("["&amp;datatable!$C$4&amp;"]"&amp;datatable!$B7&amp;"!"&amp;"I7")</f>
        <v>N/A</v>
      </c>
      <c r="J60" s="51" t="str" cm="1">
        <f t="array" aca="1" ref="J60" ca="1">INDIRECT("["&amp;datatable!$C$4&amp;"]"&amp;datatable!$B7&amp;"!"&amp;"I8")</f>
        <v>Medium Correct</v>
      </c>
      <c r="K60" s="51" t="str" cm="1">
        <f t="array" aca="1" ref="K60" ca="1">INDIRECT("["&amp;datatable!$C$4&amp;"]"&amp;datatable!$B7&amp;"!"&amp;"I9")</f>
        <v>High Correct</v>
      </c>
      <c r="L60" s="51" t="str" cm="1">
        <f t="array" aca="1" ref="L60" ca="1">INDIRECT("["&amp;datatable!$C$4&amp;"]"&amp;datatable!$B7&amp;"!"&amp;"I10")</f>
        <v>Medium Correct</v>
      </c>
      <c r="M60" s="51" t="str" cm="1">
        <f t="array" aca="1" ref="M60" ca="1">INDIRECT("["&amp;datatable!$C$4&amp;"]"&amp;datatable!$B7&amp;"!"&amp;"I11")</f>
        <v>High Correct</v>
      </c>
      <c r="N60" s="51" t="str" cm="1">
        <f t="array" aca="1" ref="N60" ca="1">INDIRECT("["&amp;datatable!$C$4&amp;"]"&amp;datatable!$B7&amp;"!"&amp;"I46")</f>
        <v>N/A</v>
      </c>
      <c r="O60" s="51" t="str" cm="1">
        <f t="array" aca="1" ref="O60" ca="1">INDIRECT("["&amp;datatable!$C$4&amp;"]"&amp;datatable!$B7&amp;"!"&amp;"I47")</f>
        <v>N/A</v>
      </c>
      <c r="P60" s="51" t="str" cm="1">
        <f t="array" aca="1" ref="P60" ca="1">INDIRECT("["&amp;datatable!$C$4&amp;"]"&amp;datatable!$B7&amp;"!"&amp;"I48")</f>
        <v>N/A</v>
      </c>
      <c r="Q60" s="51" t="str" cm="1">
        <f t="array" aca="1" ref="Q60" ca="1">INDIRECT("["&amp;datatable!$C$4&amp;"]"&amp;datatable!$B7&amp;"!"&amp;"I49")</f>
        <v>N/A</v>
      </c>
      <c r="R60" s="51" t="str" cm="1">
        <f t="array" aca="1" ref="R60" ca="1">INDIRECT("["&amp;datatable!$C$4&amp;"]"&amp;datatable!$B7&amp;"!"&amp;"I50")</f>
        <v>N/A</v>
      </c>
      <c r="S60" s="51" t="str" cm="1">
        <f t="array" aca="1" ref="S60" ca="1">INDIRECT("["&amp;datatable!$C$4&amp;"]"&amp;datatable!$B7&amp;"!"&amp;"I51")</f>
        <v>N/A</v>
      </c>
      <c r="T60" s="51" t="str" cm="1">
        <f t="array" aca="1" ref="T60" ca="1">INDIRECT("["&amp;datatable!$C$4&amp;"]"&amp;datatable!$B7&amp;"!"&amp;"I52")</f>
        <v>N/A</v>
      </c>
      <c r="U60" s="51" t="str" cm="1">
        <f t="array" aca="1" ref="U60" ca="1">INDIRECT("["&amp;datatable!$C$4&amp;"]"&amp;datatable!$B7&amp;"!"&amp;"I53")</f>
        <v>Medium Correct</v>
      </c>
      <c r="V60" s="51" t="str" cm="1">
        <f t="array" aca="1" ref="V60" ca="1">INDIRECT("["&amp;datatable!$C$4&amp;"]"&amp;datatable!$B7&amp;"!"&amp;"I54")</f>
        <v>N/A</v>
      </c>
      <c r="W60" s="51" t="str" cm="1">
        <f t="array" aca="1" ref="W60" ca="1">INDIRECT("["&amp;datatable!$C$4&amp;"]"&amp;datatable!$B7&amp;"!"&amp;"I55")</f>
        <v>N/A</v>
      </c>
      <c r="X60" s="51" t="str" cm="1">
        <f t="array" aca="1" ref="X60" ca="1">INDIRECT("["&amp;datatable!$C$4&amp;"]"&amp;datatable!$B7&amp;"!"&amp;"I56")</f>
        <v>N/A</v>
      </c>
      <c r="Y60" s="50"/>
    </row>
    <row r="61" spans="3:25">
      <c r="C61" s="30" t="s">
        <v>43</v>
      </c>
      <c r="D61" s="51" t="str" cm="1">
        <f t="array" aca="1" ref="D61" ca="1">INDIRECT("["&amp;datatable!$C$4&amp;"]"&amp;datatable!$B8&amp;"!"&amp;"I2")</f>
        <v>High Correct</v>
      </c>
      <c r="E61" s="51" t="str" cm="1">
        <f t="array" aca="1" ref="E61" ca="1">INDIRECT("["&amp;datatable!$C$4&amp;"]"&amp;datatable!$B8&amp;"!"&amp;"I3")</f>
        <v>High Correct</v>
      </c>
      <c r="F61" s="51" t="str" cm="1">
        <f t="array" aca="1" ref="F61" ca="1">INDIRECT("["&amp;datatable!$C$4&amp;"]"&amp;datatable!$B8&amp;"!"&amp;"I4")</f>
        <v>Low Maybe</v>
      </c>
      <c r="G61" s="51" t="str" cm="1">
        <f t="array" aca="1" ref="G61" ca="1">INDIRECT("["&amp;datatable!$C$4&amp;"]"&amp;datatable!$B8&amp;"!"&amp;"I5")</f>
        <v>High Correct</v>
      </c>
      <c r="H61" s="51" t="str" cm="1">
        <f t="array" aca="1" ref="H61" ca="1">INDIRECT("["&amp;datatable!$C$4&amp;"]"&amp;datatable!$B8&amp;"!"&amp;"I6")</f>
        <v>High Correct</v>
      </c>
      <c r="I61" s="51" t="str" cm="1">
        <f t="array" aca="1" ref="I61" ca="1">INDIRECT("["&amp;datatable!$C$4&amp;"]"&amp;datatable!$B8&amp;"!"&amp;"I7")</f>
        <v>Low Correct</v>
      </c>
      <c r="J61" s="51" t="str" cm="1">
        <f t="array" aca="1" ref="J61" ca="1">INDIRECT("["&amp;datatable!$C$4&amp;"]"&amp;datatable!$B8&amp;"!"&amp;"I8")</f>
        <v>High Correct</v>
      </c>
      <c r="K61" s="51" t="str" cm="1">
        <f t="array" aca="1" ref="K61" ca="1">INDIRECT("["&amp;datatable!$C$4&amp;"]"&amp;datatable!$B8&amp;"!"&amp;"I9")</f>
        <v>High Correct</v>
      </c>
      <c r="L61" s="51" t="str" cm="1">
        <f t="array" aca="1" ref="L61" ca="1">INDIRECT("["&amp;datatable!$C$4&amp;"]"&amp;datatable!$B8&amp;"!"&amp;"I10")</f>
        <v>High Correct</v>
      </c>
      <c r="M61" s="51" t="str" cm="1">
        <f t="array" aca="1" ref="M61" ca="1">INDIRECT("["&amp;datatable!$C$4&amp;"]"&amp;datatable!$B8&amp;"!"&amp;"I11")</f>
        <v>High Correct</v>
      </c>
      <c r="N61" s="51" t="str" cm="1">
        <f t="array" aca="1" ref="N61" ca="1">INDIRECT("["&amp;datatable!$C$4&amp;"]"&amp;datatable!$B8&amp;"!"&amp;"I46")</f>
        <v>High Correct</v>
      </c>
      <c r="O61" s="51" t="str" cm="1">
        <f t="array" aca="1" ref="O61" ca="1">INDIRECT("["&amp;datatable!$C$4&amp;"]"&amp;datatable!$B8&amp;"!"&amp;"I47")</f>
        <v>Medium Maybe</v>
      </c>
      <c r="P61" s="51" t="str" cm="1">
        <f t="array" aca="1" ref="P61" ca="1">INDIRECT("["&amp;datatable!$C$4&amp;"]"&amp;datatable!$B8&amp;"!"&amp;"I48")</f>
        <v>Low Correct</v>
      </c>
      <c r="Q61" s="51" t="str" cm="1">
        <f t="array" aca="1" ref="Q61" ca="1">INDIRECT("["&amp;datatable!$C$4&amp;"]"&amp;datatable!$B8&amp;"!"&amp;"I49")</f>
        <v>High Incorrect</v>
      </c>
      <c r="R61" s="51" t="str" cm="1">
        <f t="array" aca="1" ref="R61" ca="1">INDIRECT("["&amp;datatable!$C$4&amp;"]"&amp;datatable!$B8&amp;"!"&amp;"I50")</f>
        <v>High Correct</v>
      </c>
      <c r="S61" s="51" t="str" cm="1">
        <f t="array" aca="1" ref="S61" ca="1">INDIRECT("["&amp;datatable!$C$4&amp;"]"&amp;datatable!$B8&amp;"!"&amp;"I51")</f>
        <v>High Correct</v>
      </c>
      <c r="T61" s="51" t="str" cm="1">
        <f t="array" aca="1" ref="T61" ca="1">INDIRECT("["&amp;datatable!$C$4&amp;"]"&amp;datatable!$B8&amp;"!"&amp;"I52")</f>
        <v>N/A</v>
      </c>
      <c r="U61" s="51" t="str" cm="1">
        <f t="array" aca="1" ref="U61" ca="1">INDIRECT("["&amp;datatable!$C$4&amp;"]"&amp;datatable!$B8&amp;"!"&amp;"I53")</f>
        <v>High Maybe</v>
      </c>
      <c r="V61" s="51" t="str" cm="1">
        <f t="array" aca="1" ref="V61" ca="1">INDIRECT("["&amp;datatable!$C$4&amp;"]"&amp;datatable!$B8&amp;"!"&amp;"I54")</f>
        <v>Medium Correct</v>
      </c>
      <c r="W61" s="51" t="str" cm="1">
        <f t="array" aca="1" ref="W61" ca="1">INDIRECT("["&amp;datatable!$C$4&amp;"]"&amp;datatable!$B8&amp;"!"&amp;"I55")</f>
        <v>High Correct</v>
      </c>
      <c r="X61" s="51" t="str" cm="1">
        <f t="array" aca="1" ref="X61" ca="1">INDIRECT("["&amp;datatable!$C$4&amp;"]"&amp;datatable!$B8&amp;"!"&amp;"I56")</f>
        <v>N/A</v>
      </c>
      <c r="Y61" s="50"/>
    </row>
    <row r="62" spans="3:25">
      <c r="C62" s="30" t="s">
        <v>44</v>
      </c>
      <c r="D62" s="51" t="str" cm="1">
        <f t="array" aca="1" ref="D62" ca="1">INDIRECT("["&amp;datatable!$C$4&amp;"]"&amp;datatable!$B9&amp;"!"&amp;"I2")</f>
        <v>High Correct</v>
      </c>
      <c r="E62" s="51" t="str" cm="1">
        <f t="array" aca="1" ref="E62" ca="1">INDIRECT("["&amp;datatable!$C$4&amp;"]"&amp;datatable!$B9&amp;"!"&amp;"I3")</f>
        <v>High Correct</v>
      </c>
      <c r="F62" s="51" t="str" cm="1">
        <f t="array" aca="1" ref="F62" ca="1">INDIRECT("["&amp;datatable!$C$4&amp;"]"&amp;datatable!$B9&amp;"!"&amp;"I4")</f>
        <v>High Correct</v>
      </c>
      <c r="G62" s="51" t="str" cm="1">
        <f t="array" aca="1" ref="G62" ca="1">INDIRECT("["&amp;datatable!$C$4&amp;"]"&amp;datatable!$B9&amp;"!"&amp;"I5")</f>
        <v>High Correct</v>
      </c>
      <c r="H62" s="51" t="str" cm="1">
        <f t="array" aca="1" ref="H62" ca="1">INDIRECT("["&amp;datatable!$C$4&amp;"]"&amp;datatable!$B9&amp;"!"&amp;"I6")</f>
        <v>High Correct</v>
      </c>
      <c r="I62" s="51" t="str" cm="1">
        <f t="array" aca="1" ref="I62" ca="1">INDIRECT("["&amp;datatable!$C$4&amp;"]"&amp;datatable!$B9&amp;"!"&amp;"I7")</f>
        <v>Low Correct</v>
      </c>
      <c r="J62" s="51" t="str" cm="1">
        <f t="array" aca="1" ref="J62" ca="1">INDIRECT("["&amp;datatable!$C$4&amp;"]"&amp;datatable!$B9&amp;"!"&amp;"I8")</f>
        <v>Low Incorrect</v>
      </c>
      <c r="K62" s="51" t="str" cm="1">
        <f t="array" aca="1" ref="K62" ca="1">INDIRECT("["&amp;datatable!$C$4&amp;"]"&amp;datatable!$B9&amp;"!"&amp;"I9")</f>
        <v>High Correct</v>
      </c>
      <c r="L62" s="51" t="str" cm="1">
        <f t="array" aca="1" ref="L62" ca="1">INDIRECT("["&amp;datatable!$C$4&amp;"]"&amp;datatable!$B9&amp;"!"&amp;"I10")</f>
        <v>High Correct</v>
      </c>
      <c r="M62" s="51" t="str" cm="1">
        <f t="array" aca="1" ref="M62" ca="1">INDIRECT("["&amp;datatable!$C$4&amp;"]"&amp;datatable!$B9&amp;"!"&amp;"I11")</f>
        <v>Low Correct</v>
      </c>
      <c r="N62" s="51" t="str" cm="1">
        <f t="array" aca="1" ref="N62" ca="1">INDIRECT("["&amp;datatable!$C$4&amp;"]"&amp;datatable!$B9&amp;"!"&amp;"I46")</f>
        <v>High Correct</v>
      </c>
      <c r="O62" s="51" t="str" cm="1">
        <f t="array" aca="1" ref="O62" ca="1">INDIRECT("["&amp;datatable!$C$4&amp;"]"&amp;datatable!$B9&amp;"!"&amp;"I47")</f>
        <v>High Correct</v>
      </c>
      <c r="P62" s="51" t="str" cm="1">
        <f t="array" aca="1" ref="P62" ca="1">INDIRECT("["&amp;datatable!$C$4&amp;"]"&amp;datatable!$B9&amp;"!"&amp;"I48")</f>
        <v>High Correct</v>
      </c>
      <c r="Q62" s="51" t="str" cm="1">
        <f t="array" aca="1" ref="Q62" ca="1">INDIRECT("["&amp;datatable!$C$4&amp;"]"&amp;datatable!$B9&amp;"!"&amp;"I49")</f>
        <v>High Correct</v>
      </c>
      <c r="R62" s="51" t="str" cm="1">
        <f t="array" aca="1" ref="R62" ca="1">INDIRECT("["&amp;datatable!$C$4&amp;"]"&amp;datatable!$B9&amp;"!"&amp;"I50")</f>
        <v>High Correct</v>
      </c>
      <c r="S62" s="51" t="str" cm="1">
        <f t="array" aca="1" ref="S62" ca="1">INDIRECT("["&amp;datatable!$C$4&amp;"]"&amp;datatable!$B9&amp;"!"&amp;"I51")</f>
        <v>High Correct</v>
      </c>
      <c r="T62" s="51" t="str" cm="1">
        <f t="array" aca="1" ref="T62" ca="1">INDIRECT("["&amp;datatable!$C$4&amp;"]"&amp;datatable!$B9&amp;"!"&amp;"I52")</f>
        <v>Medium Correct</v>
      </c>
      <c r="U62" s="51" t="str" cm="1">
        <f t="array" aca="1" ref="U62" ca="1">INDIRECT("["&amp;datatable!$C$4&amp;"]"&amp;datatable!$B9&amp;"!"&amp;"I53")</f>
        <v>High Correct</v>
      </c>
      <c r="V62" s="51" t="str" cm="1">
        <f t="array" aca="1" ref="V62" ca="1">INDIRECT("["&amp;datatable!$C$4&amp;"]"&amp;datatable!$B9&amp;"!"&amp;"I54")</f>
        <v>Medium Correct</v>
      </c>
      <c r="W62" s="51" t="str" cm="1">
        <f t="array" aca="1" ref="W62" ca="1">INDIRECT("["&amp;datatable!$C$4&amp;"]"&amp;datatable!$B9&amp;"!"&amp;"I55")</f>
        <v>Medium Correct</v>
      </c>
      <c r="X62" s="51" t="str" cm="1">
        <f t="array" aca="1" ref="X62" ca="1">INDIRECT("["&amp;datatable!$C$4&amp;"]"&amp;datatable!$B9&amp;"!"&amp;"I56")</f>
        <v>N/A</v>
      </c>
      <c r="Y62" s="50"/>
    </row>
    <row r="63" spans="3:25">
      <c r="C63" s="30" t="s">
        <v>45</v>
      </c>
      <c r="D63" s="51" t="str" cm="1">
        <f t="array" aca="1" ref="D63" ca="1">INDIRECT("["&amp;datatable!$C$4&amp;"]"&amp;datatable!$B10&amp;"!"&amp;"I2")</f>
        <v>High Correct</v>
      </c>
      <c r="E63" s="51" t="str" cm="1">
        <f t="array" aca="1" ref="E63" ca="1">INDIRECT("["&amp;datatable!$C$4&amp;"]"&amp;datatable!$B10&amp;"!"&amp;"I3")</f>
        <v>High Correct</v>
      </c>
      <c r="F63" s="51" t="str" cm="1">
        <f t="array" aca="1" ref="F63" ca="1">INDIRECT("["&amp;datatable!$C$4&amp;"]"&amp;datatable!$B10&amp;"!"&amp;"I4")</f>
        <v>High Maybe</v>
      </c>
      <c r="G63" s="51" t="str" cm="1">
        <f t="array" aca="1" ref="G63" ca="1">INDIRECT("["&amp;datatable!$C$4&amp;"]"&amp;datatable!$B10&amp;"!"&amp;"I5")</f>
        <v>Medium Incorrect</v>
      </c>
      <c r="H63" s="51" t="str" cm="1">
        <f t="array" aca="1" ref="H63" ca="1">INDIRECT("["&amp;datatable!$C$4&amp;"]"&amp;datatable!$B10&amp;"!"&amp;"I6")</f>
        <v>N/A</v>
      </c>
      <c r="I63" s="51" t="str" cm="1">
        <f t="array" aca="1" ref="I63" ca="1">INDIRECT("["&amp;datatable!$C$4&amp;"]"&amp;datatable!$B10&amp;"!"&amp;"I7")</f>
        <v>High Correct</v>
      </c>
      <c r="J63" s="51" t="str" cm="1">
        <f t="array" aca="1" ref="J63" ca="1">INDIRECT("["&amp;datatable!$C$4&amp;"]"&amp;datatable!$B10&amp;"!"&amp;"I8")</f>
        <v>Medium Incorrect</v>
      </c>
      <c r="K63" s="51" t="str" cm="1">
        <f t="array" aca="1" ref="K63" ca="1">INDIRECT("["&amp;datatable!$C$4&amp;"]"&amp;datatable!$B10&amp;"!"&amp;"I9")</f>
        <v>High Incorrect</v>
      </c>
      <c r="L63" s="51" t="str" cm="1">
        <f t="array" aca="1" ref="L63" ca="1">INDIRECT("["&amp;datatable!$C$4&amp;"]"&amp;datatable!$B10&amp;"!"&amp;"I10")</f>
        <v>Medium Incorrect</v>
      </c>
      <c r="M63" s="51" t="str" cm="1">
        <f t="array" aca="1" ref="M63" ca="1">INDIRECT("["&amp;datatable!$C$4&amp;"]"&amp;datatable!$B10&amp;"!"&amp;"I11")</f>
        <v>High Incorrect</v>
      </c>
      <c r="N63" s="51" t="str" cm="1">
        <f t="array" aca="1" ref="N63" ca="1">INDIRECT("["&amp;datatable!$C$4&amp;"]"&amp;datatable!$B10&amp;"!"&amp;"I46")</f>
        <v>Low Correct</v>
      </c>
      <c r="O63" s="51" t="str" cm="1">
        <f t="array" aca="1" ref="O63" ca="1">INDIRECT("["&amp;datatable!$C$4&amp;"]"&amp;datatable!$B10&amp;"!"&amp;"I47")</f>
        <v>N/A</v>
      </c>
      <c r="P63" s="51" t="str" cm="1">
        <f t="array" aca="1" ref="P63" ca="1">INDIRECT("["&amp;datatable!$C$4&amp;"]"&amp;datatable!$B10&amp;"!"&amp;"I48")</f>
        <v>High Correct</v>
      </c>
      <c r="Q63" s="51" t="str" cm="1">
        <f t="array" aca="1" ref="Q63" ca="1">INDIRECT("["&amp;datatable!$C$4&amp;"]"&amp;datatable!$B10&amp;"!"&amp;"I49")</f>
        <v>Medium Maybe</v>
      </c>
      <c r="R63" s="51" t="str" cm="1">
        <f t="array" aca="1" ref="R63" ca="1">INDIRECT("["&amp;datatable!$C$4&amp;"]"&amp;datatable!$B10&amp;"!"&amp;"I50")</f>
        <v>Medium Maybe</v>
      </c>
      <c r="S63" s="51" t="str" cm="1">
        <f t="array" aca="1" ref="S63" ca="1">INDIRECT("["&amp;datatable!$C$4&amp;"]"&amp;datatable!$B10&amp;"!"&amp;"I51")</f>
        <v>High Maybe</v>
      </c>
      <c r="T63" s="51" t="str" cm="1">
        <f t="array" aca="1" ref="T63" ca="1">INDIRECT("["&amp;datatable!$C$4&amp;"]"&amp;datatable!$B10&amp;"!"&amp;"I52")</f>
        <v>N/A</v>
      </c>
      <c r="U63" s="51" t="str" cm="1">
        <f t="array" aca="1" ref="U63" ca="1">INDIRECT("["&amp;datatable!$C$4&amp;"]"&amp;datatable!$B10&amp;"!"&amp;"I53")</f>
        <v>High Incorrect</v>
      </c>
      <c r="V63" s="51" t="str" cm="1">
        <f t="array" aca="1" ref="V63" ca="1">INDIRECT("["&amp;datatable!$C$4&amp;"]"&amp;datatable!$B10&amp;"!"&amp;"I54")</f>
        <v>N/A</v>
      </c>
      <c r="W63" s="51" t="str" cm="1">
        <f t="array" aca="1" ref="W63" ca="1">INDIRECT("["&amp;datatable!$C$4&amp;"]"&amp;datatable!$B10&amp;"!"&amp;"I55")</f>
        <v>Medium Maybe</v>
      </c>
      <c r="X63" s="51" t="str" cm="1">
        <f t="array" aca="1" ref="X63" ca="1">INDIRECT("["&amp;datatable!$C$4&amp;"]"&amp;datatable!$B10&amp;"!"&amp;"I56")</f>
        <v>Low Maybe</v>
      </c>
      <c r="Y63" s="50"/>
    </row>
    <row r="64" spans="3:25">
      <c r="C64" s="30" t="s">
        <v>46</v>
      </c>
      <c r="D64" s="51" t="str" cm="1">
        <f t="array" aca="1" ref="D64" ca="1">INDIRECT("["&amp;datatable!$C$4&amp;"]"&amp;datatable!$B11&amp;"!"&amp;"I2")</f>
        <v>High Incorrect</v>
      </c>
      <c r="E64" s="51" t="str" cm="1">
        <f t="array" aca="1" ref="E64" ca="1">INDIRECT("["&amp;datatable!$C$4&amp;"]"&amp;datatable!$B11&amp;"!"&amp;"I3")</f>
        <v>High Maybe</v>
      </c>
      <c r="F64" s="51" t="str" cm="1">
        <f t="array" aca="1" ref="F64" ca="1">INDIRECT("["&amp;datatable!$C$4&amp;"]"&amp;datatable!$B11&amp;"!"&amp;"I4")</f>
        <v>Medium Incorrect</v>
      </c>
      <c r="G64" s="51" t="str" cm="1">
        <f t="array" aca="1" ref="G64" ca="1">INDIRECT("["&amp;datatable!$C$4&amp;"]"&amp;datatable!$B11&amp;"!"&amp;"I5")</f>
        <v>Medium Incorrect</v>
      </c>
      <c r="H64" s="51" t="str" cm="1">
        <f t="array" aca="1" ref="H64" ca="1">INDIRECT("["&amp;datatable!$C$4&amp;"]"&amp;datatable!$B11&amp;"!"&amp;"I6")</f>
        <v>High Correct</v>
      </c>
      <c r="I64" s="51" t="str" cm="1">
        <f t="array" aca="1" ref="I64" ca="1">INDIRECT("["&amp;datatable!$C$4&amp;"]"&amp;datatable!$B11&amp;"!"&amp;"I7")</f>
        <v>High Incorrect</v>
      </c>
      <c r="J64" s="51" t="str" cm="1">
        <f t="array" aca="1" ref="J64" ca="1">INDIRECT("["&amp;datatable!$C$4&amp;"]"&amp;datatable!$B11&amp;"!"&amp;"I8")</f>
        <v>High Correct</v>
      </c>
      <c r="K64" s="51" t="str" cm="1">
        <f t="array" aca="1" ref="K64" ca="1">INDIRECT("["&amp;datatable!$C$4&amp;"]"&amp;datatable!$B11&amp;"!"&amp;"I9")</f>
        <v>High Correct</v>
      </c>
      <c r="L64" s="51" t="str" cm="1">
        <f t="array" aca="1" ref="L64" ca="1">INDIRECT("["&amp;datatable!$C$4&amp;"]"&amp;datatable!$B11&amp;"!"&amp;"I10")</f>
        <v>Medium Correct</v>
      </c>
      <c r="M64" s="51" t="str" cm="1">
        <f t="array" aca="1" ref="M64" ca="1">INDIRECT("["&amp;datatable!$C$4&amp;"]"&amp;datatable!$B11&amp;"!"&amp;"I11")</f>
        <v>High Maybe</v>
      </c>
      <c r="N64" s="51" t="str" cm="1">
        <f t="array" aca="1" ref="N64" ca="1">INDIRECT("["&amp;datatable!$C$4&amp;"]"&amp;datatable!$B11&amp;"!"&amp;"I46")</f>
        <v>High Correct</v>
      </c>
      <c r="O64" s="51" t="str" cm="1">
        <f t="array" aca="1" ref="O64" ca="1">INDIRECT("["&amp;datatable!$C$4&amp;"]"&amp;datatable!$B11&amp;"!"&amp;"I47")</f>
        <v>Medium Maybe</v>
      </c>
      <c r="P64" s="51" t="str" cm="1">
        <f t="array" aca="1" ref="P64" ca="1">INDIRECT("["&amp;datatable!$C$4&amp;"]"&amp;datatable!$B11&amp;"!"&amp;"I48")</f>
        <v>High Correct</v>
      </c>
      <c r="Q64" s="51" t="str" cm="1">
        <f t="array" aca="1" ref="Q64" ca="1">INDIRECT("["&amp;datatable!$C$4&amp;"]"&amp;datatable!$B11&amp;"!"&amp;"I49")</f>
        <v>High Correct</v>
      </c>
      <c r="R64" s="51" t="str" cm="1">
        <f t="array" aca="1" ref="R64" ca="1">INDIRECT("["&amp;datatable!$C$4&amp;"]"&amp;datatable!$B11&amp;"!"&amp;"I50")</f>
        <v>High Correct</v>
      </c>
      <c r="S64" s="51" t="str" cm="1">
        <f t="array" aca="1" ref="S64" ca="1">INDIRECT("["&amp;datatable!$C$4&amp;"]"&amp;datatable!$B11&amp;"!"&amp;"I51")</f>
        <v>Low Maybe</v>
      </c>
      <c r="T64" s="51" t="str" cm="1">
        <f t="array" aca="1" ref="T64" ca="1">INDIRECT("["&amp;datatable!$C$4&amp;"]"&amp;datatable!$B11&amp;"!"&amp;"I52")</f>
        <v>Medium Correct</v>
      </c>
      <c r="U64" s="51" t="str" cm="1">
        <f t="array" aca="1" ref="U64" ca="1">INDIRECT("["&amp;datatable!$C$4&amp;"]"&amp;datatable!$B11&amp;"!"&amp;"I53")</f>
        <v>High Incorrect</v>
      </c>
      <c r="V64" s="51" t="str" cm="1">
        <f t="array" aca="1" ref="V64" ca="1">INDIRECT("["&amp;datatable!$C$4&amp;"]"&amp;datatable!$B11&amp;"!"&amp;"I54")</f>
        <v>N/A</v>
      </c>
      <c r="W64" s="51" t="str" cm="1">
        <f t="array" aca="1" ref="W64" ca="1">INDIRECT("["&amp;datatable!$C$4&amp;"]"&amp;datatable!$B11&amp;"!"&amp;"I55")</f>
        <v>High Maybe</v>
      </c>
      <c r="X64" s="51" t="str" cm="1">
        <f t="array" aca="1" ref="X64" ca="1">INDIRECT("["&amp;datatable!$C$4&amp;"]"&amp;datatable!$B11&amp;"!"&amp;"I56")</f>
        <v>Low Incorrect</v>
      </c>
      <c r="Y64" s="50"/>
    </row>
    <row r="65" spans="3:25">
      <c r="C65" s="30" t="s">
        <v>47</v>
      </c>
      <c r="D65" s="51" t="str" cm="1">
        <f t="array" aca="1" ref="D65" ca="1">INDIRECT("["&amp;datatable!$C$4&amp;"]"&amp;datatable!$B12&amp;"!"&amp;"I2")</f>
        <v>High Incorrect</v>
      </c>
      <c r="E65" s="51" t="str" cm="1">
        <f t="array" aca="1" ref="E65" ca="1">INDIRECT("["&amp;datatable!$C$4&amp;"]"&amp;datatable!$B12&amp;"!"&amp;"I3")</f>
        <v>High Correct</v>
      </c>
      <c r="F65" s="51" t="str" cm="1">
        <f t="array" aca="1" ref="F65" ca="1">INDIRECT("["&amp;datatable!$C$4&amp;"]"&amp;datatable!$B12&amp;"!"&amp;"I4")</f>
        <v>Low Maybe</v>
      </c>
      <c r="G65" s="51" t="str" cm="1">
        <f t="array" aca="1" ref="G65" ca="1">INDIRECT("["&amp;datatable!$C$4&amp;"]"&amp;datatable!$B12&amp;"!"&amp;"I5")</f>
        <v>High Incorrect</v>
      </c>
      <c r="H65" s="51" t="str" cm="1">
        <f t="array" aca="1" ref="H65" ca="1">INDIRECT("["&amp;datatable!$C$4&amp;"]"&amp;datatable!$B12&amp;"!"&amp;"I6")</f>
        <v>High Correct</v>
      </c>
      <c r="I65" s="51" t="str" cm="1">
        <f t="array" aca="1" ref="I65" ca="1">INDIRECT("["&amp;datatable!$C$4&amp;"]"&amp;datatable!$B12&amp;"!"&amp;"I7")</f>
        <v>High Maybe</v>
      </c>
      <c r="J65" s="51" t="str" cm="1">
        <f t="array" aca="1" ref="J65" ca="1">INDIRECT("["&amp;datatable!$C$4&amp;"]"&amp;datatable!$B12&amp;"!"&amp;"I8")</f>
        <v>Low Incorrect</v>
      </c>
      <c r="K65" s="51" t="str" cm="1">
        <f t="array" aca="1" ref="K65" ca="1">INDIRECT("["&amp;datatable!$C$4&amp;"]"&amp;datatable!$B12&amp;"!"&amp;"I9")</f>
        <v>Medium Maybe</v>
      </c>
      <c r="L65" s="51" t="str" cm="1">
        <f t="array" aca="1" ref="L65" ca="1">INDIRECT("["&amp;datatable!$C$4&amp;"]"&amp;datatable!$B12&amp;"!"&amp;"I10")</f>
        <v>High Correct</v>
      </c>
      <c r="M65" s="51" t="str" cm="1">
        <f t="array" aca="1" ref="M65" ca="1">INDIRECT("["&amp;datatable!$C$4&amp;"]"&amp;datatable!$B12&amp;"!"&amp;"I11")</f>
        <v>High Maybe</v>
      </c>
      <c r="N65" s="51" t="str" cm="1">
        <f t="array" aca="1" ref="N65" ca="1">INDIRECT("["&amp;datatable!$C$4&amp;"]"&amp;datatable!$B12&amp;"!"&amp;"I46")</f>
        <v>High Correct</v>
      </c>
      <c r="O65" s="51" t="str" cm="1">
        <f t="array" aca="1" ref="O65" ca="1">INDIRECT("["&amp;datatable!$C$4&amp;"]"&amp;datatable!$B12&amp;"!"&amp;"I47")</f>
        <v>Medium Maybe</v>
      </c>
      <c r="P65" s="51" t="str" cm="1">
        <f t="array" aca="1" ref="P65" ca="1">INDIRECT("["&amp;datatable!$C$4&amp;"]"&amp;datatable!$B12&amp;"!"&amp;"I48")</f>
        <v>High Correct</v>
      </c>
      <c r="Q65" s="51" t="str" cm="1">
        <f t="array" aca="1" ref="Q65" ca="1">INDIRECT("["&amp;datatable!$C$4&amp;"]"&amp;datatable!$B12&amp;"!"&amp;"I49")</f>
        <v>High Maybe</v>
      </c>
      <c r="R65" s="51" t="str" cm="1">
        <f t="array" aca="1" ref="R65" ca="1">INDIRECT("["&amp;datatable!$C$4&amp;"]"&amp;datatable!$B12&amp;"!"&amp;"I50")</f>
        <v>High Correct</v>
      </c>
      <c r="S65" s="51" t="str" cm="1">
        <f t="array" aca="1" ref="S65" ca="1">INDIRECT("["&amp;datatable!$C$4&amp;"]"&amp;datatable!$B12&amp;"!"&amp;"I51")</f>
        <v>Medium Maybe</v>
      </c>
      <c r="T65" s="51" t="str" cm="1">
        <f t="array" aca="1" ref="T65" ca="1">INDIRECT("["&amp;datatable!$C$4&amp;"]"&amp;datatable!$B12&amp;"!"&amp;"I52")</f>
        <v>Medium Correct</v>
      </c>
      <c r="U65" s="51" t="str" cm="1">
        <f t="array" aca="1" ref="U65" ca="1">INDIRECT("["&amp;datatable!$C$4&amp;"]"&amp;datatable!$B12&amp;"!"&amp;"I53")</f>
        <v>Medium Incorrect</v>
      </c>
      <c r="V65" s="51" t="str" cm="1">
        <f t="array" aca="1" ref="V65" ca="1">INDIRECT("["&amp;datatable!$C$4&amp;"]"&amp;datatable!$B12&amp;"!"&amp;"I54")</f>
        <v>Medium Correct</v>
      </c>
      <c r="W65" s="51" t="str" cm="1">
        <f t="array" aca="1" ref="W65" ca="1">INDIRECT("["&amp;datatable!$C$4&amp;"]"&amp;datatable!$B12&amp;"!"&amp;"I55")</f>
        <v>Medium Incorrect</v>
      </c>
      <c r="X65" s="51" t="str" cm="1">
        <f t="array" aca="1" ref="X65" ca="1">INDIRECT("["&amp;datatable!$C$4&amp;"]"&amp;datatable!$B12&amp;"!"&amp;"I56")</f>
        <v>High Correct</v>
      </c>
      <c r="Y65" s="50"/>
    </row>
    <row r="66" spans="3:25">
      <c r="C66" s="30" t="s">
        <v>48</v>
      </c>
      <c r="D66" s="51" t="str" cm="1">
        <f t="array" aca="1" ref="D66" ca="1">INDIRECT("["&amp;datatable!$C$4&amp;"]"&amp;datatable!$B13&amp;"!"&amp;"I2")</f>
        <v>Medium Correct</v>
      </c>
      <c r="E66" s="51" t="str" cm="1">
        <f t="array" aca="1" ref="E66" ca="1">INDIRECT("["&amp;datatable!$C$4&amp;"]"&amp;datatable!$B13&amp;"!"&amp;"I3")</f>
        <v>High Correct</v>
      </c>
      <c r="F66" s="51" t="str" cm="1">
        <f t="array" aca="1" ref="F66" ca="1">INDIRECT("["&amp;datatable!$C$4&amp;"]"&amp;datatable!$B13&amp;"!"&amp;"I4")</f>
        <v>Low Correct</v>
      </c>
      <c r="G66" s="51" t="str" cm="1">
        <f t="array" aca="1" ref="G66" ca="1">INDIRECT("["&amp;datatable!$C$4&amp;"]"&amp;datatable!$B13&amp;"!"&amp;"I5")</f>
        <v>High Correct</v>
      </c>
      <c r="H66" s="51" t="str" cm="1">
        <f t="array" aca="1" ref="H66" ca="1">INDIRECT("["&amp;datatable!$C$4&amp;"]"&amp;datatable!$B13&amp;"!"&amp;"I6")</f>
        <v>Medium Correct</v>
      </c>
      <c r="I66" s="51" t="str" cm="1">
        <f t="array" aca="1" ref="I66" ca="1">INDIRECT("["&amp;datatable!$C$4&amp;"]"&amp;datatable!$B13&amp;"!"&amp;"I7")</f>
        <v>Low Correct</v>
      </c>
      <c r="J66" s="51" t="str" cm="1">
        <f t="array" aca="1" ref="J66" ca="1">INDIRECT("["&amp;datatable!$C$4&amp;"]"&amp;datatable!$B13&amp;"!"&amp;"I8")</f>
        <v>Medium Maybe</v>
      </c>
      <c r="K66" s="51" t="str" cm="1">
        <f t="array" aca="1" ref="K66" ca="1">INDIRECT("["&amp;datatable!$C$4&amp;"]"&amp;datatable!$B13&amp;"!"&amp;"I9")</f>
        <v>High Correct</v>
      </c>
      <c r="L66" s="51" t="str" cm="1">
        <f t="array" aca="1" ref="L66" ca="1">INDIRECT("["&amp;datatable!$C$4&amp;"]"&amp;datatable!$B13&amp;"!"&amp;"I10")</f>
        <v>High Correct</v>
      </c>
      <c r="M66" s="51" t="str" cm="1">
        <f t="array" aca="1" ref="M66" ca="1">INDIRECT("["&amp;datatable!$C$4&amp;"]"&amp;datatable!$B13&amp;"!"&amp;"I11")</f>
        <v>Medium Correct</v>
      </c>
      <c r="N66" s="51" t="str" cm="1">
        <f t="array" aca="1" ref="N66" ca="1">INDIRECT("["&amp;datatable!$C$4&amp;"]"&amp;datatable!$B13&amp;"!"&amp;"I46")</f>
        <v>High Correct</v>
      </c>
      <c r="O66" s="51" t="str" cm="1">
        <f t="array" aca="1" ref="O66" ca="1">INDIRECT("["&amp;datatable!$C$4&amp;"]"&amp;datatable!$B13&amp;"!"&amp;"I47")</f>
        <v>High Correct</v>
      </c>
      <c r="P66" s="51" t="str" cm="1">
        <f t="array" aca="1" ref="P66" ca="1">INDIRECT("["&amp;datatable!$C$4&amp;"]"&amp;datatable!$B13&amp;"!"&amp;"I48")</f>
        <v>High Correct</v>
      </c>
      <c r="Q66" s="51" t="str" cm="1">
        <f t="array" aca="1" ref="Q66" ca="1">INDIRECT("["&amp;datatable!$C$4&amp;"]"&amp;datatable!$B13&amp;"!"&amp;"I49")</f>
        <v>High Correct</v>
      </c>
      <c r="R66" s="51" t="str" cm="1">
        <f t="array" aca="1" ref="R66" ca="1">INDIRECT("["&amp;datatable!$C$4&amp;"]"&amp;datatable!$B13&amp;"!"&amp;"I50")</f>
        <v>Medium Correct</v>
      </c>
      <c r="S66" s="51" t="str" cm="1">
        <f t="array" aca="1" ref="S66" ca="1">INDIRECT("["&amp;datatable!$C$4&amp;"]"&amp;datatable!$B13&amp;"!"&amp;"I51")</f>
        <v>High Correct</v>
      </c>
      <c r="T66" s="51" t="str" cm="1">
        <f t="array" aca="1" ref="T66" ca="1">INDIRECT("["&amp;datatable!$C$4&amp;"]"&amp;datatable!$B13&amp;"!"&amp;"I52")</f>
        <v>Medium Correct</v>
      </c>
      <c r="U66" s="51" t="str" cm="1">
        <f t="array" aca="1" ref="U66" ca="1">INDIRECT("["&amp;datatable!$C$4&amp;"]"&amp;datatable!$B13&amp;"!"&amp;"I53")</f>
        <v>Low Incorrect</v>
      </c>
      <c r="V66" s="51" t="str" cm="1">
        <f t="array" aca="1" ref="V66" ca="1">INDIRECT("["&amp;datatable!$C$4&amp;"]"&amp;datatable!$B13&amp;"!"&amp;"I54")</f>
        <v>Medium Correct</v>
      </c>
      <c r="W66" s="51" t="str" cm="1">
        <f t="array" aca="1" ref="W66" ca="1">INDIRECT("["&amp;datatable!$C$4&amp;"]"&amp;datatable!$B13&amp;"!"&amp;"I55")</f>
        <v>High Correct</v>
      </c>
      <c r="X66" s="51" t="str" cm="1">
        <f t="array" aca="1" ref="X66" ca="1">INDIRECT("["&amp;datatable!$C$4&amp;"]"&amp;datatable!$B13&amp;"!"&amp;"I56")</f>
        <v>High Incorrect</v>
      </c>
      <c r="Y66" s="50"/>
    </row>
    <row r="67" spans="3:25">
      <c r="C67" s="30" t="s">
        <v>49</v>
      </c>
      <c r="D67" s="51" t="str" cm="1">
        <f t="array" aca="1" ref="D67" ca="1">INDIRECT("["&amp;datatable!$C$4&amp;"]"&amp;datatable!$B14&amp;"!"&amp;"I2")</f>
        <v>High Incorrect</v>
      </c>
      <c r="E67" s="51" t="str" cm="1">
        <f t="array" aca="1" ref="E67" ca="1">INDIRECT("["&amp;datatable!$C$4&amp;"]"&amp;datatable!$B14&amp;"!"&amp;"I3")</f>
        <v>High Incorrect</v>
      </c>
      <c r="F67" s="51" t="str" cm="1">
        <f t="array" aca="1" ref="F67" ca="1">INDIRECT("["&amp;datatable!$C$4&amp;"]"&amp;datatable!$B14&amp;"!"&amp;"I4")</f>
        <v>High Maybe</v>
      </c>
      <c r="G67" s="51" t="str" cm="1">
        <f t="array" aca="1" ref="G67" ca="1">INDIRECT("["&amp;datatable!$C$4&amp;"]"&amp;datatable!$B14&amp;"!"&amp;"I5")</f>
        <v>Medium Incorrect</v>
      </c>
      <c r="H67" s="51" t="str" cm="1">
        <f t="array" aca="1" ref="H67" ca="1">INDIRECT("["&amp;datatable!$C$4&amp;"]"&amp;datatable!$B14&amp;"!"&amp;"I6")</f>
        <v>Medium Incorrect</v>
      </c>
      <c r="I67" s="51" t="str" cm="1">
        <f t="array" aca="1" ref="I67" ca="1">INDIRECT("["&amp;datatable!$C$4&amp;"]"&amp;datatable!$B14&amp;"!"&amp;"I7")</f>
        <v>High Incorrect</v>
      </c>
      <c r="J67" s="51" t="str" cm="1">
        <f t="array" aca="1" ref="J67" ca="1">INDIRECT("["&amp;datatable!$C$4&amp;"]"&amp;datatable!$B14&amp;"!"&amp;"I8")</f>
        <v>Medium Maybe</v>
      </c>
      <c r="K67" s="51" t="str" cm="1">
        <f t="array" aca="1" ref="K67" ca="1">INDIRECT("["&amp;datatable!$C$4&amp;"]"&amp;datatable!$B14&amp;"!"&amp;"I9")</f>
        <v>N/A</v>
      </c>
      <c r="L67" s="51" t="str" cm="1">
        <f t="array" aca="1" ref="L67" ca="1">INDIRECT("["&amp;datatable!$C$4&amp;"]"&amp;datatable!$B14&amp;"!"&amp;"I10")</f>
        <v>N/A</v>
      </c>
      <c r="M67" s="51" t="str" cm="1">
        <f t="array" aca="1" ref="M67" ca="1">INDIRECT("["&amp;datatable!$C$4&amp;"]"&amp;datatable!$B14&amp;"!"&amp;"I11")</f>
        <v>Low Correct</v>
      </c>
      <c r="N67" s="51" t="str" cm="1">
        <f t="array" aca="1" ref="N67" ca="1">INDIRECT("["&amp;datatable!$C$4&amp;"]"&amp;datatable!$B14&amp;"!"&amp;"I46")</f>
        <v>High Correct</v>
      </c>
      <c r="O67" s="51" t="str" cm="1">
        <f t="array" aca="1" ref="O67" ca="1">INDIRECT("["&amp;datatable!$C$4&amp;"]"&amp;datatable!$B14&amp;"!"&amp;"I47")</f>
        <v>Low Maybe</v>
      </c>
      <c r="P67" s="51" t="str" cm="1">
        <f t="array" aca="1" ref="P67" ca="1">INDIRECT("["&amp;datatable!$C$4&amp;"]"&amp;datatable!$B14&amp;"!"&amp;"I48")</f>
        <v>High Correct</v>
      </c>
      <c r="Q67" s="51" t="str" cm="1">
        <f t="array" aca="1" ref="Q67" ca="1">INDIRECT("["&amp;datatable!$C$4&amp;"]"&amp;datatable!$B14&amp;"!"&amp;"I49")</f>
        <v>High Incorrect</v>
      </c>
      <c r="R67" s="51" t="str" cm="1">
        <f t="array" aca="1" ref="R67" ca="1">INDIRECT("["&amp;datatable!$C$4&amp;"]"&amp;datatable!$B14&amp;"!"&amp;"I50")</f>
        <v>High Correct</v>
      </c>
      <c r="S67" s="51" t="str" cm="1">
        <f t="array" aca="1" ref="S67" ca="1">INDIRECT("["&amp;datatable!$C$4&amp;"]"&amp;datatable!$B14&amp;"!"&amp;"I51")</f>
        <v>High Correct</v>
      </c>
      <c r="T67" s="51" t="str" cm="1">
        <f t="array" aca="1" ref="T67" ca="1">INDIRECT("["&amp;datatable!$C$4&amp;"]"&amp;datatable!$B14&amp;"!"&amp;"I52")</f>
        <v>Medium Maybe</v>
      </c>
      <c r="U67" s="51" t="str" cm="1">
        <f t="array" aca="1" ref="U67" ca="1">INDIRECT("["&amp;datatable!$C$4&amp;"]"&amp;datatable!$B14&amp;"!"&amp;"I53")</f>
        <v>High Incorrect</v>
      </c>
      <c r="V67" s="51" t="str" cm="1">
        <f t="array" aca="1" ref="V67" ca="1">INDIRECT("["&amp;datatable!$C$4&amp;"]"&amp;datatable!$B14&amp;"!"&amp;"I54")</f>
        <v>N/A</v>
      </c>
      <c r="W67" s="51" t="str" cm="1">
        <f t="array" aca="1" ref="W67" ca="1">INDIRECT("["&amp;datatable!$C$4&amp;"]"&amp;datatable!$B14&amp;"!"&amp;"I55")</f>
        <v>High Incorrect</v>
      </c>
      <c r="X67" s="51" t="str" cm="1">
        <f t="array" aca="1" ref="X67" ca="1">INDIRECT("["&amp;datatable!$C$4&amp;"]"&amp;datatable!$B14&amp;"!"&amp;"I56")</f>
        <v>N/A</v>
      </c>
      <c r="Y67" s="50"/>
    </row>
    <row r="68" spans="3:25">
      <c r="C68" s="30" t="s">
        <v>50</v>
      </c>
      <c r="D68" s="51" t="str" cm="1">
        <f t="array" aca="1" ref="D68" ca="1">INDIRECT("["&amp;datatable!$C$4&amp;"]"&amp;datatable!$B15&amp;"!"&amp;"I2")</f>
        <v>Low Maybe</v>
      </c>
      <c r="E68" s="51" t="str" cm="1">
        <f t="array" aca="1" ref="E68" ca="1">INDIRECT("["&amp;datatable!$C$4&amp;"]"&amp;datatable!$B15&amp;"!"&amp;"I3")</f>
        <v>Medium Incorrect</v>
      </c>
      <c r="F68" s="51" t="str" cm="1">
        <f t="array" aca="1" ref="F68" ca="1">INDIRECT("["&amp;datatable!$C$4&amp;"]"&amp;datatable!$B15&amp;"!"&amp;"I4")</f>
        <v>Medium Maybe</v>
      </c>
      <c r="G68" s="51" t="str" cm="1">
        <f t="array" aca="1" ref="G68" ca="1">INDIRECT("["&amp;datatable!$C$4&amp;"]"&amp;datatable!$B15&amp;"!"&amp;"I5")</f>
        <v>High Maybe</v>
      </c>
      <c r="H68" s="51" t="str" cm="1">
        <f t="array" aca="1" ref="H68" ca="1">INDIRECT("["&amp;datatable!$C$4&amp;"]"&amp;datatable!$B15&amp;"!"&amp;"I6")</f>
        <v>High Correct</v>
      </c>
      <c r="I68" s="51" t="str" cm="1">
        <f t="array" aca="1" ref="I68" ca="1">INDIRECT("["&amp;datatable!$C$4&amp;"]"&amp;datatable!$B15&amp;"!"&amp;"I7")</f>
        <v>Medium Incorrect</v>
      </c>
      <c r="J68" s="51" t="str" cm="1">
        <f t="array" aca="1" ref="J68" ca="1">INDIRECT("["&amp;datatable!$C$4&amp;"]"&amp;datatable!$B15&amp;"!"&amp;"I8")</f>
        <v>Medium Incorrect</v>
      </c>
      <c r="K68" s="51" t="str" cm="1">
        <f t="array" aca="1" ref="K68" ca="1">INDIRECT("["&amp;datatable!$C$4&amp;"]"&amp;datatable!$B15&amp;"!"&amp;"I9")</f>
        <v>High Incorrect</v>
      </c>
      <c r="L68" s="51" t="str" cm="1">
        <f t="array" aca="1" ref="L68" ca="1">INDIRECT("["&amp;datatable!$C$4&amp;"]"&amp;datatable!$B15&amp;"!"&amp;"I10")</f>
        <v>Medium Correct</v>
      </c>
      <c r="M68" s="51" t="str" cm="1">
        <f t="array" aca="1" ref="M68" ca="1">INDIRECT("["&amp;datatable!$C$4&amp;"]"&amp;datatable!$B15&amp;"!"&amp;"I11")</f>
        <v>Low Incorrect</v>
      </c>
      <c r="N68" s="51" t="str" cm="1">
        <f t="array" aca="1" ref="N68" ca="1">INDIRECT("["&amp;datatable!$C$4&amp;"]"&amp;datatable!$B15&amp;"!"&amp;"I46")</f>
        <v>High Correct</v>
      </c>
      <c r="O68" s="51" t="str" cm="1">
        <f t="array" aca="1" ref="O68" ca="1">INDIRECT("["&amp;datatable!$C$4&amp;"]"&amp;datatable!$B15&amp;"!"&amp;"I47")</f>
        <v>High Correct</v>
      </c>
      <c r="P68" s="51" t="str" cm="1">
        <f t="array" aca="1" ref="P68" ca="1">INDIRECT("["&amp;datatable!$C$4&amp;"]"&amp;datatable!$B15&amp;"!"&amp;"I48")</f>
        <v>High Correct</v>
      </c>
      <c r="Q68" s="51" t="str" cm="1">
        <f t="array" aca="1" ref="Q68" ca="1">INDIRECT("["&amp;datatable!$C$4&amp;"]"&amp;datatable!$B15&amp;"!"&amp;"I49")</f>
        <v>High Correct</v>
      </c>
      <c r="R68" s="51" t="str" cm="1">
        <f t="array" aca="1" ref="R68" ca="1">INDIRECT("["&amp;datatable!$C$4&amp;"]"&amp;datatable!$B15&amp;"!"&amp;"I50")</f>
        <v>High Maybe</v>
      </c>
      <c r="S68" s="51" t="str" cm="1">
        <f t="array" aca="1" ref="S68" ca="1">INDIRECT("["&amp;datatable!$C$4&amp;"]"&amp;datatable!$B15&amp;"!"&amp;"I51")</f>
        <v>High Correct</v>
      </c>
      <c r="T68" s="51" t="str" cm="1">
        <f t="array" aca="1" ref="T68" ca="1">INDIRECT("["&amp;datatable!$C$4&amp;"]"&amp;datatable!$B15&amp;"!"&amp;"I52")</f>
        <v>Medium Correct</v>
      </c>
      <c r="U68" s="51" t="str" cm="1">
        <f t="array" aca="1" ref="U68" ca="1">INDIRECT("["&amp;datatable!$C$4&amp;"]"&amp;datatable!$B15&amp;"!"&amp;"I53")</f>
        <v>Medium Incorrect</v>
      </c>
      <c r="V68" s="51" t="str" cm="1">
        <f t="array" aca="1" ref="V68" ca="1">INDIRECT("["&amp;datatable!$C$4&amp;"]"&amp;datatable!$B15&amp;"!"&amp;"I54")</f>
        <v>Medium Correct</v>
      </c>
      <c r="W68" s="51" t="str" cm="1">
        <f t="array" aca="1" ref="W68" ca="1">INDIRECT("["&amp;datatable!$C$4&amp;"]"&amp;datatable!$B15&amp;"!"&amp;"I55")</f>
        <v>Medium Maybe</v>
      </c>
      <c r="X68" s="51" t="str" cm="1">
        <f t="array" aca="1" ref="X68" ca="1">INDIRECT("["&amp;datatable!$C$4&amp;"]"&amp;datatable!$B15&amp;"!"&amp;"I56")</f>
        <v>High Maybe</v>
      </c>
      <c r="Y68" s="50"/>
    </row>
    <row r="69" spans="3:25">
      <c r="C69" s="30" t="s">
        <v>51</v>
      </c>
      <c r="D69" s="51" t="str" cm="1">
        <f t="array" aca="1" ref="D69" ca="1">INDIRECT("["&amp;datatable!$C$4&amp;"]"&amp;datatable!$B16&amp;"!"&amp;"I2")</f>
        <v>High Incorrect</v>
      </c>
      <c r="E69" s="51" t="str" cm="1">
        <f t="array" aca="1" ref="E69" ca="1">INDIRECT("["&amp;datatable!$C$4&amp;"]"&amp;datatable!$B16&amp;"!"&amp;"I3")</f>
        <v>High Incorrect</v>
      </c>
      <c r="F69" s="51" t="str" cm="1">
        <f t="array" aca="1" ref="F69" ca="1">INDIRECT("["&amp;datatable!$C$4&amp;"]"&amp;datatable!$B16&amp;"!"&amp;"I4")</f>
        <v>High Incorrect</v>
      </c>
      <c r="G69" s="51" t="str" cm="1">
        <f t="array" aca="1" ref="G69" ca="1">INDIRECT("["&amp;datatable!$C$4&amp;"]"&amp;datatable!$B16&amp;"!"&amp;"I5")</f>
        <v>High Incorrect</v>
      </c>
      <c r="H69" s="51" t="str" cm="1">
        <f t="array" aca="1" ref="H69" ca="1">INDIRECT("["&amp;datatable!$C$4&amp;"]"&amp;datatable!$B16&amp;"!"&amp;"I6")</f>
        <v>High Incorrect</v>
      </c>
      <c r="I69" s="51" t="str" cm="1">
        <f t="array" aca="1" ref="I69" ca="1">INDIRECT("["&amp;datatable!$C$4&amp;"]"&amp;datatable!$B16&amp;"!"&amp;"I7")</f>
        <v>High Incorrect</v>
      </c>
      <c r="J69" s="51" t="str" cm="1">
        <f t="array" aca="1" ref="J69" ca="1">INDIRECT("["&amp;datatable!$C$4&amp;"]"&amp;datatable!$B16&amp;"!"&amp;"I8")</f>
        <v>High Incorrect</v>
      </c>
      <c r="K69" s="51" t="str" cm="1">
        <f t="array" aca="1" ref="K69" ca="1">INDIRECT("["&amp;datatable!$C$4&amp;"]"&amp;datatable!$B16&amp;"!"&amp;"I9")</f>
        <v>High Incorrect</v>
      </c>
      <c r="L69" s="51" t="str" cm="1">
        <f t="array" aca="1" ref="L69" ca="1">INDIRECT("["&amp;datatable!$C$4&amp;"]"&amp;datatable!$B16&amp;"!"&amp;"I10")</f>
        <v>High Incorrect</v>
      </c>
      <c r="M69" s="51" t="str" cm="1">
        <f t="array" aca="1" ref="M69" ca="1">INDIRECT("["&amp;datatable!$C$4&amp;"]"&amp;datatable!$B16&amp;"!"&amp;"I11")</f>
        <v>High Incorrect</v>
      </c>
      <c r="N69" s="51" t="str" cm="1">
        <f t="array" aca="1" ref="N69" ca="1">INDIRECT("["&amp;datatable!$C$4&amp;"]"&amp;datatable!$B16&amp;"!"&amp;"I46")</f>
        <v>Medium Correct</v>
      </c>
      <c r="O69" s="51" t="str" cm="1">
        <f t="array" aca="1" ref="O69" ca="1">INDIRECT("["&amp;datatable!$C$4&amp;"]"&amp;datatable!$B16&amp;"!"&amp;"I47")</f>
        <v>High Incorrect</v>
      </c>
      <c r="P69" s="51" t="str" cm="1">
        <f t="array" aca="1" ref="P69" ca="1">INDIRECT("["&amp;datatable!$C$4&amp;"]"&amp;datatable!$B16&amp;"!"&amp;"I48")</f>
        <v>N/A</v>
      </c>
      <c r="Q69" s="51" t="str" cm="1">
        <f t="array" aca="1" ref="Q69" ca="1">INDIRECT("["&amp;datatable!$C$4&amp;"]"&amp;datatable!$B16&amp;"!"&amp;"I49")</f>
        <v>High Incorrect</v>
      </c>
      <c r="R69" s="51" t="str" cm="1">
        <f t="array" aca="1" ref="R69" ca="1">INDIRECT("["&amp;datatable!$C$4&amp;"]"&amp;datatable!$B16&amp;"!"&amp;"I50")</f>
        <v>High Correct</v>
      </c>
      <c r="S69" s="51" t="str" cm="1">
        <f t="array" aca="1" ref="S69" ca="1">INDIRECT("["&amp;datatable!$C$4&amp;"]"&amp;datatable!$B16&amp;"!"&amp;"I51")</f>
        <v>High Incorrect</v>
      </c>
      <c r="T69" s="51" t="str" cm="1">
        <f t="array" aca="1" ref="T69" ca="1">INDIRECT("["&amp;datatable!$C$4&amp;"]"&amp;datatable!$B16&amp;"!"&amp;"I52")</f>
        <v>N/A</v>
      </c>
      <c r="U69" s="51" t="str" cm="1">
        <f t="array" aca="1" ref="U69" ca="1">INDIRECT("["&amp;datatable!$C$4&amp;"]"&amp;datatable!$B16&amp;"!"&amp;"I53")</f>
        <v>Low Maybe</v>
      </c>
      <c r="V69" s="51" t="str" cm="1">
        <f t="array" aca="1" ref="V69" ca="1">INDIRECT("["&amp;datatable!$C$4&amp;"]"&amp;datatable!$B16&amp;"!"&amp;"I54")</f>
        <v>Medium Correct</v>
      </c>
      <c r="W69" s="51" t="str" cm="1">
        <f t="array" aca="1" ref="W69" ca="1">INDIRECT("["&amp;datatable!$C$4&amp;"]"&amp;datatable!$B16&amp;"!"&amp;"I55")</f>
        <v>Medium Incorrect</v>
      </c>
      <c r="X69" s="51" t="str" cm="1">
        <f t="array" aca="1" ref="X69" ca="1">INDIRECT("["&amp;datatable!$C$4&amp;"]"&amp;datatable!$B16&amp;"!"&amp;"I56")</f>
        <v>High Incorrect</v>
      </c>
      <c r="Y69" s="50"/>
    </row>
    <row r="70" spans="3:25">
      <c r="C70" s="30" t="s">
        <v>52</v>
      </c>
      <c r="D70" s="51" t="str" cm="1">
        <f t="array" aca="1" ref="D70" ca="1">INDIRECT("["&amp;datatable!$C$4&amp;"]"&amp;datatable!$B17&amp;"!"&amp;"I2")</f>
        <v>N/A</v>
      </c>
      <c r="E70" s="51" t="str" cm="1">
        <f t="array" aca="1" ref="E70" ca="1">INDIRECT("["&amp;datatable!$C$4&amp;"]"&amp;datatable!$B17&amp;"!"&amp;"I3")</f>
        <v>High Correct</v>
      </c>
      <c r="F70" s="51" t="str" cm="1">
        <f t="array" aca="1" ref="F70" ca="1">INDIRECT("["&amp;datatable!$C$4&amp;"]"&amp;datatable!$B17&amp;"!"&amp;"I4")</f>
        <v>High Maybe</v>
      </c>
      <c r="G70" s="51" t="str" cm="1">
        <f t="array" aca="1" ref="G70" ca="1">INDIRECT("["&amp;datatable!$C$4&amp;"]"&amp;datatable!$B17&amp;"!"&amp;"I5")</f>
        <v>High Correct</v>
      </c>
      <c r="H70" s="51" t="str" cm="1">
        <f t="array" aca="1" ref="H70" ca="1">INDIRECT("["&amp;datatable!$C$4&amp;"]"&amp;datatable!$B17&amp;"!"&amp;"I6")</f>
        <v>High Correct</v>
      </c>
      <c r="I70" s="51" t="str" cm="1">
        <f t="array" aca="1" ref="I70" ca="1">INDIRECT("["&amp;datatable!$C$4&amp;"]"&amp;datatable!$B17&amp;"!"&amp;"I7")</f>
        <v>Low Correct</v>
      </c>
      <c r="J70" s="51" t="str" cm="1">
        <f t="array" aca="1" ref="J70" ca="1">INDIRECT("["&amp;datatable!$C$4&amp;"]"&amp;datatable!$B17&amp;"!"&amp;"I8")</f>
        <v>N/A</v>
      </c>
      <c r="K70" s="51" t="str" cm="1">
        <f t="array" aca="1" ref="K70" ca="1">INDIRECT("["&amp;datatable!$C$4&amp;"]"&amp;datatable!$B17&amp;"!"&amp;"I9")</f>
        <v>High Correct</v>
      </c>
      <c r="L70" s="51" t="str" cm="1">
        <f t="array" aca="1" ref="L70" ca="1">INDIRECT("["&amp;datatable!$C$4&amp;"]"&amp;datatable!$B17&amp;"!"&amp;"I10")</f>
        <v>Medium Correct</v>
      </c>
      <c r="M70" s="51" t="str" cm="1">
        <f t="array" aca="1" ref="M70" ca="1">INDIRECT("["&amp;datatable!$C$4&amp;"]"&amp;datatable!$B17&amp;"!"&amp;"I11")</f>
        <v>High Correct</v>
      </c>
      <c r="N70" s="51" t="str" cm="1">
        <f t="array" aca="1" ref="N70" ca="1">INDIRECT("["&amp;datatable!$C$4&amp;"]"&amp;datatable!$B17&amp;"!"&amp;"I46")</f>
        <v>High Correct</v>
      </c>
      <c r="O70" s="51" t="str" cm="1">
        <f t="array" aca="1" ref="O70" ca="1">INDIRECT("["&amp;datatable!$C$4&amp;"]"&amp;datatable!$B17&amp;"!"&amp;"I47")</f>
        <v>High Correct</v>
      </c>
      <c r="P70" s="51" t="str" cm="1">
        <f t="array" aca="1" ref="P70" ca="1">INDIRECT("["&amp;datatable!$C$4&amp;"]"&amp;datatable!$B17&amp;"!"&amp;"I48")</f>
        <v>High Correct</v>
      </c>
      <c r="Q70" s="51" t="str" cm="1">
        <f t="array" aca="1" ref="Q70" ca="1">INDIRECT("["&amp;datatable!$C$4&amp;"]"&amp;datatable!$B17&amp;"!"&amp;"I49")</f>
        <v>High Correct</v>
      </c>
      <c r="R70" s="51" t="str" cm="1">
        <f t="array" aca="1" ref="R70" ca="1">INDIRECT("["&amp;datatable!$C$4&amp;"]"&amp;datatable!$B17&amp;"!"&amp;"I50")</f>
        <v>High Correct</v>
      </c>
      <c r="S70" s="51" t="str" cm="1">
        <f t="array" aca="1" ref="S70" ca="1">INDIRECT("["&amp;datatable!$C$4&amp;"]"&amp;datatable!$B17&amp;"!"&amp;"I51")</f>
        <v>High Correct</v>
      </c>
      <c r="T70" s="51" t="str" cm="1">
        <f t="array" aca="1" ref="T70" ca="1">INDIRECT("["&amp;datatable!$C$4&amp;"]"&amp;datatable!$B17&amp;"!"&amp;"I52")</f>
        <v>Medium Correct</v>
      </c>
      <c r="U70" s="51" t="str" cm="1">
        <f t="array" aca="1" ref="U70" ca="1">INDIRECT("["&amp;datatable!$C$4&amp;"]"&amp;datatable!$B17&amp;"!"&amp;"I53")</f>
        <v>Medium Incorrect</v>
      </c>
      <c r="V70" s="51" t="str" cm="1">
        <f t="array" aca="1" ref="V70" ca="1">INDIRECT("["&amp;datatable!$C$4&amp;"]"&amp;datatable!$B17&amp;"!"&amp;"I54")</f>
        <v>N/A</v>
      </c>
      <c r="W70" s="51" t="str" cm="1">
        <f t="array" aca="1" ref="W70" ca="1">INDIRECT("["&amp;datatable!$C$4&amp;"]"&amp;datatable!$B17&amp;"!"&amp;"I55")</f>
        <v>Low Correct</v>
      </c>
      <c r="X70" s="51" t="str" cm="1">
        <f t="array" aca="1" ref="X70" ca="1">INDIRECT("["&amp;datatable!$C$4&amp;"]"&amp;datatable!$B17&amp;"!"&amp;"I56")</f>
        <v>N/A</v>
      </c>
      <c r="Y70" s="50"/>
    </row>
    <row r="71" spans="3:25">
      <c r="C71" s="30" t="s">
        <v>53</v>
      </c>
      <c r="D71" s="51" t="str" cm="1">
        <f t="array" aca="1" ref="D71" ca="1">INDIRECT("["&amp;datatable!$C$4&amp;"]"&amp;datatable!$B18&amp;"!"&amp;"I2")</f>
        <v>High Incorrect</v>
      </c>
      <c r="E71" s="51" t="str" cm="1">
        <f t="array" aca="1" ref="E71" ca="1">INDIRECT("["&amp;datatable!$C$4&amp;"]"&amp;datatable!$B18&amp;"!"&amp;"I3")</f>
        <v>High Incorrect</v>
      </c>
      <c r="F71" s="51" t="str" cm="1">
        <f t="array" aca="1" ref="F71" ca="1">INDIRECT("["&amp;datatable!$C$4&amp;"]"&amp;datatable!$B18&amp;"!"&amp;"I4")</f>
        <v>High Incorrect</v>
      </c>
      <c r="G71" s="51" t="str" cm="1">
        <f t="array" aca="1" ref="G71" ca="1">INDIRECT("["&amp;datatable!$C$4&amp;"]"&amp;datatable!$B18&amp;"!"&amp;"I5")</f>
        <v>High Incorrect</v>
      </c>
      <c r="H71" s="51" t="str" cm="1">
        <f t="array" aca="1" ref="H71" ca="1">INDIRECT("["&amp;datatable!$C$4&amp;"]"&amp;datatable!$B18&amp;"!"&amp;"I6")</f>
        <v>High Incorrect</v>
      </c>
      <c r="I71" s="51" t="str" cm="1">
        <f t="array" aca="1" ref="I71" ca="1">INDIRECT("["&amp;datatable!$C$4&amp;"]"&amp;datatable!$B18&amp;"!"&amp;"I7")</f>
        <v>High Incorrect</v>
      </c>
      <c r="J71" s="51" t="str" cm="1">
        <f t="array" aca="1" ref="J71" ca="1">INDIRECT("["&amp;datatable!$C$4&amp;"]"&amp;datatable!$B18&amp;"!"&amp;"I8")</f>
        <v>Medium Incorrect</v>
      </c>
      <c r="K71" s="51" t="str" cm="1">
        <f t="array" aca="1" ref="K71" ca="1">INDIRECT("["&amp;datatable!$C$4&amp;"]"&amp;datatable!$B18&amp;"!"&amp;"I9")</f>
        <v>High Incorrect</v>
      </c>
      <c r="L71" s="51" t="str" cm="1">
        <f t="array" aca="1" ref="L71" ca="1">INDIRECT("["&amp;datatable!$C$4&amp;"]"&amp;datatable!$B18&amp;"!"&amp;"I10")</f>
        <v>High Incorrect</v>
      </c>
      <c r="M71" s="51" t="str" cm="1">
        <f t="array" aca="1" ref="M71" ca="1">INDIRECT("["&amp;datatable!$C$4&amp;"]"&amp;datatable!$B18&amp;"!"&amp;"I11")</f>
        <v>Medium Incorrect</v>
      </c>
      <c r="N71" s="51" t="str" cm="1">
        <f t="array" aca="1" ref="N71" ca="1">INDIRECT("["&amp;datatable!$C$4&amp;"]"&amp;datatable!$B18&amp;"!"&amp;"I46")</f>
        <v>High Correct</v>
      </c>
      <c r="O71" s="51" t="str" cm="1">
        <f t="array" aca="1" ref="O71" ca="1">INDIRECT("["&amp;datatable!$C$4&amp;"]"&amp;datatable!$B18&amp;"!"&amp;"I47")</f>
        <v>High Incorrect</v>
      </c>
      <c r="P71" s="51" t="str" cm="1">
        <f t="array" aca="1" ref="P71" ca="1">INDIRECT("["&amp;datatable!$C$4&amp;"]"&amp;datatable!$B18&amp;"!"&amp;"I48")</f>
        <v>High Incorrect</v>
      </c>
      <c r="Q71" s="51" t="str" cm="1">
        <f t="array" aca="1" ref="Q71" ca="1">INDIRECT("["&amp;datatable!$C$4&amp;"]"&amp;datatable!$B18&amp;"!"&amp;"I49")</f>
        <v>High Incorrect</v>
      </c>
      <c r="R71" s="51" t="str" cm="1">
        <f t="array" aca="1" ref="R71" ca="1">INDIRECT("["&amp;datatable!$C$4&amp;"]"&amp;datatable!$B18&amp;"!"&amp;"I50")</f>
        <v>High Incorrect</v>
      </c>
      <c r="S71" s="51" t="str" cm="1">
        <f t="array" aca="1" ref="S71" ca="1">INDIRECT("["&amp;datatable!$C$4&amp;"]"&amp;datatable!$B18&amp;"!"&amp;"I51")</f>
        <v>High Incorrect</v>
      </c>
      <c r="T71" s="51" t="str" cm="1">
        <f t="array" aca="1" ref="T71" ca="1">INDIRECT("["&amp;datatable!$C$4&amp;"]"&amp;datatable!$B18&amp;"!"&amp;"I52")</f>
        <v>N/A</v>
      </c>
      <c r="U71" s="51" t="str" cm="1">
        <f t="array" aca="1" ref="U71" ca="1">INDIRECT("["&amp;datatable!$C$4&amp;"]"&amp;datatable!$B18&amp;"!"&amp;"I53")</f>
        <v>High Incorrect</v>
      </c>
      <c r="V71" s="51" t="str" cm="1">
        <f t="array" aca="1" ref="V71" ca="1">INDIRECT("["&amp;datatable!$C$4&amp;"]"&amp;datatable!$B18&amp;"!"&amp;"I54")</f>
        <v>Medium Maybe</v>
      </c>
      <c r="W71" s="51" t="str" cm="1">
        <f t="array" aca="1" ref="W71" ca="1">INDIRECT("["&amp;datatable!$C$4&amp;"]"&amp;datatable!$B18&amp;"!"&amp;"I55")</f>
        <v>Medium Maybe</v>
      </c>
      <c r="X71" s="51" t="str" cm="1">
        <f t="array" aca="1" ref="X71" ca="1">INDIRECT("["&amp;datatable!$C$4&amp;"]"&amp;datatable!$B18&amp;"!"&amp;"I56")</f>
        <v>N/A</v>
      </c>
      <c r="Y71" s="50"/>
    </row>
    <row r="72" spans="3:25">
      <c r="C72" s="30" t="s">
        <v>54</v>
      </c>
      <c r="D72" s="51" t="str" cm="1">
        <f t="array" aca="1" ref="D72" ca="1">INDIRECT("["&amp;datatable!$C$4&amp;"]"&amp;datatable!$B19&amp;"!"&amp;"I2")</f>
        <v>High Correct</v>
      </c>
      <c r="E72" s="51" t="str" cm="1">
        <f t="array" aca="1" ref="E72" ca="1">INDIRECT("["&amp;datatable!$C$4&amp;"]"&amp;datatable!$B19&amp;"!"&amp;"I3")</f>
        <v>High Correct</v>
      </c>
      <c r="F72" s="51" t="str" cm="1">
        <f t="array" aca="1" ref="F72" ca="1">INDIRECT("["&amp;datatable!$C$4&amp;"]"&amp;datatable!$B19&amp;"!"&amp;"I4")</f>
        <v>High Correct</v>
      </c>
      <c r="G72" s="51" t="str" cm="1">
        <f t="array" aca="1" ref="G72" ca="1">INDIRECT("["&amp;datatable!$C$4&amp;"]"&amp;datatable!$B19&amp;"!"&amp;"I5")</f>
        <v>Low Correct</v>
      </c>
      <c r="H72" s="51" t="str" cm="1">
        <f t="array" aca="1" ref="H72" ca="1">INDIRECT("["&amp;datatable!$C$4&amp;"]"&amp;datatable!$B19&amp;"!"&amp;"I6")</f>
        <v>Low Maybe</v>
      </c>
      <c r="I72" s="51" t="str" cm="1">
        <f t="array" aca="1" ref="I72" ca="1">INDIRECT("["&amp;datatable!$C$4&amp;"]"&amp;datatable!$B19&amp;"!"&amp;"I7")</f>
        <v>N/A</v>
      </c>
      <c r="J72" s="51" t="str" cm="1">
        <f t="array" aca="1" ref="J72" ca="1">INDIRECT("["&amp;datatable!$C$4&amp;"]"&amp;datatable!$B19&amp;"!"&amp;"I8")</f>
        <v>High Correct</v>
      </c>
      <c r="K72" s="51" t="str" cm="1">
        <f t="array" aca="1" ref="K72" ca="1">INDIRECT("["&amp;datatable!$C$4&amp;"]"&amp;datatable!$B19&amp;"!"&amp;"I9")</f>
        <v>Medium Correct</v>
      </c>
      <c r="L72" s="51" t="str" cm="1">
        <f t="array" aca="1" ref="L72" ca="1">INDIRECT("["&amp;datatable!$C$4&amp;"]"&amp;datatable!$B19&amp;"!"&amp;"I10")</f>
        <v>High Correct</v>
      </c>
      <c r="M72" s="51" t="str" cm="1">
        <f t="array" aca="1" ref="M72" ca="1">INDIRECT("["&amp;datatable!$C$4&amp;"]"&amp;datatable!$B19&amp;"!"&amp;"I11")</f>
        <v>Low Correct</v>
      </c>
      <c r="N72" s="51" t="str" cm="1">
        <f t="array" aca="1" ref="N72" ca="1">INDIRECT("["&amp;datatable!$C$4&amp;"]"&amp;datatable!$B19&amp;"!"&amp;"I46")</f>
        <v>Low Correct</v>
      </c>
      <c r="O72" s="51" t="str" cm="1">
        <f t="array" aca="1" ref="O72" ca="1">INDIRECT("["&amp;datatable!$C$4&amp;"]"&amp;datatable!$B19&amp;"!"&amp;"I47")</f>
        <v>Low Correct</v>
      </c>
      <c r="P72" s="51" t="str" cm="1">
        <f t="array" aca="1" ref="P72" ca="1">INDIRECT("["&amp;datatable!$C$4&amp;"]"&amp;datatable!$B19&amp;"!"&amp;"I48")</f>
        <v>High Correct</v>
      </c>
      <c r="Q72" s="51" t="str" cm="1">
        <f t="array" aca="1" ref="Q72" ca="1">INDIRECT("["&amp;datatable!$C$4&amp;"]"&amp;datatable!$B19&amp;"!"&amp;"I49")</f>
        <v>High Correct</v>
      </c>
      <c r="R72" s="51" t="str" cm="1">
        <f t="array" aca="1" ref="R72" ca="1">INDIRECT("["&amp;datatable!$C$4&amp;"]"&amp;datatable!$B19&amp;"!"&amp;"I50")</f>
        <v>Low Correct</v>
      </c>
      <c r="S72" s="51" t="str" cm="1">
        <f t="array" aca="1" ref="S72" ca="1">INDIRECT("["&amp;datatable!$C$4&amp;"]"&amp;datatable!$B19&amp;"!"&amp;"I51")</f>
        <v>Medium Correct</v>
      </c>
      <c r="T72" s="51" t="str" cm="1">
        <f t="array" aca="1" ref="T72" ca="1">INDIRECT("["&amp;datatable!$C$4&amp;"]"&amp;datatable!$B19&amp;"!"&amp;"I52")</f>
        <v>High Correct</v>
      </c>
      <c r="U72" s="51" t="str" cm="1">
        <f t="array" aca="1" ref="U72" ca="1">INDIRECT("["&amp;datatable!$C$4&amp;"]"&amp;datatable!$B19&amp;"!"&amp;"I53")</f>
        <v>Medium Incorrect</v>
      </c>
      <c r="V72" s="51" t="str" cm="1">
        <f t="array" aca="1" ref="V72" ca="1">INDIRECT("["&amp;datatable!$C$4&amp;"]"&amp;datatable!$B19&amp;"!"&amp;"I54")</f>
        <v>N/A</v>
      </c>
      <c r="W72" s="51" t="str" cm="1">
        <f t="array" aca="1" ref="W72" ca="1">INDIRECT("["&amp;datatable!$C$4&amp;"]"&amp;datatable!$B19&amp;"!"&amp;"I55")</f>
        <v>High Maybe</v>
      </c>
      <c r="X72" s="51" t="str" cm="1">
        <f t="array" aca="1" ref="X72" ca="1">INDIRECT("["&amp;datatable!$C$4&amp;"]"&amp;datatable!$B19&amp;"!"&amp;"I56")</f>
        <v>High Correct</v>
      </c>
      <c r="Y72" s="50"/>
    </row>
    <row r="73" spans="3:25">
      <c r="C73" s="50"/>
      <c r="D73" s="53"/>
      <c r="E73" s="53"/>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R19 D54:X72">
    <cfRule type="cellIs" dxfId="49" priority="4" operator="equal">
      <formula>"Medium Correct"</formula>
    </cfRule>
    <cfRule type="cellIs" dxfId="48" priority="5" operator="equal">
      <formula>"Low Correct"</formula>
    </cfRule>
    <cfRule type="cellIs" dxfId="47" priority="6" operator="equal">
      <formula>"Medium Maybe"</formula>
    </cfRule>
    <cfRule type="cellIs" dxfId="46" priority="7" operator="equal">
      <formula>"Low Maybe"</formula>
    </cfRule>
    <cfRule type="cellIs" dxfId="45" priority="8" operator="equal">
      <formula>"Medium Incorrect"</formula>
    </cfRule>
    <cfRule type="cellIs" dxfId="44" priority="9" operator="equal">
      <formula>"Low Incorrect"</formula>
    </cfRule>
    <cfRule type="cellIs" dxfId="43" priority="10" operator="equal">
      <formula>"N/A"</formula>
    </cfRule>
  </conditionalFormatting>
  <conditionalFormatting sqref="R19 D55:X72">
    <cfRule type="cellIs" dxfId="42" priority="1" operator="equal">
      <formula>"High Correct"</formula>
    </cfRule>
    <cfRule type="cellIs" dxfId="41" priority="2" operator="equal">
      <formula>"High Incorrect"</formula>
    </cfRule>
    <cfRule type="cellIs" dxfId="40" priority="3" operator="equal">
      <formula>"High Maybe"</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9E00B-C68B-457C-9FDB-12F7ED5B6699}">
  <dimension ref="C5:Y73"/>
  <sheetViews>
    <sheetView topLeftCell="G34" zoomScale="80" zoomScaleNormal="80"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7.5546875"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8">
      <c r="C5" t="s">
        <v>0</v>
      </c>
    </row>
    <row r="6" spans="3:18">
      <c r="D6" s="7" t="s">
        <v>1</v>
      </c>
      <c r="E6" s="10" t="s">
        <v>2</v>
      </c>
      <c r="F6" s="12" t="s">
        <v>3</v>
      </c>
      <c r="G6" s="14" t="s">
        <v>4</v>
      </c>
      <c r="H6" s="16" t="s">
        <v>5</v>
      </c>
      <c r="I6" s="18" t="s">
        <v>6</v>
      </c>
      <c r="J6" s="20" t="s">
        <v>7</v>
      </c>
      <c r="K6" s="22" t="s">
        <v>8</v>
      </c>
      <c r="L6" s="24" t="s">
        <v>9</v>
      </c>
      <c r="M6" s="26" t="s">
        <v>10</v>
      </c>
      <c r="N6" s="28" t="s">
        <v>11</v>
      </c>
      <c r="O6" s="28" t="s">
        <v>12</v>
      </c>
    </row>
    <row r="7" spans="3:18">
      <c r="C7" s="5" t="s">
        <v>13</v>
      </c>
      <c r="D7" s="8">
        <f ca="1">COUNTIF(INDIRECT("["&amp;datatable!$C$4&amp;"]"&amp;datatable!$A2&amp;"!"&amp;"Q:Q"),"High Correct")</f>
        <v>9</v>
      </c>
      <c r="E7" s="11">
        <f ca="1">COUNTIF(INDIRECT("["&amp;datatable!$C$4&amp;"]"&amp;datatable!$A2&amp;"!"&amp;"Q:Q"),"Medium Correct")</f>
        <v>0</v>
      </c>
      <c r="F7" s="13">
        <f ca="1">COUNTIF(INDIRECT("["&amp;datatable!$C$4&amp;"]"&amp;datatable!$A2&amp;"!"&amp;"Q:Q"),"Low Correct")</f>
        <v>1</v>
      </c>
      <c r="G7" s="15">
        <f ca="1">COUNTIF(INDIRECT("["&amp;datatable!$C$4&amp;"]"&amp;datatable!$A2&amp;"!"&amp;"Q:Q"),"High Maybe")</f>
        <v>2</v>
      </c>
      <c r="H7" s="17">
        <f ca="1">COUNTIF(INDIRECT("["&amp;datatable!$C$4&amp;"]"&amp;datatable!$A2&amp;"!"&amp;"Q:Q"),"Medium Maybe")</f>
        <v>0</v>
      </c>
      <c r="I7" s="19">
        <f ca="1">COUNTIF(INDIRECT("["&amp;datatable!$C$4&amp;"]"&amp;datatable!$A2&amp;"!"&amp;"Q:Q"),"Low Maybe")</f>
        <v>0</v>
      </c>
      <c r="J7" s="21">
        <f ca="1">COUNTIF(INDIRECT("["&amp;datatable!$C$4&amp;"]"&amp;datatable!$A2&amp;"!"&amp;"Q:Q"),"Low Incorrect")</f>
        <v>0</v>
      </c>
      <c r="K7" s="23">
        <f ca="1">COUNTIF(INDIRECT("["&amp;datatable!$C$4&amp;"]"&amp;datatable!$A2&amp;"!"&amp;"Q:Q"),"Medium Incorrect")</f>
        <v>2</v>
      </c>
      <c r="L7" s="25">
        <f ca="1">COUNTIF(INDIRECT("["&amp;datatable!$C$4&amp;"]"&amp;datatable!$A2&amp;"!"&amp;"Q:Q"),"High Incorrect")</f>
        <v>3</v>
      </c>
      <c r="M7" s="27">
        <f ca="1">COUNTIF(INDIRECT("["&amp;datatable!$C$4&amp;"]"&amp;datatable!$A2&amp;"!"&amp;"Q:Q"),"N/A")</f>
        <v>1</v>
      </c>
      <c r="N7" s="29">
        <f t="shared" ref="N7:N28" ca="1" si="0">SUM(D7:M7)</f>
        <v>18</v>
      </c>
      <c r="O7" s="29">
        <f t="shared" ref="O7:O28" ca="1" si="1">SUM(D7:L7)</f>
        <v>17</v>
      </c>
      <c r="Q7" t="s">
        <v>74</v>
      </c>
    </row>
    <row r="8" spans="3:18">
      <c r="C8" s="5" t="s">
        <v>14</v>
      </c>
      <c r="D8" s="8">
        <f ca="1">COUNTIF(INDIRECT("["&amp;datatable!$C$4&amp;"]"&amp;datatable!$A3&amp;"!"&amp;"Q:Q"),"High Correct")</f>
        <v>9</v>
      </c>
      <c r="E8" s="11">
        <f ca="1">COUNTIF(INDIRECT("["&amp;datatable!$C$4&amp;"]"&amp;datatable!$A3&amp;"!"&amp;"Q:Q"),"Medium Correct")</f>
        <v>0</v>
      </c>
      <c r="F8" s="13">
        <f ca="1">COUNTIF(INDIRECT("["&amp;datatable!$C$4&amp;"]"&amp;datatable!$A3&amp;"!"&amp;"Q:Q"),"Low Correct")</f>
        <v>0</v>
      </c>
      <c r="G8" s="15">
        <f ca="1">COUNTIF(INDIRECT("["&amp;datatable!$C$4&amp;"]"&amp;datatable!$A3&amp;"!"&amp;"Q:Q"),"High Maybe")</f>
        <v>2</v>
      </c>
      <c r="H8" s="17">
        <f ca="1">COUNTIF(INDIRECT("["&amp;datatable!$C$4&amp;"]"&amp;datatable!$A3&amp;"!"&amp;"Q:Q"),"Medium Maybe")</f>
        <v>0</v>
      </c>
      <c r="I8" s="19">
        <f ca="1">COUNTIF(INDIRECT("["&amp;datatable!$C$4&amp;"]"&amp;datatable!$A3&amp;"!"&amp;"Q:Q"),"Low Maybe")</f>
        <v>2</v>
      </c>
      <c r="J8" s="21">
        <f ca="1">COUNTIF(INDIRECT("["&amp;datatable!$C$4&amp;"]"&amp;datatable!$A3&amp;"!"&amp;"Q:Q"),"Low Incorrect")</f>
        <v>1</v>
      </c>
      <c r="K8" s="23">
        <f ca="1">COUNTIF(INDIRECT("["&amp;datatable!$C$4&amp;"]"&amp;datatable!$A3&amp;"!"&amp;"Q:Q"),"Medium Incorrect")</f>
        <v>1</v>
      </c>
      <c r="L8" s="25">
        <f ca="1">COUNTIF(INDIRECT("["&amp;datatable!$C$4&amp;"]"&amp;datatable!$A3&amp;"!"&amp;"Q:Q"),"High Incorrect")</f>
        <v>3</v>
      </c>
      <c r="M8" s="27">
        <f ca="1">COUNTIF(INDIRECT("["&amp;datatable!$C$4&amp;"]"&amp;datatable!$A3&amp;"!"&amp;"Q:Q"),"N/A")</f>
        <v>0</v>
      </c>
      <c r="N8" s="29">
        <f t="shared" ca="1" si="0"/>
        <v>18</v>
      </c>
      <c r="O8" s="29">
        <f t="shared" ca="1" si="1"/>
        <v>18</v>
      </c>
      <c r="R8" t="s">
        <v>95</v>
      </c>
    </row>
    <row r="9" spans="3:18">
      <c r="C9" s="5" t="s">
        <v>15</v>
      </c>
      <c r="D9" s="8">
        <f ca="1">COUNTIF(INDIRECT("["&amp;datatable!$C$4&amp;"]"&amp;datatable!$A4&amp;"!"&amp;"Q:Q"),"High Correct")</f>
        <v>1</v>
      </c>
      <c r="E9" s="11">
        <f ca="1">COUNTIF(INDIRECT("["&amp;datatable!$C$4&amp;"]"&amp;datatable!$A4&amp;"!"&amp;"Q:Q"),"Medium Correct")</f>
        <v>0</v>
      </c>
      <c r="F9" s="13">
        <f ca="1">COUNTIF(INDIRECT("["&amp;datatable!$C$4&amp;"]"&amp;datatable!$A4&amp;"!"&amp;"Q:Q"),"Low Correct")</f>
        <v>0</v>
      </c>
      <c r="G9" s="15">
        <f ca="1">COUNTIF(INDIRECT("["&amp;datatable!$C$4&amp;"]"&amp;datatable!$A4&amp;"!"&amp;"Q:Q"),"High Maybe")</f>
        <v>3</v>
      </c>
      <c r="H9" s="17">
        <f ca="1">COUNTIF(INDIRECT("["&amp;datatable!$C$4&amp;"]"&amp;datatable!$A4&amp;"!"&amp;"Q:Q"),"Medium Maybe")</f>
        <v>2</v>
      </c>
      <c r="I9" s="19">
        <f ca="1">COUNTIF(INDIRECT("["&amp;datatable!$C$4&amp;"]"&amp;datatable!$A4&amp;"!"&amp;"Q:Q"),"Low Maybe")</f>
        <v>1</v>
      </c>
      <c r="J9" s="21">
        <f ca="1">COUNTIF(INDIRECT("["&amp;datatable!$C$4&amp;"]"&amp;datatable!$A4&amp;"!"&amp;"Q:Q"),"Low Incorrect")</f>
        <v>0</v>
      </c>
      <c r="K9" s="23">
        <f ca="1">COUNTIF(INDIRECT("["&amp;datatable!$C$4&amp;"]"&amp;datatable!$A4&amp;"!"&amp;"Q:Q"),"Medium Incorrect")</f>
        <v>0</v>
      </c>
      <c r="L9" s="25">
        <f ca="1">COUNTIF(INDIRECT("["&amp;datatable!$C$4&amp;"]"&amp;datatable!$A4&amp;"!"&amp;"Q:Q"),"High Incorrect")</f>
        <v>10</v>
      </c>
      <c r="M9" s="27">
        <f ca="1">COUNTIF(INDIRECT("["&amp;datatable!$C$4&amp;"]"&amp;datatable!$A4&amp;"!"&amp;"Q:Q"),"N/A")</f>
        <v>1</v>
      </c>
      <c r="N9" s="29">
        <f t="shared" ca="1" si="0"/>
        <v>18</v>
      </c>
      <c r="O9" s="29">
        <f t="shared" ca="1" si="1"/>
        <v>17</v>
      </c>
      <c r="R9" t="s">
        <v>77</v>
      </c>
    </row>
    <row r="10" spans="3:18">
      <c r="C10" s="5" t="s">
        <v>16</v>
      </c>
      <c r="D10" s="8">
        <f ca="1">COUNTIF(INDIRECT("["&amp;datatable!$C$4&amp;"]"&amp;datatable!$A5&amp;"!"&amp;"Q:Q"),"High Correct")</f>
        <v>7</v>
      </c>
      <c r="E10" s="11">
        <f ca="1">COUNTIF(INDIRECT("["&amp;datatable!$C$4&amp;"]"&amp;datatable!$A5&amp;"!"&amp;"Q:Q"),"Medium Correct")</f>
        <v>0</v>
      </c>
      <c r="F10" s="13">
        <f ca="1">COUNTIF(INDIRECT("["&amp;datatable!$C$4&amp;"]"&amp;datatable!$A5&amp;"!"&amp;"Q:Q"),"Low Correct")</f>
        <v>1</v>
      </c>
      <c r="G10" s="15">
        <f ca="1">COUNTIF(INDIRECT("["&amp;datatable!$C$4&amp;"]"&amp;datatable!$A5&amp;"!"&amp;"Q:Q"),"High Maybe")</f>
        <v>1</v>
      </c>
      <c r="H10" s="17">
        <f ca="1">COUNTIF(INDIRECT("["&amp;datatable!$C$4&amp;"]"&amp;datatable!$A5&amp;"!"&amp;"Q:Q"),"Medium Maybe")</f>
        <v>4</v>
      </c>
      <c r="I10" s="19">
        <f ca="1">COUNTIF(INDIRECT("["&amp;datatable!$C$4&amp;"]"&amp;datatable!$A5&amp;"!"&amp;"Q:Q"),"Low Maybe")</f>
        <v>0</v>
      </c>
      <c r="J10" s="21">
        <f ca="1">COUNTIF(INDIRECT("["&amp;datatable!$C$4&amp;"]"&amp;datatable!$A5&amp;"!"&amp;"Q:Q"),"Low Incorrect")</f>
        <v>0</v>
      </c>
      <c r="K10" s="23">
        <f ca="1">COUNTIF(INDIRECT("["&amp;datatable!$C$4&amp;"]"&amp;datatable!$A5&amp;"!"&amp;"Q:Q"),"Medium Incorrect")</f>
        <v>0</v>
      </c>
      <c r="L10" s="25">
        <f ca="1">COUNTIF(INDIRECT("["&amp;datatable!$C$4&amp;"]"&amp;datatable!$A5&amp;"!"&amp;"Q:Q"),"High Incorrect")</f>
        <v>5</v>
      </c>
      <c r="M10" s="27">
        <f ca="1">COUNTIF(INDIRECT("["&amp;datatable!$C$4&amp;"]"&amp;datatable!$A5&amp;"!"&amp;"Q:Q"),"N/A")</f>
        <v>0</v>
      </c>
      <c r="N10" s="29">
        <f t="shared" ca="1" si="0"/>
        <v>18</v>
      </c>
      <c r="O10" s="29">
        <f t="shared" ca="1" si="1"/>
        <v>18</v>
      </c>
      <c r="R10" t="s">
        <v>78</v>
      </c>
    </row>
    <row r="11" spans="3:18">
      <c r="C11" s="5" t="s">
        <v>17</v>
      </c>
      <c r="D11" s="8">
        <f ca="1">COUNTIF(INDIRECT("["&amp;datatable!$C$4&amp;"]"&amp;datatable!$A6&amp;"!"&amp;"Q:Q"),"High Correct")</f>
        <v>5</v>
      </c>
      <c r="E11" s="11">
        <f ca="1">COUNTIF(INDIRECT("["&amp;datatable!$C$4&amp;"]"&amp;datatable!$A6&amp;"!"&amp;"Q:Q"),"Medium Correct")</f>
        <v>2</v>
      </c>
      <c r="F11" s="13">
        <f ca="1">COUNTIF(INDIRECT("["&amp;datatable!$C$4&amp;"]"&amp;datatable!$A6&amp;"!"&amp;"Q:Q"),"Low Correct")</f>
        <v>2</v>
      </c>
      <c r="G11" s="15">
        <f ca="1">COUNTIF(INDIRECT("["&amp;datatable!$C$4&amp;"]"&amp;datatable!$A6&amp;"!"&amp;"Q:Q"),"High Maybe")</f>
        <v>1</v>
      </c>
      <c r="H11" s="17">
        <f ca="1">COUNTIF(INDIRECT("["&amp;datatable!$C$4&amp;"]"&amp;datatable!$A6&amp;"!"&amp;"Q:Q"),"Medium Maybe")</f>
        <v>0</v>
      </c>
      <c r="I11" s="19">
        <f ca="1">COUNTIF(INDIRECT("["&amp;datatable!$C$4&amp;"]"&amp;datatable!$A6&amp;"!"&amp;"Q:Q"),"Low Maybe")</f>
        <v>0</v>
      </c>
      <c r="J11" s="21">
        <f ca="1">COUNTIF(INDIRECT("["&amp;datatable!$C$4&amp;"]"&amp;datatable!$A6&amp;"!"&amp;"Q:Q"),"Low Incorrect")</f>
        <v>1</v>
      </c>
      <c r="K11" s="23">
        <f ca="1">COUNTIF(INDIRECT("["&amp;datatable!$C$4&amp;"]"&amp;datatable!$A6&amp;"!"&amp;"Q:Q"),"Medium Incorrect")</f>
        <v>1</v>
      </c>
      <c r="L11" s="25">
        <f ca="1">COUNTIF(INDIRECT("["&amp;datatable!$C$4&amp;"]"&amp;datatable!$A6&amp;"!"&amp;"Q:Q"),"High Incorrect")</f>
        <v>3</v>
      </c>
      <c r="M11" s="27">
        <f ca="1">COUNTIF(INDIRECT("["&amp;datatable!$C$4&amp;"]"&amp;datatable!$A6&amp;"!"&amp;"Q:Q"),"N/A")</f>
        <v>3</v>
      </c>
      <c r="N11" s="29">
        <f t="shared" ca="1" si="0"/>
        <v>18</v>
      </c>
      <c r="O11" s="29">
        <f t="shared" ca="1" si="1"/>
        <v>15</v>
      </c>
      <c r="R11" t="s">
        <v>82</v>
      </c>
    </row>
    <row r="12" spans="3:18">
      <c r="C12" s="5" t="s">
        <v>18</v>
      </c>
      <c r="D12" s="8">
        <f ca="1">COUNTIF(INDIRECT("["&amp;datatable!$C$4&amp;"]"&amp;datatable!$A7&amp;"!"&amp;"Q:Q"),"High Correct")</f>
        <v>8</v>
      </c>
      <c r="E12" s="11">
        <f ca="1">COUNTIF(INDIRECT("["&amp;datatable!$C$4&amp;"]"&amp;datatable!$A7&amp;"!"&amp;"Q:Q"),"Medium Correct")</f>
        <v>0</v>
      </c>
      <c r="F12" s="13">
        <f ca="1">COUNTIF(INDIRECT("["&amp;datatable!$C$4&amp;"]"&amp;datatable!$A7&amp;"!"&amp;"Q:Q"),"Low Correct")</f>
        <v>0</v>
      </c>
      <c r="G12" s="15">
        <f ca="1">COUNTIF(INDIRECT("["&amp;datatable!$C$4&amp;"]"&amp;datatable!$A7&amp;"!"&amp;"Q:Q"),"High Maybe")</f>
        <v>2</v>
      </c>
      <c r="H12" s="17">
        <f ca="1">COUNTIF(INDIRECT("["&amp;datatable!$C$4&amp;"]"&amp;datatable!$A7&amp;"!"&amp;"Q:Q"),"Medium Maybe")</f>
        <v>3</v>
      </c>
      <c r="I12" s="19">
        <f ca="1">COUNTIF(INDIRECT("["&amp;datatable!$C$4&amp;"]"&amp;datatable!$A7&amp;"!"&amp;"Q:Q"),"Low Maybe")</f>
        <v>1</v>
      </c>
      <c r="J12" s="21">
        <f ca="1">COUNTIF(INDIRECT("["&amp;datatable!$C$4&amp;"]"&amp;datatable!$A7&amp;"!"&amp;"Q:Q"),"Low Incorrect")</f>
        <v>1</v>
      </c>
      <c r="K12" s="23">
        <f ca="1">COUNTIF(INDIRECT("["&amp;datatable!$C$4&amp;"]"&amp;datatable!$A7&amp;"!"&amp;"Q:Q"),"Medium Incorrect")</f>
        <v>0</v>
      </c>
      <c r="L12" s="25">
        <f ca="1">COUNTIF(INDIRECT("["&amp;datatable!$C$4&amp;"]"&amp;datatable!$A7&amp;"!"&amp;"Q:Q"),"High Incorrect")</f>
        <v>3</v>
      </c>
      <c r="M12" s="27">
        <f ca="1">COUNTIF(INDIRECT("["&amp;datatable!$C$4&amp;"]"&amp;datatable!$A7&amp;"!"&amp;"Q:Q"),"N/A")</f>
        <v>0</v>
      </c>
      <c r="N12" s="29">
        <f t="shared" ca="1" si="0"/>
        <v>18</v>
      </c>
      <c r="O12" s="29">
        <f t="shared" ca="1" si="1"/>
        <v>18</v>
      </c>
      <c r="R12" t="s">
        <v>84</v>
      </c>
    </row>
    <row r="13" spans="3:18">
      <c r="C13" s="5" t="s">
        <v>19</v>
      </c>
      <c r="D13" s="8">
        <f ca="1">COUNTIF(INDIRECT("["&amp;datatable!$C$4&amp;"]"&amp;datatable!$A8&amp;"!"&amp;"Q:Q"),"High Correct")</f>
        <v>2</v>
      </c>
      <c r="E13" s="11">
        <f ca="1">COUNTIF(INDIRECT("["&amp;datatable!$C$4&amp;"]"&amp;datatable!$A8&amp;"!"&amp;"Q:Q"),"Medium Correct")</f>
        <v>2</v>
      </c>
      <c r="F13" s="13">
        <f ca="1">COUNTIF(INDIRECT("["&amp;datatable!$C$4&amp;"]"&amp;datatable!$A8&amp;"!"&amp;"Q:Q"),"Low Correct")</f>
        <v>2</v>
      </c>
      <c r="G13" s="15">
        <f ca="1">COUNTIF(INDIRECT("["&amp;datatable!$C$4&amp;"]"&amp;datatable!$A8&amp;"!"&amp;"Q:Q"),"High Maybe")</f>
        <v>0</v>
      </c>
      <c r="H13" s="17">
        <f ca="1">COUNTIF(INDIRECT("["&amp;datatable!$C$4&amp;"]"&amp;datatable!$A8&amp;"!"&amp;"Q:Q"),"Medium Maybe")</f>
        <v>0</v>
      </c>
      <c r="I13" s="19">
        <f ca="1">COUNTIF(INDIRECT("["&amp;datatable!$C$4&amp;"]"&amp;datatable!$A8&amp;"!"&amp;"Q:Q"),"Low Maybe")</f>
        <v>0</v>
      </c>
      <c r="J13" s="21">
        <f ca="1">COUNTIF(INDIRECT("["&amp;datatable!$C$4&amp;"]"&amp;datatable!$A8&amp;"!"&amp;"Q:Q"),"Low Incorrect")</f>
        <v>2</v>
      </c>
      <c r="K13" s="23">
        <f ca="1">COUNTIF(INDIRECT("["&amp;datatable!$C$4&amp;"]"&amp;datatable!$A8&amp;"!"&amp;"Q:Q"),"Medium Incorrect")</f>
        <v>0</v>
      </c>
      <c r="L13" s="25">
        <f ca="1">COUNTIF(INDIRECT("["&amp;datatable!$C$4&amp;"]"&amp;datatable!$A8&amp;"!"&amp;"Q:Q"),"High Incorrect")</f>
        <v>10</v>
      </c>
      <c r="M13" s="27">
        <f ca="1">COUNTIF(INDIRECT("["&amp;datatable!$C$4&amp;"]"&amp;datatable!$A8&amp;"!"&amp;"Q:Q"),"N/A")</f>
        <v>0</v>
      </c>
      <c r="N13" s="29">
        <f t="shared" ca="1" si="0"/>
        <v>18</v>
      </c>
      <c r="O13" s="29">
        <f t="shared" ca="1" si="1"/>
        <v>18</v>
      </c>
      <c r="R13" t="s">
        <v>85</v>
      </c>
    </row>
    <row r="14" spans="3:18">
      <c r="C14" s="5" t="s">
        <v>20</v>
      </c>
      <c r="D14" s="8">
        <f ca="1">COUNTIF(INDIRECT("["&amp;datatable!$C$4&amp;"]"&amp;datatable!$A9&amp;"!"&amp;"Q:Q"),"High Correct")</f>
        <v>8</v>
      </c>
      <c r="E14" s="11">
        <f ca="1">COUNTIF(INDIRECT("["&amp;datatable!$C$4&amp;"]"&amp;datatable!$A9&amp;"!"&amp;"Q:Q"),"Medium Correct")</f>
        <v>0</v>
      </c>
      <c r="F14" s="13">
        <f ca="1">COUNTIF(INDIRECT("["&amp;datatable!$C$4&amp;"]"&amp;datatable!$A9&amp;"!"&amp;"Q:Q"),"Low Correct")</f>
        <v>1</v>
      </c>
      <c r="G14" s="15">
        <f ca="1">COUNTIF(INDIRECT("["&amp;datatable!$C$4&amp;"]"&amp;datatable!$A9&amp;"!"&amp;"Q:Q"),"High Maybe")</f>
        <v>1</v>
      </c>
      <c r="H14" s="17">
        <f ca="1">COUNTIF(INDIRECT("["&amp;datatable!$C$4&amp;"]"&amp;datatable!$A9&amp;"!"&amp;"Q:Q"),"Medium Maybe")</f>
        <v>0</v>
      </c>
      <c r="I14" s="19">
        <f ca="1">COUNTIF(INDIRECT("["&amp;datatable!$C$4&amp;"]"&amp;datatable!$A9&amp;"!"&amp;"Q:Q"),"Low Maybe")</f>
        <v>0</v>
      </c>
      <c r="J14" s="21">
        <f ca="1">COUNTIF(INDIRECT("["&amp;datatable!$C$4&amp;"]"&amp;datatable!$A9&amp;"!"&amp;"Q:Q"),"Low Incorrect")</f>
        <v>1</v>
      </c>
      <c r="K14" s="23">
        <f ca="1">COUNTIF(INDIRECT("["&amp;datatable!$C$4&amp;"]"&amp;datatable!$A9&amp;"!"&amp;"Q:Q"),"Medium Incorrect")</f>
        <v>0</v>
      </c>
      <c r="L14" s="25">
        <f ca="1">COUNTIF(INDIRECT("["&amp;datatable!$C$4&amp;"]"&amp;datatable!$A9&amp;"!"&amp;"Q:Q"),"High Incorrect")</f>
        <v>6</v>
      </c>
      <c r="M14" s="27">
        <f ca="1">COUNTIF(INDIRECT("["&amp;datatable!$C$4&amp;"]"&amp;datatable!$A9&amp;"!"&amp;"Q:Q"),"N/A")</f>
        <v>1</v>
      </c>
      <c r="N14" s="29">
        <f t="shared" ca="1" si="0"/>
        <v>18</v>
      </c>
      <c r="O14" s="29">
        <f t="shared" ca="1" si="1"/>
        <v>17</v>
      </c>
      <c r="R14" t="s">
        <v>96</v>
      </c>
    </row>
    <row r="15" spans="3:18">
      <c r="C15" s="5" t="s">
        <v>21</v>
      </c>
      <c r="D15" s="8">
        <f ca="1">COUNTIF(INDIRECT("["&amp;datatable!$C$4&amp;"]"&amp;datatable!$A10&amp;"!"&amp;"Q:Q"),"High Correct")</f>
        <v>9</v>
      </c>
      <c r="E15" s="11">
        <f ca="1">COUNTIF(INDIRECT("["&amp;datatable!$C$4&amp;"]"&amp;datatable!$A10&amp;"!"&amp;"Q:Q"),"Medium Correct")</f>
        <v>2</v>
      </c>
      <c r="F15" s="13">
        <f ca="1">COUNTIF(INDIRECT("["&amp;datatable!$C$4&amp;"]"&amp;datatable!$A10&amp;"!"&amp;"Q:Q"),"Low Correct")</f>
        <v>0</v>
      </c>
      <c r="G15" s="15">
        <f ca="1">COUNTIF(INDIRECT("["&amp;datatable!$C$4&amp;"]"&amp;datatable!$A10&amp;"!"&amp;"Q:Q"),"High Maybe")</f>
        <v>3</v>
      </c>
      <c r="H15" s="17">
        <f ca="1">COUNTIF(INDIRECT("["&amp;datatable!$C$4&amp;"]"&amp;datatable!$A10&amp;"!"&amp;"Q:Q"),"Medium Maybe")</f>
        <v>1</v>
      </c>
      <c r="I15" s="19">
        <f ca="1">COUNTIF(INDIRECT("["&amp;datatable!$C$4&amp;"]"&amp;datatable!$A10&amp;"!"&amp;"Q:Q"),"Low Maybe")</f>
        <v>0</v>
      </c>
      <c r="J15" s="21">
        <f ca="1">COUNTIF(INDIRECT("["&amp;datatable!$C$4&amp;"]"&amp;datatable!$A10&amp;"!"&amp;"Q:Q"),"Low Incorrect")</f>
        <v>0</v>
      </c>
      <c r="K15" s="23">
        <f ca="1">COUNTIF(INDIRECT("["&amp;datatable!$C$4&amp;"]"&amp;datatable!$A10&amp;"!"&amp;"Q:Q"),"Medium Incorrect")</f>
        <v>0</v>
      </c>
      <c r="L15" s="25">
        <f ca="1">COUNTIF(INDIRECT("["&amp;datatable!$C$4&amp;"]"&amp;datatable!$A10&amp;"!"&amp;"Q:Q"),"High Incorrect")</f>
        <v>1</v>
      </c>
      <c r="M15" s="27">
        <f ca="1">COUNTIF(INDIRECT("["&amp;datatable!$C$4&amp;"]"&amp;datatable!$A10&amp;"!"&amp;"Q:Q"),"N/A")</f>
        <v>2</v>
      </c>
      <c r="N15" s="29">
        <f t="shared" ca="1" si="0"/>
        <v>18</v>
      </c>
      <c r="O15" s="29">
        <f t="shared" ca="1" si="1"/>
        <v>16</v>
      </c>
      <c r="R15" t="s">
        <v>91</v>
      </c>
    </row>
    <row r="16" spans="3:18">
      <c r="C16" s="5" t="s">
        <v>22</v>
      </c>
      <c r="D16" s="8">
        <f ca="1">COUNTIF(INDIRECT("["&amp;datatable!$C$4&amp;"]"&amp;datatable!$A11&amp;"!"&amp;"Q:Q"),"High Correct")</f>
        <v>8</v>
      </c>
      <c r="E16" s="11">
        <f ca="1">COUNTIF(INDIRECT("["&amp;datatable!$C$4&amp;"]"&amp;datatable!$A11&amp;"!"&amp;"Q:Q"),"Medium Correct")</f>
        <v>0</v>
      </c>
      <c r="F16" s="13">
        <f ca="1">COUNTIF(INDIRECT("["&amp;datatable!$C$4&amp;"]"&amp;datatable!$A11&amp;"!"&amp;"Q:Q"),"Low Correct")</f>
        <v>0</v>
      </c>
      <c r="G16" s="15">
        <f ca="1">COUNTIF(INDIRECT("["&amp;datatable!$C$4&amp;"]"&amp;datatable!$A11&amp;"!"&amp;"Q:Q"),"High Maybe")</f>
        <v>4</v>
      </c>
      <c r="H16" s="17">
        <f ca="1">COUNTIF(INDIRECT("["&amp;datatable!$C$4&amp;"]"&amp;datatable!$A11&amp;"!"&amp;"Q:Q"),"Medium Maybe")</f>
        <v>0</v>
      </c>
      <c r="I16" s="19">
        <f ca="1">COUNTIF(INDIRECT("["&amp;datatable!$C$4&amp;"]"&amp;datatable!$A11&amp;"!"&amp;"Q:Q"),"Low Maybe")</f>
        <v>0</v>
      </c>
      <c r="J16" s="21">
        <f ca="1">COUNTIF(INDIRECT("["&amp;datatable!$C$4&amp;"]"&amp;datatable!$A11&amp;"!"&amp;"Q:Q"),"Low Incorrect")</f>
        <v>1</v>
      </c>
      <c r="K16" s="23">
        <f ca="1">COUNTIF(INDIRECT("["&amp;datatable!$C$4&amp;"]"&amp;datatable!$A11&amp;"!"&amp;"Q:Q"),"Medium Incorrect")</f>
        <v>1</v>
      </c>
      <c r="L16" s="25">
        <f ca="1">COUNTIF(INDIRECT("["&amp;datatable!$C$4&amp;"]"&amp;datatable!$A11&amp;"!"&amp;"Q:Q"),"High Incorrect")</f>
        <v>4</v>
      </c>
      <c r="M16" s="27">
        <f ca="1">COUNTIF(INDIRECT("["&amp;datatable!$C$4&amp;"]"&amp;datatable!$A11&amp;"!"&amp;"Q:Q"),"N/A")</f>
        <v>0</v>
      </c>
      <c r="N16" s="29">
        <f t="shared" ca="1" si="0"/>
        <v>18</v>
      </c>
      <c r="O16" s="29">
        <f t="shared" ca="1" si="1"/>
        <v>18</v>
      </c>
      <c r="R16" t="s">
        <v>92</v>
      </c>
    </row>
    <row r="17" spans="3:18">
      <c r="C17" s="5" t="s">
        <v>23</v>
      </c>
      <c r="D17" s="8">
        <f ca="1">COUNTIF(INDIRECT("["&amp;datatable!$C$4&amp;"]"&amp;datatable!$A12&amp;"!"&amp;"Q:Q"),"High Correct")</f>
        <v>16</v>
      </c>
      <c r="E17" s="11">
        <f ca="1">COUNTIF(INDIRECT("["&amp;datatable!$C$4&amp;"]"&amp;datatable!$A12&amp;"!"&amp;"Q:Q"),"Medium Correct")</f>
        <v>0</v>
      </c>
      <c r="F17" s="13">
        <f ca="1">COUNTIF(INDIRECT("["&amp;datatable!$C$4&amp;"]"&amp;datatable!$A12&amp;"!"&amp;"Q:Q"),"Low Correct")</f>
        <v>0</v>
      </c>
      <c r="G17" s="15">
        <f ca="1">COUNTIF(INDIRECT("["&amp;datatable!$C$4&amp;"]"&amp;datatable!$A12&amp;"!"&amp;"Q:Q"),"High Maybe")</f>
        <v>0</v>
      </c>
      <c r="H17" s="17">
        <f ca="1">COUNTIF(INDIRECT("["&amp;datatable!$C$4&amp;"]"&amp;datatable!$A12&amp;"!"&amp;"Q:Q"),"Medium Maybe")</f>
        <v>0</v>
      </c>
      <c r="I17" s="19">
        <f ca="1">COUNTIF(INDIRECT("["&amp;datatable!$C$4&amp;"]"&amp;datatable!$A12&amp;"!"&amp;"Q:Q"),"Low Maybe")</f>
        <v>0</v>
      </c>
      <c r="J17" s="21">
        <f ca="1">COUNTIF(INDIRECT("["&amp;datatable!$C$4&amp;"]"&amp;datatable!$A12&amp;"!"&amp;"Q:Q"),"Low Incorrect")</f>
        <v>1</v>
      </c>
      <c r="K17" s="23">
        <f ca="1">COUNTIF(INDIRECT("["&amp;datatable!$C$4&amp;"]"&amp;datatable!$A12&amp;"!"&amp;"Q:Q"),"Medium Incorrect")</f>
        <v>0</v>
      </c>
      <c r="L17" s="25">
        <f ca="1">COUNTIF(INDIRECT("["&amp;datatable!$C$4&amp;"]"&amp;datatable!$A12&amp;"!"&amp;"Q:Q"),"High Incorrect")</f>
        <v>0</v>
      </c>
      <c r="M17" s="27">
        <f ca="1">COUNTIF(INDIRECT("["&amp;datatable!$C$4&amp;"]"&amp;datatable!$A12&amp;"!"&amp;"Q:Q"),"N/A")</f>
        <v>1</v>
      </c>
      <c r="N17" s="29">
        <f t="shared" ca="1" si="0"/>
        <v>18</v>
      </c>
      <c r="O17" s="29">
        <f t="shared" ca="1" si="1"/>
        <v>17</v>
      </c>
      <c r="R17" t="s">
        <v>88</v>
      </c>
    </row>
    <row r="18" spans="3:18">
      <c r="C18" s="5" t="s">
        <v>24</v>
      </c>
      <c r="D18" s="8">
        <f ca="1">COUNTIF(INDIRECT("["&amp;datatable!$C$4&amp;"]"&amp;datatable!$A13&amp;"!"&amp;"Q:Q"),"High Correct")</f>
        <v>6</v>
      </c>
      <c r="E18" s="11">
        <f ca="1">COUNTIF(INDIRECT("["&amp;datatable!$C$4&amp;"]"&amp;datatable!$A13&amp;"!"&amp;"Q:Q"),"Medium Correct")</f>
        <v>1</v>
      </c>
      <c r="F18" s="13">
        <f ca="1">COUNTIF(INDIRECT("["&amp;datatable!$C$4&amp;"]"&amp;datatable!$A13&amp;"!"&amp;"Q:Q"),"Low Correct")</f>
        <v>1</v>
      </c>
      <c r="G18" s="15">
        <f ca="1">COUNTIF(INDIRECT("["&amp;datatable!$C$4&amp;"]"&amp;datatable!$A13&amp;"!"&amp;"Q:Q"),"High Maybe")</f>
        <v>2</v>
      </c>
      <c r="H18" s="17">
        <f ca="1">COUNTIF(INDIRECT("["&amp;datatable!$C$4&amp;"]"&amp;datatable!$A13&amp;"!"&amp;"Q:Q"),"Medium Maybe")</f>
        <v>2</v>
      </c>
      <c r="I18" s="19">
        <f ca="1">COUNTIF(INDIRECT("["&amp;datatable!$C$4&amp;"]"&amp;datatable!$A13&amp;"!"&amp;"Q:Q"),"Low Maybe")</f>
        <v>0</v>
      </c>
      <c r="J18" s="21">
        <f ca="1">COUNTIF(INDIRECT("["&amp;datatable!$C$4&amp;"]"&amp;datatable!$A13&amp;"!"&amp;"Q:Q"),"Low Incorrect")</f>
        <v>1</v>
      </c>
      <c r="K18" s="23">
        <f ca="1">COUNTIF(INDIRECT("["&amp;datatable!$C$4&amp;"]"&amp;datatable!$A13&amp;"!"&amp;"Q:Q"),"Medium Incorrect")</f>
        <v>0</v>
      </c>
      <c r="L18" s="25">
        <f ca="1">COUNTIF(INDIRECT("["&amp;datatable!$C$4&amp;"]"&amp;datatable!$A13&amp;"!"&amp;"Q:Q"),"High Incorrect")</f>
        <v>3</v>
      </c>
      <c r="M18" s="27">
        <f ca="1">COUNTIF(INDIRECT("["&amp;datatable!$C$4&amp;"]"&amp;datatable!$A13&amp;"!"&amp;"Q:Q"),"N/A")</f>
        <v>2</v>
      </c>
      <c r="N18" s="29">
        <f t="shared" ca="1" si="0"/>
        <v>18</v>
      </c>
      <c r="O18" s="29">
        <f t="shared" ca="1" si="1"/>
        <v>16</v>
      </c>
    </row>
    <row r="19" spans="3:18">
      <c r="C19" s="5" t="s">
        <v>25</v>
      </c>
      <c r="D19" s="8">
        <f ca="1">COUNTIF(INDIRECT("["&amp;datatable!$C$4&amp;"]"&amp;datatable!$A14&amp;"!"&amp;"Q:Q"),"High Correct")</f>
        <v>11</v>
      </c>
      <c r="E19" s="11">
        <f ca="1">COUNTIF(INDIRECT("["&amp;datatable!$C$4&amp;"]"&amp;datatable!$A14&amp;"!"&amp;"Q:Q"),"Medium Correct")</f>
        <v>0</v>
      </c>
      <c r="F19" s="13">
        <f ca="1">COUNTIF(INDIRECT("["&amp;datatable!$C$4&amp;"]"&amp;datatable!$A14&amp;"!"&amp;"Q:Q"),"Low Correct")</f>
        <v>2</v>
      </c>
      <c r="G19" s="15">
        <f ca="1">COUNTIF(INDIRECT("["&amp;datatable!$C$4&amp;"]"&amp;datatable!$A14&amp;"!"&amp;"Q:Q"),"High Maybe")</f>
        <v>1</v>
      </c>
      <c r="H19" s="17">
        <f ca="1">COUNTIF(INDIRECT("["&amp;datatable!$C$4&amp;"]"&amp;datatable!$A14&amp;"!"&amp;"Q:Q"),"Medium Maybe")</f>
        <v>0</v>
      </c>
      <c r="I19" s="19">
        <f ca="1">COUNTIF(INDIRECT("["&amp;datatable!$C$4&amp;"]"&amp;datatable!$A14&amp;"!"&amp;"Q:Q"),"Low Maybe")</f>
        <v>0</v>
      </c>
      <c r="J19" s="21">
        <f ca="1">COUNTIF(INDIRECT("["&amp;datatable!$C$4&amp;"]"&amp;datatable!$A14&amp;"!"&amp;"Q:Q"),"Low Incorrect")</f>
        <v>0</v>
      </c>
      <c r="K19" s="23">
        <f ca="1">COUNTIF(INDIRECT("["&amp;datatable!$C$4&amp;"]"&amp;datatable!$A14&amp;"!"&amp;"Q:Q"),"Medium Incorrect")</f>
        <v>0</v>
      </c>
      <c r="L19" s="25">
        <f ca="1">COUNTIF(INDIRECT("["&amp;datatable!$C$4&amp;"]"&amp;datatable!$A14&amp;"!"&amp;"Q:Q"),"High Incorrect")</f>
        <v>2</v>
      </c>
      <c r="M19" s="27">
        <f ca="1">COUNTIF(INDIRECT("["&amp;datatable!$C$4&amp;"]"&amp;datatable!$A14&amp;"!"&amp;"Q:Q"),"N/A")</f>
        <v>2</v>
      </c>
      <c r="N19" s="29">
        <f t="shared" ca="1" si="0"/>
        <v>18</v>
      </c>
      <c r="O19" s="29">
        <f t="shared" ca="1" si="1"/>
        <v>16</v>
      </c>
    </row>
    <row r="20" spans="3:18">
      <c r="C20" s="5" t="s">
        <v>26</v>
      </c>
      <c r="D20" s="8">
        <f ca="1">COUNTIF(INDIRECT("["&amp;datatable!$C$4&amp;"]"&amp;datatable!$A15&amp;"!"&amp;"Q:Q"),"High Correct")</f>
        <v>9</v>
      </c>
      <c r="E20" s="11">
        <f ca="1">COUNTIF(INDIRECT("["&amp;datatable!$C$4&amp;"]"&amp;datatable!$A15&amp;"!"&amp;"Q:Q"),"Medium Correct")</f>
        <v>1</v>
      </c>
      <c r="F20" s="13">
        <f ca="1">COUNTIF(INDIRECT("["&amp;datatable!$C$4&amp;"]"&amp;datatable!$A15&amp;"!"&amp;"Q:Q"),"Low Correct")</f>
        <v>0</v>
      </c>
      <c r="G20" s="15">
        <f ca="1">COUNTIF(INDIRECT("["&amp;datatable!$C$4&amp;"]"&amp;datatable!$A15&amp;"!"&amp;"Q:Q"),"High Maybe")</f>
        <v>2</v>
      </c>
      <c r="H20" s="17">
        <f ca="1">COUNTIF(INDIRECT("["&amp;datatable!$C$4&amp;"]"&amp;datatable!$A15&amp;"!"&amp;"Q:Q"),"Medium Maybe")</f>
        <v>0</v>
      </c>
      <c r="I20" s="19">
        <f ca="1">COUNTIF(INDIRECT("["&amp;datatable!$C$4&amp;"]"&amp;datatable!$A15&amp;"!"&amp;"Q:Q"),"Low Maybe")</f>
        <v>1</v>
      </c>
      <c r="J20" s="21">
        <f ca="1">COUNTIF(INDIRECT("["&amp;datatable!$C$4&amp;"]"&amp;datatable!$A15&amp;"!"&amp;"Q:Q"),"Low Incorrect")</f>
        <v>1</v>
      </c>
      <c r="K20" s="23">
        <f ca="1">COUNTIF(INDIRECT("["&amp;datatable!$C$4&amp;"]"&amp;datatable!$A15&amp;"!"&amp;"Q:Q"),"Medium Incorrect")</f>
        <v>1</v>
      </c>
      <c r="L20" s="25">
        <f ca="1">COUNTIF(INDIRECT("["&amp;datatable!$C$4&amp;"]"&amp;datatable!$A15&amp;"!"&amp;"Q:Q"),"High Incorrect")</f>
        <v>2</v>
      </c>
      <c r="M20" s="27">
        <f ca="1">COUNTIF(INDIRECT("["&amp;datatable!$C$4&amp;"]"&amp;datatable!$A15&amp;"!"&amp;"Q:Q"),"N/A")</f>
        <v>1</v>
      </c>
      <c r="N20" s="29">
        <f t="shared" ca="1" si="0"/>
        <v>18</v>
      </c>
      <c r="O20" s="29">
        <f t="shared" ca="1" si="1"/>
        <v>17</v>
      </c>
    </row>
    <row r="21" spans="3:18">
      <c r="C21" s="5" t="s">
        <v>27</v>
      </c>
      <c r="D21" s="8">
        <f ca="1">COUNTIF(INDIRECT("["&amp;datatable!$C$4&amp;"]"&amp;datatable!$A16&amp;"!"&amp;"Q:Q"),"High Correct")</f>
        <v>9</v>
      </c>
      <c r="E21" s="11">
        <f ca="1">COUNTIF(INDIRECT("["&amp;datatable!$C$4&amp;"]"&amp;datatable!$A16&amp;"!"&amp;"Q:Q"),"Medium Correct")</f>
        <v>1</v>
      </c>
      <c r="F21" s="13">
        <f ca="1">COUNTIF(INDIRECT("["&amp;datatable!$C$4&amp;"]"&amp;datatable!$A16&amp;"!"&amp;"Q:Q"),"Low Correct")</f>
        <v>0</v>
      </c>
      <c r="G21" s="15">
        <f ca="1">COUNTIF(INDIRECT("["&amp;datatable!$C$4&amp;"]"&amp;datatable!$A16&amp;"!"&amp;"Q:Q"),"High Maybe")</f>
        <v>2</v>
      </c>
      <c r="H21" s="17">
        <f ca="1">COUNTIF(INDIRECT("["&amp;datatable!$C$4&amp;"]"&amp;datatable!$A16&amp;"!"&amp;"Q:Q"),"Medium Maybe")</f>
        <v>2</v>
      </c>
      <c r="I21" s="19">
        <f ca="1">COUNTIF(INDIRECT("["&amp;datatable!$C$4&amp;"]"&amp;datatable!$A16&amp;"!"&amp;"Q:Q"),"Low Maybe")</f>
        <v>0</v>
      </c>
      <c r="J21" s="21">
        <f ca="1">COUNTIF(INDIRECT("["&amp;datatable!$C$4&amp;"]"&amp;datatable!$A16&amp;"!"&amp;"Q:Q"),"Low Incorrect")</f>
        <v>0</v>
      </c>
      <c r="K21" s="23">
        <f ca="1">COUNTIF(INDIRECT("["&amp;datatable!$C$4&amp;"]"&amp;datatable!$A16&amp;"!"&amp;"Q:Q"),"Medium Incorrect")</f>
        <v>0</v>
      </c>
      <c r="L21" s="25">
        <f ca="1">COUNTIF(INDIRECT("["&amp;datatable!$C$4&amp;"]"&amp;datatable!$A16&amp;"!"&amp;"Q:Q"),"High Incorrect")</f>
        <v>3</v>
      </c>
      <c r="M21" s="27">
        <f ca="1">COUNTIF(INDIRECT("["&amp;datatable!$C$4&amp;"]"&amp;datatable!$A16&amp;"!"&amp;"Q:Q"),"N/A")</f>
        <v>1</v>
      </c>
      <c r="N21" s="29">
        <f t="shared" ca="1" si="0"/>
        <v>18</v>
      </c>
      <c r="O21" s="29">
        <f t="shared" ca="1" si="1"/>
        <v>17</v>
      </c>
      <c r="Q21" t="s">
        <v>97</v>
      </c>
    </row>
    <row r="22" spans="3:18">
      <c r="C22" s="5" t="s">
        <v>28</v>
      </c>
      <c r="D22" s="8">
        <f ca="1">COUNTIF(INDIRECT("["&amp;datatable!$C$4&amp;"]"&amp;datatable!$A17&amp;"!"&amp;"Q:Q"),"High Correct")</f>
        <v>9</v>
      </c>
      <c r="E22" s="11">
        <f ca="1">COUNTIF(INDIRECT("["&amp;datatable!$C$4&amp;"]"&amp;datatable!$A17&amp;"!"&amp;"Q:Q"),"Medium Correct")</f>
        <v>1</v>
      </c>
      <c r="F22" s="13">
        <f ca="1">COUNTIF(INDIRECT("["&amp;datatable!$C$4&amp;"]"&amp;datatable!$A17&amp;"!"&amp;"Q:Q"),"Low Correct")</f>
        <v>1</v>
      </c>
      <c r="G22" s="15">
        <f ca="1">COUNTIF(INDIRECT("["&amp;datatable!$C$4&amp;"]"&amp;datatable!$A17&amp;"!"&amp;"Q:Q"),"High Maybe")</f>
        <v>1</v>
      </c>
      <c r="H22" s="17">
        <f ca="1">COUNTIF(INDIRECT("["&amp;datatable!$C$4&amp;"]"&amp;datatable!$A17&amp;"!"&amp;"Q:Q"),"Medium Maybe")</f>
        <v>1</v>
      </c>
      <c r="I22" s="19">
        <f ca="1">COUNTIF(INDIRECT("["&amp;datatable!$C$4&amp;"]"&amp;datatable!$A17&amp;"!"&amp;"Q:Q"),"Low Maybe")</f>
        <v>0</v>
      </c>
      <c r="J22" s="21">
        <f ca="1">COUNTIF(INDIRECT("["&amp;datatable!$C$4&amp;"]"&amp;datatable!$A17&amp;"!"&amp;"Q:Q"),"Low Incorrect")</f>
        <v>1</v>
      </c>
      <c r="K22" s="23">
        <f ca="1">COUNTIF(INDIRECT("["&amp;datatable!$C$4&amp;"]"&amp;datatable!$A17&amp;"!"&amp;"Q:Q"),"Medium Incorrect")</f>
        <v>0</v>
      </c>
      <c r="L22" s="25">
        <f ca="1">COUNTIF(INDIRECT("["&amp;datatable!$C$4&amp;"]"&amp;datatable!$A17&amp;"!"&amp;"Q:Q"),"High Incorrect")</f>
        <v>3</v>
      </c>
      <c r="M22" s="27">
        <f ca="1">COUNTIF(INDIRECT("["&amp;datatable!$C$4&amp;"]"&amp;datatable!$A17&amp;"!"&amp;"Q:Q"),"N/A")</f>
        <v>1</v>
      </c>
      <c r="N22" s="29">
        <f t="shared" ca="1" si="0"/>
        <v>18</v>
      </c>
      <c r="O22" s="29">
        <f t="shared" ca="1" si="1"/>
        <v>17</v>
      </c>
    </row>
    <row r="23" spans="3:18">
      <c r="C23" s="5" t="s">
        <v>29</v>
      </c>
      <c r="D23" s="8">
        <f ca="1">COUNTIF(INDIRECT("["&amp;datatable!$C$4&amp;"]"&amp;datatable!$A18&amp;"!"&amp;"Q:Q"),"High Correct")</f>
        <v>1</v>
      </c>
      <c r="E23" s="11">
        <f ca="1">COUNTIF(INDIRECT("["&amp;datatable!$C$4&amp;"]"&amp;datatable!$A18&amp;"!"&amp;"Q:Q"),"Medium Correct")</f>
        <v>6</v>
      </c>
      <c r="F23" s="13">
        <f ca="1">COUNTIF(INDIRECT("["&amp;datatable!$C$4&amp;"]"&amp;datatable!$A18&amp;"!"&amp;"Q:Q"),"Low Correct")</f>
        <v>0</v>
      </c>
      <c r="G23" s="15">
        <f ca="1">COUNTIF(INDIRECT("["&amp;datatable!$C$4&amp;"]"&amp;datatable!$A18&amp;"!"&amp;"Q:Q"),"High Maybe")</f>
        <v>1</v>
      </c>
      <c r="H23" s="17">
        <f ca="1">COUNTIF(INDIRECT("["&amp;datatable!$C$4&amp;"]"&amp;datatable!$A18&amp;"!"&amp;"Q:Q"),"Medium Maybe")</f>
        <v>0</v>
      </c>
      <c r="I23" s="19">
        <f ca="1">COUNTIF(INDIRECT("["&amp;datatable!$C$4&amp;"]"&amp;datatable!$A18&amp;"!"&amp;"Q:Q"),"Low Maybe")</f>
        <v>0</v>
      </c>
      <c r="J23" s="21">
        <f ca="1">COUNTIF(INDIRECT("["&amp;datatable!$C$4&amp;"]"&amp;datatable!$A18&amp;"!"&amp;"Q:Q"),"Low Incorrect")</f>
        <v>1</v>
      </c>
      <c r="K23" s="23">
        <f ca="1">COUNTIF(INDIRECT("["&amp;datatable!$C$4&amp;"]"&amp;datatable!$A18&amp;"!"&amp;"Q:Q"),"Medium Incorrect")</f>
        <v>0</v>
      </c>
      <c r="L23" s="25">
        <f ca="1">COUNTIF(INDIRECT("["&amp;datatable!$C$4&amp;"]"&amp;datatable!$A18&amp;"!"&amp;"Q:Q"),"High Incorrect")</f>
        <v>2</v>
      </c>
      <c r="M23" s="27">
        <f ca="1">COUNTIF(INDIRECT("["&amp;datatable!$C$4&amp;"]"&amp;datatable!$A18&amp;"!"&amp;"Q:Q"),"N/A")</f>
        <v>7</v>
      </c>
      <c r="N23" s="29">
        <f t="shared" ca="1" si="0"/>
        <v>18</v>
      </c>
      <c r="O23" s="29">
        <f t="shared" ca="1" si="1"/>
        <v>11</v>
      </c>
    </row>
    <row r="24" spans="3:18">
      <c r="C24" s="5" t="s">
        <v>30</v>
      </c>
      <c r="D24" s="8">
        <f ca="1">COUNTIF(INDIRECT("["&amp;datatable!$C$4&amp;"]"&amp;datatable!$A19&amp;"!"&amp;"Q:Q"),"High Correct")</f>
        <v>0</v>
      </c>
      <c r="E24" s="11">
        <f ca="1">COUNTIF(INDIRECT("["&amp;datatable!$C$4&amp;"]"&amp;datatable!$A19&amp;"!"&amp;"Q:Q"),"Medium Correct")</f>
        <v>1</v>
      </c>
      <c r="F24" s="13">
        <f ca="1">COUNTIF(INDIRECT("["&amp;datatable!$C$4&amp;"]"&amp;datatable!$A19&amp;"!"&amp;"Q:Q"),"Low Correct")</f>
        <v>0</v>
      </c>
      <c r="G24" s="15">
        <f ca="1">COUNTIF(INDIRECT("["&amp;datatable!$C$4&amp;"]"&amp;datatable!$A19&amp;"!"&amp;"Q:Q"),"High Maybe")</f>
        <v>2</v>
      </c>
      <c r="H24" s="17">
        <f ca="1">COUNTIF(INDIRECT("["&amp;datatable!$C$4&amp;"]"&amp;datatable!$A19&amp;"!"&amp;"Q:Q"),"Medium Maybe")</f>
        <v>4</v>
      </c>
      <c r="I24" s="19">
        <f ca="1">COUNTIF(INDIRECT("["&amp;datatable!$C$4&amp;"]"&amp;datatable!$A19&amp;"!"&amp;"Q:Q"),"Low Maybe")</f>
        <v>2</v>
      </c>
      <c r="J24" s="21">
        <f ca="1">COUNTIF(INDIRECT("["&amp;datatable!$C$4&amp;"]"&amp;datatable!$A19&amp;"!"&amp;"Q:Q"),"Low Incorrect")</f>
        <v>2</v>
      </c>
      <c r="K24" s="23">
        <f ca="1">COUNTIF(INDIRECT("["&amp;datatable!$C$4&amp;"]"&amp;datatable!$A19&amp;"!"&amp;"Q:Q"),"Medium Incorrect")</f>
        <v>3</v>
      </c>
      <c r="L24" s="25">
        <f ca="1">COUNTIF(INDIRECT("["&amp;datatable!$C$4&amp;"]"&amp;datatable!$A19&amp;"!"&amp;"Q:Q"),"High Incorrect")</f>
        <v>4</v>
      </c>
      <c r="M24" s="27">
        <f ca="1">COUNTIF(INDIRECT("["&amp;datatable!$C$4&amp;"]"&amp;datatable!$A19&amp;"!"&amp;"Q:Q"),"N/A")</f>
        <v>0</v>
      </c>
      <c r="N24" s="29">
        <f t="shared" ca="1" si="0"/>
        <v>18</v>
      </c>
      <c r="O24" s="29">
        <f t="shared" ca="1" si="1"/>
        <v>18</v>
      </c>
    </row>
    <row r="25" spans="3:18">
      <c r="C25" s="5" t="s">
        <v>31</v>
      </c>
      <c r="D25" s="8">
        <f ca="1">COUNTIF(INDIRECT("["&amp;datatable!$C$4&amp;"]"&amp;datatable!$A20&amp;"!"&amp;"Q:Q"),"High Correct")</f>
        <v>0</v>
      </c>
      <c r="E25" s="11">
        <f ca="1">COUNTIF(INDIRECT("["&amp;datatable!$C$4&amp;"]"&amp;datatable!$A20&amp;"!"&amp;"Q:Q"),"Medium Correct")</f>
        <v>9</v>
      </c>
      <c r="F25" s="13">
        <f ca="1">COUNTIF(INDIRECT("["&amp;datatable!$C$4&amp;"]"&amp;datatable!$A20&amp;"!"&amp;"Q:Q"),"Low Correct")</f>
        <v>2</v>
      </c>
      <c r="G25" s="15">
        <f ca="1">COUNTIF(INDIRECT("["&amp;datatable!$C$4&amp;"]"&amp;datatable!$A20&amp;"!"&amp;"Q:Q"),"High Maybe")</f>
        <v>2</v>
      </c>
      <c r="H25" s="17">
        <f ca="1">COUNTIF(INDIRECT("["&amp;datatable!$C$4&amp;"]"&amp;datatable!$A20&amp;"!"&amp;"Q:Q"),"Medium Maybe")</f>
        <v>1</v>
      </c>
      <c r="I25" s="19">
        <f ca="1">COUNTIF(INDIRECT("["&amp;datatable!$C$4&amp;"]"&amp;datatable!$A20&amp;"!"&amp;"Q:Q"),"Low Maybe")</f>
        <v>0</v>
      </c>
      <c r="J25" s="21">
        <f ca="1">COUNTIF(INDIRECT("["&amp;datatable!$C$4&amp;"]"&amp;datatable!$A20&amp;"!"&amp;"Q:Q"),"Low Incorrect")</f>
        <v>0</v>
      </c>
      <c r="K25" s="23">
        <f ca="1">COUNTIF(INDIRECT("["&amp;datatable!$C$4&amp;"]"&amp;datatable!$A20&amp;"!"&amp;"Q:Q"),"Medium Incorrect")</f>
        <v>0</v>
      </c>
      <c r="L25" s="25">
        <f ca="1">COUNTIF(INDIRECT("["&amp;datatable!$C$4&amp;"]"&amp;datatable!$A20&amp;"!"&amp;"Q:Q"),"High Incorrect")</f>
        <v>1</v>
      </c>
      <c r="M25" s="27">
        <f ca="1">COUNTIF(INDIRECT("["&amp;datatable!$C$4&amp;"]"&amp;datatable!$A20&amp;"!"&amp;"Q:Q"),"N/A")</f>
        <v>3</v>
      </c>
      <c r="N25" s="29">
        <f t="shared" ca="1" si="0"/>
        <v>18</v>
      </c>
      <c r="O25" s="29">
        <f t="shared" ca="1" si="1"/>
        <v>15</v>
      </c>
    </row>
    <row r="26" spans="3:18">
      <c r="C26" s="5" t="s">
        <v>32</v>
      </c>
      <c r="D26" s="8">
        <f ca="1">COUNTIF(INDIRECT("["&amp;datatable!$C$4&amp;"]"&amp;datatable!$A21&amp;"!"&amp;"Q:Q"),"High Correct")</f>
        <v>3</v>
      </c>
      <c r="E26" s="11">
        <f ca="1">COUNTIF(INDIRECT("["&amp;datatable!$C$4&amp;"]"&amp;datatable!$A21&amp;"!"&amp;"Q:Q"),"Medium Correct")</f>
        <v>0</v>
      </c>
      <c r="F26" s="13">
        <f ca="1">COUNTIF(INDIRECT("["&amp;datatable!$C$4&amp;"]"&amp;datatable!$A21&amp;"!"&amp;"Q:Q"),"Low Correct")</f>
        <v>0</v>
      </c>
      <c r="G26" s="15">
        <f ca="1">COUNTIF(INDIRECT("["&amp;datatable!$C$4&amp;"]"&amp;datatable!$A21&amp;"!"&amp;"Q:Q"),"High Maybe")</f>
        <v>3</v>
      </c>
      <c r="H26" s="17">
        <f ca="1">COUNTIF(INDIRECT("["&amp;datatable!$C$4&amp;"]"&amp;datatable!$A21&amp;"!"&amp;"Q:Q"),"Medium Maybe")</f>
        <v>7</v>
      </c>
      <c r="I26" s="19">
        <f ca="1">COUNTIF(INDIRECT("["&amp;datatable!$C$4&amp;"]"&amp;datatable!$A21&amp;"!"&amp;"Q:Q"),"Low Maybe")</f>
        <v>0</v>
      </c>
      <c r="J26" s="21">
        <f ca="1">COUNTIF(INDIRECT("["&amp;datatable!$C$4&amp;"]"&amp;datatable!$A21&amp;"!"&amp;"Q:Q"),"Low Incorrect")</f>
        <v>0</v>
      </c>
      <c r="K26" s="23">
        <f ca="1">COUNTIF(INDIRECT("["&amp;datatable!$C$4&amp;"]"&amp;datatable!$A21&amp;"!"&amp;"Q:Q"),"Medium Incorrect")</f>
        <v>0</v>
      </c>
      <c r="L26" s="25">
        <f ca="1">COUNTIF(INDIRECT("["&amp;datatable!$C$4&amp;"]"&amp;datatable!$A21&amp;"!"&amp;"Q:Q"),"High Incorrect")</f>
        <v>4</v>
      </c>
      <c r="M26" s="27">
        <f ca="1">COUNTIF(INDIRECT("["&amp;datatable!$C$4&amp;"]"&amp;datatable!$A21&amp;"!"&amp;"Q:Q"),"N/A")</f>
        <v>1</v>
      </c>
      <c r="N26" s="29">
        <f t="shared" ca="1" si="0"/>
        <v>18</v>
      </c>
      <c r="O26" s="29">
        <f t="shared" ca="1" si="1"/>
        <v>17</v>
      </c>
    </row>
    <row r="27" spans="3:18">
      <c r="C27" s="5" t="s">
        <v>33</v>
      </c>
      <c r="D27" s="8">
        <f ca="1">COUNTIF(INDIRECT("["&amp;datatable!$C$4&amp;"]"&amp;datatable!$A22&amp;"!"&amp;"Q:Q"),"High Correct")</f>
        <v>0</v>
      </c>
      <c r="E27" s="11">
        <f ca="1">COUNTIF(INDIRECT("["&amp;datatable!$C$4&amp;"]"&amp;datatable!$A22&amp;"!"&amp;"Q:Q"),"Medium Correct")</f>
        <v>0</v>
      </c>
      <c r="F27" s="13">
        <f ca="1">COUNTIF(INDIRECT("["&amp;datatable!$C$4&amp;"]"&amp;datatable!$A22&amp;"!"&amp;"Q:Q"),"Low Correct")</f>
        <v>1</v>
      </c>
      <c r="G27" s="15">
        <f ca="1">COUNTIF(INDIRECT("["&amp;datatable!$C$4&amp;"]"&amp;datatable!$A22&amp;"!"&amp;"Q:Q"),"High Maybe")</f>
        <v>1</v>
      </c>
      <c r="H27" s="17">
        <f ca="1">COUNTIF(INDIRECT("["&amp;datatable!$C$4&amp;"]"&amp;datatable!$A22&amp;"!"&amp;"Q:Q"),"Medium Maybe")</f>
        <v>0</v>
      </c>
      <c r="I27" s="19">
        <f ca="1">COUNTIF(INDIRECT("["&amp;datatable!$C$4&amp;"]"&amp;datatable!$A22&amp;"!"&amp;"Q:Q"),"Low Maybe")</f>
        <v>0</v>
      </c>
      <c r="J27" s="21">
        <f ca="1">COUNTIF(INDIRECT("["&amp;datatable!$C$4&amp;"]"&amp;datatable!$A22&amp;"!"&amp;"Q:Q"),"Low Incorrect")</f>
        <v>0</v>
      </c>
      <c r="K27" s="23">
        <f ca="1">COUNTIF(INDIRECT("["&amp;datatable!$C$4&amp;"]"&amp;datatable!$A22&amp;"!"&amp;"Q:Q"),"Medium Incorrect")</f>
        <v>0</v>
      </c>
      <c r="L27" s="25">
        <f ca="1">COUNTIF(INDIRECT("["&amp;datatable!$C$4&amp;"]"&amp;datatable!$A22&amp;"!"&amp;"Q:Q"),"High Incorrect")</f>
        <v>7</v>
      </c>
      <c r="M27" s="27">
        <f ca="1">COUNTIF(INDIRECT("["&amp;datatable!$C$4&amp;"]"&amp;datatable!$A22&amp;"!"&amp;"Q:Q"),"N/A")</f>
        <v>9</v>
      </c>
      <c r="N27" s="29">
        <f t="shared" ca="1" si="0"/>
        <v>18</v>
      </c>
      <c r="O27" s="29">
        <f t="shared" ca="1" si="1"/>
        <v>9</v>
      </c>
    </row>
    <row r="28" spans="3:18">
      <c r="C28" s="6" t="s">
        <v>34</v>
      </c>
      <c r="D28" s="9">
        <f t="shared" ref="D28:M28" ca="1" si="2">SUM(D7:D27)</f>
        <v>130</v>
      </c>
      <c r="E28" s="9">
        <f t="shared" ca="1" si="2"/>
        <v>26</v>
      </c>
      <c r="F28" s="9">
        <f t="shared" ca="1" si="2"/>
        <v>14</v>
      </c>
      <c r="G28" s="9">
        <f t="shared" ca="1" si="2"/>
        <v>36</v>
      </c>
      <c r="H28" s="9">
        <f t="shared" ca="1" si="2"/>
        <v>27</v>
      </c>
      <c r="I28" s="9">
        <f t="shared" ca="1" si="2"/>
        <v>7</v>
      </c>
      <c r="J28" s="9">
        <f t="shared" ca="1" si="2"/>
        <v>14</v>
      </c>
      <c r="K28" s="9">
        <f t="shared" ca="1" si="2"/>
        <v>9</v>
      </c>
      <c r="L28" s="9">
        <f t="shared" ca="1" si="2"/>
        <v>79</v>
      </c>
      <c r="M28" s="9">
        <f t="shared" ca="1" si="2"/>
        <v>36</v>
      </c>
      <c r="N28" s="29">
        <f t="shared" ca="1" si="0"/>
        <v>378</v>
      </c>
      <c r="O28" s="29">
        <f t="shared" ca="1" si="1"/>
        <v>342</v>
      </c>
    </row>
    <row r="30" spans="3:18">
      <c r="C30" s="30" t="s">
        <v>35</v>
      </c>
    </row>
    <row r="31" spans="3:18">
      <c r="C31" s="30"/>
      <c r="D31" s="31" t="s">
        <v>1</v>
      </c>
      <c r="E31" s="32" t="s">
        <v>2</v>
      </c>
      <c r="F31" s="33" t="s">
        <v>3</v>
      </c>
      <c r="G31" s="34" t="s">
        <v>4</v>
      </c>
      <c r="H31" s="35" t="s">
        <v>5</v>
      </c>
      <c r="I31" s="36" t="s">
        <v>6</v>
      </c>
      <c r="J31" s="37" t="s">
        <v>7</v>
      </c>
      <c r="K31" s="38" t="s">
        <v>8</v>
      </c>
      <c r="L31" s="39" t="s">
        <v>9</v>
      </c>
      <c r="M31" s="40" t="s">
        <v>10</v>
      </c>
      <c r="N31" s="41" t="s">
        <v>36</v>
      </c>
      <c r="O31" s="41" t="s">
        <v>12</v>
      </c>
    </row>
    <row r="32" spans="3:18">
      <c r="C32" s="42" t="s">
        <v>37</v>
      </c>
      <c r="D32" s="8">
        <f ca="1">COUNTIF(INDIRECT("["&amp;datatable!$C$4&amp;"]"&amp;datatable!$B2&amp;"!"&amp;"Q:Q"),"High Correct")</f>
        <v>8</v>
      </c>
      <c r="E32" s="11">
        <f ca="1">COUNTIF(INDIRECT("["&amp;datatable!$C$4&amp;"]"&amp;datatable!$B2&amp;"!"&amp;"Q:Q"),"Medium Correct")</f>
        <v>1</v>
      </c>
      <c r="F32" s="13">
        <f ca="1">COUNTIF(INDIRECT("["&amp;datatable!$C$4&amp;"]"&amp;datatable!$B2&amp;"!"&amp;"Q:Q"),"Low Correct")</f>
        <v>0</v>
      </c>
      <c r="G32" s="15">
        <f ca="1">COUNTIF(INDIRECT("["&amp;datatable!$C$4&amp;"]"&amp;datatable!$B2&amp;"!"&amp;"Q:Q"),"High Maybe")</f>
        <v>1</v>
      </c>
      <c r="H32" s="17">
        <f ca="1">COUNTIF(INDIRECT("["&amp;datatable!$C$4&amp;"]"&amp;datatable!$B2&amp;"!"&amp;"Q:Q"),"Medium Maybe")</f>
        <v>1</v>
      </c>
      <c r="I32" s="19">
        <f ca="1">COUNTIF(INDIRECT("["&amp;datatable!$C$4&amp;"]"&amp;datatable!$B2&amp;"!"&amp;"Q:Q"),"Low Maybe")</f>
        <v>0</v>
      </c>
      <c r="J32" s="21">
        <f ca="1">COUNTIF(INDIRECT("["&amp;datatable!$C$4&amp;"]"&amp;datatable!$B2&amp;"!"&amp;"Q:Q"),"Low Incorrect")</f>
        <v>1</v>
      </c>
      <c r="K32" s="23">
        <f ca="1">COUNTIF(INDIRECT("["&amp;datatable!$C$4&amp;"]"&amp;datatable!$B2&amp;"!"&amp;"Q:Q"),"Medium Incorrect")</f>
        <v>1</v>
      </c>
      <c r="L32" s="25">
        <f ca="1">COUNTIF(INDIRECT("["&amp;datatable!$C$4&amp;"]"&amp;datatable!$B2&amp;"!"&amp;"Q:Q"),"High Incorrect")</f>
        <v>4</v>
      </c>
      <c r="M32" s="27">
        <f ca="1">COUNTIF(INDIRECT("["&amp;datatable!$C$4&amp;"]"&amp;datatable!$B2&amp;"!"&amp;"Q:Q"),"N/A")</f>
        <v>4</v>
      </c>
      <c r="N32" s="43">
        <f t="shared" ref="N32:N47" ca="1" si="3">SUM(D32:M32)</f>
        <v>21</v>
      </c>
      <c r="O32" s="43">
        <f t="shared" ref="O32:O47" ca="1" si="4">SUM(D32:L32)</f>
        <v>17</v>
      </c>
    </row>
    <row r="33" spans="3:15">
      <c r="C33" s="44" t="s">
        <v>38</v>
      </c>
      <c r="D33" s="8">
        <f ca="1">COUNTIF(INDIRECT("["&amp;datatable!$C$4&amp;"]"&amp;datatable!$B3&amp;"!"&amp;"Q:Q"),"High Correct")</f>
        <v>7</v>
      </c>
      <c r="E33" s="11">
        <f ca="1">COUNTIF(INDIRECT("["&amp;datatable!$C$4&amp;"]"&amp;datatable!$B3&amp;"!"&amp;"Q:Q"),"Medium Correct")</f>
        <v>0</v>
      </c>
      <c r="F33" s="13">
        <f ca="1">COUNTIF(INDIRECT("["&amp;datatable!$C$4&amp;"]"&amp;datatable!$B3&amp;"!"&amp;"Q:Q"),"Low Correct")</f>
        <v>1</v>
      </c>
      <c r="G33" s="15">
        <f ca="1">COUNTIF(INDIRECT("["&amp;datatable!$C$4&amp;"]"&amp;datatable!$B3&amp;"!"&amp;"Q:Q"),"High Maybe")</f>
        <v>2</v>
      </c>
      <c r="H33" s="17">
        <f ca="1">COUNTIF(INDIRECT("["&amp;datatable!$C$4&amp;"]"&amp;datatable!$B3&amp;"!"&amp;"Q:Q"),"Medium Maybe")</f>
        <v>1</v>
      </c>
      <c r="I33" s="19">
        <f ca="1">COUNTIF(INDIRECT("["&amp;datatable!$C$4&amp;"]"&amp;datatable!$B3&amp;"!"&amp;"Q:Q"),"Low Maybe")</f>
        <v>0</v>
      </c>
      <c r="J33" s="21">
        <f ca="1">COUNTIF(INDIRECT("["&amp;datatable!$C$4&amp;"]"&amp;datatable!$B3&amp;"!"&amp;"Q:Q"),"Low Incorrect")</f>
        <v>0</v>
      </c>
      <c r="K33" s="23">
        <f ca="1">COUNTIF(INDIRECT("["&amp;datatable!$C$4&amp;"]"&amp;datatable!$B3&amp;"!"&amp;"Q:Q"),"Medium Incorrect")</f>
        <v>2</v>
      </c>
      <c r="L33" s="25">
        <f ca="1">COUNTIF(INDIRECT("["&amp;datatable!$C$4&amp;"]"&amp;datatable!$B3&amp;"!"&amp;"Q:Q"),"High Incorrect")</f>
        <v>7</v>
      </c>
      <c r="M33" s="27">
        <f ca="1">COUNTIF(INDIRECT("["&amp;datatable!$C$4&amp;"]"&amp;datatable!$B3&amp;"!"&amp;"Q:Q"),"N/A")</f>
        <v>1</v>
      </c>
      <c r="N33" s="43">
        <f t="shared" ca="1" si="3"/>
        <v>21</v>
      </c>
      <c r="O33" s="43">
        <f t="shared" ca="1" si="4"/>
        <v>20</v>
      </c>
    </row>
    <row r="34" spans="3:15">
      <c r="C34" s="44" t="s">
        <v>39</v>
      </c>
      <c r="D34" s="8">
        <f ca="1">COUNTIF(INDIRECT("["&amp;datatable!$C$4&amp;"]"&amp;datatable!$B4&amp;"!"&amp;"Q:Q"),"High Correct")</f>
        <v>8</v>
      </c>
      <c r="E34" s="11">
        <f ca="1">COUNTIF(INDIRECT("["&amp;datatable!$C$4&amp;"]"&amp;datatable!$B4&amp;"!"&amp;"Q:Q"),"Medium Correct")</f>
        <v>2</v>
      </c>
      <c r="F34" s="13">
        <f ca="1">COUNTIF(INDIRECT("["&amp;datatable!$C$4&amp;"]"&amp;datatable!$B4&amp;"!"&amp;"Q:Q"),"Low Correct")</f>
        <v>0</v>
      </c>
      <c r="G34" s="15">
        <f ca="1">COUNTIF(INDIRECT("["&amp;datatable!$C$4&amp;"]"&amp;datatable!$B4&amp;"!"&amp;"Q:Q"),"High Maybe")</f>
        <v>1</v>
      </c>
      <c r="H34" s="17">
        <f ca="1">COUNTIF(INDIRECT("["&amp;datatable!$C$4&amp;"]"&amp;datatable!$B4&amp;"!"&amp;"Q:Q"),"Medium Maybe")</f>
        <v>1</v>
      </c>
      <c r="I34" s="19">
        <f ca="1">COUNTIF(INDIRECT("["&amp;datatable!$C$4&amp;"]"&amp;datatable!$B4&amp;"!"&amp;"Q:Q"),"Low Maybe")</f>
        <v>1</v>
      </c>
      <c r="J34" s="21">
        <f ca="1">COUNTIF(INDIRECT("["&amp;datatable!$C$4&amp;"]"&amp;datatable!$B4&amp;"!"&amp;"Q:Q"),"Low Incorrect")</f>
        <v>2</v>
      </c>
      <c r="K34" s="23">
        <f ca="1">COUNTIF(INDIRECT("["&amp;datatable!$C$4&amp;"]"&amp;datatable!$B4&amp;"!"&amp;"Q:Q"),"Medium Incorrect")</f>
        <v>0</v>
      </c>
      <c r="L34" s="25">
        <f ca="1">COUNTIF(INDIRECT("["&amp;datatable!$C$4&amp;"]"&amp;datatable!$B4&amp;"!"&amp;"Q:Q"),"High Incorrect")</f>
        <v>4</v>
      </c>
      <c r="M34" s="27">
        <f ca="1">COUNTIF(INDIRECT("["&amp;datatable!$C$4&amp;"]"&amp;datatable!$B4&amp;"!"&amp;"Q:Q"),"N/A")</f>
        <v>2</v>
      </c>
      <c r="N34" s="43">
        <f t="shared" ca="1" si="3"/>
        <v>21</v>
      </c>
      <c r="O34" s="43">
        <f t="shared" ca="1" si="4"/>
        <v>19</v>
      </c>
    </row>
    <row r="35" spans="3:15">
      <c r="C35" s="44" t="s">
        <v>40</v>
      </c>
      <c r="D35" s="8">
        <f ca="1">COUNTIF(INDIRECT("["&amp;datatable!$C$4&amp;"]"&amp;datatable!$B5&amp;"!"&amp;"Q:Q"),"High Correct")</f>
        <v>9</v>
      </c>
      <c r="E35" s="11">
        <f ca="1">COUNTIF(INDIRECT("["&amp;datatable!$C$4&amp;"]"&amp;datatable!$B5&amp;"!"&amp;"Q:Q"),"Medium Correct")</f>
        <v>4</v>
      </c>
      <c r="F35" s="13">
        <f ca="1">COUNTIF(INDIRECT("["&amp;datatable!$C$4&amp;"]"&amp;datatable!$B5&amp;"!"&amp;"Q:Q"),"Low Correct")</f>
        <v>0</v>
      </c>
      <c r="G35" s="15">
        <f ca="1">COUNTIF(INDIRECT("["&amp;datatable!$C$4&amp;"]"&amp;datatable!$B5&amp;"!"&amp;"Q:Q"),"High Maybe")</f>
        <v>2</v>
      </c>
      <c r="H35" s="17">
        <f ca="1">COUNTIF(INDIRECT("["&amp;datatable!$C$4&amp;"]"&amp;datatable!$B5&amp;"!"&amp;"Q:Q"),"Medium Maybe")</f>
        <v>0</v>
      </c>
      <c r="I35" s="19">
        <f ca="1">COUNTIF(INDIRECT("["&amp;datatable!$C$4&amp;"]"&amp;datatable!$B5&amp;"!"&amp;"Q:Q"),"Low Maybe")</f>
        <v>2</v>
      </c>
      <c r="J35" s="21">
        <f ca="1">COUNTIF(INDIRECT("["&amp;datatable!$C$4&amp;"]"&amp;datatable!$B5&amp;"!"&amp;"Q:Q"),"Low Incorrect")</f>
        <v>1</v>
      </c>
      <c r="K35" s="23">
        <f ca="1">COUNTIF(INDIRECT("["&amp;datatable!$C$4&amp;"]"&amp;datatable!$B5&amp;"!"&amp;"Q:Q"),"Medium Incorrect")</f>
        <v>0</v>
      </c>
      <c r="L35" s="25">
        <f ca="1">COUNTIF(INDIRECT("["&amp;datatable!$C$4&amp;"]"&amp;datatable!$B5&amp;"!"&amp;"Q:Q"),"High Incorrect")</f>
        <v>3</v>
      </c>
      <c r="M35" s="27">
        <f ca="1">COUNTIF(INDIRECT("["&amp;datatable!$C$4&amp;"]"&amp;datatable!$B5&amp;"!"&amp;"Q:Q"),"N/A")</f>
        <v>0</v>
      </c>
      <c r="N35" s="43">
        <f t="shared" ca="1" si="3"/>
        <v>21</v>
      </c>
      <c r="O35" s="43">
        <f t="shared" ca="1" si="4"/>
        <v>21</v>
      </c>
    </row>
    <row r="36" spans="3:15">
      <c r="C36" s="44" t="s">
        <v>41</v>
      </c>
      <c r="D36" s="8">
        <f ca="1">COUNTIF(INDIRECT("["&amp;datatable!$C$4&amp;"]"&amp;datatable!$B6&amp;"!"&amp;"Q:Q"),"High Correct")</f>
        <v>9</v>
      </c>
      <c r="E36" s="11">
        <f ca="1">COUNTIF(INDIRECT("["&amp;datatable!$C$4&amp;"]"&amp;datatable!$B6&amp;"!"&amp;"Q:Q"),"Medium Correct")</f>
        <v>1</v>
      </c>
      <c r="F36" s="13">
        <f ca="1">COUNTIF(INDIRECT("["&amp;datatable!$C$4&amp;"]"&amp;datatable!$B6&amp;"!"&amp;"Q:Q"),"Low Correct")</f>
        <v>0</v>
      </c>
      <c r="G36" s="15">
        <f ca="1">COUNTIF(INDIRECT("["&amp;datatable!$C$4&amp;"]"&amp;datatable!$B6&amp;"!"&amp;"Q:Q"),"High Maybe")</f>
        <v>3</v>
      </c>
      <c r="H36" s="17">
        <f ca="1">COUNTIF(INDIRECT("["&amp;datatable!$C$4&amp;"]"&amp;datatable!$B6&amp;"!"&amp;"Q:Q"),"Medium Maybe")</f>
        <v>3</v>
      </c>
      <c r="I36" s="19">
        <f ca="1">COUNTIF(INDIRECT("["&amp;datatable!$C$4&amp;"]"&amp;datatable!$B6&amp;"!"&amp;"Q:Q"),"Low Maybe")</f>
        <v>0</v>
      </c>
      <c r="J36" s="21">
        <f ca="1">COUNTIF(INDIRECT("["&amp;datatable!$C$4&amp;"]"&amp;datatable!$B6&amp;"!"&amp;"Q:Q"),"Low Incorrect")</f>
        <v>1</v>
      </c>
      <c r="K36" s="23">
        <f ca="1">COUNTIF(INDIRECT("["&amp;datatable!$C$4&amp;"]"&amp;datatable!$B6&amp;"!"&amp;"Q:Q"),"Medium Incorrect")</f>
        <v>1</v>
      </c>
      <c r="L36" s="25">
        <f ca="1">COUNTIF(INDIRECT("["&amp;datatable!$C$4&amp;"]"&amp;datatable!$B6&amp;"!"&amp;"Q:Q"),"High Incorrect")</f>
        <v>2</v>
      </c>
      <c r="M36" s="27">
        <f ca="1">COUNTIF(INDIRECT("["&amp;datatable!$C$4&amp;"]"&amp;datatable!$B6&amp;"!"&amp;"Q:Q"),"N/A")</f>
        <v>1</v>
      </c>
      <c r="N36" s="43">
        <f t="shared" ca="1" si="3"/>
        <v>21</v>
      </c>
      <c r="O36" s="43">
        <f t="shared" ca="1" si="4"/>
        <v>20</v>
      </c>
    </row>
    <row r="37" spans="3:15">
      <c r="C37" s="44" t="s">
        <v>42</v>
      </c>
      <c r="D37" s="8">
        <f ca="1">COUNTIF(INDIRECT("["&amp;datatable!$C$4&amp;"]"&amp;datatable!$B7&amp;"!"&amp;"Q:Q"),"High Correct")</f>
        <v>6</v>
      </c>
      <c r="E37" s="11">
        <f ca="1">COUNTIF(INDIRECT("["&amp;datatable!$C$4&amp;"]"&amp;datatable!$B7&amp;"!"&amp;"Q:Q"),"Medium Correct")</f>
        <v>0</v>
      </c>
      <c r="F37" s="13">
        <f ca="1">COUNTIF(INDIRECT("["&amp;datatable!$C$4&amp;"]"&amp;datatable!$B7&amp;"!"&amp;"Q:Q"),"Low Correct")</f>
        <v>0</v>
      </c>
      <c r="G37" s="15">
        <f ca="1">COUNTIF(INDIRECT("["&amp;datatable!$C$4&amp;"]"&amp;datatable!$B7&amp;"!"&amp;"Q:Q"),"High Maybe")</f>
        <v>1</v>
      </c>
      <c r="H37" s="17">
        <f ca="1">COUNTIF(INDIRECT("["&amp;datatable!$C$4&amp;"]"&amp;datatable!$B7&amp;"!"&amp;"Q:Q"),"Medium Maybe")</f>
        <v>1</v>
      </c>
      <c r="I37" s="19">
        <f ca="1">COUNTIF(INDIRECT("["&amp;datatable!$C$4&amp;"]"&amp;datatable!$B7&amp;"!"&amp;"Q:Q"),"Low Maybe")</f>
        <v>0</v>
      </c>
      <c r="J37" s="21">
        <f ca="1">COUNTIF(INDIRECT("["&amp;datatable!$C$4&amp;"]"&amp;datatable!$B7&amp;"!"&amp;"Q:Q"),"Low Incorrect")</f>
        <v>1</v>
      </c>
      <c r="K37" s="23">
        <f ca="1">COUNTIF(INDIRECT("["&amp;datatable!$C$4&amp;"]"&amp;datatable!$B7&amp;"!"&amp;"Q:Q"),"Medium Incorrect")</f>
        <v>0</v>
      </c>
      <c r="L37" s="25">
        <f ca="1">COUNTIF(INDIRECT("["&amp;datatable!$C$4&amp;"]"&amp;datatable!$B7&amp;"!"&amp;"Q:Q"),"High Incorrect")</f>
        <v>0</v>
      </c>
      <c r="M37" s="27">
        <f ca="1">COUNTIF(INDIRECT("["&amp;datatable!$C$4&amp;"]"&amp;datatable!$B7&amp;"!"&amp;"Q:Q"),"N/A")</f>
        <v>12</v>
      </c>
      <c r="N37" s="43">
        <f t="shared" ca="1" si="3"/>
        <v>21</v>
      </c>
      <c r="O37" s="43">
        <f t="shared" ca="1" si="4"/>
        <v>9</v>
      </c>
    </row>
    <row r="38" spans="3:15">
      <c r="C38" s="44" t="s">
        <v>43</v>
      </c>
      <c r="D38" s="8">
        <f ca="1">COUNTIF(INDIRECT("["&amp;datatable!$C$4&amp;"]"&amp;datatable!$B8&amp;"!"&amp;"Q:Q"),"High Correct")</f>
        <v>12</v>
      </c>
      <c r="E38" s="11">
        <f ca="1">COUNTIF(INDIRECT("["&amp;datatable!$C$4&amp;"]"&amp;datatable!$B8&amp;"!"&amp;"Q:Q"),"Medium Correct")</f>
        <v>1</v>
      </c>
      <c r="F38" s="13">
        <f ca="1">COUNTIF(INDIRECT("["&amp;datatable!$C$4&amp;"]"&amp;datatable!$B8&amp;"!"&amp;"Q:Q"),"Low Correct")</f>
        <v>1</v>
      </c>
      <c r="G38" s="15">
        <f ca="1">COUNTIF(INDIRECT("["&amp;datatable!$C$4&amp;"]"&amp;datatable!$B8&amp;"!"&amp;"Q:Q"),"High Maybe")</f>
        <v>0</v>
      </c>
      <c r="H38" s="17">
        <f ca="1">COUNTIF(INDIRECT("["&amp;datatable!$C$4&amp;"]"&amp;datatable!$B8&amp;"!"&amp;"Q:Q"),"Medium Maybe")</f>
        <v>2</v>
      </c>
      <c r="I38" s="19">
        <f ca="1">COUNTIF(INDIRECT("["&amp;datatable!$C$4&amp;"]"&amp;datatable!$B8&amp;"!"&amp;"Q:Q"),"Low Maybe")</f>
        <v>1</v>
      </c>
      <c r="J38" s="21">
        <f ca="1">COUNTIF(INDIRECT("["&amp;datatable!$C$4&amp;"]"&amp;datatable!$B8&amp;"!"&amp;"Q:Q"),"Low Incorrect")</f>
        <v>0</v>
      </c>
      <c r="K38" s="23">
        <f ca="1">COUNTIF(INDIRECT("["&amp;datatable!$C$4&amp;"]"&amp;datatable!$B8&amp;"!"&amp;"Q:Q"),"Medium Incorrect")</f>
        <v>0</v>
      </c>
      <c r="L38" s="25">
        <f ca="1">COUNTIF(INDIRECT("["&amp;datatable!$C$4&amp;"]"&amp;datatable!$B8&amp;"!"&amp;"Q:Q"),"High Incorrect")</f>
        <v>2</v>
      </c>
      <c r="M38" s="27">
        <f ca="1">COUNTIF(INDIRECT("["&amp;datatable!$C$4&amp;"]"&amp;datatable!$B8&amp;"!"&amp;"Q:Q"),"N/A")</f>
        <v>2</v>
      </c>
      <c r="N38" s="43">
        <f t="shared" ca="1" si="3"/>
        <v>21</v>
      </c>
      <c r="O38" s="43">
        <f t="shared" ca="1" si="4"/>
        <v>19</v>
      </c>
    </row>
    <row r="39" spans="3:15">
      <c r="C39" s="44" t="s">
        <v>44</v>
      </c>
      <c r="D39" s="8">
        <f ca="1">COUNTIF(INDIRECT("["&amp;datatable!$C$4&amp;"]"&amp;datatable!$B9&amp;"!"&amp;"Q:Q"),"High Correct")</f>
        <v>13</v>
      </c>
      <c r="E39" s="11">
        <f ca="1">COUNTIF(INDIRECT("["&amp;datatable!$C$4&amp;"]"&amp;datatable!$B9&amp;"!"&amp;"Q:Q"),"Medium Correct")</f>
        <v>3</v>
      </c>
      <c r="F39" s="13">
        <f ca="1">COUNTIF(INDIRECT("["&amp;datatable!$C$4&amp;"]"&amp;datatable!$B9&amp;"!"&amp;"Q:Q"),"Low Correct")</f>
        <v>0</v>
      </c>
      <c r="G39" s="15">
        <f ca="1">COUNTIF(INDIRECT("["&amp;datatable!$C$4&amp;"]"&amp;datatable!$B9&amp;"!"&amp;"Q:Q"),"High Maybe")</f>
        <v>2</v>
      </c>
      <c r="H39" s="17">
        <f ca="1">COUNTIF(INDIRECT("["&amp;datatable!$C$4&amp;"]"&amp;datatable!$B9&amp;"!"&amp;"Q:Q"),"Medium Maybe")</f>
        <v>1</v>
      </c>
      <c r="I39" s="19">
        <f ca="1">COUNTIF(INDIRECT("["&amp;datatable!$C$4&amp;"]"&amp;datatable!$B9&amp;"!"&amp;"Q:Q"),"Low Maybe")</f>
        <v>0</v>
      </c>
      <c r="J39" s="21">
        <f ca="1">COUNTIF(INDIRECT("["&amp;datatable!$C$4&amp;"]"&amp;datatable!$B9&amp;"!"&amp;"Q:Q"),"Low Incorrect")</f>
        <v>0</v>
      </c>
      <c r="K39" s="23">
        <f ca="1">COUNTIF(INDIRECT("["&amp;datatable!$C$4&amp;"]"&amp;datatable!$B9&amp;"!"&amp;"Q:Q"),"Medium Incorrect")</f>
        <v>0</v>
      </c>
      <c r="L39" s="25">
        <f ca="1">COUNTIF(INDIRECT("["&amp;datatable!$C$4&amp;"]"&amp;datatable!$B9&amp;"!"&amp;"Q:Q"),"High Incorrect")</f>
        <v>1</v>
      </c>
      <c r="M39" s="27">
        <f ca="1">COUNTIF(INDIRECT("["&amp;datatable!$C$4&amp;"]"&amp;datatable!$B9&amp;"!"&amp;"Q:Q"),"N/A")</f>
        <v>1</v>
      </c>
      <c r="N39" s="43">
        <f t="shared" ca="1" si="3"/>
        <v>21</v>
      </c>
      <c r="O39" s="43">
        <f t="shared" ca="1" si="4"/>
        <v>20</v>
      </c>
    </row>
    <row r="40" spans="3:15">
      <c r="C40" s="44" t="s">
        <v>45</v>
      </c>
      <c r="D40" s="8">
        <f ca="1">COUNTIF(INDIRECT("["&amp;datatable!$C$4&amp;"]"&amp;datatable!$B10&amp;"!"&amp;"Q:Q"),"High Correct")</f>
        <v>4</v>
      </c>
      <c r="E40" s="11">
        <f ca="1">COUNTIF(INDIRECT("["&amp;datatable!$C$4&amp;"]"&amp;datatable!$B10&amp;"!"&amp;"Q:Q"),"Medium Correct")</f>
        <v>1</v>
      </c>
      <c r="F40" s="13">
        <f ca="1">COUNTIF(INDIRECT("["&amp;datatable!$C$4&amp;"]"&amp;datatable!$B10&amp;"!"&amp;"Q:Q"),"Low Correct")</f>
        <v>1</v>
      </c>
      <c r="G40" s="15">
        <f ca="1">COUNTIF(INDIRECT("["&amp;datatable!$C$4&amp;"]"&amp;datatable!$B10&amp;"!"&amp;"Q:Q"),"High Maybe")</f>
        <v>3</v>
      </c>
      <c r="H40" s="17">
        <f ca="1">COUNTIF(INDIRECT("["&amp;datatable!$C$4&amp;"]"&amp;datatable!$B10&amp;"!"&amp;"Q:Q"),"Medium Maybe")</f>
        <v>3</v>
      </c>
      <c r="I40" s="19">
        <f ca="1">COUNTIF(INDIRECT("["&amp;datatable!$C$4&amp;"]"&amp;datatable!$B10&amp;"!"&amp;"Q:Q"),"Low Maybe")</f>
        <v>0</v>
      </c>
      <c r="J40" s="21">
        <f ca="1">COUNTIF(INDIRECT("["&amp;datatable!$C$4&amp;"]"&amp;datatable!$B10&amp;"!"&amp;"Q:Q"),"Low Incorrect")</f>
        <v>1</v>
      </c>
      <c r="K40" s="23">
        <f ca="1">COUNTIF(INDIRECT("["&amp;datatable!$C$4&amp;"]"&amp;datatable!$B10&amp;"!"&amp;"Q:Q"),"Medium Incorrect")</f>
        <v>2</v>
      </c>
      <c r="L40" s="25">
        <f ca="1">COUNTIF(INDIRECT("["&amp;datatable!$C$4&amp;"]"&amp;datatable!$B10&amp;"!"&amp;"Q:Q"),"High Incorrect")</f>
        <v>3</v>
      </c>
      <c r="M40" s="27">
        <f ca="1">COUNTIF(INDIRECT("["&amp;datatable!$C$4&amp;"]"&amp;datatable!$B10&amp;"!"&amp;"Q:Q"),"N/A")</f>
        <v>3</v>
      </c>
      <c r="N40" s="43">
        <f t="shared" ca="1" si="3"/>
        <v>21</v>
      </c>
      <c r="O40" s="43">
        <f t="shared" ca="1" si="4"/>
        <v>18</v>
      </c>
    </row>
    <row r="41" spans="3:15">
      <c r="C41" s="44" t="s">
        <v>46</v>
      </c>
      <c r="D41" s="8">
        <f ca="1">COUNTIF(INDIRECT("["&amp;datatable!$C$4&amp;"]"&amp;datatable!$B11&amp;"!"&amp;"Q:Q"),"High Correct")</f>
        <v>5</v>
      </c>
      <c r="E41" s="11">
        <f ca="1">COUNTIF(INDIRECT("["&amp;datatable!$C$4&amp;"]"&amp;datatable!$B11&amp;"!"&amp;"Q:Q"),"Medium Correct")</f>
        <v>3</v>
      </c>
      <c r="F41" s="13">
        <f ca="1">COUNTIF(INDIRECT("["&amp;datatable!$C$4&amp;"]"&amp;datatable!$B11&amp;"!"&amp;"Q:Q"),"Low Correct")</f>
        <v>1</v>
      </c>
      <c r="G41" s="15">
        <f ca="1">COUNTIF(INDIRECT("["&amp;datatable!$C$4&amp;"]"&amp;datatable!$B11&amp;"!"&amp;"Q:Q"),"High Maybe")</f>
        <v>3</v>
      </c>
      <c r="H41" s="17">
        <f ca="1">COUNTIF(INDIRECT("["&amp;datatable!$C$4&amp;"]"&amp;datatable!$B11&amp;"!"&amp;"Q:Q"),"Medium Maybe")</f>
        <v>2</v>
      </c>
      <c r="I41" s="19">
        <f ca="1">COUNTIF(INDIRECT("["&amp;datatable!$C$4&amp;"]"&amp;datatable!$B11&amp;"!"&amp;"Q:Q"),"Low Maybe")</f>
        <v>2</v>
      </c>
      <c r="J41" s="21">
        <f ca="1">COUNTIF(INDIRECT("["&amp;datatable!$C$4&amp;"]"&amp;datatable!$B11&amp;"!"&amp;"Q:Q"),"Low Incorrect")</f>
        <v>1</v>
      </c>
      <c r="K41" s="23">
        <f ca="1">COUNTIF(INDIRECT("["&amp;datatable!$C$4&amp;"]"&amp;datatable!$B11&amp;"!"&amp;"Q:Q"),"Medium Incorrect")</f>
        <v>2</v>
      </c>
      <c r="L41" s="25">
        <f ca="1">COUNTIF(INDIRECT("["&amp;datatable!$C$4&amp;"]"&amp;datatable!$B11&amp;"!"&amp;"Q:Q"),"High Incorrect")</f>
        <v>2</v>
      </c>
      <c r="M41" s="27">
        <f ca="1">COUNTIF(INDIRECT("["&amp;datatable!$C$4&amp;"]"&amp;datatable!$B11&amp;"!"&amp;"Q:Q"),"N/A")</f>
        <v>0</v>
      </c>
      <c r="N41" s="43">
        <f t="shared" ca="1" si="3"/>
        <v>21</v>
      </c>
      <c r="O41" s="43">
        <f t="shared" ca="1" si="4"/>
        <v>21</v>
      </c>
    </row>
    <row r="42" spans="3:15">
      <c r="C42" s="44" t="s">
        <v>47</v>
      </c>
      <c r="D42" s="8">
        <f ca="1">COUNTIF(INDIRECT("["&amp;datatable!$C$4&amp;"]"&amp;datatable!$B12&amp;"!"&amp;"Q:Q"),"High Correct")</f>
        <v>2</v>
      </c>
      <c r="E42" s="11">
        <f ca="1">COUNTIF(INDIRECT("["&amp;datatable!$C$4&amp;"]"&amp;datatable!$B12&amp;"!"&amp;"Q:Q"),"Medium Correct")</f>
        <v>2</v>
      </c>
      <c r="F42" s="13">
        <f ca="1">COUNTIF(INDIRECT("["&amp;datatable!$C$4&amp;"]"&amp;datatable!$B12&amp;"!"&amp;"Q:Q"),"Low Correct")</f>
        <v>1</v>
      </c>
      <c r="G42" s="15">
        <f ca="1">COUNTIF(INDIRECT("["&amp;datatable!$C$4&amp;"]"&amp;datatable!$B12&amp;"!"&amp;"Q:Q"),"High Maybe")</f>
        <v>6</v>
      </c>
      <c r="H42" s="17">
        <f ca="1">COUNTIF(INDIRECT("["&amp;datatable!$C$4&amp;"]"&amp;datatable!$B12&amp;"!"&amp;"Q:Q"),"Medium Maybe")</f>
        <v>4</v>
      </c>
      <c r="I42" s="19">
        <f ca="1">COUNTIF(INDIRECT("["&amp;datatable!$C$4&amp;"]"&amp;datatable!$B12&amp;"!"&amp;"Q:Q"),"Low Maybe")</f>
        <v>0</v>
      </c>
      <c r="J42" s="21">
        <f ca="1">COUNTIF(INDIRECT("["&amp;datatable!$C$4&amp;"]"&amp;datatable!$B12&amp;"!"&amp;"Q:Q"),"Low Incorrect")</f>
        <v>0</v>
      </c>
      <c r="K42" s="23">
        <f ca="1">COUNTIF(INDIRECT("["&amp;datatable!$C$4&amp;"]"&amp;datatable!$B12&amp;"!"&amp;"Q:Q"),"Medium Incorrect")</f>
        <v>0</v>
      </c>
      <c r="L42" s="25">
        <f ca="1">COUNTIF(INDIRECT("["&amp;datatable!$C$4&amp;"]"&amp;datatable!$B12&amp;"!"&amp;"Q:Q"),"High Incorrect")</f>
        <v>6</v>
      </c>
      <c r="M42" s="27">
        <f ca="1">COUNTIF(INDIRECT("["&amp;datatable!$C$4&amp;"]"&amp;datatable!$B12&amp;"!"&amp;"Q:Q"),"N/A")</f>
        <v>0</v>
      </c>
      <c r="N42" s="43">
        <f t="shared" ca="1" si="3"/>
        <v>21</v>
      </c>
      <c r="O42" s="43">
        <f t="shared" ca="1" si="4"/>
        <v>21</v>
      </c>
    </row>
    <row r="43" spans="3:15">
      <c r="C43" s="44" t="s">
        <v>48</v>
      </c>
      <c r="D43" s="8">
        <f ca="1">COUNTIF(INDIRECT("["&amp;datatable!$C$4&amp;"]"&amp;datatable!$B13&amp;"!"&amp;"Q:Q"),"High Correct")</f>
        <v>13</v>
      </c>
      <c r="E43" s="11">
        <f ca="1">COUNTIF(INDIRECT("["&amp;datatable!$C$4&amp;"]"&amp;datatable!$B13&amp;"!"&amp;"Q:Q"),"Medium Correct")</f>
        <v>2</v>
      </c>
      <c r="F43" s="13">
        <f ca="1">COUNTIF(INDIRECT("["&amp;datatable!$C$4&amp;"]"&amp;datatable!$B13&amp;"!"&amp;"Q:Q"),"Low Correct")</f>
        <v>1</v>
      </c>
      <c r="G43" s="15">
        <f ca="1">COUNTIF(INDIRECT("["&amp;datatable!$C$4&amp;"]"&amp;datatable!$B13&amp;"!"&amp;"Q:Q"),"High Maybe")</f>
        <v>0</v>
      </c>
      <c r="H43" s="17">
        <f ca="1">COUNTIF(INDIRECT("["&amp;datatable!$C$4&amp;"]"&amp;datatable!$B13&amp;"!"&amp;"Q:Q"),"Medium Maybe")</f>
        <v>1</v>
      </c>
      <c r="I43" s="19">
        <f ca="1">COUNTIF(INDIRECT("["&amp;datatable!$C$4&amp;"]"&amp;datatable!$B13&amp;"!"&amp;"Q:Q"),"Low Maybe")</f>
        <v>0</v>
      </c>
      <c r="J43" s="21">
        <f ca="1">COUNTIF(INDIRECT("["&amp;datatable!$C$4&amp;"]"&amp;datatable!$B13&amp;"!"&amp;"Q:Q"),"Low Incorrect")</f>
        <v>1</v>
      </c>
      <c r="K43" s="23">
        <f ca="1">COUNTIF(INDIRECT("["&amp;datatable!$C$4&amp;"]"&amp;datatable!$B13&amp;"!"&amp;"Q:Q"),"Medium Incorrect")</f>
        <v>0</v>
      </c>
      <c r="L43" s="25">
        <f ca="1">COUNTIF(INDIRECT("["&amp;datatable!$C$4&amp;"]"&amp;datatable!$B13&amp;"!"&amp;"Q:Q"),"High Incorrect")</f>
        <v>3</v>
      </c>
      <c r="M43" s="27">
        <f ca="1">COUNTIF(INDIRECT("["&amp;datatable!$C$4&amp;"]"&amp;datatable!$B13&amp;"!"&amp;"Q:Q"),"N/A")</f>
        <v>0</v>
      </c>
      <c r="N43" s="43">
        <f t="shared" ca="1" si="3"/>
        <v>21</v>
      </c>
      <c r="O43" s="43">
        <f t="shared" ca="1" si="4"/>
        <v>21</v>
      </c>
    </row>
    <row r="44" spans="3:15">
      <c r="C44" s="44" t="s">
        <v>49</v>
      </c>
      <c r="D44" s="8">
        <f ca="1">COUNTIF(INDIRECT("["&amp;datatable!$C$4&amp;"]"&amp;datatable!$B14&amp;"!"&amp;"Q:Q"),"High Correct")</f>
        <v>4</v>
      </c>
      <c r="E44" s="11">
        <f ca="1">COUNTIF(INDIRECT("["&amp;datatable!$C$4&amp;"]"&amp;datatable!$B14&amp;"!"&amp;"Q:Q"),"Medium Correct")</f>
        <v>0</v>
      </c>
      <c r="F44" s="13">
        <f ca="1">COUNTIF(INDIRECT("["&amp;datatable!$C$4&amp;"]"&amp;datatable!$B14&amp;"!"&amp;"Q:Q"),"Low Correct")</f>
        <v>1</v>
      </c>
      <c r="G44" s="15">
        <f ca="1">COUNTIF(INDIRECT("["&amp;datatable!$C$4&amp;"]"&amp;datatable!$B14&amp;"!"&amp;"Q:Q"),"High Maybe")</f>
        <v>2</v>
      </c>
      <c r="H44" s="17">
        <f ca="1">COUNTIF(INDIRECT("["&amp;datatable!$C$4&amp;"]"&amp;datatable!$B14&amp;"!"&amp;"Q:Q"),"Medium Maybe")</f>
        <v>2</v>
      </c>
      <c r="I44" s="19">
        <f ca="1">COUNTIF(INDIRECT("["&amp;datatable!$C$4&amp;"]"&amp;datatable!$B14&amp;"!"&amp;"Q:Q"),"Low Maybe")</f>
        <v>0</v>
      </c>
      <c r="J44" s="21">
        <f ca="1">COUNTIF(INDIRECT("["&amp;datatable!$C$4&amp;"]"&amp;datatable!$B14&amp;"!"&amp;"Q:Q"),"Low Incorrect")</f>
        <v>2</v>
      </c>
      <c r="K44" s="23">
        <f ca="1">COUNTIF(INDIRECT("["&amp;datatable!$C$4&amp;"]"&amp;datatable!$B14&amp;"!"&amp;"Q:Q"),"Medium Incorrect")</f>
        <v>0</v>
      </c>
      <c r="L44" s="25">
        <f ca="1">COUNTIF(INDIRECT("["&amp;datatable!$C$4&amp;"]"&amp;datatable!$B14&amp;"!"&amp;"Q:Q"),"High Incorrect")</f>
        <v>7</v>
      </c>
      <c r="M44" s="27">
        <f ca="1">COUNTIF(INDIRECT("["&amp;datatable!$C$4&amp;"]"&amp;datatable!$B14&amp;"!"&amp;"Q:Q"),"N/A")</f>
        <v>3</v>
      </c>
      <c r="N44" s="43">
        <f t="shared" ca="1" si="3"/>
        <v>21</v>
      </c>
      <c r="O44" s="43">
        <f t="shared" ca="1" si="4"/>
        <v>18</v>
      </c>
    </row>
    <row r="45" spans="3:15">
      <c r="C45" s="44" t="s">
        <v>50</v>
      </c>
      <c r="D45" s="8">
        <f ca="1">COUNTIF(INDIRECT("["&amp;datatable!$C$4&amp;"]"&amp;datatable!$B15&amp;"!"&amp;"Q:Q"),"High Correct")</f>
        <v>4</v>
      </c>
      <c r="E45" s="11">
        <f ca="1">COUNTIF(INDIRECT("["&amp;datatable!$C$4&amp;"]"&amp;datatable!$B15&amp;"!"&amp;"Q:Q"),"Medium Correct")</f>
        <v>2</v>
      </c>
      <c r="F45" s="13">
        <f ca="1">COUNTIF(INDIRECT("["&amp;datatable!$C$4&amp;"]"&amp;datatable!$B15&amp;"!"&amp;"Q:Q"),"Low Correct")</f>
        <v>0</v>
      </c>
      <c r="G45" s="15">
        <f ca="1">COUNTIF(INDIRECT("["&amp;datatable!$C$4&amp;"]"&amp;datatable!$B15&amp;"!"&amp;"Q:Q"),"High Maybe")</f>
        <v>5</v>
      </c>
      <c r="H45" s="17">
        <f ca="1">COUNTIF(INDIRECT("["&amp;datatable!$C$4&amp;"]"&amp;datatable!$B15&amp;"!"&amp;"Q:Q"),"Medium Maybe")</f>
        <v>3</v>
      </c>
      <c r="I45" s="19">
        <f ca="1">COUNTIF(INDIRECT("["&amp;datatable!$C$4&amp;"]"&amp;datatable!$B15&amp;"!"&amp;"Q:Q"),"Low Maybe")</f>
        <v>1</v>
      </c>
      <c r="J45" s="21">
        <f ca="1">COUNTIF(INDIRECT("["&amp;datatable!$C$4&amp;"]"&amp;datatable!$B15&amp;"!"&amp;"Q:Q"),"Low Incorrect")</f>
        <v>1</v>
      </c>
      <c r="K45" s="23">
        <f ca="1">COUNTIF(INDIRECT("["&amp;datatable!$C$4&amp;"]"&amp;datatable!$B15&amp;"!"&amp;"Q:Q"),"Medium Incorrect")</f>
        <v>1</v>
      </c>
      <c r="L45" s="25">
        <f ca="1">COUNTIF(INDIRECT("["&amp;datatable!$C$4&amp;"]"&amp;datatable!$B15&amp;"!"&amp;"Q:Q"),"High Incorrect")</f>
        <v>4</v>
      </c>
      <c r="M45" s="27">
        <f ca="1">COUNTIF(INDIRECT("["&amp;datatable!$C$4&amp;"]"&amp;datatable!$B15&amp;"!"&amp;"Q:Q"),"N/A")</f>
        <v>0</v>
      </c>
      <c r="N45" s="43">
        <f t="shared" ca="1" si="3"/>
        <v>21</v>
      </c>
      <c r="O45" s="43">
        <f t="shared" ca="1" si="4"/>
        <v>21</v>
      </c>
    </row>
    <row r="46" spans="3:15">
      <c r="C46" s="45" t="s">
        <v>51</v>
      </c>
      <c r="D46" s="8">
        <f ca="1">COUNTIF(INDIRECT("["&amp;datatable!$C$4&amp;"]"&amp;datatable!$B16&amp;"!"&amp;"Q:Q"),"High Correct")</f>
        <v>2</v>
      </c>
      <c r="E46" s="11">
        <f ca="1">COUNTIF(INDIRECT("["&amp;datatable!$C$4&amp;"]"&amp;datatable!$B16&amp;"!"&amp;"Q:Q"),"Medium Correct")</f>
        <v>0</v>
      </c>
      <c r="F46" s="13">
        <f ca="1">COUNTIF(INDIRECT("["&amp;datatable!$C$4&amp;"]"&amp;datatable!$B16&amp;"!"&amp;"Q:Q"),"Low Correct")</f>
        <v>1</v>
      </c>
      <c r="G46" s="15">
        <f ca="1">COUNTIF(INDIRECT("["&amp;datatable!$C$4&amp;"]"&amp;datatable!$B16&amp;"!"&amp;"Q:Q"),"High Maybe")</f>
        <v>1</v>
      </c>
      <c r="H46" s="17">
        <f ca="1">COUNTIF(INDIRECT("["&amp;datatable!$C$4&amp;"]"&amp;datatable!$B16&amp;"!"&amp;"Q:Q"),"Medium Maybe")</f>
        <v>0</v>
      </c>
      <c r="I46" s="19">
        <f ca="1">COUNTIF(INDIRECT("["&amp;datatable!$C$4&amp;"]"&amp;datatable!$B16&amp;"!"&amp;"Q:Q"),"Low Maybe")</f>
        <v>0</v>
      </c>
      <c r="J46" s="21">
        <f ca="1">COUNTIF(INDIRECT("["&amp;datatable!$C$4&amp;"]"&amp;datatable!$B16&amp;"!"&amp;"Q:Q"),"Low Incorrect")</f>
        <v>0</v>
      </c>
      <c r="K46" s="23">
        <f ca="1">COUNTIF(INDIRECT("["&amp;datatable!$C$4&amp;"]"&amp;datatable!$B16&amp;"!"&amp;"Q:Q"),"Medium Incorrect")</f>
        <v>0</v>
      </c>
      <c r="L46" s="25">
        <f ca="1">COUNTIF(INDIRECT("["&amp;datatable!$C$4&amp;"]"&amp;datatable!$B16&amp;"!"&amp;"Q:Q"),"High Incorrect")</f>
        <v>15</v>
      </c>
      <c r="M46" s="27">
        <f ca="1">COUNTIF(INDIRECT("["&amp;datatable!$C$4&amp;"]"&amp;datatable!$B16&amp;"!"&amp;"Q:Q"),"N/A")</f>
        <v>2</v>
      </c>
      <c r="N46" s="43">
        <f t="shared" ca="1" si="3"/>
        <v>21</v>
      </c>
      <c r="O46" s="43">
        <f t="shared" ca="1" si="4"/>
        <v>19</v>
      </c>
    </row>
    <row r="47" spans="3:15">
      <c r="C47" s="44" t="s">
        <v>52</v>
      </c>
      <c r="D47" s="8">
        <f ca="1">COUNTIF(INDIRECT("["&amp;datatable!$C$4&amp;"]"&amp;datatable!$B17&amp;"!"&amp;"Q:Q"),"High Correct")</f>
        <v>13</v>
      </c>
      <c r="E47" s="11">
        <f ca="1">COUNTIF(INDIRECT("["&amp;datatable!$C$4&amp;"]"&amp;datatable!$B17&amp;"!"&amp;"Q:Q"),"Medium Correct")</f>
        <v>2</v>
      </c>
      <c r="F47" s="13">
        <f ca="1">COUNTIF(INDIRECT("["&amp;datatable!$C$4&amp;"]"&amp;datatable!$B17&amp;"!"&amp;"Q:Q"),"Low Correct")</f>
        <v>0</v>
      </c>
      <c r="G47" s="15">
        <f ca="1">COUNTIF(INDIRECT("["&amp;datatable!$C$4&amp;"]"&amp;datatable!$B17&amp;"!"&amp;"Q:Q"),"High Maybe")</f>
        <v>2</v>
      </c>
      <c r="H47" s="17">
        <f ca="1">COUNTIF(INDIRECT("["&amp;datatable!$C$4&amp;"]"&amp;datatable!$B17&amp;"!"&amp;"Q:Q"),"Medium Maybe")</f>
        <v>1</v>
      </c>
      <c r="I47" s="19">
        <f ca="1">COUNTIF(INDIRECT("["&amp;datatable!$C$4&amp;"]"&amp;datatable!$B17&amp;"!"&amp;"Q:Q"),"Low Maybe")</f>
        <v>0</v>
      </c>
      <c r="J47" s="21">
        <f ca="1">COUNTIF(INDIRECT("["&amp;datatable!$C$4&amp;"]"&amp;datatable!$B17&amp;"!"&amp;"Q:Q"),"Low Incorrect")</f>
        <v>0</v>
      </c>
      <c r="K47" s="23">
        <f ca="1">COUNTIF(INDIRECT("["&amp;datatable!$C$4&amp;"]"&amp;datatable!$B17&amp;"!"&amp;"Q:Q"),"Medium Incorrect")</f>
        <v>0</v>
      </c>
      <c r="L47" s="25">
        <f ca="1">COUNTIF(INDIRECT("["&amp;datatable!$C$4&amp;"]"&amp;datatable!$B17&amp;"!"&amp;"Q:Q"),"High Incorrect")</f>
        <v>2</v>
      </c>
      <c r="M47" s="27">
        <f ca="1">COUNTIF(INDIRECT("["&amp;datatable!$C$4&amp;"]"&amp;datatable!$B17&amp;"!"&amp;"Q:Q"),"N/A")</f>
        <v>1</v>
      </c>
      <c r="N47" s="43">
        <f t="shared" ca="1" si="3"/>
        <v>21</v>
      </c>
      <c r="O47" s="43">
        <f t="shared" ca="1" si="4"/>
        <v>20</v>
      </c>
    </row>
    <row r="48" spans="3:15">
      <c r="C48" s="44" t="s">
        <v>53</v>
      </c>
      <c r="D48" s="8">
        <f ca="1">COUNTIF(INDIRECT("["&amp;datatable!$C$4&amp;"]"&amp;datatable!$B18&amp;"!"&amp;"Q:Q"),"High Correct")</f>
        <v>3</v>
      </c>
      <c r="E48" s="11">
        <f ca="1">COUNTIF(INDIRECT("["&amp;datatable!$C$4&amp;"]"&amp;datatable!$B18&amp;"!"&amp;"Q:Q"),"Medium Correct")</f>
        <v>0</v>
      </c>
      <c r="F48" s="13">
        <f ca="1">COUNTIF(INDIRECT("["&amp;datatable!$C$4&amp;"]"&amp;datatable!$B18&amp;"!"&amp;"Q:Q"),"Low Correct")</f>
        <v>0</v>
      </c>
      <c r="G48" s="15">
        <f ca="1">COUNTIF(INDIRECT("["&amp;datatable!$C$4&amp;"]"&amp;datatable!$B18&amp;"!"&amp;"Q:Q"),"High Maybe")</f>
        <v>1</v>
      </c>
      <c r="H48" s="17">
        <f ca="1">COUNTIF(INDIRECT("["&amp;datatable!$C$4&amp;"]"&amp;datatable!$B18&amp;"!"&amp;"Q:Q"),"Medium Maybe")</f>
        <v>1</v>
      </c>
      <c r="I48" s="19">
        <f ca="1">COUNTIF(INDIRECT("["&amp;datatable!$C$4&amp;"]"&amp;datatable!$B18&amp;"!"&amp;"Q:Q"),"Low Maybe")</f>
        <v>0</v>
      </c>
      <c r="J48" s="21">
        <f ca="1">COUNTIF(INDIRECT("["&amp;datatable!$C$4&amp;"]"&amp;datatable!$B18&amp;"!"&amp;"Q:Q"),"Low Incorrect")</f>
        <v>0</v>
      </c>
      <c r="K48" s="23">
        <f ca="1">COUNTIF(INDIRECT("["&amp;datatable!$C$4&amp;"]"&amp;datatable!$B18&amp;"!"&amp;"Q:Q"),"Medium Incorrect")</f>
        <v>0</v>
      </c>
      <c r="L48" s="25">
        <f ca="1">COUNTIF(INDIRECT("["&amp;datatable!$C$4&amp;"]"&amp;datatable!$B18&amp;"!"&amp;"Q:Q"),"High Incorrect")</f>
        <v>14</v>
      </c>
      <c r="M48" s="27">
        <f ca="1">COUNTIF(INDIRECT("["&amp;datatable!$C$4&amp;"]"&amp;datatable!$B18&amp;"!"&amp;"Q:Q"),"N/A")</f>
        <v>2</v>
      </c>
      <c r="N48" s="43">
        <f t="shared" ref="N48" ca="1" si="5">SUM(D48:M48)</f>
        <v>21</v>
      </c>
      <c r="O48" s="43">
        <f t="shared" ref="O48" ca="1" si="6">SUM(D48:L48)</f>
        <v>19</v>
      </c>
    </row>
    <row r="49" spans="3:25">
      <c r="C49" s="44" t="s">
        <v>54</v>
      </c>
      <c r="D49" s="8">
        <f ca="1">COUNTIF(INDIRECT("["&amp;datatable!$C$4&amp;"]"&amp;datatable!$B19&amp;"!"&amp;"Q:Q"),"High Correct")</f>
        <v>8</v>
      </c>
      <c r="E49" s="11">
        <f ca="1">COUNTIF(INDIRECT("["&amp;datatable!$C$4&amp;"]"&amp;datatable!$B19&amp;"!"&amp;"Q:Q"),"Medium Correct")</f>
        <v>2</v>
      </c>
      <c r="F49" s="13">
        <f ca="1">COUNTIF(INDIRECT("["&amp;datatable!$C$4&amp;"]"&amp;datatable!$B19&amp;"!"&amp;"Q:Q"),"Low Correct")</f>
        <v>6</v>
      </c>
      <c r="G49" s="15">
        <f ca="1">COUNTIF(INDIRECT("["&amp;datatable!$C$4&amp;"]"&amp;datatable!$B19&amp;"!"&amp;"Q:Q"),"High Maybe")</f>
        <v>1</v>
      </c>
      <c r="H49" s="17">
        <f ca="1">COUNTIF(INDIRECT("["&amp;datatable!$C$4&amp;"]"&amp;datatable!$B19&amp;"!"&amp;"Q:Q"),"Medium Maybe")</f>
        <v>0</v>
      </c>
      <c r="I49" s="19">
        <f ca="1">COUNTIF(INDIRECT("["&amp;datatable!$C$4&amp;"]"&amp;datatable!$B19&amp;"!"&amp;"Q:Q"),"Low Maybe")</f>
        <v>0</v>
      </c>
      <c r="J49" s="21">
        <f ca="1">COUNTIF(INDIRECT("["&amp;datatable!$C$4&amp;"]"&amp;datatable!$B19&amp;"!"&amp;"Q:Q"),"Low Incorrect")</f>
        <v>2</v>
      </c>
      <c r="K49" s="23">
        <f ca="1">COUNTIF(INDIRECT("["&amp;datatable!$C$4&amp;"]"&amp;datatable!$B19&amp;"!"&amp;"Q:Q"),"Medium Incorrect")</f>
        <v>0</v>
      </c>
      <c r="L49" s="25">
        <f ca="1">COUNTIF(INDIRECT("["&amp;datatable!$C$4&amp;"]"&amp;datatable!$B19&amp;"!"&amp;"Q:Q"),"High Incorrect")</f>
        <v>0</v>
      </c>
      <c r="M49" s="27">
        <f ca="1">COUNTIF(INDIRECT("["&amp;datatable!$C$4&amp;"]"&amp;datatable!$B19&amp;"!"&amp;"Q:Q"),"N/A")</f>
        <v>2</v>
      </c>
      <c r="N49" s="43">
        <f t="shared" ref="N49" ca="1" si="7">SUM(D49:M49)</f>
        <v>21</v>
      </c>
      <c r="O49" s="43">
        <f t="shared" ref="O49" ca="1" si="8">SUM(D49:L49)</f>
        <v>19</v>
      </c>
    </row>
    <row r="50" spans="3:25">
      <c r="C50" s="46" t="s">
        <v>36</v>
      </c>
      <c r="D50" s="47">
        <f ca="1">SUM(D32:D49)</f>
        <v>130</v>
      </c>
      <c r="E50" s="47">
        <f t="shared" ref="E50:M50" ca="1" si="9">SUM(E32:E49)</f>
        <v>26</v>
      </c>
      <c r="F50" s="47">
        <f t="shared" ca="1" si="9"/>
        <v>14</v>
      </c>
      <c r="G50" s="47">
        <f t="shared" ca="1" si="9"/>
        <v>36</v>
      </c>
      <c r="H50" s="47">
        <f t="shared" ca="1" si="9"/>
        <v>27</v>
      </c>
      <c r="I50" s="47">
        <f t="shared" ca="1" si="9"/>
        <v>7</v>
      </c>
      <c r="J50" s="47">
        <f t="shared" ca="1" si="9"/>
        <v>14</v>
      </c>
      <c r="K50" s="47">
        <f t="shared" ca="1" si="9"/>
        <v>9</v>
      </c>
      <c r="L50" s="47">
        <f t="shared" ca="1" si="9"/>
        <v>79</v>
      </c>
      <c r="M50" s="47">
        <f t="shared" ca="1" si="9"/>
        <v>36</v>
      </c>
      <c r="N50" s="43">
        <f ca="1">SUM(D50:M50)</f>
        <v>378</v>
      </c>
      <c r="O50" s="43">
        <f ca="1">SUM(D50:L50)</f>
        <v>342</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INDIRECT("["&amp;datatable!$C$4&amp;"]"&amp;datatable!$B2&amp;"!"&amp;"Q2")</f>
        <v>N/A</v>
      </c>
      <c r="E55" s="51" t="str" cm="1">
        <f t="array" aca="1" ref="E55" ca="1">INDIRECT("["&amp;datatable!$C$4&amp;"]"&amp;datatable!$B2&amp;"!"&amp;"Q3")</f>
        <v>High Incorrect</v>
      </c>
      <c r="F55" s="51" t="str" cm="1">
        <f t="array" aca="1" ref="F55" ca="1">INDIRECT("["&amp;datatable!$C$4&amp;"]"&amp;datatable!$B2&amp;"!"&amp;"Q4")</f>
        <v>High Incorrect</v>
      </c>
      <c r="G55" s="51" t="str" cm="1">
        <f t="array" aca="1" ref="G55" ca="1">INDIRECT("["&amp;datatable!$C$4&amp;"]"&amp;datatable!$B2&amp;"!"&amp;"Q5")</f>
        <v>High Maybe</v>
      </c>
      <c r="H55" s="51" t="str" cm="1">
        <f t="array" aca="1" ref="H55" ca="1">INDIRECT("["&amp;datatable!$C$4&amp;"]"&amp;datatable!$B2&amp;"!"&amp;"Q6")</f>
        <v>High Correct</v>
      </c>
      <c r="I55" s="51" t="str" cm="1">
        <f t="array" aca="1" ref="I55" ca="1">INDIRECT("["&amp;datatable!$C$4&amp;"]"&amp;datatable!$B2&amp;"!"&amp;"Q7")</f>
        <v>High Incorrect</v>
      </c>
      <c r="J55" s="51" t="str" cm="1">
        <f t="array" aca="1" ref="J55" ca="1">INDIRECT("["&amp;datatable!$C$4&amp;"]"&amp;datatable!$B2&amp;"!"&amp;"Q8")</f>
        <v>High Incorrect</v>
      </c>
      <c r="K55" s="51" t="str" cm="1">
        <f t="array" aca="1" ref="K55" ca="1">INDIRECT("["&amp;datatable!$C$4&amp;"]"&amp;datatable!$B2&amp;"!"&amp;"Q9")</f>
        <v>High Correct</v>
      </c>
      <c r="L55" s="51" t="str" cm="1">
        <f t="array" aca="1" ref="L55" ca="1">INDIRECT("["&amp;datatable!$C$4&amp;"]"&amp;datatable!$B2&amp;"!"&amp;"Q10")</f>
        <v>High Correct</v>
      </c>
      <c r="M55" s="51" t="str" cm="1">
        <f t="array" aca="1" ref="M55" ca="1">INDIRECT("["&amp;datatable!$C$4&amp;"]"&amp;datatable!$B2&amp;"!"&amp;"Q11")</f>
        <v>Medium Incorrect</v>
      </c>
      <c r="N55" s="51" t="str" cm="1">
        <f t="array" aca="1" ref="N55" ca="1">INDIRECT("["&amp;datatable!$C$4&amp;"]"&amp;datatable!$B2&amp;"!"&amp;"Q46")</f>
        <v>Low Incorrect</v>
      </c>
      <c r="O55" s="51" t="str" cm="1">
        <f t="array" aca="1" ref="O55" ca="1">INDIRECT("["&amp;datatable!$C$4&amp;"]"&amp;datatable!$B2&amp;"!"&amp;"Q47")</f>
        <v>High Correct</v>
      </c>
      <c r="P55" s="51" t="str" cm="1">
        <f t="array" aca="1" ref="P55" ca="1">INDIRECT("["&amp;datatable!$C$4&amp;"]"&amp;datatable!$B2&amp;"!"&amp;"Q48")</f>
        <v>High Correct</v>
      </c>
      <c r="Q55" s="51" t="str" cm="1">
        <f t="array" aca="1" ref="Q55" ca="1">INDIRECT("["&amp;datatable!$C$4&amp;"]"&amp;datatable!$B2&amp;"!"&amp;"Q49")</f>
        <v>High Correct</v>
      </c>
      <c r="R55" s="51" t="str" cm="1">
        <f t="array" aca="1" ref="R55" ca="1">INDIRECT("["&amp;datatable!$C$4&amp;"]"&amp;datatable!$B2&amp;"!"&amp;"Q50")</f>
        <v>High Correct</v>
      </c>
      <c r="S55" s="51" t="str" cm="1">
        <f t="array" aca="1" ref="S55" ca="1">INDIRECT("["&amp;datatable!$C$4&amp;"]"&amp;datatable!$B2&amp;"!"&amp;"Q51")</f>
        <v>Medium Correct</v>
      </c>
      <c r="T55" s="51" t="str" cm="1">
        <f t="array" aca="1" ref="T55" ca="1">INDIRECT("["&amp;datatable!$C$4&amp;"]"&amp;datatable!$B2&amp;"!"&amp;"Q52")</f>
        <v>N/A</v>
      </c>
      <c r="U55" s="51" t="str" cm="1">
        <f t="array" aca="1" ref="U55" ca="1">INDIRECT("["&amp;datatable!$C$4&amp;"]"&amp;datatable!$B2&amp;"!"&amp;"Q53")</f>
        <v>Medium Maybe</v>
      </c>
      <c r="V55" s="51" t="str" cm="1">
        <f t="array" aca="1" ref="V55" ca="1">INDIRECT("["&amp;datatable!$C$4&amp;"]"&amp;datatable!$B2&amp;"!"&amp;"Q54")</f>
        <v>N/A</v>
      </c>
      <c r="W55" s="51" t="str" cm="1">
        <f t="array" aca="1" ref="W55" ca="1">INDIRECT("["&amp;datatable!$C$4&amp;"]"&amp;datatable!$B2&amp;"!"&amp;"Q55")</f>
        <v>High Correct</v>
      </c>
      <c r="X55" s="51" t="str" cm="1">
        <f t="array" aca="1" ref="X55" ca="1">INDIRECT("["&amp;datatable!$C$4&amp;"]"&amp;datatable!$B2&amp;"!"&amp;"Q56")</f>
        <v>N/A</v>
      </c>
      <c r="Y55" s="50"/>
    </row>
    <row r="56" spans="3:25">
      <c r="C56" s="30" t="s">
        <v>38</v>
      </c>
      <c r="D56" s="51" t="str" cm="1">
        <f t="array" aca="1" ref="D56" ca="1">INDIRECT("["&amp;datatable!$C$4&amp;"]"&amp;datatable!$B3&amp;"!"&amp;"Q2")</f>
        <v>Medium Incorrect</v>
      </c>
      <c r="E56" s="51" t="str" cm="1">
        <f t="array" aca="1" ref="E56" ca="1">INDIRECT("["&amp;datatable!$C$4&amp;"]"&amp;datatable!$B3&amp;"!"&amp;"Q3")</f>
        <v>Medium Incorrect</v>
      </c>
      <c r="F56" s="51" t="str" cm="1">
        <f t="array" aca="1" ref="F56" ca="1">INDIRECT("["&amp;datatable!$C$4&amp;"]"&amp;datatable!$B3&amp;"!"&amp;"Q4")</f>
        <v>High Maybe</v>
      </c>
      <c r="G56" s="51" t="str" cm="1">
        <f t="array" aca="1" ref="G56" ca="1">INDIRECT("["&amp;datatable!$C$4&amp;"]"&amp;datatable!$B3&amp;"!"&amp;"Q5")</f>
        <v>High Correct</v>
      </c>
      <c r="H56" s="51" t="str" cm="1">
        <f t="array" aca="1" ref="H56" ca="1">INDIRECT("["&amp;datatable!$C$4&amp;"]"&amp;datatable!$B3&amp;"!"&amp;"Q6")</f>
        <v>N/A</v>
      </c>
      <c r="I56" s="51" t="str" cm="1">
        <f t="array" aca="1" ref="I56" ca="1">INDIRECT("["&amp;datatable!$C$4&amp;"]"&amp;datatable!$B3&amp;"!"&amp;"Q7")</f>
        <v>Medium Maybe</v>
      </c>
      <c r="J56" s="51" t="str" cm="1">
        <f t="array" aca="1" ref="J56" ca="1">INDIRECT("["&amp;datatable!$C$4&amp;"]"&amp;datatable!$B3&amp;"!"&amp;"Q8")</f>
        <v>Low Correct</v>
      </c>
      <c r="K56" s="51" t="str" cm="1">
        <f t="array" aca="1" ref="K56" ca="1">INDIRECT("["&amp;datatable!$C$4&amp;"]"&amp;datatable!$B3&amp;"!"&amp;"Q9")</f>
        <v>High Correct</v>
      </c>
      <c r="L56" s="51" t="str" cm="1">
        <f t="array" aca="1" ref="L56" ca="1">INDIRECT("["&amp;datatable!$C$4&amp;"]"&amp;datatable!$B3&amp;"!"&amp;"Q10")</f>
        <v>High Correct</v>
      </c>
      <c r="M56" s="51" t="str" cm="1">
        <f t="array" aca="1" ref="M56" ca="1">INDIRECT("["&amp;datatable!$C$4&amp;"]"&amp;datatable!$B3&amp;"!"&amp;"Q11")</f>
        <v>High Correct</v>
      </c>
      <c r="N56" s="51" t="str" cm="1">
        <f t="array" aca="1" ref="N56" ca="1">INDIRECT("["&amp;datatable!$C$4&amp;"]"&amp;datatable!$B3&amp;"!"&amp;"Q46")</f>
        <v>High Correct</v>
      </c>
      <c r="O56" s="51" t="str" cm="1">
        <f t="array" aca="1" ref="O56" ca="1">INDIRECT("["&amp;datatable!$C$4&amp;"]"&amp;datatable!$B3&amp;"!"&amp;"Q47")</f>
        <v>High Correct</v>
      </c>
      <c r="P56" s="51" t="str" cm="1">
        <f t="array" aca="1" ref="P56" ca="1">INDIRECT("["&amp;datatable!$C$4&amp;"]"&amp;datatable!$B3&amp;"!"&amp;"Q48")</f>
        <v>High Incorrect</v>
      </c>
      <c r="Q56" s="51" t="str" cm="1">
        <f t="array" aca="1" ref="Q56" ca="1">INDIRECT("["&amp;datatable!$C$4&amp;"]"&amp;datatable!$B3&amp;"!"&amp;"Q49")</f>
        <v>High Incorrect</v>
      </c>
      <c r="R56" s="51" t="str" cm="1">
        <f t="array" aca="1" ref="R56" ca="1">INDIRECT("["&amp;datatable!$C$4&amp;"]"&amp;datatable!$B3&amp;"!"&amp;"Q50")</f>
        <v>High Incorrect</v>
      </c>
      <c r="S56" s="51" t="str" cm="1">
        <f t="array" aca="1" ref="S56" ca="1">INDIRECT("["&amp;datatable!$C$4&amp;"]"&amp;datatable!$B3&amp;"!"&amp;"Q51")</f>
        <v>High Correct</v>
      </c>
      <c r="T56" s="51" t="str" cm="1">
        <f t="array" aca="1" ref="T56" ca="1">INDIRECT("["&amp;datatable!$C$4&amp;"]"&amp;datatable!$B3&amp;"!"&amp;"Q52")</f>
        <v>High Incorrect</v>
      </c>
      <c r="U56" s="51" t="str" cm="1">
        <f t="array" aca="1" ref="U56" ca="1">INDIRECT("["&amp;datatable!$C$4&amp;"]"&amp;datatable!$B3&amp;"!"&amp;"Q53")</f>
        <v>High Incorrect</v>
      </c>
      <c r="V56" s="51" t="str" cm="1">
        <f t="array" aca="1" ref="V56" ca="1">INDIRECT("["&amp;datatable!$C$4&amp;"]"&amp;datatable!$B3&amp;"!"&amp;"Q54")</f>
        <v>High Maybe</v>
      </c>
      <c r="W56" s="51" t="str" cm="1">
        <f t="array" aca="1" ref="W56" ca="1">INDIRECT("["&amp;datatable!$C$4&amp;"]"&amp;datatable!$B3&amp;"!"&amp;"Q55")</f>
        <v>High Incorrect</v>
      </c>
      <c r="X56" s="51" t="str" cm="1">
        <f t="array" aca="1" ref="X56" ca="1">INDIRECT("["&amp;datatable!$C$4&amp;"]"&amp;datatable!$B3&amp;"!"&amp;"Q56")</f>
        <v>High Incorrect</v>
      </c>
      <c r="Y56" s="50"/>
    </row>
    <row r="57" spans="3:25">
      <c r="C57" s="30" t="s">
        <v>39</v>
      </c>
      <c r="D57" s="51" t="str" cm="1">
        <f t="array" aca="1" ref="D57" ca="1">INDIRECT("["&amp;datatable!$C$4&amp;"]"&amp;datatable!$B4&amp;"!"&amp;"Q2")</f>
        <v>High Correct</v>
      </c>
      <c r="E57" s="51" t="str" cm="1">
        <f t="array" aca="1" ref="E57" ca="1">INDIRECT("["&amp;datatable!$C$4&amp;"]"&amp;datatable!$B4&amp;"!"&amp;"Q3")</f>
        <v>Low Incorrect</v>
      </c>
      <c r="F57" s="51" t="str" cm="1">
        <f t="array" aca="1" ref="F57" ca="1">INDIRECT("["&amp;datatable!$C$4&amp;"]"&amp;datatable!$B4&amp;"!"&amp;"Q4")</f>
        <v>High Maybe</v>
      </c>
      <c r="G57" s="51" t="str" cm="1">
        <f t="array" aca="1" ref="G57" ca="1">INDIRECT("["&amp;datatable!$C$4&amp;"]"&amp;datatable!$B4&amp;"!"&amp;"Q5")</f>
        <v>High Incorrect</v>
      </c>
      <c r="H57" s="51" t="str" cm="1">
        <f t="array" aca="1" ref="H57" ca="1">INDIRECT("["&amp;datatable!$C$4&amp;"]"&amp;datatable!$B4&amp;"!"&amp;"Q6")</f>
        <v>Medium Correct</v>
      </c>
      <c r="I57" s="51" t="str" cm="1">
        <f t="array" aca="1" ref="I57" ca="1">INDIRECT("["&amp;datatable!$C$4&amp;"]"&amp;datatable!$B4&amp;"!"&amp;"Q7")</f>
        <v>High Correct</v>
      </c>
      <c r="J57" s="51" t="str" cm="1">
        <f t="array" aca="1" ref="J57" ca="1">INDIRECT("["&amp;datatable!$C$4&amp;"]"&amp;datatable!$B4&amp;"!"&amp;"Q8")</f>
        <v>Medium Correct</v>
      </c>
      <c r="K57" s="51" t="str" cm="1">
        <f t="array" aca="1" ref="K57" ca="1">INDIRECT("["&amp;datatable!$C$4&amp;"]"&amp;datatable!$B4&amp;"!"&amp;"Q9")</f>
        <v>High Incorrect</v>
      </c>
      <c r="L57" s="51" t="str" cm="1">
        <f t="array" aca="1" ref="L57" ca="1">INDIRECT("["&amp;datatable!$C$4&amp;"]"&amp;datatable!$B4&amp;"!"&amp;"Q10")</f>
        <v>High Correct</v>
      </c>
      <c r="M57" s="51" t="str" cm="1">
        <f t="array" aca="1" ref="M57" ca="1">INDIRECT("["&amp;datatable!$C$4&amp;"]"&amp;datatable!$B4&amp;"!"&amp;"Q11")</f>
        <v>High Incorrect</v>
      </c>
      <c r="N57" s="51" t="str" cm="1">
        <f t="array" aca="1" ref="N57" ca="1">INDIRECT("["&amp;datatable!$C$4&amp;"]"&amp;datatable!$B4&amp;"!"&amp;"Q46")</f>
        <v>High Correct</v>
      </c>
      <c r="O57" s="51" t="str" cm="1">
        <f t="array" aca="1" ref="O57" ca="1">INDIRECT("["&amp;datatable!$C$4&amp;"]"&amp;datatable!$B4&amp;"!"&amp;"Q47")</f>
        <v>High Incorrect</v>
      </c>
      <c r="P57" s="51" t="str" cm="1">
        <f t="array" aca="1" ref="P57" ca="1">INDIRECT("["&amp;datatable!$C$4&amp;"]"&amp;datatable!$B4&amp;"!"&amp;"Q48")</f>
        <v>High Correct</v>
      </c>
      <c r="Q57" s="51" t="str" cm="1">
        <f t="array" aca="1" ref="Q57" ca="1">INDIRECT("["&amp;datatable!$C$4&amp;"]"&amp;datatable!$B4&amp;"!"&amp;"Q49")</f>
        <v>Low Incorrect</v>
      </c>
      <c r="R57" s="51" t="str" cm="1">
        <f t="array" aca="1" ref="R57" ca="1">INDIRECT("["&amp;datatable!$C$4&amp;"]"&amp;datatable!$B4&amp;"!"&amp;"Q50")</f>
        <v>High Correct</v>
      </c>
      <c r="S57" s="51" t="str" cm="1">
        <f t="array" aca="1" ref="S57" ca="1">INDIRECT("["&amp;datatable!$C$4&amp;"]"&amp;datatable!$B4&amp;"!"&amp;"Q51")</f>
        <v>High Correct</v>
      </c>
      <c r="T57" s="51" t="str" cm="1">
        <f t="array" aca="1" ref="T57" ca="1">INDIRECT("["&amp;datatable!$C$4&amp;"]"&amp;datatable!$B4&amp;"!"&amp;"Q52")</f>
        <v>N/A</v>
      </c>
      <c r="U57" s="51" t="str" cm="1">
        <f t="array" aca="1" ref="U57" ca="1">INDIRECT("["&amp;datatable!$C$4&amp;"]"&amp;datatable!$B4&amp;"!"&amp;"Q53")</f>
        <v>Low Maybe</v>
      </c>
      <c r="V57" s="51" t="str" cm="1">
        <f t="array" aca="1" ref="V57" ca="1">INDIRECT("["&amp;datatable!$C$4&amp;"]"&amp;datatable!$B4&amp;"!"&amp;"Q54")</f>
        <v>Medium Maybe</v>
      </c>
      <c r="W57" s="51" t="str" cm="1">
        <f t="array" aca="1" ref="W57" ca="1">INDIRECT("["&amp;datatable!$C$4&amp;"]"&amp;datatable!$B4&amp;"!"&amp;"Q55")</f>
        <v>High Correct</v>
      </c>
      <c r="X57" s="51" t="str" cm="1">
        <f t="array" aca="1" ref="X57" ca="1">INDIRECT("["&amp;datatable!$C$4&amp;"]"&amp;datatable!$B4&amp;"!"&amp;"Q56")</f>
        <v>N/A</v>
      </c>
      <c r="Y57" s="50"/>
    </row>
    <row r="58" spans="3:25">
      <c r="C58" s="30" t="s">
        <v>40</v>
      </c>
      <c r="D58" s="51" t="str" cm="1">
        <f t="array" aca="1" ref="D58" ca="1">INDIRECT("["&amp;datatable!$C$4&amp;"]"&amp;datatable!$B5&amp;"!"&amp;"Q2")</f>
        <v>High Correct</v>
      </c>
      <c r="E58" s="51" t="str" cm="1">
        <f t="array" aca="1" ref="E58" ca="1">INDIRECT("["&amp;datatable!$C$4&amp;"]"&amp;datatable!$B5&amp;"!"&amp;"Q3")</f>
        <v>Low Maybe</v>
      </c>
      <c r="F58" s="51" t="str" cm="1">
        <f t="array" aca="1" ref="F58" ca="1">INDIRECT("["&amp;datatable!$C$4&amp;"]"&amp;datatable!$B5&amp;"!"&amp;"Q4")</f>
        <v>Low Maybe</v>
      </c>
      <c r="G58" s="51" t="str" cm="1">
        <f t="array" aca="1" ref="G58" ca="1">INDIRECT("["&amp;datatable!$C$4&amp;"]"&amp;datatable!$B5&amp;"!"&amp;"Q5")</f>
        <v>High Incorrect</v>
      </c>
      <c r="H58" s="51" t="str" cm="1">
        <f t="array" aca="1" ref="H58" ca="1">INDIRECT("["&amp;datatable!$C$4&amp;"]"&amp;datatable!$B5&amp;"!"&amp;"Q6")</f>
        <v>Medium Correct</v>
      </c>
      <c r="I58" s="51" t="str" cm="1">
        <f t="array" aca="1" ref="I58" ca="1">INDIRECT("["&amp;datatable!$C$4&amp;"]"&amp;datatable!$B5&amp;"!"&amp;"Q7")</f>
        <v>Low Incorrect</v>
      </c>
      <c r="J58" s="51" t="str" cm="1">
        <f t="array" aca="1" ref="J58" ca="1">INDIRECT("["&amp;datatable!$C$4&amp;"]"&amp;datatable!$B5&amp;"!"&amp;"Q8")</f>
        <v>High Incorrect</v>
      </c>
      <c r="K58" s="51" t="str" cm="1">
        <f t="array" aca="1" ref="K58" ca="1">INDIRECT("["&amp;datatable!$C$4&amp;"]"&amp;datatable!$B5&amp;"!"&amp;"Q9")</f>
        <v>High Correct</v>
      </c>
      <c r="L58" s="51" t="str" cm="1">
        <f t="array" aca="1" ref="L58" ca="1">INDIRECT("["&amp;datatable!$C$4&amp;"]"&amp;datatable!$B5&amp;"!"&amp;"Q10")</f>
        <v>Medium Correct</v>
      </c>
      <c r="M58" s="51" t="str" cm="1">
        <f t="array" aca="1" ref="M58" ca="1">INDIRECT("["&amp;datatable!$C$4&amp;"]"&amp;datatable!$B5&amp;"!"&amp;"Q11")</f>
        <v>High Correct</v>
      </c>
      <c r="N58" s="51" t="str" cm="1">
        <f t="array" aca="1" ref="N58" ca="1">INDIRECT("["&amp;datatable!$C$4&amp;"]"&amp;datatable!$B5&amp;"!"&amp;"Q46")</f>
        <v>High Correct</v>
      </c>
      <c r="O58" s="51" t="str" cm="1">
        <f t="array" aca="1" ref="O58" ca="1">INDIRECT("["&amp;datatable!$C$4&amp;"]"&amp;datatable!$B5&amp;"!"&amp;"Q47")</f>
        <v>High Correct</v>
      </c>
      <c r="P58" s="51" t="str" cm="1">
        <f t="array" aca="1" ref="P58" ca="1">INDIRECT("["&amp;datatable!$C$4&amp;"]"&amp;datatable!$B5&amp;"!"&amp;"Q48")</f>
        <v>High Correct</v>
      </c>
      <c r="Q58" s="51" t="str" cm="1">
        <f t="array" aca="1" ref="Q58" ca="1">INDIRECT("["&amp;datatable!$C$4&amp;"]"&amp;datatable!$B5&amp;"!"&amp;"Q49")</f>
        <v>High Correct</v>
      </c>
      <c r="R58" s="51" t="str" cm="1">
        <f t="array" aca="1" ref="R58" ca="1">INDIRECT("["&amp;datatable!$C$4&amp;"]"&amp;datatable!$B5&amp;"!"&amp;"Q50")</f>
        <v>High Correct</v>
      </c>
      <c r="S58" s="51" t="str" cm="1">
        <f t="array" aca="1" ref="S58" ca="1">INDIRECT("["&amp;datatable!$C$4&amp;"]"&amp;datatable!$B5&amp;"!"&amp;"Q51")</f>
        <v>High Correct</v>
      </c>
      <c r="T58" s="51" t="str" cm="1">
        <f t="array" aca="1" ref="T58" ca="1">INDIRECT("["&amp;datatable!$C$4&amp;"]"&amp;datatable!$B5&amp;"!"&amp;"Q52")</f>
        <v>Medium Correct</v>
      </c>
      <c r="U58" s="51" t="str" cm="1">
        <f t="array" aca="1" ref="U58" ca="1">INDIRECT("["&amp;datatable!$C$4&amp;"]"&amp;datatable!$B5&amp;"!"&amp;"Q53")</f>
        <v>High Maybe</v>
      </c>
      <c r="V58" s="51" t="str" cm="1">
        <f t="array" aca="1" ref="V58" ca="1">INDIRECT("["&amp;datatable!$C$4&amp;"]"&amp;datatable!$B5&amp;"!"&amp;"Q54")</f>
        <v>Medium Correct</v>
      </c>
      <c r="W58" s="51" t="str" cm="1">
        <f t="array" aca="1" ref="W58" ca="1">INDIRECT("["&amp;datatable!$C$4&amp;"]"&amp;datatable!$B5&amp;"!"&amp;"Q55")</f>
        <v>High Maybe</v>
      </c>
      <c r="X58" s="51" t="str" cm="1">
        <f t="array" aca="1" ref="X58" ca="1">INDIRECT("["&amp;datatable!$C$4&amp;"]"&amp;datatable!$B5&amp;"!"&amp;"Q56")</f>
        <v>High Incorrect</v>
      </c>
      <c r="Y58" s="50"/>
    </row>
    <row r="59" spans="3:25">
      <c r="C59" s="30" t="s">
        <v>41</v>
      </c>
      <c r="D59" s="51" t="str" cm="1">
        <f t="array" aca="1" ref="D59" ca="1">INDIRECT("["&amp;datatable!$C$4&amp;"]"&amp;datatable!$B6&amp;"!"&amp;"Q2")</f>
        <v>High Correct</v>
      </c>
      <c r="E59" s="51" t="str" cm="1">
        <f t="array" aca="1" ref="E59" ca="1">INDIRECT("["&amp;datatable!$C$4&amp;"]"&amp;datatable!$B6&amp;"!"&amp;"Q3")</f>
        <v>High Correct</v>
      </c>
      <c r="F59" s="51" t="str" cm="1">
        <f t="array" aca="1" ref="F59" ca="1">INDIRECT("["&amp;datatable!$C$4&amp;"]"&amp;datatable!$B6&amp;"!"&amp;"Q4")</f>
        <v>Medium Maybe</v>
      </c>
      <c r="G59" s="51" t="str" cm="1">
        <f t="array" aca="1" ref="G59" ca="1">INDIRECT("["&amp;datatable!$C$4&amp;"]"&amp;datatable!$B6&amp;"!"&amp;"Q5")</f>
        <v>High Correct</v>
      </c>
      <c r="H59" s="51" t="str" cm="1">
        <f t="array" aca="1" ref="H59" ca="1">INDIRECT("["&amp;datatable!$C$4&amp;"]"&amp;datatable!$B6&amp;"!"&amp;"Q6")</f>
        <v>High Correct</v>
      </c>
      <c r="I59" s="51" t="str" cm="1">
        <f t="array" aca="1" ref="I59" ca="1">INDIRECT("["&amp;datatable!$C$4&amp;"]"&amp;datatable!$B6&amp;"!"&amp;"Q7")</f>
        <v>Medium Maybe</v>
      </c>
      <c r="J59" s="51" t="str" cm="1">
        <f t="array" aca="1" ref="J59" ca="1">INDIRECT("["&amp;datatable!$C$4&amp;"]"&amp;datatable!$B6&amp;"!"&amp;"Q8")</f>
        <v>Low Incorrect</v>
      </c>
      <c r="K59" s="51" t="str" cm="1">
        <f t="array" aca="1" ref="K59" ca="1">INDIRECT("["&amp;datatable!$C$4&amp;"]"&amp;datatable!$B6&amp;"!"&amp;"Q9")</f>
        <v>High Incorrect</v>
      </c>
      <c r="L59" s="51" t="str" cm="1">
        <f t="array" aca="1" ref="L59" ca="1">INDIRECT("["&amp;datatable!$C$4&amp;"]"&amp;datatable!$B6&amp;"!"&amp;"Q10")</f>
        <v>High Maybe</v>
      </c>
      <c r="M59" s="51" t="str" cm="1">
        <f t="array" aca="1" ref="M59" ca="1">INDIRECT("["&amp;datatable!$C$4&amp;"]"&amp;datatable!$B6&amp;"!"&amp;"Q11")</f>
        <v>High Correct</v>
      </c>
      <c r="N59" s="51" t="str" cm="1">
        <f t="array" aca="1" ref="N59" ca="1">INDIRECT("["&amp;datatable!$C$4&amp;"]"&amp;datatable!$B6&amp;"!"&amp;"Q46")</f>
        <v>High Correct</v>
      </c>
      <c r="O59" s="51" t="str" cm="1">
        <f t="array" aca="1" ref="O59" ca="1">INDIRECT("["&amp;datatable!$C$4&amp;"]"&amp;datatable!$B6&amp;"!"&amp;"Q47")</f>
        <v>Medium Maybe</v>
      </c>
      <c r="P59" s="51" t="str" cm="1">
        <f t="array" aca="1" ref="P59" ca="1">INDIRECT("["&amp;datatable!$C$4&amp;"]"&amp;datatable!$B6&amp;"!"&amp;"Q48")</f>
        <v>High Correct</v>
      </c>
      <c r="Q59" s="51" t="str" cm="1">
        <f t="array" aca="1" ref="Q59" ca="1">INDIRECT("["&amp;datatable!$C$4&amp;"]"&amp;datatable!$B6&amp;"!"&amp;"Q49")</f>
        <v>High Correct</v>
      </c>
      <c r="R59" s="51" t="str" cm="1">
        <f t="array" aca="1" ref="R59" ca="1">INDIRECT("["&amp;datatable!$C$4&amp;"]"&amp;datatable!$B6&amp;"!"&amp;"Q50")</f>
        <v>High Correct</v>
      </c>
      <c r="S59" s="51" t="str" cm="1">
        <f t="array" aca="1" ref="S59" ca="1">INDIRECT("["&amp;datatable!$C$4&amp;"]"&amp;datatable!$B6&amp;"!"&amp;"Q51")</f>
        <v>High Incorrect</v>
      </c>
      <c r="T59" s="51" t="str" cm="1">
        <f t="array" aca="1" ref="T59" ca="1">INDIRECT("["&amp;datatable!$C$4&amp;"]"&amp;datatable!$B6&amp;"!"&amp;"Q52")</f>
        <v>High Maybe</v>
      </c>
      <c r="U59" s="51" t="str" cm="1">
        <f t="array" aca="1" ref="U59" ca="1">INDIRECT("["&amp;datatable!$C$4&amp;"]"&amp;datatable!$B6&amp;"!"&amp;"Q53")</f>
        <v>Medium Incorrect</v>
      </c>
      <c r="V59" s="51" t="str" cm="1">
        <f t="array" aca="1" ref="V59" ca="1">INDIRECT("["&amp;datatable!$C$4&amp;"]"&amp;datatable!$B6&amp;"!"&amp;"Q54")</f>
        <v>Medium Correct</v>
      </c>
      <c r="W59" s="51" t="str" cm="1">
        <f t="array" aca="1" ref="W59" ca="1">INDIRECT("["&amp;datatable!$C$4&amp;"]"&amp;datatable!$B6&amp;"!"&amp;"Q55")</f>
        <v>High Maybe</v>
      </c>
      <c r="X59" s="51" t="str" cm="1">
        <f t="array" aca="1" ref="X59" ca="1">INDIRECT("["&amp;datatable!$C$4&amp;"]"&amp;datatable!$B6&amp;"!"&amp;"Q56")</f>
        <v>N/A</v>
      </c>
      <c r="Y59" s="50"/>
    </row>
    <row r="60" spans="3:25">
      <c r="C60" s="30" t="s">
        <v>42</v>
      </c>
      <c r="D60" s="51" t="str" cm="1">
        <f t="array" aca="1" ref="D60" ca="1">INDIRECT("["&amp;datatable!$C$4&amp;"]"&amp;datatable!$B7&amp;"!"&amp;"Q2")</f>
        <v>High Correct</v>
      </c>
      <c r="E60" s="51" t="str" cm="1">
        <f t="array" aca="1" ref="E60" ca="1">INDIRECT("["&amp;datatable!$C$4&amp;"]"&amp;datatable!$B7&amp;"!"&amp;"Q3")</f>
        <v>High Correct</v>
      </c>
      <c r="F60" s="51" t="str" cm="1">
        <f t="array" aca="1" ref="F60" ca="1">INDIRECT("["&amp;datatable!$C$4&amp;"]"&amp;datatable!$B7&amp;"!"&amp;"Q4")</f>
        <v>High Maybe</v>
      </c>
      <c r="G60" s="51" t="str" cm="1">
        <f t="array" aca="1" ref="G60" ca="1">INDIRECT("["&amp;datatable!$C$4&amp;"]"&amp;datatable!$B7&amp;"!"&amp;"Q5")</f>
        <v>High Correct</v>
      </c>
      <c r="H60" s="51" t="str" cm="1">
        <f t="array" aca="1" ref="H60" ca="1">INDIRECT("["&amp;datatable!$C$4&amp;"]"&amp;datatable!$B7&amp;"!"&amp;"Q6")</f>
        <v>N/A</v>
      </c>
      <c r="I60" s="51" t="str" cm="1">
        <f t="array" aca="1" ref="I60" ca="1">INDIRECT("["&amp;datatable!$C$4&amp;"]"&amp;datatable!$B7&amp;"!"&amp;"Q7")</f>
        <v>High Correct</v>
      </c>
      <c r="J60" s="51" t="str" cm="1">
        <f t="array" aca="1" ref="J60" ca="1">INDIRECT("["&amp;datatable!$C$4&amp;"]"&amp;datatable!$B7&amp;"!"&amp;"Q8")</f>
        <v>Low Incorrect</v>
      </c>
      <c r="K60" s="51" t="str" cm="1">
        <f t="array" aca="1" ref="K60" ca="1">INDIRECT("["&amp;datatable!$C$4&amp;"]"&amp;datatable!$B7&amp;"!"&amp;"Q9")</f>
        <v>High Correct</v>
      </c>
      <c r="L60" s="51" t="str" cm="1">
        <f t="array" aca="1" ref="L60" ca="1">INDIRECT("["&amp;datatable!$C$4&amp;"]"&amp;datatable!$B7&amp;"!"&amp;"Q10")</f>
        <v>N/A</v>
      </c>
      <c r="M60" s="51" t="str" cm="1">
        <f t="array" aca="1" ref="M60" ca="1">INDIRECT("["&amp;datatable!$C$4&amp;"]"&amp;datatable!$B7&amp;"!"&amp;"Q11")</f>
        <v>High Correct</v>
      </c>
      <c r="N60" s="51" t="str" cm="1">
        <f t="array" aca="1" ref="N60" ca="1">INDIRECT("["&amp;datatable!$C$4&amp;"]"&amp;datatable!$B7&amp;"!"&amp;"Q46")</f>
        <v>N/A</v>
      </c>
      <c r="O60" s="51" t="str" cm="1">
        <f t="array" aca="1" ref="O60" ca="1">INDIRECT("["&amp;datatable!$C$4&amp;"]"&amp;datatable!$B7&amp;"!"&amp;"Q47")</f>
        <v>N/A</v>
      </c>
      <c r="P60" s="51" t="str" cm="1">
        <f t="array" aca="1" ref="P60" ca="1">INDIRECT("["&amp;datatable!$C$4&amp;"]"&amp;datatable!$B7&amp;"!"&amp;"Q48")</f>
        <v>N/A</v>
      </c>
      <c r="Q60" s="51" t="str" cm="1">
        <f t="array" aca="1" ref="Q60" ca="1">INDIRECT("["&amp;datatable!$C$4&amp;"]"&amp;datatable!$B7&amp;"!"&amp;"Q49")</f>
        <v>N/A</v>
      </c>
      <c r="R60" s="51" t="str" cm="1">
        <f t="array" aca="1" ref="R60" ca="1">INDIRECT("["&amp;datatable!$C$4&amp;"]"&amp;datatable!$B7&amp;"!"&amp;"Q50")</f>
        <v>N/A</v>
      </c>
      <c r="S60" s="51" t="str" cm="1">
        <f t="array" aca="1" ref="S60" ca="1">INDIRECT("["&amp;datatable!$C$4&amp;"]"&amp;datatable!$B7&amp;"!"&amp;"Q51")</f>
        <v>N/A</v>
      </c>
      <c r="T60" s="51" t="str" cm="1">
        <f t="array" aca="1" ref="T60" ca="1">INDIRECT("["&amp;datatable!$C$4&amp;"]"&amp;datatable!$B7&amp;"!"&amp;"Q52")</f>
        <v>N/A</v>
      </c>
      <c r="U60" s="51" t="str" cm="1">
        <f t="array" aca="1" ref="U60" ca="1">INDIRECT("["&amp;datatable!$C$4&amp;"]"&amp;datatable!$B7&amp;"!"&amp;"Q53")</f>
        <v>Medium Maybe</v>
      </c>
      <c r="V60" s="51" t="str" cm="1">
        <f t="array" aca="1" ref="V60" ca="1">INDIRECT("["&amp;datatable!$C$4&amp;"]"&amp;datatable!$B7&amp;"!"&amp;"Q54")</f>
        <v>N/A</v>
      </c>
      <c r="W60" s="51" t="str" cm="1">
        <f t="array" aca="1" ref="W60" ca="1">INDIRECT("["&amp;datatable!$C$4&amp;"]"&amp;datatable!$B7&amp;"!"&amp;"Q55")</f>
        <v>N/A</v>
      </c>
      <c r="X60" s="51" t="str" cm="1">
        <f t="array" aca="1" ref="X60" ca="1">INDIRECT("["&amp;datatable!$C$4&amp;"]"&amp;datatable!$B7&amp;"!"&amp;"Q56")</f>
        <v>N/A</v>
      </c>
      <c r="Y60" s="50"/>
    </row>
    <row r="61" spans="3:25">
      <c r="C61" s="30" t="s">
        <v>43</v>
      </c>
      <c r="D61" s="51" t="str" cm="1">
        <f t="array" aca="1" ref="D61" ca="1">INDIRECT("["&amp;datatable!$C$4&amp;"]"&amp;datatable!$B8&amp;"!"&amp;"Q2")</f>
        <v>High Correct</v>
      </c>
      <c r="E61" s="51" t="str" cm="1">
        <f t="array" aca="1" ref="E61" ca="1">INDIRECT("["&amp;datatable!$C$4&amp;"]"&amp;datatable!$B8&amp;"!"&amp;"Q3")</f>
        <v>High Correct</v>
      </c>
      <c r="F61" s="51" t="str" cm="1">
        <f t="array" aca="1" ref="F61" ca="1">INDIRECT("["&amp;datatable!$C$4&amp;"]"&amp;datatable!$B8&amp;"!"&amp;"Q4")</f>
        <v>High Incorrect</v>
      </c>
      <c r="G61" s="51" t="str" cm="1">
        <f t="array" aca="1" ref="G61" ca="1">INDIRECT("["&amp;datatable!$C$4&amp;"]"&amp;datatable!$B8&amp;"!"&amp;"Q5")</f>
        <v>High Correct</v>
      </c>
      <c r="H61" s="51" t="str" cm="1">
        <f t="array" aca="1" ref="H61" ca="1">INDIRECT("["&amp;datatable!$C$4&amp;"]"&amp;datatable!$B8&amp;"!"&amp;"Q6")</f>
        <v>Low Correct</v>
      </c>
      <c r="I61" s="51" t="str" cm="1">
        <f t="array" aca="1" ref="I61" ca="1">INDIRECT("["&amp;datatable!$C$4&amp;"]"&amp;datatable!$B8&amp;"!"&amp;"Q7")</f>
        <v>High Correct</v>
      </c>
      <c r="J61" s="51" t="str" cm="1">
        <f t="array" aca="1" ref="J61" ca="1">INDIRECT("["&amp;datatable!$C$4&amp;"]"&amp;datatable!$B8&amp;"!"&amp;"Q8")</f>
        <v>High Correct</v>
      </c>
      <c r="K61" s="51" t="str" cm="1">
        <f t="array" aca="1" ref="K61" ca="1">INDIRECT("["&amp;datatable!$C$4&amp;"]"&amp;datatable!$B8&amp;"!"&amp;"Q9")</f>
        <v>High Correct</v>
      </c>
      <c r="L61" s="51" t="str" cm="1">
        <f t="array" aca="1" ref="L61" ca="1">INDIRECT("["&amp;datatable!$C$4&amp;"]"&amp;datatable!$B8&amp;"!"&amp;"Q10")</f>
        <v>High Correct</v>
      </c>
      <c r="M61" s="51" t="str" cm="1">
        <f t="array" aca="1" ref="M61" ca="1">INDIRECT("["&amp;datatable!$C$4&amp;"]"&amp;datatable!$B8&amp;"!"&amp;"Q11")</f>
        <v>High Correct</v>
      </c>
      <c r="N61" s="51" t="str" cm="1">
        <f t="array" aca="1" ref="N61" ca="1">INDIRECT("["&amp;datatable!$C$4&amp;"]"&amp;datatable!$B8&amp;"!"&amp;"Q46")</f>
        <v>High Correct</v>
      </c>
      <c r="O61" s="51" t="str" cm="1">
        <f t="array" aca="1" ref="O61" ca="1">INDIRECT("["&amp;datatable!$C$4&amp;"]"&amp;datatable!$B8&amp;"!"&amp;"Q47")</f>
        <v>Medium Maybe</v>
      </c>
      <c r="P61" s="51" t="str" cm="1">
        <f t="array" aca="1" ref="P61" ca="1">INDIRECT("["&amp;datatable!$C$4&amp;"]"&amp;datatable!$B8&amp;"!"&amp;"Q48")</f>
        <v>High Correct</v>
      </c>
      <c r="Q61" s="51" t="str" cm="1">
        <f t="array" aca="1" ref="Q61" ca="1">INDIRECT("["&amp;datatable!$C$4&amp;"]"&amp;datatable!$B8&amp;"!"&amp;"Q49")</f>
        <v>Low Maybe</v>
      </c>
      <c r="R61" s="51" t="str" cm="1">
        <f t="array" aca="1" ref="R61" ca="1">INDIRECT("["&amp;datatable!$C$4&amp;"]"&amp;datatable!$B8&amp;"!"&amp;"Q50")</f>
        <v>High Correct</v>
      </c>
      <c r="S61" s="51" t="str" cm="1">
        <f t="array" aca="1" ref="S61" ca="1">INDIRECT("["&amp;datatable!$C$4&amp;"]"&amp;datatable!$B8&amp;"!"&amp;"Q51")</f>
        <v>High Correct</v>
      </c>
      <c r="T61" s="51" t="str" cm="1">
        <f t="array" aca="1" ref="T61" ca="1">INDIRECT("["&amp;datatable!$C$4&amp;"]"&amp;datatable!$B8&amp;"!"&amp;"Q52")</f>
        <v>N/A</v>
      </c>
      <c r="U61" s="51" t="str" cm="1">
        <f t="array" aca="1" ref="U61" ca="1">INDIRECT("["&amp;datatable!$C$4&amp;"]"&amp;datatable!$B8&amp;"!"&amp;"Q53")</f>
        <v>High Incorrect</v>
      </c>
      <c r="V61" s="51" t="str" cm="1">
        <f t="array" aca="1" ref="V61" ca="1">INDIRECT("["&amp;datatable!$C$4&amp;"]"&amp;datatable!$B8&amp;"!"&amp;"Q54")</f>
        <v>Medium Correct</v>
      </c>
      <c r="W61" s="51" t="str" cm="1">
        <f t="array" aca="1" ref="W61" ca="1">INDIRECT("["&amp;datatable!$C$4&amp;"]"&amp;datatable!$B8&amp;"!"&amp;"Q55")</f>
        <v>Medium Maybe</v>
      </c>
      <c r="X61" s="51" t="str" cm="1">
        <f t="array" aca="1" ref="X61" ca="1">INDIRECT("["&amp;datatable!$C$4&amp;"]"&amp;datatable!$B8&amp;"!"&amp;"Q56")</f>
        <v>N/A</v>
      </c>
      <c r="Y61" s="50"/>
    </row>
    <row r="62" spans="3:25">
      <c r="C62" s="30" t="s">
        <v>44</v>
      </c>
      <c r="D62" s="51" t="str" cm="1">
        <f t="array" aca="1" ref="D62" ca="1">INDIRECT("["&amp;datatable!$C$4&amp;"]"&amp;datatable!$B9&amp;"!"&amp;"Q2")</f>
        <v>High Correct</v>
      </c>
      <c r="E62" s="51" t="str" cm="1">
        <f t="array" aca="1" ref="E62" ca="1">INDIRECT("["&amp;datatable!$C$4&amp;"]"&amp;datatable!$B9&amp;"!"&amp;"Q3")</f>
        <v>High Maybe</v>
      </c>
      <c r="F62" s="51" t="str" cm="1">
        <f t="array" aca="1" ref="F62" ca="1">INDIRECT("["&amp;datatable!$C$4&amp;"]"&amp;datatable!$B9&amp;"!"&amp;"Q4")</f>
        <v>High Correct</v>
      </c>
      <c r="G62" s="51" t="str" cm="1">
        <f t="array" aca="1" ref="G62" ca="1">INDIRECT("["&amp;datatable!$C$4&amp;"]"&amp;datatable!$B9&amp;"!"&amp;"Q5")</f>
        <v>High Correct</v>
      </c>
      <c r="H62" s="51" t="str" cm="1">
        <f t="array" aca="1" ref="H62" ca="1">INDIRECT("["&amp;datatable!$C$4&amp;"]"&amp;datatable!$B9&amp;"!"&amp;"Q6")</f>
        <v>High Correct</v>
      </c>
      <c r="I62" s="51" t="str" cm="1">
        <f t="array" aca="1" ref="I62" ca="1">INDIRECT("["&amp;datatable!$C$4&amp;"]"&amp;datatable!$B9&amp;"!"&amp;"Q7")</f>
        <v>High Correct</v>
      </c>
      <c r="J62" s="51" t="str" cm="1">
        <f t="array" aca="1" ref="J62" ca="1">INDIRECT("["&amp;datatable!$C$4&amp;"]"&amp;datatable!$B9&amp;"!"&amp;"Q8")</f>
        <v>High Correct</v>
      </c>
      <c r="K62" s="51" t="str" cm="1">
        <f t="array" aca="1" ref="K62" ca="1">INDIRECT("["&amp;datatable!$C$4&amp;"]"&amp;datatable!$B9&amp;"!"&amp;"Q9")</f>
        <v>High Correct</v>
      </c>
      <c r="L62" s="51" t="str" cm="1">
        <f t="array" aca="1" ref="L62" ca="1">INDIRECT("["&amp;datatable!$C$4&amp;"]"&amp;datatable!$B9&amp;"!"&amp;"Q10")</f>
        <v>High Correct</v>
      </c>
      <c r="M62" s="51" t="str" cm="1">
        <f t="array" aca="1" ref="M62" ca="1">INDIRECT("["&amp;datatable!$C$4&amp;"]"&amp;datatable!$B9&amp;"!"&amp;"Q11")</f>
        <v>High Maybe</v>
      </c>
      <c r="N62" s="51" t="str" cm="1">
        <f t="array" aca="1" ref="N62" ca="1">INDIRECT("["&amp;datatable!$C$4&amp;"]"&amp;datatable!$B9&amp;"!"&amp;"Q46")</f>
        <v>High Correct</v>
      </c>
      <c r="O62" s="51" t="str" cm="1">
        <f t="array" aca="1" ref="O62" ca="1">INDIRECT("["&amp;datatable!$C$4&amp;"]"&amp;datatable!$B9&amp;"!"&amp;"Q47")</f>
        <v>Medium Correct</v>
      </c>
      <c r="P62" s="51" t="str" cm="1">
        <f t="array" aca="1" ref="P62" ca="1">INDIRECT("["&amp;datatable!$C$4&amp;"]"&amp;datatable!$B9&amp;"!"&amp;"Q48")</f>
        <v>High Correct</v>
      </c>
      <c r="Q62" s="51" t="str" cm="1">
        <f t="array" aca="1" ref="Q62" ca="1">INDIRECT("["&amp;datatable!$C$4&amp;"]"&amp;datatable!$B9&amp;"!"&amp;"Q49")</f>
        <v>High Correct</v>
      </c>
      <c r="R62" s="51" t="str" cm="1">
        <f t="array" aca="1" ref="R62" ca="1">INDIRECT("["&amp;datatable!$C$4&amp;"]"&amp;datatable!$B9&amp;"!"&amp;"Q50")</f>
        <v>High Correct</v>
      </c>
      <c r="S62" s="51" t="str" cm="1">
        <f t="array" aca="1" ref="S62" ca="1">INDIRECT("["&amp;datatable!$C$4&amp;"]"&amp;datatable!$B9&amp;"!"&amp;"Q51")</f>
        <v>High Correct</v>
      </c>
      <c r="T62" s="51" t="str" cm="1">
        <f t="array" aca="1" ref="T62" ca="1">INDIRECT("["&amp;datatable!$C$4&amp;"]"&amp;datatable!$B9&amp;"!"&amp;"Q52")</f>
        <v>High Incorrect</v>
      </c>
      <c r="U62" s="51" t="str" cm="1">
        <f t="array" aca="1" ref="U62" ca="1">INDIRECT("["&amp;datatable!$C$4&amp;"]"&amp;datatable!$B9&amp;"!"&amp;"Q53")</f>
        <v>Medium Correct</v>
      </c>
      <c r="V62" s="51" t="str" cm="1">
        <f t="array" aca="1" ref="V62" ca="1">INDIRECT("["&amp;datatable!$C$4&amp;"]"&amp;datatable!$B9&amp;"!"&amp;"Q54")</f>
        <v>Medium Correct</v>
      </c>
      <c r="W62" s="51" t="str" cm="1">
        <f t="array" aca="1" ref="W62" ca="1">INDIRECT("["&amp;datatable!$C$4&amp;"]"&amp;datatable!$B9&amp;"!"&amp;"Q55")</f>
        <v>Medium Maybe</v>
      </c>
      <c r="X62" s="51" t="str" cm="1">
        <f t="array" aca="1" ref="X62" ca="1">INDIRECT("["&amp;datatable!$C$4&amp;"]"&amp;datatable!$B9&amp;"!"&amp;"Q56")</f>
        <v>N/A</v>
      </c>
      <c r="Y62" s="50"/>
    </row>
    <row r="63" spans="3:25">
      <c r="C63" s="30" t="s">
        <v>45</v>
      </c>
      <c r="D63" s="51" t="str" cm="1">
        <f t="array" aca="1" ref="D63" ca="1">INDIRECT("["&amp;datatable!$C$4&amp;"]"&amp;datatable!$B10&amp;"!"&amp;"Q2")</f>
        <v>High Correct</v>
      </c>
      <c r="E63" s="51" t="str" cm="1">
        <f t="array" aca="1" ref="E63" ca="1">INDIRECT("["&amp;datatable!$C$4&amp;"]"&amp;datatable!$B10&amp;"!"&amp;"Q3")</f>
        <v>High Correct</v>
      </c>
      <c r="F63" s="51" t="str" cm="1">
        <f t="array" aca="1" ref="F63" ca="1">INDIRECT("["&amp;datatable!$C$4&amp;"]"&amp;datatable!$B10&amp;"!"&amp;"Q4")</f>
        <v>High Incorrect</v>
      </c>
      <c r="G63" s="51" t="str" cm="1">
        <f t="array" aca="1" ref="G63" ca="1">INDIRECT("["&amp;datatable!$C$4&amp;"]"&amp;datatable!$B10&amp;"!"&amp;"Q5")</f>
        <v>Medium Maybe</v>
      </c>
      <c r="H63" s="51" t="str" cm="1">
        <f t="array" aca="1" ref="H63" ca="1">INDIRECT("["&amp;datatable!$C$4&amp;"]"&amp;datatable!$B10&amp;"!"&amp;"Q6")</f>
        <v>N/A</v>
      </c>
      <c r="I63" s="51" t="str" cm="1">
        <f t="array" aca="1" ref="I63" ca="1">INDIRECT("["&amp;datatable!$C$4&amp;"]"&amp;datatable!$B10&amp;"!"&amp;"Q7")</f>
        <v>High Maybe</v>
      </c>
      <c r="J63" s="51" t="str" cm="1">
        <f t="array" aca="1" ref="J63" ca="1">INDIRECT("["&amp;datatable!$C$4&amp;"]"&amp;datatable!$B10&amp;"!"&amp;"Q8")</f>
        <v>Low Correct</v>
      </c>
      <c r="K63" s="51" t="str" cm="1">
        <f t="array" aca="1" ref="K63" ca="1">INDIRECT("["&amp;datatable!$C$4&amp;"]"&amp;datatable!$B10&amp;"!"&amp;"Q9")</f>
        <v>High Incorrect</v>
      </c>
      <c r="L63" s="51" t="str" cm="1">
        <f t="array" aca="1" ref="L63" ca="1">INDIRECT("["&amp;datatable!$C$4&amp;"]"&amp;datatable!$B10&amp;"!"&amp;"Q10")</f>
        <v>High Maybe</v>
      </c>
      <c r="M63" s="51" t="str" cm="1">
        <f t="array" aca="1" ref="M63" ca="1">INDIRECT("["&amp;datatable!$C$4&amp;"]"&amp;datatable!$B10&amp;"!"&amp;"Q11")</f>
        <v>High Incorrect</v>
      </c>
      <c r="N63" s="51" t="str" cm="1">
        <f t="array" aca="1" ref="N63" ca="1">INDIRECT("["&amp;datatable!$C$4&amp;"]"&amp;datatable!$B10&amp;"!"&amp;"Q46")</f>
        <v>High Correct</v>
      </c>
      <c r="O63" s="51" t="str" cm="1">
        <f t="array" aca="1" ref="O63" ca="1">INDIRECT("["&amp;datatable!$C$4&amp;"]"&amp;datatable!$B10&amp;"!"&amp;"Q47")</f>
        <v>N/A</v>
      </c>
      <c r="P63" s="51" t="str" cm="1">
        <f t="array" aca="1" ref="P63" ca="1">INDIRECT("["&amp;datatable!$C$4&amp;"]"&amp;datatable!$B10&amp;"!"&amp;"Q48")</f>
        <v>High Correct</v>
      </c>
      <c r="Q63" s="51" t="str" cm="1">
        <f t="array" aca="1" ref="Q63" ca="1">INDIRECT("["&amp;datatable!$C$4&amp;"]"&amp;datatable!$B10&amp;"!"&amp;"Q49")</f>
        <v>Medium Incorrect</v>
      </c>
      <c r="R63" s="51" t="str" cm="1">
        <f t="array" aca="1" ref="R63" ca="1">INDIRECT("["&amp;datatable!$C$4&amp;"]"&amp;datatable!$B10&amp;"!"&amp;"Q50")</f>
        <v>Medium Maybe</v>
      </c>
      <c r="S63" s="51" t="str" cm="1">
        <f t="array" aca="1" ref="S63" ca="1">INDIRECT("["&amp;datatable!$C$4&amp;"]"&amp;datatable!$B10&amp;"!"&amp;"Q51")</f>
        <v>Low Incorrect</v>
      </c>
      <c r="T63" s="51" t="str" cm="1">
        <f t="array" aca="1" ref="T63" ca="1">INDIRECT("["&amp;datatable!$C$4&amp;"]"&amp;datatable!$B10&amp;"!"&amp;"Q52")</f>
        <v>N/A</v>
      </c>
      <c r="U63" s="51" t="str" cm="1">
        <f t="array" aca="1" ref="U63" ca="1">INDIRECT("["&amp;datatable!$C$4&amp;"]"&amp;datatable!$B10&amp;"!"&amp;"Q53")</f>
        <v>Medium Incorrect</v>
      </c>
      <c r="V63" s="51" t="str" cm="1">
        <f t="array" aca="1" ref="V63" ca="1">INDIRECT("["&amp;datatable!$C$4&amp;"]"&amp;datatable!$B10&amp;"!"&amp;"Q54")</f>
        <v>Medium Correct</v>
      </c>
      <c r="W63" s="51" t="str" cm="1">
        <f t="array" aca="1" ref="W63" ca="1">INDIRECT("["&amp;datatable!$C$4&amp;"]"&amp;datatable!$B10&amp;"!"&amp;"Q55")</f>
        <v>Medium Maybe</v>
      </c>
      <c r="X63" s="51" t="str" cm="1">
        <f t="array" aca="1" ref="X63" ca="1">INDIRECT("["&amp;datatable!$C$4&amp;"]"&amp;datatable!$B10&amp;"!"&amp;"Q56")</f>
        <v>High Maybe</v>
      </c>
      <c r="Y63" s="50"/>
    </row>
    <row r="64" spans="3:25">
      <c r="C64" s="30" t="s">
        <v>46</v>
      </c>
      <c r="D64" s="51" t="str" cm="1">
        <f t="array" aca="1" ref="D64" ca="1">INDIRECT("["&amp;datatable!$C$4&amp;"]"&amp;datatable!$B11&amp;"!"&amp;"Q2")</f>
        <v>Medium Incorrect</v>
      </c>
      <c r="E64" s="51" t="str" cm="1">
        <f t="array" aca="1" ref="E64" ca="1">INDIRECT("["&amp;datatable!$C$4&amp;"]"&amp;datatable!$B11&amp;"!"&amp;"Q3")</f>
        <v>Low Maybe</v>
      </c>
      <c r="F64" s="51" t="str" cm="1">
        <f t="array" aca="1" ref="F64" ca="1">INDIRECT("["&amp;datatable!$C$4&amp;"]"&amp;datatable!$B11&amp;"!"&amp;"Q4")</f>
        <v>Medium Maybe</v>
      </c>
      <c r="G64" s="51" t="str" cm="1">
        <f t="array" aca="1" ref="G64" ca="1">INDIRECT("["&amp;datatable!$C$4&amp;"]"&amp;datatable!$B11&amp;"!"&amp;"Q5")</f>
        <v>Medium Maybe</v>
      </c>
      <c r="H64" s="51" t="str" cm="1">
        <f t="array" aca="1" ref="H64" ca="1">INDIRECT("["&amp;datatable!$C$4&amp;"]"&amp;datatable!$B11&amp;"!"&amp;"Q6")</f>
        <v>Low Correct</v>
      </c>
      <c r="I64" s="51" t="str" cm="1">
        <f t="array" aca="1" ref="I64" ca="1">INDIRECT("["&amp;datatable!$C$4&amp;"]"&amp;datatable!$B11&amp;"!"&amp;"Q7")</f>
        <v>Low Maybe</v>
      </c>
      <c r="J64" s="51" t="str" cm="1">
        <f t="array" aca="1" ref="J64" ca="1">INDIRECT("["&amp;datatable!$C$4&amp;"]"&amp;datatable!$B11&amp;"!"&amp;"Q8")</f>
        <v>High Incorrect</v>
      </c>
      <c r="K64" s="51" t="str" cm="1">
        <f t="array" aca="1" ref="K64" ca="1">INDIRECT("["&amp;datatable!$C$4&amp;"]"&amp;datatable!$B11&amp;"!"&amp;"Q9")</f>
        <v>High Maybe</v>
      </c>
      <c r="L64" s="51" t="str" cm="1">
        <f t="array" aca="1" ref="L64" ca="1">INDIRECT("["&amp;datatable!$C$4&amp;"]"&amp;datatable!$B11&amp;"!"&amp;"Q10")</f>
        <v>Medium Correct</v>
      </c>
      <c r="M64" s="51" t="str" cm="1">
        <f t="array" aca="1" ref="M64" ca="1">INDIRECT("["&amp;datatable!$C$4&amp;"]"&amp;datatable!$B11&amp;"!"&amp;"Q11")</f>
        <v>High Maybe</v>
      </c>
      <c r="N64" s="51" t="str" cm="1">
        <f t="array" aca="1" ref="N64" ca="1">INDIRECT("["&amp;datatable!$C$4&amp;"]"&amp;datatable!$B11&amp;"!"&amp;"Q46")</f>
        <v>High Correct</v>
      </c>
      <c r="O64" s="51" t="str" cm="1">
        <f t="array" aca="1" ref="O64" ca="1">INDIRECT("["&amp;datatable!$C$4&amp;"]"&amp;datatable!$B11&amp;"!"&amp;"Q47")</f>
        <v>Low Incorrect</v>
      </c>
      <c r="P64" s="51" t="str" cm="1">
        <f t="array" aca="1" ref="P64" ca="1">INDIRECT("["&amp;datatable!$C$4&amp;"]"&amp;datatable!$B11&amp;"!"&amp;"Q48")</f>
        <v>High Correct</v>
      </c>
      <c r="Q64" s="51" t="str" cm="1">
        <f t="array" aca="1" ref="Q64" ca="1">INDIRECT("["&amp;datatable!$C$4&amp;"]"&amp;datatable!$B11&amp;"!"&amp;"Q49")</f>
        <v>High Correct</v>
      </c>
      <c r="R64" s="51" t="str" cm="1">
        <f t="array" aca="1" ref="R64" ca="1">INDIRECT("["&amp;datatable!$C$4&amp;"]"&amp;datatable!$B11&amp;"!"&amp;"Q50")</f>
        <v>High Correct</v>
      </c>
      <c r="S64" s="51" t="str" cm="1">
        <f t="array" aca="1" ref="S64" ca="1">INDIRECT("["&amp;datatable!$C$4&amp;"]"&amp;datatable!$B11&amp;"!"&amp;"Q51")</f>
        <v>High Correct</v>
      </c>
      <c r="T64" s="51" t="str" cm="1">
        <f t="array" aca="1" ref="T64" ca="1">INDIRECT("["&amp;datatable!$C$4&amp;"]"&amp;datatable!$B11&amp;"!"&amp;"Q52")</f>
        <v>Medium Correct</v>
      </c>
      <c r="U64" s="51" t="str" cm="1">
        <f t="array" aca="1" ref="U64" ca="1">INDIRECT("["&amp;datatable!$C$4&amp;"]"&amp;datatable!$B11&amp;"!"&amp;"Q53")</f>
        <v>Medium Incorrect</v>
      </c>
      <c r="V64" s="51" t="str" cm="1">
        <f t="array" aca="1" ref="V64" ca="1">INDIRECT("["&amp;datatable!$C$4&amp;"]"&amp;datatable!$B11&amp;"!"&amp;"Q54")</f>
        <v>Medium Correct</v>
      </c>
      <c r="W64" s="51" t="str" cm="1">
        <f t="array" aca="1" ref="W64" ca="1">INDIRECT("["&amp;datatable!$C$4&amp;"]"&amp;datatable!$B11&amp;"!"&amp;"Q55")</f>
        <v>High Maybe</v>
      </c>
      <c r="X64" s="51" t="str" cm="1">
        <f t="array" aca="1" ref="X64" ca="1">INDIRECT("["&amp;datatable!$C$4&amp;"]"&amp;datatable!$B11&amp;"!"&amp;"Q56")</f>
        <v>High Incorrect</v>
      </c>
      <c r="Y64" s="50"/>
    </row>
    <row r="65" spans="3:25">
      <c r="C65" s="30" t="s">
        <v>47</v>
      </c>
      <c r="D65" s="51" t="str" cm="1">
        <f t="array" aca="1" ref="D65" ca="1">INDIRECT("["&amp;datatable!$C$4&amp;"]"&amp;datatable!$B12&amp;"!"&amp;"Q2")</f>
        <v>High Maybe</v>
      </c>
      <c r="E65" s="51" t="str" cm="1">
        <f t="array" aca="1" ref="E65" ca="1">INDIRECT("["&amp;datatable!$C$4&amp;"]"&amp;datatable!$B12&amp;"!"&amp;"Q3")</f>
        <v>High Incorrect</v>
      </c>
      <c r="F65" s="51" t="str" cm="1">
        <f t="array" aca="1" ref="F65" ca="1">INDIRECT("["&amp;datatable!$C$4&amp;"]"&amp;datatable!$B12&amp;"!"&amp;"Q4")</f>
        <v>High Incorrect</v>
      </c>
      <c r="G65" s="51" t="str" cm="1">
        <f t="array" aca="1" ref="G65" ca="1">INDIRECT("["&amp;datatable!$C$4&amp;"]"&amp;datatable!$B12&amp;"!"&amp;"Q5")</f>
        <v>Medium Maybe</v>
      </c>
      <c r="H65" s="51" t="str" cm="1">
        <f t="array" aca="1" ref="H65" ca="1">INDIRECT("["&amp;datatable!$C$4&amp;"]"&amp;datatable!$B12&amp;"!"&amp;"Q6")</f>
        <v>High Correct</v>
      </c>
      <c r="I65" s="51" t="str" cm="1">
        <f t="array" aca="1" ref="I65" ca="1">INDIRECT("["&amp;datatable!$C$4&amp;"]"&amp;datatable!$B12&amp;"!"&amp;"Q7")</f>
        <v>Medium Maybe</v>
      </c>
      <c r="J65" s="51" t="str" cm="1">
        <f t="array" aca="1" ref="J65" ca="1">INDIRECT("["&amp;datatable!$C$4&amp;"]"&amp;datatable!$B12&amp;"!"&amp;"Q8")</f>
        <v>High Incorrect</v>
      </c>
      <c r="K65" s="51" t="str" cm="1">
        <f t="array" aca="1" ref="K65" ca="1">INDIRECT("["&amp;datatable!$C$4&amp;"]"&amp;datatable!$B12&amp;"!"&amp;"Q9")</f>
        <v>High Incorrect</v>
      </c>
      <c r="L65" s="51" t="str" cm="1">
        <f t="array" aca="1" ref="L65" ca="1">INDIRECT("["&amp;datatable!$C$4&amp;"]"&amp;datatable!$B12&amp;"!"&amp;"Q10")</f>
        <v>Medium Maybe</v>
      </c>
      <c r="M65" s="51" t="str" cm="1">
        <f t="array" aca="1" ref="M65" ca="1">INDIRECT("["&amp;datatable!$C$4&amp;"]"&amp;datatable!$B12&amp;"!"&amp;"Q11")</f>
        <v>High Maybe</v>
      </c>
      <c r="N65" s="51" t="str" cm="1">
        <f t="array" aca="1" ref="N65" ca="1">INDIRECT("["&amp;datatable!$C$4&amp;"]"&amp;datatable!$B12&amp;"!"&amp;"Q46")</f>
        <v>High Correct</v>
      </c>
      <c r="O65" s="51" t="str" cm="1">
        <f t="array" aca="1" ref="O65" ca="1">INDIRECT("["&amp;datatable!$C$4&amp;"]"&amp;datatable!$B12&amp;"!"&amp;"Q47")</f>
        <v>High Maybe</v>
      </c>
      <c r="P65" s="51" t="str" cm="1">
        <f t="array" aca="1" ref="P65" ca="1">INDIRECT("["&amp;datatable!$C$4&amp;"]"&amp;datatable!$B12&amp;"!"&amp;"Q48")</f>
        <v>Low Correct</v>
      </c>
      <c r="Q65" s="51" t="str" cm="1">
        <f t="array" aca="1" ref="Q65" ca="1">INDIRECT("["&amp;datatable!$C$4&amp;"]"&amp;datatable!$B12&amp;"!"&amp;"Q49")</f>
        <v>High Maybe</v>
      </c>
      <c r="R65" s="51" t="str" cm="1">
        <f t="array" aca="1" ref="R65" ca="1">INDIRECT("["&amp;datatable!$C$4&amp;"]"&amp;datatable!$B12&amp;"!"&amp;"Q50")</f>
        <v>High Maybe</v>
      </c>
      <c r="S65" s="51" t="str" cm="1">
        <f t="array" aca="1" ref="S65" ca="1">INDIRECT("["&amp;datatable!$C$4&amp;"]"&amp;datatable!$B12&amp;"!"&amp;"Q51")</f>
        <v>High Maybe</v>
      </c>
      <c r="T65" s="51" t="str" cm="1">
        <f t="array" aca="1" ref="T65" ca="1">INDIRECT("["&amp;datatable!$C$4&amp;"]"&amp;datatable!$B12&amp;"!"&amp;"Q52")</f>
        <v>Medium Correct</v>
      </c>
      <c r="U65" s="51" t="str" cm="1">
        <f t="array" aca="1" ref="U65" ca="1">INDIRECT("["&amp;datatable!$C$4&amp;"]"&amp;datatable!$B12&amp;"!"&amp;"Q53")</f>
        <v>Medium Maybe</v>
      </c>
      <c r="V65" s="51" t="str" cm="1">
        <f t="array" aca="1" ref="V65" ca="1">INDIRECT("["&amp;datatable!$C$4&amp;"]"&amp;datatable!$B12&amp;"!"&amp;"Q54")</f>
        <v>Medium Correct</v>
      </c>
      <c r="W65" s="51" t="str" cm="1">
        <f t="array" aca="1" ref="W65" ca="1">INDIRECT("["&amp;datatable!$C$4&amp;"]"&amp;datatable!$B12&amp;"!"&amp;"Q55")</f>
        <v>High Incorrect</v>
      </c>
      <c r="X65" s="51" t="str" cm="1">
        <f t="array" aca="1" ref="X65" ca="1">INDIRECT("["&amp;datatable!$C$4&amp;"]"&amp;datatable!$B12&amp;"!"&amp;"Q56")</f>
        <v>High Incorrect</v>
      </c>
      <c r="Y65" s="50"/>
    </row>
    <row r="66" spans="3:25">
      <c r="C66" s="30" t="s">
        <v>48</v>
      </c>
      <c r="D66" s="51" t="str" cm="1">
        <f t="array" aca="1" ref="D66" ca="1">INDIRECT("["&amp;datatable!$C$4&amp;"]"&amp;datatable!$B13&amp;"!"&amp;"Q2")</f>
        <v>High Correct</v>
      </c>
      <c r="E66" s="51" t="str" cm="1">
        <f t="array" aca="1" ref="E66" ca="1">INDIRECT("["&amp;datatable!$C$4&amp;"]"&amp;datatable!$B13&amp;"!"&amp;"Q3")</f>
        <v>High Correct</v>
      </c>
      <c r="F66" s="51" t="str" cm="1">
        <f t="array" aca="1" ref="F66" ca="1">INDIRECT("["&amp;datatable!$C$4&amp;"]"&amp;datatable!$B13&amp;"!"&amp;"Q4")</f>
        <v>High Incorrect</v>
      </c>
      <c r="G66" s="51" t="str" cm="1">
        <f t="array" aca="1" ref="G66" ca="1">INDIRECT("["&amp;datatable!$C$4&amp;"]"&amp;datatable!$B13&amp;"!"&amp;"Q5")</f>
        <v>High Correct</v>
      </c>
      <c r="H66" s="51" t="str" cm="1">
        <f t="array" aca="1" ref="H66" ca="1">INDIRECT("["&amp;datatable!$C$4&amp;"]"&amp;datatable!$B13&amp;"!"&amp;"Q6")</f>
        <v>High Correct</v>
      </c>
      <c r="I66" s="51" t="str" cm="1">
        <f t="array" aca="1" ref="I66" ca="1">INDIRECT("["&amp;datatable!$C$4&amp;"]"&amp;datatable!$B13&amp;"!"&amp;"Q7")</f>
        <v>High Correct</v>
      </c>
      <c r="J66" s="51" t="str" cm="1">
        <f t="array" aca="1" ref="J66" ca="1">INDIRECT("["&amp;datatable!$C$4&amp;"]"&amp;datatable!$B13&amp;"!"&amp;"Q8")</f>
        <v>High Incorrect</v>
      </c>
      <c r="K66" s="51" t="str" cm="1">
        <f t="array" aca="1" ref="K66" ca="1">INDIRECT("["&amp;datatable!$C$4&amp;"]"&amp;datatable!$B13&amp;"!"&amp;"Q9")</f>
        <v>High Correct</v>
      </c>
      <c r="L66" s="51" t="str" cm="1">
        <f t="array" aca="1" ref="L66" ca="1">INDIRECT("["&amp;datatable!$C$4&amp;"]"&amp;datatable!$B13&amp;"!"&amp;"Q10")</f>
        <v>High Correct</v>
      </c>
      <c r="M66" s="51" t="str" cm="1">
        <f t="array" aca="1" ref="M66" ca="1">INDIRECT("["&amp;datatable!$C$4&amp;"]"&amp;datatable!$B13&amp;"!"&amp;"Q11")</f>
        <v>High Correct</v>
      </c>
      <c r="N66" s="51" t="str" cm="1">
        <f t="array" aca="1" ref="N66" ca="1">INDIRECT("["&amp;datatable!$C$4&amp;"]"&amp;datatable!$B13&amp;"!"&amp;"Q46")</f>
        <v>High Correct</v>
      </c>
      <c r="O66" s="51" t="str" cm="1">
        <f t="array" aca="1" ref="O66" ca="1">INDIRECT("["&amp;datatable!$C$4&amp;"]"&amp;datatable!$B13&amp;"!"&amp;"Q47")</f>
        <v>High Correct</v>
      </c>
      <c r="P66" s="51" t="str" cm="1">
        <f t="array" aca="1" ref="P66" ca="1">INDIRECT("["&amp;datatable!$C$4&amp;"]"&amp;datatable!$B13&amp;"!"&amp;"Q48")</f>
        <v>High Correct</v>
      </c>
      <c r="Q66" s="51" t="str" cm="1">
        <f t="array" aca="1" ref="Q66" ca="1">INDIRECT("["&amp;datatable!$C$4&amp;"]"&amp;datatable!$B13&amp;"!"&amp;"Q49")</f>
        <v>High Correct</v>
      </c>
      <c r="R66" s="51" t="str" cm="1">
        <f t="array" aca="1" ref="R66" ca="1">INDIRECT("["&amp;datatable!$C$4&amp;"]"&amp;datatable!$B13&amp;"!"&amp;"Q50")</f>
        <v>Medium Correct</v>
      </c>
      <c r="S66" s="51" t="str" cm="1">
        <f t="array" aca="1" ref="S66" ca="1">INDIRECT("["&amp;datatable!$C$4&amp;"]"&amp;datatable!$B13&amp;"!"&amp;"Q51")</f>
        <v>High Correct</v>
      </c>
      <c r="T66" s="51" t="str" cm="1">
        <f t="array" aca="1" ref="T66" ca="1">INDIRECT("["&amp;datatable!$C$4&amp;"]"&amp;datatable!$B13&amp;"!"&amp;"Q52")</f>
        <v>Medium Correct</v>
      </c>
      <c r="U66" s="51" t="str" cm="1">
        <f t="array" aca="1" ref="U66" ca="1">INDIRECT("["&amp;datatable!$C$4&amp;"]"&amp;datatable!$B13&amp;"!"&amp;"Q53")</f>
        <v>Low Incorrect</v>
      </c>
      <c r="V66" s="51" t="str" cm="1">
        <f t="array" aca="1" ref="V66" ca="1">INDIRECT("["&amp;datatable!$C$4&amp;"]"&amp;datatable!$B13&amp;"!"&amp;"Q54")</f>
        <v>Low Correct</v>
      </c>
      <c r="W66" s="51" t="str" cm="1">
        <f t="array" aca="1" ref="W66" ca="1">INDIRECT("["&amp;datatable!$C$4&amp;"]"&amp;datatable!$B13&amp;"!"&amp;"Q55")</f>
        <v>Medium Maybe</v>
      </c>
      <c r="X66" s="51" t="str" cm="1">
        <f t="array" aca="1" ref="X66" ca="1">INDIRECT("["&amp;datatable!$C$4&amp;"]"&amp;datatable!$B13&amp;"!"&amp;"Q56")</f>
        <v>High Incorrect</v>
      </c>
      <c r="Y66" s="50"/>
    </row>
    <row r="67" spans="3:25">
      <c r="C67" s="30" t="s">
        <v>49</v>
      </c>
      <c r="D67" s="51" t="str" cm="1">
        <f t="array" aca="1" ref="D67" ca="1">INDIRECT("["&amp;datatable!$C$4&amp;"]"&amp;datatable!$B14&amp;"!"&amp;"Q2")</f>
        <v>High Incorrect</v>
      </c>
      <c r="E67" s="51" t="str" cm="1">
        <f t="array" aca="1" ref="E67" ca="1">INDIRECT("["&amp;datatable!$C$4&amp;"]"&amp;datatable!$B14&amp;"!"&amp;"Q3")</f>
        <v>High Correct</v>
      </c>
      <c r="F67" s="51" t="str" cm="1">
        <f t="array" aca="1" ref="F67" ca="1">INDIRECT("["&amp;datatable!$C$4&amp;"]"&amp;datatable!$B14&amp;"!"&amp;"Q4")</f>
        <v>High Incorrect</v>
      </c>
      <c r="G67" s="51" t="str" cm="1">
        <f t="array" aca="1" ref="G67" ca="1">INDIRECT("["&amp;datatable!$C$4&amp;"]"&amp;datatable!$B14&amp;"!"&amp;"Q5")</f>
        <v>High Incorrect</v>
      </c>
      <c r="H67" s="51" t="str" cm="1">
        <f t="array" aca="1" ref="H67" ca="1">INDIRECT("["&amp;datatable!$C$4&amp;"]"&amp;datatable!$B14&amp;"!"&amp;"Q6")</f>
        <v>High Incorrect</v>
      </c>
      <c r="I67" s="51" t="str" cm="1">
        <f t="array" aca="1" ref="I67" ca="1">INDIRECT("["&amp;datatable!$C$4&amp;"]"&amp;datatable!$B14&amp;"!"&amp;"Q7")</f>
        <v>High Incorrect</v>
      </c>
      <c r="J67" s="51" t="str" cm="1">
        <f t="array" aca="1" ref="J67" ca="1">INDIRECT("["&amp;datatable!$C$4&amp;"]"&amp;datatable!$B14&amp;"!"&amp;"Q8")</f>
        <v>High Incorrect</v>
      </c>
      <c r="K67" s="51" t="str" cm="1">
        <f t="array" aca="1" ref="K67" ca="1">INDIRECT("["&amp;datatable!$C$4&amp;"]"&amp;datatable!$B14&amp;"!"&amp;"Q9")</f>
        <v>N/A</v>
      </c>
      <c r="L67" s="51" t="str" cm="1">
        <f t="array" aca="1" ref="L67" ca="1">INDIRECT("["&amp;datatable!$C$4&amp;"]"&amp;datatable!$B14&amp;"!"&amp;"Q10")</f>
        <v>N/A</v>
      </c>
      <c r="M67" s="51" t="str" cm="1">
        <f t="array" aca="1" ref="M67" ca="1">INDIRECT("["&amp;datatable!$C$4&amp;"]"&amp;datatable!$B14&amp;"!"&amp;"Q11")</f>
        <v>Low Incorrect</v>
      </c>
      <c r="N67" s="51" t="str" cm="1">
        <f t="array" aca="1" ref="N67" ca="1">INDIRECT("["&amp;datatable!$C$4&amp;"]"&amp;datatable!$B14&amp;"!"&amp;"Q46")</f>
        <v>High Correct</v>
      </c>
      <c r="O67" s="51" t="str" cm="1">
        <f t="array" aca="1" ref="O67" ca="1">INDIRECT("["&amp;datatable!$C$4&amp;"]"&amp;datatable!$B14&amp;"!"&amp;"Q47")</f>
        <v>High Maybe</v>
      </c>
      <c r="P67" s="51" t="str" cm="1">
        <f t="array" aca="1" ref="P67" ca="1">INDIRECT("["&amp;datatable!$C$4&amp;"]"&amp;datatable!$B14&amp;"!"&amp;"Q48")</f>
        <v>Low Correct</v>
      </c>
      <c r="Q67" s="51" t="str" cm="1">
        <f t="array" aca="1" ref="Q67" ca="1">INDIRECT("["&amp;datatable!$C$4&amp;"]"&amp;datatable!$B14&amp;"!"&amp;"Q49")</f>
        <v>High Correct</v>
      </c>
      <c r="R67" s="51" t="str" cm="1">
        <f t="array" aca="1" ref="R67" ca="1">INDIRECT("["&amp;datatable!$C$4&amp;"]"&amp;datatable!$B14&amp;"!"&amp;"Q50")</f>
        <v>High Correct</v>
      </c>
      <c r="S67" s="51" t="str" cm="1">
        <f t="array" aca="1" ref="S67" ca="1">INDIRECT("["&amp;datatable!$C$4&amp;"]"&amp;datatable!$B14&amp;"!"&amp;"Q51")</f>
        <v>Medium Maybe</v>
      </c>
      <c r="T67" s="51" t="str" cm="1">
        <f t="array" aca="1" ref="T67" ca="1">INDIRECT("["&amp;datatable!$C$4&amp;"]"&amp;datatable!$B14&amp;"!"&amp;"Q52")</f>
        <v>Low Incorrect</v>
      </c>
      <c r="U67" s="51" t="str" cm="1">
        <f t="array" aca="1" ref="U67" ca="1">INDIRECT("["&amp;datatable!$C$4&amp;"]"&amp;datatable!$B14&amp;"!"&amp;"Q53")</f>
        <v>Medium Maybe</v>
      </c>
      <c r="V67" s="51" t="str" cm="1">
        <f t="array" aca="1" ref="V67" ca="1">INDIRECT("["&amp;datatable!$C$4&amp;"]"&amp;datatable!$B14&amp;"!"&amp;"Q54")</f>
        <v>High Maybe</v>
      </c>
      <c r="W67" s="51" t="str" cm="1">
        <f t="array" aca="1" ref="W67" ca="1">INDIRECT("["&amp;datatable!$C$4&amp;"]"&amp;datatable!$B14&amp;"!"&amp;"Q55")</f>
        <v>High Incorrect</v>
      </c>
      <c r="X67" s="51" t="str" cm="1">
        <f t="array" aca="1" ref="X67" ca="1">INDIRECT("["&amp;datatable!$C$4&amp;"]"&amp;datatable!$B14&amp;"!"&amp;"Q56")</f>
        <v>N/A</v>
      </c>
      <c r="Y67" s="50"/>
    </row>
    <row r="68" spans="3:25">
      <c r="C68" s="30" t="s">
        <v>50</v>
      </c>
      <c r="D68" s="51" t="str" cm="1">
        <f t="array" aca="1" ref="D68" ca="1">INDIRECT("["&amp;datatable!$C$4&amp;"]"&amp;datatable!$B15&amp;"!"&amp;"Q2")</f>
        <v>High Incorrect</v>
      </c>
      <c r="E68" s="51" t="str" cm="1">
        <f t="array" aca="1" ref="E68" ca="1">INDIRECT("["&amp;datatable!$C$4&amp;"]"&amp;datatable!$B15&amp;"!"&amp;"Q3")</f>
        <v>High Maybe</v>
      </c>
      <c r="F68" s="51" t="str" cm="1">
        <f t="array" aca="1" ref="F68" ca="1">INDIRECT("["&amp;datatable!$C$4&amp;"]"&amp;datatable!$B15&amp;"!"&amp;"Q4")</f>
        <v>High Incorrect</v>
      </c>
      <c r="G68" s="51" t="str" cm="1">
        <f t="array" aca="1" ref="G68" ca="1">INDIRECT("["&amp;datatable!$C$4&amp;"]"&amp;datatable!$B15&amp;"!"&amp;"Q5")</f>
        <v>Medium Maybe</v>
      </c>
      <c r="H68" s="51" t="str" cm="1">
        <f t="array" aca="1" ref="H68" ca="1">INDIRECT("["&amp;datatable!$C$4&amp;"]"&amp;datatable!$B15&amp;"!"&amp;"Q6")</f>
        <v>Medium Incorrect</v>
      </c>
      <c r="I68" s="51" t="str" cm="1">
        <f t="array" aca="1" ref="I68" ca="1">INDIRECT("["&amp;datatable!$C$4&amp;"]"&amp;datatable!$B15&amp;"!"&amp;"Q7")</f>
        <v>High Maybe</v>
      </c>
      <c r="J68" s="51" t="str" cm="1">
        <f t="array" aca="1" ref="J68" ca="1">INDIRECT("["&amp;datatable!$C$4&amp;"]"&amp;datatable!$B15&amp;"!"&amp;"Q8")</f>
        <v>High Incorrect</v>
      </c>
      <c r="K68" s="51" t="str" cm="1">
        <f t="array" aca="1" ref="K68" ca="1">INDIRECT("["&amp;datatable!$C$4&amp;"]"&amp;datatable!$B15&amp;"!"&amp;"Q9")</f>
        <v>Low Incorrect</v>
      </c>
      <c r="L68" s="51" t="str" cm="1">
        <f t="array" aca="1" ref="L68" ca="1">INDIRECT("["&amp;datatable!$C$4&amp;"]"&amp;datatable!$B15&amp;"!"&amp;"Q10")</f>
        <v>High Correct</v>
      </c>
      <c r="M68" s="51" t="str" cm="1">
        <f t="array" aca="1" ref="M68" ca="1">INDIRECT("["&amp;datatable!$C$4&amp;"]"&amp;datatable!$B15&amp;"!"&amp;"Q11")</f>
        <v>High Maybe</v>
      </c>
      <c r="N68" s="51" t="str" cm="1">
        <f t="array" aca="1" ref="N68" ca="1">INDIRECT("["&amp;datatable!$C$4&amp;"]"&amp;datatable!$B15&amp;"!"&amp;"Q46")</f>
        <v>High Correct</v>
      </c>
      <c r="O68" s="51" t="str" cm="1">
        <f t="array" aca="1" ref="O68" ca="1">INDIRECT("["&amp;datatable!$C$4&amp;"]"&amp;datatable!$B15&amp;"!"&amp;"Q47")</f>
        <v>High Correct</v>
      </c>
      <c r="P68" s="51" t="str" cm="1">
        <f t="array" aca="1" ref="P68" ca="1">INDIRECT("["&amp;datatable!$C$4&amp;"]"&amp;datatable!$B15&amp;"!"&amp;"Q48")</f>
        <v>High Maybe</v>
      </c>
      <c r="Q68" s="51" t="str" cm="1">
        <f t="array" aca="1" ref="Q68" ca="1">INDIRECT("["&amp;datatable!$C$4&amp;"]"&amp;datatable!$B15&amp;"!"&amp;"Q49")</f>
        <v>High Maybe</v>
      </c>
      <c r="R68" s="51" t="str" cm="1">
        <f t="array" aca="1" ref="R68" ca="1">INDIRECT("["&amp;datatable!$C$4&amp;"]"&amp;datatable!$B15&amp;"!"&amp;"Q50")</f>
        <v>Medium Maybe</v>
      </c>
      <c r="S68" s="51" t="str" cm="1">
        <f t="array" aca="1" ref="S68" ca="1">INDIRECT("["&amp;datatable!$C$4&amp;"]"&amp;datatable!$B15&amp;"!"&amp;"Q51")</f>
        <v>High Correct</v>
      </c>
      <c r="T68" s="51" t="str" cm="1">
        <f t="array" aca="1" ref="T68" ca="1">INDIRECT("["&amp;datatable!$C$4&amp;"]"&amp;datatable!$B15&amp;"!"&amp;"Q52")</f>
        <v>Medium Correct</v>
      </c>
      <c r="U68" s="51" t="str" cm="1">
        <f t="array" aca="1" ref="U68" ca="1">INDIRECT("["&amp;datatable!$C$4&amp;"]"&amp;datatable!$B15&amp;"!"&amp;"Q53")</f>
        <v>Low Maybe</v>
      </c>
      <c r="V68" s="51" t="str" cm="1">
        <f t="array" aca="1" ref="V68" ca="1">INDIRECT("["&amp;datatable!$C$4&amp;"]"&amp;datatable!$B15&amp;"!"&amp;"Q54")</f>
        <v>Medium Correct</v>
      </c>
      <c r="W68" s="51" t="str" cm="1">
        <f t="array" aca="1" ref="W68" ca="1">INDIRECT("["&amp;datatable!$C$4&amp;"]"&amp;datatable!$B15&amp;"!"&amp;"Q55")</f>
        <v>Medium Maybe</v>
      </c>
      <c r="X68" s="51" t="str" cm="1">
        <f t="array" aca="1" ref="X68" ca="1">INDIRECT("["&amp;datatable!$C$4&amp;"]"&amp;datatable!$B15&amp;"!"&amp;"Q56")</f>
        <v>High Incorrect</v>
      </c>
      <c r="Y68" s="50"/>
    </row>
    <row r="69" spans="3:25">
      <c r="C69" s="30" t="s">
        <v>51</v>
      </c>
      <c r="D69" s="51" t="str" cm="1">
        <f t="array" aca="1" ref="D69" ca="1">INDIRECT("["&amp;datatable!$C$4&amp;"]"&amp;datatable!$B16&amp;"!"&amp;"Q2")</f>
        <v>High Maybe</v>
      </c>
      <c r="E69" s="51" t="str" cm="1">
        <f t="array" aca="1" ref="E69" ca="1">INDIRECT("["&amp;datatable!$C$4&amp;"]"&amp;datatable!$B16&amp;"!"&amp;"Q3")</f>
        <v>High Incorrect</v>
      </c>
      <c r="F69" s="51" t="str" cm="1">
        <f t="array" aca="1" ref="F69" ca="1">INDIRECT("["&amp;datatable!$C$4&amp;"]"&amp;datatable!$B16&amp;"!"&amp;"Q4")</f>
        <v>High Incorrect</v>
      </c>
      <c r="G69" s="51" t="str" cm="1">
        <f t="array" aca="1" ref="G69" ca="1">INDIRECT("["&amp;datatable!$C$4&amp;"]"&amp;datatable!$B16&amp;"!"&amp;"Q5")</f>
        <v>High Incorrect</v>
      </c>
      <c r="H69" s="51" t="str" cm="1">
        <f t="array" aca="1" ref="H69" ca="1">INDIRECT("["&amp;datatable!$C$4&amp;"]"&amp;datatable!$B16&amp;"!"&amp;"Q6")</f>
        <v>High Incorrect</v>
      </c>
      <c r="I69" s="51" t="str" cm="1">
        <f t="array" aca="1" ref="I69" ca="1">INDIRECT("["&amp;datatable!$C$4&amp;"]"&amp;datatable!$B16&amp;"!"&amp;"Q7")</f>
        <v>High Incorrect</v>
      </c>
      <c r="J69" s="51" t="str" cm="1">
        <f t="array" aca="1" ref="J69" ca="1">INDIRECT("["&amp;datatable!$C$4&amp;"]"&amp;datatable!$B16&amp;"!"&amp;"Q8")</f>
        <v>High Incorrect</v>
      </c>
      <c r="K69" s="51" t="str" cm="1">
        <f t="array" aca="1" ref="K69" ca="1">INDIRECT("["&amp;datatable!$C$4&amp;"]"&amp;datatable!$B16&amp;"!"&amp;"Q9")</f>
        <v>High Incorrect</v>
      </c>
      <c r="L69" s="51" t="str" cm="1">
        <f t="array" aca="1" ref="L69" ca="1">INDIRECT("["&amp;datatable!$C$4&amp;"]"&amp;datatable!$B16&amp;"!"&amp;"Q10")</f>
        <v>High Incorrect</v>
      </c>
      <c r="M69" s="51" t="str" cm="1">
        <f t="array" aca="1" ref="M69" ca="1">INDIRECT("["&amp;datatable!$C$4&amp;"]"&amp;datatable!$B16&amp;"!"&amp;"Q11")</f>
        <v>High Incorrect</v>
      </c>
      <c r="N69" s="51" t="str" cm="1">
        <f t="array" aca="1" ref="N69" ca="1">INDIRECT("["&amp;datatable!$C$4&amp;"]"&amp;datatable!$B16&amp;"!"&amp;"Q46")</f>
        <v>High Correct</v>
      </c>
      <c r="O69" s="51" t="str" cm="1">
        <f t="array" aca="1" ref="O69" ca="1">INDIRECT("["&amp;datatable!$C$4&amp;"]"&amp;datatable!$B16&amp;"!"&amp;"Q47")</f>
        <v>High Incorrect</v>
      </c>
      <c r="P69" s="51" t="str" cm="1">
        <f t="array" aca="1" ref="P69" ca="1">INDIRECT("["&amp;datatable!$C$4&amp;"]"&amp;datatable!$B16&amp;"!"&amp;"Q48")</f>
        <v>N/A</v>
      </c>
      <c r="Q69" s="51" t="str" cm="1">
        <f t="array" aca="1" ref="Q69" ca="1">INDIRECT("["&amp;datatable!$C$4&amp;"]"&amp;datatable!$B16&amp;"!"&amp;"Q49")</f>
        <v>High Correct</v>
      </c>
      <c r="R69" s="51" t="str" cm="1">
        <f t="array" aca="1" ref="R69" ca="1">INDIRECT("["&amp;datatable!$C$4&amp;"]"&amp;datatable!$B16&amp;"!"&amp;"Q50")</f>
        <v>High Incorrect</v>
      </c>
      <c r="S69" s="51" t="str" cm="1">
        <f t="array" aca="1" ref="S69" ca="1">INDIRECT("["&amp;datatable!$C$4&amp;"]"&amp;datatable!$B16&amp;"!"&amp;"Q51")</f>
        <v>High Incorrect</v>
      </c>
      <c r="T69" s="51" t="str" cm="1">
        <f t="array" aca="1" ref="T69" ca="1">INDIRECT("["&amp;datatable!$C$4&amp;"]"&amp;datatable!$B16&amp;"!"&amp;"Q52")</f>
        <v>N/A</v>
      </c>
      <c r="U69" s="51" t="str" cm="1">
        <f t="array" aca="1" ref="U69" ca="1">INDIRECT("["&amp;datatable!$C$4&amp;"]"&amp;datatable!$B16&amp;"!"&amp;"Q53")</f>
        <v>High Incorrect</v>
      </c>
      <c r="V69" s="51" t="str" cm="1">
        <f t="array" aca="1" ref="V69" ca="1">INDIRECT("["&amp;datatable!$C$4&amp;"]"&amp;datatable!$B16&amp;"!"&amp;"Q54")</f>
        <v>Low Correct</v>
      </c>
      <c r="W69" s="51" t="str" cm="1">
        <f t="array" aca="1" ref="W69" ca="1">INDIRECT("["&amp;datatable!$C$4&amp;"]"&amp;datatable!$B16&amp;"!"&amp;"Q55")</f>
        <v>High Incorrect</v>
      </c>
      <c r="X69" s="51" t="str" cm="1">
        <f t="array" aca="1" ref="X69" ca="1">INDIRECT("["&amp;datatable!$C$4&amp;"]"&amp;datatable!$B16&amp;"!"&amp;"Q56")</f>
        <v>High Incorrect</v>
      </c>
      <c r="Y69" s="50"/>
    </row>
    <row r="70" spans="3:25">
      <c r="C70" s="30" t="s">
        <v>52</v>
      </c>
      <c r="D70" s="51" t="str" cm="1">
        <f t="array" aca="1" ref="D70" ca="1">INDIRECT("["&amp;datatable!$C$4&amp;"]"&amp;datatable!$B17&amp;"!"&amp;"Q2")</f>
        <v>High Correct</v>
      </c>
      <c r="E70" s="51" t="str" cm="1">
        <f t="array" aca="1" ref="E70" ca="1">INDIRECT("["&amp;datatable!$C$4&amp;"]"&amp;datatable!$B17&amp;"!"&amp;"Q3")</f>
        <v>High Correct</v>
      </c>
      <c r="F70" s="51" t="str" cm="1">
        <f t="array" aca="1" ref="F70" ca="1">INDIRECT("["&amp;datatable!$C$4&amp;"]"&amp;datatable!$B17&amp;"!"&amp;"Q4")</f>
        <v>High Incorrect</v>
      </c>
      <c r="G70" s="51" t="str" cm="1">
        <f t="array" aca="1" ref="G70" ca="1">INDIRECT("["&amp;datatable!$C$4&amp;"]"&amp;datatable!$B17&amp;"!"&amp;"Q5")</f>
        <v>High Correct</v>
      </c>
      <c r="H70" s="51" t="str" cm="1">
        <f t="array" aca="1" ref="H70" ca="1">INDIRECT("["&amp;datatable!$C$4&amp;"]"&amp;datatable!$B17&amp;"!"&amp;"Q6")</f>
        <v>High Maybe</v>
      </c>
      <c r="I70" s="51" t="str" cm="1">
        <f t="array" aca="1" ref="I70" ca="1">INDIRECT("["&amp;datatable!$C$4&amp;"]"&amp;datatable!$B17&amp;"!"&amp;"Q7")</f>
        <v>High Correct</v>
      </c>
      <c r="J70" s="51" t="str" cm="1">
        <f t="array" aca="1" ref="J70" ca="1">INDIRECT("["&amp;datatable!$C$4&amp;"]"&amp;datatable!$B17&amp;"!"&amp;"Q8")</f>
        <v>High Incorrect</v>
      </c>
      <c r="K70" s="51" t="str" cm="1">
        <f t="array" aca="1" ref="K70" ca="1">INDIRECT("["&amp;datatable!$C$4&amp;"]"&amp;datatable!$B17&amp;"!"&amp;"Q9")</f>
        <v>High Correct</v>
      </c>
      <c r="L70" s="51" t="str" cm="1">
        <f t="array" aca="1" ref="L70" ca="1">INDIRECT("["&amp;datatable!$C$4&amp;"]"&amp;datatable!$B17&amp;"!"&amp;"Q10")</f>
        <v>High Correct</v>
      </c>
      <c r="M70" s="51" t="str" cm="1">
        <f t="array" aca="1" ref="M70" ca="1">INDIRECT("["&amp;datatable!$C$4&amp;"]"&amp;datatable!$B17&amp;"!"&amp;"Q11")</f>
        <v>High Correct</v>
      </c>
      <c r="N70" s="51" t="str" cm="1">
        <f t="array" aca="1" ref="N70" ca="1">INDIRECT("["&amp;datatable!$C$4&amp;"]"&amp;datatable!$B17&amp;"!"&amp;"Q46")</f>
        <v>High Correct</v>
      </c>
      <c r="O70" s="51" t="str" cm="1">
        <f t="array" aca="1" ref="O70" ca="1">INDIRECT("["&amp;datatable!$C$4&amp;"]"&amp;datatable!$B17&amp;"!"&amp;"Q47")</f>
        <v>High Correct</v>
      </c>
      <c r="P70" s="51" t="str" cm="1">
        <f t="array" aca="1" ref="P70" ca="1">INDIRECT("["&amp;datatable!$C$4&amp;"]"&amp;datatable!$B17&amp;"!"&amp;"Q48")</f>
        <v>High Correct</v>
      </c>
      <c r="Q70" s="51" t="str" cm="1">
        <f t="array" aca="1" ref="Q70" ca="1">INDIRECT("["&amp;datatable!$C$4&amp;"]"&amp;datatable!$B17&amp;"!"&amp;"Q49")</f>
        <v>High Correct</v>
      </c>
      <c r="R70" s="51" t="str" cm="1">
        <f t="array" aca="1" ref="R70" ca="1">INDIRECT("["&amp;datatable!$C$4&amp;"]"&amp;datatable!$B17&amp;"!"&amp;"Q50")</f>
        <v>High Correct</v>
      </c>
      <c r="S70" s="51" t="str" cm="1">
        <f t="array" aca="1" ref="S70" ca="1">INDIRECT("["&amp;datatable!$C$4&amp;"]"&amp;datatable!$B17&amp;"!"&amp;"Q51")</f>
        <v>High Correct</v>
      </c>
      <c r="T70" s="51" t="str" cm="1">
        <f t="array" aca="1" ref="T70" ca="1">INDIRECT("["&amp;datatable!$C$4&amp;"]"&amp;datatable!$B17&amp;"!"&amp;"Q52")</f>
        <v>Medium Correct</v>
      </c>
      <c r="U70" s="51" t="str" cm="1">
        <f t="array" aca="1" ref="U70" ca="1">INDIRECT("["&amp;datatable!$C$4&amp;"]"&amp;datatable!$B17&amp;"!"&amp;"Q53")</f>
        <v>High Maybe</v>
      </c>
      <c r="V70" s="51" t="str" cm="1">
        <f t="array" aca="1" ref="V70" ca="1">INDIRECT("["&amp;datatable!$C$4&amp;"]"&amp;datatable!$B17&amp;"!"&amp;"Q54")</f>
        <v>Medium Correct</v>
      </c>
      <c r="W70" s="51" t="str" cm="1">
        <f t="array" aca="1" ref="W70" ca="1">INDIRECT("["&amp;datatable!$C$4&amp;"]"&amp;datatable!$B17&amp;"!"&amp;"Q55")</f>
        <v>Medium Maybe</v>
      </c>
      <c r="X70" s="51" t="str" cm="1">
        <f t="array" aca="1" ref="X70" ca="1">INDIRECT("["&amp;datatable!$C$4&amp;"]"&amp;datatable!$B17&amp;"!"&amp;"Q56")</f>
        <v>N/A</v>
      </c>
      <c r="Y70" s="50"/>
    </row>
    <row r="71" spans="3:25">
      <c r="C71" s="30" t="s">
        <v>53</v>
      </c>
      <c r="D71" s="51" t="str" cm="1">
        <f t="array" aca="1" ref="D71" ca="1">INDIRECT("["&amp;datatable!$C$4&amp;"]"&amp;datatable!$B18&amp;"!"&amp;"Q2")</f>
        <v>High Incorrect</v>
      </c>
      <c r="E71" s="51" t="str" cm="1">
        <f t="array" aca="1" ref="E71" ca="1">INDIRECT("["&amp;datatable!$C$4&amp;"]"&amp;datatable!$B18&amp;"!"&amp;"Q3")</f>
        <v>High Correct</v>
      </c>
      <c r="F71" s="51" t="str" cm="1">
        <f t="array" aca="1" ref="F71" ca="1">INDIRECT("["&amp;datatable!$C$4&amp;"]"&amp;datatable!$B18&amp;"!"&amp;"Q4")</f>
        <v>High Incorrect</v>
      </c>
      <c r="G71" s="51" t="str" cm="1">
        <f t="array" aca="1" ref="G71" ca="1">INDIRECT("["&amp;datatable!$C$4&amp;"]"&amp;datatable!$B18&amp;"!"&amp;"Q5")</f>
        <v>High Incorrect</v>
      </c>
      <c r="H71" s="51" t="str" cm="1">
        <f t="array" aca="1" ref="H71" ca="1">INDIRECT("["&amp;datatable!$C$4&amp;"]"&amp;datatable!$B18&amp;"!"&amp;"Q6")</f>
        <v>High Incorrect</v>
      </c>
      <c r="I71" s="51" t="str" cm="1">
        <f t="array" aca="1" ref="I71" ca="1">INDIRECT("["&amp;datatable!$C$4&amp;"]"&amp;datatable!$B18&amp;"!"&amp;"Q7")</f>
        <v>High Correct</v>
      </c>
      <c r="J71" s="51" t="str" cm="1">
        <f t="array" aca="1" ref="J71" ca="1">INDIRECT("["&amp;datatable!$C$4&amp;"]"&amp;datatable!$B18&amp;"!"&amp;"Q8")</f>
        <v>High Incorrect</v>
      </c>
      <c r="K71" s="51" t="str" cm="1">
        <f t="array" aca="1" ref="K71" ca="1">INDIRECT("["&amp;datatable!$C$4&amp;"]"&amp;datatable!$B18&amp;"!"&amp;"Q9")</f>
        <v>High Incorrect</v>
      </c>
      <c r="L71" s="51" t="str" cm="1">
        <f t="array" aca="1" ref="L71" ca="1">INDIRECT("["&amp;datatable!$C$4&amp;"]"&amp;datatable!$B18&amp;"!"&amp;"Q10")</f>
        <v>High Maybe</v>
      </c>
      <c r="M71" s="51" t="str" cm="1">
        <f t="array" aca="1" ref="M71" ca="1">INDIRECT("["&amp;datatable!$C$4&amp;"]"&amp;datatable!$B18&amp;"!"&amp;"Q11")</f>
        <v>High Incorrect</v>
      </c>
      <c r="N71" s="51" t="str" cm="1">
        <f t="array" aca="1" ref="N71" ca="1">INDIRECT("["&amp;datatable!$C$4&amp;"]"&amp;datatable!$B18&amp;"!"&amp;"Q46")</f>
        <v>High Correct</v>
      </c>
      <c r="O71" s="51" t="str" cm="1">
        <f t="array" aca="1" ref="O71" ca="1">INDIRECT("["&amp;datatable!$C$4&amp;"]"&amp;datatable!$B18&amp;"!"&amp;"Q47")</f>
        <v>High Incorrect</v>
      </c>
      <c r="P71" s="51" t="str" cm="1">
        <f t="array" aca="1" ref="P71" ca="1">INDIRECT("["&amp;datatable!$C$4&amp;"]"&amp;datatable!$B18&amp;"!"&amp;"Q48")</f>
        <v>High Incorrect</v>
      </c>
      <c r="Q71" s="51" t="str" cm="1">
        <f t="array" aca="1" ref="Q71" ca="1">INDIRECT("["&amp;datatable!$C$4&amp;"]"&amp;datatable!$B18&amp;"!"&amp;"Q49")</f>
        <v>High Incorrect</v>
      </c>
      <c r="R71" s="51" t="str" cm="1">
        <f t="array" aca="1" ref="R71" ca="1">INDIRECT("["&amp;datatable!$C$4&amp;"]"&amp;datatable!$B18&amp;"!"&amp;"Q50")</f>
        <v>High Incorrect</v>
      </c>
      <c r="S71" s="51" t="str" cm="1">
        <f t="array" aca="1" ref="S71" ca="1">INDIRECT("["&amp;datatable!$C$4&amp;"]"&amp;datatable!$B18&amp;"!"&amp;"Q51")</f>
        <v>High Incorrect</v>
      </c>
      <c r="T71" s="51" t="str" cm="1">
        <f t="array" aca="1" ref="T71" ca="1">INDIRECT("["&amp;datatable!$C$4&amp;"]"&amp;datatable!$B18&amp;"!"&amp;"Q52")</f>
        <v>N/A</v>
      </c>
      <c r="U71" s="51" t="str" cm="1">
        <f t="array" aca="1" ref="U71" ca="1">INDIRECT("["&amp;datatable!$C$4&amp;"]"&amp;datatable!$B18&amp;"!"&amp;"Q53")</f>
        <v>High Incorrect</v>
      </c>
      <c r="V71" s="51" t="str" cm="1">
        <f t="array" aca="1" ref="V71" ca="1">INDIRECT("["&amp;datatable!$C$4&amp;"]"&amp;datatable!$B18&amp;"!"&amp;"Q54")</f>
        <v>High Incorrect</v>
      </c>
      <c r="W71" s="51" t="str" cm="1">
        <f t="array" aca="1" ref="W71" ca="1">INDIRECT("["&amp;datatable!$C$4&amp;"]"&amp;datatable!$B18&amp;"!"&amp;"Q55")</f>
        <v>Medium Maybe</v>
      </c>
      <c r="X71" s="51" t="str" cm="1">
        <f t="array" aca="1" ref="X71" ca="1">INDIRECT("["&amp;datatable!$C$4&amp;"]"&amp;datatable!$B18&amp;"!"&amp;"Q56")</f>
        <v>N/A</v>
      </c>
      <c r="Y71" s="50"/>
    </row>
    <row r="72" spans="3:25">
      <c r="C72" s="30" t="s">
        <v>54</v>
      </c>
      <c r="D72" s="51" t="str" cm="1">
        <f t="array" aca="1" ref="D72" ca="1">INDIRECT("["&amp;datatable!$C$4&amp;"]"&amp;datatable!$B19&amp;"!"&amp;"Q2")</f>
        <v>Low Correct</v>
      </c>
      <c r="E72" s="51" t="str" cm="1">
        <f t="array" aca="1" ref="E72" ca="1">INDIRECT("["&amp;datatable!$C$4&amp;"]"&amp;datatable!$B19&amp;"!"&amp;"Q3")</f>
        <v>High Correct</v>
      </c>
      <c r="F72" s="51" t="str" cm="1">
        <f t="array" aca="1" ref="F72" ca="1">INDIRECT("["&amp;datatable!$C$4&amp;"]"&amp;datatable!$B19&amp;"!"&amp;"Q4")</f>
        <v>N/A</v>
      </c>
      <c r="G72" s="51" t="str" cm="1">
        <f t="array" aca="1" ref="G72" ca="1">INDIRECT("["&amp;datatable!$C$4&amp;"]"&amp;datatable!$B19&amp;"!"&amp;"Q5")</f>
        <v>Low Correct</v>
      </c>
      <c r="H72" s="51" t="str" cm="1">
        <f t="array" aca="1" ref="H72" ca="1">INDIRECT("["&amp;datatable!$C$4&amp;"]"&amp;datatable!$B19&amp;"!"&amp;"Q6")</f>
        <v>Low Incorrect</v>
      </c>
      <c r="I72" s="51" t="str" cm="1">
        <f t="array" aca="1" ref="I72" ca="1">INDIRECT("["&amp;datatable!$C$4&amp;"]"&amp;datatable!$B19&amp;"!"&amp;"Q7")</f>
        <v>High Correct</v>
      </c>
      <c r="J72" s="51" t="str" cm="1">
        <f t="array" aca="1" ref="J72" ca="1">INDIRECT("["&amp;datatable!$C$4&amp;"]"&amp;datatable!$B19&amp;"!"&amp;"Q8")</f>
        <v>Medium Correct</v>
      </c>
      <c r="K72" s="51" t="str" cm="1">
        <f t="array" aca="1" ref="K72" ca="1">INDIRECT("["&amp;datatable!$C$4&amp;"]"&amp;datatable!$B19&amp;"!"&amp;"Q9")</f>
        <v>Low Correct</v>
      </c>
      <c r="L72" s="51" t="str" cm="1">
        <f t="array" aca="1" ref="L72" ca="1">INDIRECT("["&amp;datatable!$C$4&amp;"]"&amp;datatable!$B19&amp;"!"&amp;"Q10")</f>
        <v>High Correct</v>
      </c>
      <c r="M72" s="51" t="str" cm="1">
        <f t="array" aca="1" ref="M72" ca="1">INDIRECT("["&amp;datatable!$C$4&amp;"]"&amp;datatable!$B19&amp;"!"&amp;"Q11")</f>
        <v>High Correct</v>
      </c>
      <c r="N72" s="51" t="str" cm="1">
        <f t="array" aca="1" ref="N72" ca="1">INDIRECT("["&amp;datatable!$C$4&amp;"]"&amp;datatable!$B19&amp;"!"&amp;"Q46")</f>
        <v>High Correct</v>
      </c>
      <c r="O72" s="51" t="str" cm="1">
        <f t="array" aca="1" ref="O72" ca="1">INDIRECT("["&amp;datatable!$C$4&amp;"]"&amp;datatable!$B19&amp;"!"&amp;"Q47")</f>
        <v>Low Correct</v>
      </c>
      <c r="P72" s="51" t="str" cm="1">
        <f t="array" aca="1" ref="P72" ca="1">INDIRECT("["&amp;datatable!$C$4&amp;"]"&amp;datatable!$B19&amp;"!"&amp;"Q48")</f>
        <v>High Correct</v>
      </c>
      <c r="Q72" s="51" t="str" cm="1">
        <f t="array" aca="1" ref="Q72" ca="1">INDIRECT("["&amp;datatable!$C$4&amp;"]"&amp;datatable!$B19&amp;"!"&amp;"Q49")</f>
        <v>Medium Correct</v>
      </c>
      <c r="R72" s="51" t="str" cm="1">
        <f t="array" aca="1" ref="R72" ca="1">INDIRECT("["&amp;datatable!$C$4&amp;"]"&amp;datatable!$B19&amp;"!"&amp;"Q50")</f>
        <v>High Maybe</v>
      </c>
      <c r="S72" s="51" t="str" cm="1">
        <f t="array" aca="1" ref="S72" ca="1">INDIRECT("["&amp;datatable!$C$4&amp;"]"&amp;datatable!$B19&amp;"!"&amp;"Q51")</f>
        <v>Low Correct</v>
      </c>
      <c r="T72" s="51" t="str" cm="1">
        <f t="array" aca="1" ref="T72" ca="1">INDIRECT("["&amp;datatable!$C$4&amp;"]"&amp;datatable!$B19&amp;"!"&amp;"Q52")</f>
        <v>High Correct</v>
      </c>
      <c r="U72" s="51" t="str" cm="1">
        <f t="array" aca="1" ref="U72" ca="1">INDIRECT("["&amp;datatable!$C$4&amp;"]"&amp;datatable!$B19&amp;"!"&amp;"Q53")</f>
        <v>Low Incorrect</v>
      </c>
      <c r="V72" s="51" t="str" cm="1">
        <f t="array" aca="1" ref="V72" ca="1">INDIRECT("["&amp;datatable!$C$4&amp;"]"&amp;datatable!$B19&amp;"!"&amp;"Q54")</f>
        <v>N/A</v>
      </c>
      <c r="W72" s="51" t="str" cm="1">
        <f t="array" aca="1" ref="W72" ca="1">INDIRECT("["&amp;datatable!$C$4&amp;"]"&amp;datatable!$B19&amp;"!"&amp;"Q55")</f>
        <v>High Correct</v>
      </c>
      <c r="X72" s="51" t="str" cm="1">
        <f t="array" aca="1" ref="X72" ca="1">INDIRECT("["&amp;datatable!$C$4&amp;"]"&amp;datatable!$B19&amp;"!"&amp;"Q56")</f>
        <v>Low Correct</v>
      </c>
      <c r="Y72" s="50"/>
    </row>
    <row r="73" spans="3:25">
      <c r="C73" s="50"/>
      <c r="D73" s="53"/>
      <c r="E73" s="53"/>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39" priority="4" operator="equal">
      <formula>"Medium Correct"</formula>
    </cfRule>
    <cfRule type="cellIs" dxfId="38" priority="5" operator="equal">
      <formula>"Low Correct"</formula>
    </cfRule>
    <cfRule type="cellIs" dxfId="37" priority="6" operator="equal">
      <formula>"Medium Maybe"</formula>
    </cfRule>
    <cfRule type="cellIs" dxfId="36" priority="7" operator="equal">
      <formula>"Low Maybe"</formula>
    </cfRule>
    <cfRule type="cellIs" dxfId="35" priority="8" operator="equal">
      <formula>"Medium Incorrect"</formula>
    </cfRule>
    <cfRule type="cellIs" dxfId="34" priority="9" operator="equal">
      <formula>"Low Incorrect"</formula>
    </cfRule>
    <cfRule type="cellIs" dxfId="33" priority="10" operator="equal">
      <formula>"N/A"</formula>
    </cfRule>
  </conditionalFormatting>
  <conditionalFormatting sqref="D55:X72">
    <cfRule type="cellIs" dxfId="32" priority="1" operator="equal">
      <formula>"High Correct"</formula>
    </cfRule>
    <cfRule type="cellIs" dxfId="31" priority="2" operator="equal">
      <formula>"High Incorrect"</formula>
    </cfRule>
    <cfRule type="cellIs" dxfId="30" priority="3" operator="equal">
      <formula>"High Maybe"</formula>
    </cfRule>
  </conditionalFormatting>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0213-3A94-4BD2-BE8A-8810349012C0}">
  <dimension ref="C5:Y73"/>
  <sheetViews>
    <sheetView topLeftCell="B36" zoomScale="80" zoomScaleNormal="80" workbookViewId="0">
      <selection activeCell="K71" sqref="K71"/>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7.5546875"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18">
      <c r="C5" t="s">
        <v>0</v>
      </c>
    </row>
    <row r="6" spans="3:18">
      <c r="D6" s="7" t="s">
        <v>1</v>
      </c>
      <c r="E6" s="10" t="s">
        <v>2</v>
      </c>
      <c r="F6" s="12" t="s">
        <v>3</v>
      </c>
      <c r="G6" s="14" t="s">
        <v>4</v>
      </c>
      <c r="H6" s="16" t="s">
        <v>5</v>
      </c>
      <c r="I6" s="18" t="s">
        <v>6</v>
      </c>
      <c r="J6" s="20" t="s">
        <v>7</v>
      </c>
      <c r="K6" s="22" t="s">
        <v>8</v>
      </c>
      <c r="L6" s="24" t="s">
        <v>9</v>
      </c>
      <c r="M6" s="26" t="s">
        <v>10</v>
      </c>
      <c r="N6" s="28" t="s">
        <v>11</v>
      </c>
      <c r="O6" s="28" t="s">
        <v>12</v>
      </c>
    </row>
    <row r="7" spans="3:18">
      <c r="C7" s="5" t="s">
        <v>13</v>
      </c>
      <c r="D7" s="8">
        <f ca="1">COUNTIF(INDIRECT("["&amp;datatable!$C$4&amp;"]"&amp;datatable!$A2&amp;"!"&amp;"Y:Y"),"High Correct")</f>
        <v>9</v>
      </c>
      <c r="E7" s="11">
        <f ca="1">COUNTIF(INDIRECT("["&amp;datatable!$C$4&amp;"]"&amp;datatable!$A2&amp;"!"&amp;"Y:Y"),"Medium Correct")</f>
        <v>0</v>
      </c>
      <c r="F7" s="13">
        <f ca="1">COUNTIF(INDIRECT("["&amp;datatable!$C$4&amp;"]"&amp;datatable!$A2&amp;"!"&amp;"Y:Y"),"Low Correct")</f>
        <v>0</v>
      </c>
      <c r="G7" s="15">
        <f ca="1">COUNTIF(INDIRECT("["&amp;datatable!$C$4&amp;"]"&amp;datatable!$A2&amp;"!"&amp;"Y:Y"),"High Maybe")</f>
        <v>1</v>
      </c>
      <c r="H7" s="17">
        <f ca="1">COUNTIF(INDIRECT("["&amp;datatable!$C$4&amp;"]"&amp;datatable!$A2&amp;"!"&amp;"Y:Y"),"Medium Maybe")</f>
        <v>1</v>
      </c>
      <c r="I7" s="19">
        <f ca="1">COUNTIF(INDIRECT("["&amp;datatable!$C$4&amp;"]"&amp;datatable!$A2&amp;"!"&amp;"Y:Y"),"Low Maybe")</f>
        <v>0</v>
      </c>
      <c r="J7" s="21">
        <f ca="1">COUNTIF(INDIRECT("["&amp;datatable!$C$4&amp;"]"&amp;datatable!$A2&amp;"!"&amp;"Y:Y"),"Low Incorrect")</f>
        <v>0</v>
      </c>
      <c r="K7" s="23">
        <f ca="1">COUNTIF(INDIRECT("["&amp;datatable!$C$4&amp;"]"&amp;datatable!$A2&amp;"!"&amp;"Y:Y"),"Medium Incorrect")</f>
        <v>1</v>
      </c>
      <c r="L7" s="25">
        <f ca="1">COUNTIF(INDIRECT("["&amp;datatable!$C$4&amp;"]"&amp;datatable!$A2&amp;"!"&amp;"Y:Y"),"High Incorrect")</f>
        <v>4</v>
      </c>
      <c r="M7" s="27">
        <f ca="1">COUNTIF(INDIRECT("["&amp;datatable!$C$4&amp;"]"&amp;datatable!$A2&amp;"!"&amp;"Y:Y"),"N/A")</f>
        <v>2</v>
      </c>
      <c r="N7" s="29">
        <f t="shared" ref="N7:N28" ca="1" si="0">SUM(D7:M7)</f>
        <v>18</v>
      </c>
      <c r="O7" s="29">
        <f t="shared" ref="O7:O28" ca="1" si="1">SUM(D7:L7)</f>
        <v>16</v>
      </c>
      <c r="Q7" t="s">
        <v>74</v>
      </c>
    </row>
    <row r="8" spans="3:18">
      <c r="C8" s="5" t="s">
        <v>14</v>
      </c>
      <c r="D8" s="8">
        <f ca="1">COUNTIF(INDIRECT("["&amp;datatable!$C$4&amp;"]"&amp;datatable!$A3&amp;"!"&amp;"Y:Y"),"High Correct")</f>
        <v>7</v>
      </c>
      <c r="E8" s="11">
        <f ca="1">COUNTIF(INDIRECT("["&amp;datatable!$C$4&amp;"]"&amp;datatable!$A3&amp;"!"&amp;"Y:Y"),"Medium Correct")</f>
        <v>2</v>
      </c>
      <c r="F8" s="13">
        <f ca="1">COUNTIF(INDIRECT("["&amp;datatable!$C$4&amp;"]"&amp;datatable!$A3&amp;"!"&amp;"Y:Y"),"Low Correct")</f>
        <v>1</v>
      </c>
      <c r="G8" s="15">
        <f ca="1">COUNTIF(INDIRECT("["&amp;datatable!$C$4&amp;"]"&amp;datatable!$A3&amp;"!"&amp;"Y:Y"),"High Maybe")</f>
        <v>0</v>
      </c>
      <c r="H8" s="17">
        <f ca="1">COUNTIF(INDIRECT("["&amp;datatable!$C$4&amp;"]"&amp;datatable!$A3&amp;"!"&amp;"Y:Y"),"Medium Maybe")</f>
        <v>1</v>
      </c>
      <c r="I8" s="19">
        <f ca="1">COUNTIF(INDIRECT("["&amp;datatable!$C$4&amp;"]"&amp;datatable!$A3&amp;"!"&amp;"Y:Y"),"Low Maybe")</f>
        <v>0</v>
      </c>
      <c r="J8" s="21">
        <f ca="1">COUNTIF(INDIRECT("["&amp;datatable!$C$4&amp;"]"&amp;datatable!$A3&amp;"!"&amp;"Y:Y"),"Low Incorrect")</f>
        <v>3</v>
      </c>
      <c r="K8" s="23">
        <f ca="1">COUNTIF(INDIRECT("["&amp;datatable!$C$4&amp;"]"&amp;datatable!$A3&amp;"!"&amp;"Y:Y"),"Medium Incorrect")</f>
        <v>1</v>
      </c>
      <c r="L8" s="25">
        <f ca="1">COUNTIF(INDIRECT("["&amp;datatable!$C$4&amp;"]"&amp;datatable!$A3&amp;"!"&amp;"Y:Y"),"High Incorrect")</f>
        <v>3</v>
      </c>
      <c r="M8" s="27">
        <f ca="1">COUNTIF(INDIRECT("["&amp;datatable!$C$4&amp;"]"&amp;datatable!$A3&amp;"!"&amp;"Y:Y"),"N/A")</f>
        <v>0</v>
      </c>
      <c r="N8" s="29">
        <f t="shared" ca="1" si="0"/>
        <v>18</v>
      </c>
      <c r="O8" s="29">
        <f t="shared" ca="1" si="1"/>
        <v>18</v>
      </c>
      <c r="R8" t="s">
        <v>95</v>
      </c>
    </row>
    <row r="9" spans="3:18">
      <c r="C9" s="5" t="s">
        <v>15</v>
      </c>
      <c r="D9" s="8">
        <f ca="1">COUNTIF(INDIRECT("["&amp;datatable!$C$4&amp;"]"&amp;datatable!$A4&amp;"!"&amp;"Y:Y"),"High Correct")</f>
        <v>3</v>
      </c>
      <c r="E9" s="11">
        <f ca="1">COUNTIF(INDIRECT("["&amp;datatable!$C$4&amp;"]"&amp;datatable!$A4&amp;"!"&amp;"Y:Y"),"Medium Correct")</f>
        <v>1</v>
      </c>
      <c r="F9" s="13">
        <f ca="1">COUNTIF(INDIRECT("["&amp;datatable!$C$4&amp;"]"&amp;datatable!$A4&amp;"!"&amp;"Y:Y"),"Low Correct")</f>
        <v>0</v>
      </c>
      <c r="G9" s="15">
        <f ca="1">COUNTIF(INDIRECT("["&amp;datatable!$C$4&amp;"]"&amp;datatable!$A4&amp;"!"&amp;"Y:Y"),"High Maybe")</f>
        <v>1</v>
      </c>
      <c r="H9" s="17">
        <f ca="1">COUNTIF(INDIRECT("["&amp;datatable!$C$4&amp;"]"&amp;datatable!$A4&amp;"!"&amp;"Y:Y"),"Medium Maybe")</f>
        <v>3</v>
      </c>
      <c r="I9" s="19">
        <f ca="1">COUNTIF(INDIRECT("["&amp;datatable!$C$4&amp;"]"&amp;datatable!$A4&amp;"!"&amp;"Y:Y"),"Low Maybe")</f>
        <v>0</v>
      </c>
      <c r="J9" s="21">
        <f ca="1">COUNTIF(INDIRECT("["&amp;datatable!$C$4&amp;"]"&amp;datatable!$A4&amp;"!"&amp;"Y:Y"),"Low Incorrect")</f>
        <v>2</v>
      </c>
      <c r="K9" s="23">
        <f ca="1">COUNTIF(INDIRECT("["&amp;datatable!$C$4&amp;"]"&amp;datatable!$A4&amp;"!"&amp;"Y:Y"),"Medium Incorrect")</f>
        <v>0</v>
      </c>
      <c r="L9" s="25">
        <f ca="1">COUNTIF(INDIRECT("["&amp;datatable!$C$4&amp;"]"&amp;datatable!$A4&amp;"!"&amp;"Y:Y"),"High Incorrect")</f>
        <v>7</v>
      </c>
      <c r="M9" s="27">
        <f ca="1">COUNTIF(INDIRECT("["&amp;datatable!$C$4&amp;"]"&amp;datatable!$A4&amp;"!"&amp;"Y:Y"),"N/A")</f>
        <v>1</v>
      </c>
      <c r="N9" s="29">
        <f t="shared" ca="1" si="0"/>
        <v>18</v>
      </c>
      <c r="O9" s="29">
        <f t="shared" ca="1" si="1"/>
        <v>17</v>
      </c>
      <c r="R9" t="s">
        <v>77</v>
      </c>
    </row>
    <row r="10" spans="3:18">
      <c r="C10" s="5" t="s">
        <v>16</v>
      </c>
      <c r="D10" s="8">
        <f ca="1">COUNTIF(INDIRECT("["&amp;datatable!$C$4&amp;"]"&amp;datatable!$A5&amp;"!"&amp;"Y:Y"),"High Correct")</f>
        <v>5</v>
      </c>
      <c r="E10" s="11">
        <f ca="1">COUNTIF(INDIRECT("["&amp;datatable!$C$4&amp;"]"&amp;datatable!$A5&amp;"!"&amp;"Y:Y"),"Medium Correct")</f>
        <v>0</v>
      </c>
      <c r="F10" s="13">
        <f ca="1">COUNTIF(INDIRECT("["&amp;datatable!$C$4&amp;"]"&amp;datatable!$A5&amp;"!"&amp;"Y:Y"),"Low Correct")</f>
        <v>0</v>
      </c>
      <c r="G10" s="15">
        <f ca="1">COUNTIF(INDIRECT("["&amp;datatable!$C$4&amp;"]"&amp;datatable!$A5&amp;"!"&amp;"Y:Y"),"High Maybe")</f>
        <v>2</v>
      </c>
      <c r="H10" s="17">
        <f ca="1">COUNTIF(INDIRECT("["&amp;datatable!$C$4&amp;"]"&amp;datatable!$A5&amp;"!"&amp;"Y:Y"),"Medium Maybe")</f>
        <v>1</v>
      </c>
      <c r="I10" s="19">
        <f ca="1">COUNTIF(INDIRECT("["&amp;datatable!$C$4&amp;"]"&amp;datatable!$A5&amp;"!"&amp;"Y:Y"),"Low Maybe")</f>
        <v>1</v>
      </c>
      <c r="J10" s="21">
        <f ca="1">COUNTIF(INDIRECT("["&amp;datatable!$C$4&amp;"]"&amp;datatable!$A5&amp;"!"&amp;"Y:Y"),"Low Incorrect")</f>
        <v>1</v>
      </c>
      <c r="K10" s="23">
        <f ca="1">COUNTIF(INDIRECT("["&amp;datatable!$C$4&amp;"]"&amp;datatable!$A5&amp;"!"&amp;"Y:Y"),"Medium Incorrect")</f>
        <v>0</v>
      </c>
      <c r="L10" s="25">
        <f ca="1">COUNTIF(INDIRECT("["&amp;datatable!$C$4&amp;"]"&amp;datatable!$A5&amp;"!"&amp;"Y:Y"),"High Incorrect")</f>
        <v>3</v>
      </c>
      <c r="M10" s="27">
        <f ca="1">COUNTIF(INDIRECT("["&amp;datatable!$C$4&amp;"]"&amp;datatable!$A5&amp;"!"&amp;"Y:Y"),"N/A")</f>
        <v>5</v>
      </c>
      <c r="N10" s="29">
        <f t="shared" ca="1" si="0"/>
        <v>18</v>
      </c>
      <c r="O10" s="29">
        <f t="shared" ca="1" si="1"/>
        <v>13</v>
      </c>
      <c r="R10" t="s">
        <v>78</v>
      </c>
    </row>
    <row r="11" spans="3:18">
      <c r="C11" s="5" t="s">
        <v>17</v>
      </c>
      <c r="D11" s="8">
        <f ca="1">COUNTIF(INDIRECT("["&amp;datatable!$C$4&amp;"]"&amp;datatable!$A6&amp;"!"&amp;"Y:Y"),"High Correct")</f>
        <v>7</v>
      </c>
      <c r="E11" s="11">
        <f ca="1">COUNTIF(INDIRECT("["&amp;datatable!$C$4&amp;"]"&amp;datatable!$A6&amp;"!"&amp;"Y:Y"),"Medium Correct")</f>
        <v>1</v>
      </c>
      <c r="F11" s="13">
        <f ca="1">COUNTIF(INDIRECT("["&amp;datatable!$C$4&amp;"]"&amp;datatable!$A6&amp;"!"&amp;"Y:Y"),"Low Correct")</f>
        <v>0</v>
      </c>
      <c r="G11" s="15">
        <f ca="1">COUNTIF(INDIRECT("["&amp;datatable!$C$4&amp;"]"&amp;datatable!$A6&amp;"!"&amp;"Y:Y"),"High Maybe")</f>
        <v>1</v>
      </c>
      <c r="H11" s="17">
        <f ca="1">COUNTIF(INDIRECT("["&amp;datatable!$C$4&amp;"]"&amp;datatable!$A6&amp;"!"&amp;"Y:Y"),"Medium Maybe")</f>
        <v>1</v>
      </c>
      <c r="I11" s="19">
        <f ca="1">COUNTIF(INDIRECT("["&amp;datatable!$C$4&amp;"]"&amp;datatable!$A6&amp;"!"&amp;"Y:Y"),"Low Maybe")</f>
        <v>0</v>
      </c>
      <c r="J11" s="21">
        <f ca="1">COUNTIF(INDIRECT("["&amp;datatable!$C$4&amp;"]"&amp;datatable!$A6&amp;"!"&amp;"Y:Y"),"Low Incorrect")</f>
        <v>0</v>
      </c>
      <c r="K11" s="23">
        <f ca="1">COUNTIF(INDIRECT("["&amp;datatable!$C$4&amp;"]"&amp;datatable!$A6&amp;"!"&amp;"Y:Y"),"Medium Incorrect")</f>
        <v>1</v>
      </c>
      <c r="L11" s="25">
        <f ca="1">COUNTIF(INDIRECT("["&amp;datatable!$C$4&amp;"]"&amp;datatable!$A6&amp;"!"&amp;"Y:Y"),"High Incorrect")</f>
        <v>4</v>
      </c>
      <c r="M11" s="27">
        <f ca="1">COUNTIF(INDIRECT("["&amp;datatable!$C$4&amp;"]"&amp;datatable!$A6&amp;"!"&amp;"Y:Y"),"N/A")</f>
        <v>3</v>
      </c>
      <c r="N11" s="29">
        <f t="shared" ca="1" si="0"/>
        <v>18</v>
      </c>
      <c r="O11" s="29">
        <f t="shared" ca="1" si="1"/>
        <v>15</v>
      </c>
      <c r="R11" t="s">
        <v>82</v>
      </c>
    </row>
    <row r="12" spans="3:18">
      <c r="C12" s="5" t="s">
        <v>18</v>
      </c>
      <c r="D12" s="8">
        <f ca="1">COUNTIF(INDIRECT("["&amp;datatable!$C$4&amp;"]"&amp;datatable!$A7&amp;"!"&amp;"Y:Y"),"High Correct")</f>
        <v>10</v>
      </c>
      <c r="E12" s="11">
        <f ca="1">COUNTIF(INDIRECT("["&amp;datatable!$C$4&amp;"]"&amp;datatable!$A7&amp;"!"&amp;"Y:Y"),"Medium Correct")</f>
        <v>0</v>
      </c>
      <c r="F12" s="13">
        <f ca="1">COUNTIF(INDIRECT("["&amp;datatable!$C$4&amp;"]"&amp;datatable!$A7&amp;"!"&amp;"Y:Y"),"Low Correct")</f>
        <v>0</v>
      </c>
      <c r="G12" s="15">
        <f ca="1">COUNTIF(INDIRECT("["&amp;datatable!$C$4&amp;"]"&amp;datatable!$A7&amp;"!"&amp;"Y:Y"),"High Maybe")</f>
        <v>1</v>
      </c>
      <c r="H12" s="17">
        <f ca="1">COUNTIF(INDIRECT("["&amp;datatable!$C$4&amp;"]"&amp;datatable!$A7&amp;"!"&amp;"Y:Y"),"Medium Maybe")</f>
        <v>3</v>
      </c>
      <c r="I12" s="19">
        <f ca="1">COUNTIF(INDIRECT("["&amp;datatable!$C$4&amp;"]"&amp;datatable!$A7&amp;"!"&amp;"Y:Y"),"Low Maybe")</f>
        <v>0</v>
      </c>
      <c r="J12" s="21">
        <f ca="1">COUNTIF(INDIRECT("["&amp;datatable!$C$4&amp;"]"&amp;datatable!$A7&amp;"!"&amp;"Y:Y"),"Low Incorrect")</f>
        <v>0</v>
      </c>
      <c r="K12" s="23">
        <f ca="1">COUNTIF(INDIRECT("["&amp;datatable!$C$4&amp;"]"&amp;datatable!$A7&amp;"!"&amp;"Y:Y"),"Medium Incorrect")</f>
        <v>0</v>
      </c>
      <c r="L12" s="25">
        <f ca="1">COUNTIF(INDIRECT("["&amp;datatable!$C$4&amp;"]"&amp;datatable!$A7&amp;"!"&amp;"Y:Y"),"High Incorrect")</f>
        <v>3</v>
      </c>
      <c r="M12" s="27">
        <f ca="1">COUNTIF(INDIRECT("["&amp;datatable!$C$4&amp;"]"&amp;datatable!$A7&amp;"!"&amp;"Y:Y"),"N/A")</f>
        <v>1</v>
      </c>
      <c r="N12" s="29">
        <f t="shared" ca="1" si="0"/>
        <v>18</v>
      </c>
      <c r="O12" s="29">
        <f t="shared" ca="1" si="1"/>
        <v>17</v>
      </c>
      <c r="R12" t="s">
        <v>84</v>
      </c>
    </row>
    <row r="13" spans="3:18">
      <c r="C13" s="5" t="s">
        <v>19</v>
      </c>
      <c r="D13" s="8">
        <f ca="1">COUNTIF(INDIRECT("["&amp;datatable!$C$4&amp;"]"&amp;datatable!$A8&amp;"!"&amp;"Y:Y"),"High Correct")</f>
        <v>2</v>
      </c>
      <c r="E13" s="11">
        <f ca="1">COUNTIF(INDIRECT("["&amp;datatable!$C$4&amp;"]"&amp;datatable!$A8&amp;"!"&amp;"Y:Y"),"Medium Correct")</f>
        <v>0</v>
      </c>
      <c r="F13" s="13">
        <f ca="1">COUNTIF(INDIRECT("["&amp;datatable!$C$4&amp;"]"&amp;datatable!$A8&amp;"!"&amp;"Y:Y"),"Low Correct")</f>
        <v>2</v>
      </c>
      <c r="G13" s="15">
        <f ca="1">COUNTIF(INDIRECT("["&amp;datatable!$C$4&amp;"]"&amp;datatable!$A8&amp;"!"&amp;"Y:Y"),"High Maybe")</f>
        <v>3</v>
      </c>
      <c r="H13" s="17">
        <f ca="1">COUNTIF(INDIRECT("["&amp;datatable!$C$4&amp;"]"&amp;datatable!$A8&amp;"!"&amp;"Y:Y"),"Medium Maybe")</f>
        <v>2</v>
      </c>
      <c r="I13" s="19">
        <f ca="1">COUNTIF(INDIRECT("["&amp;datatable!$C$4&amp;"]"&amp;datatable!$A8&amp;"!"&amp;"Y:Y"),"Low Maybe")</f>
        <v>1</v>
      </c>
      <c r="J13" s="21">
        <f ca="1">COUNTIF(INDIRECT("["&amp;datatable!$C$4&amp;"]"&amp;datatable!$A8&amp;"!"&amp;"Y:Y"),"Low Incorrect")</f>
        <v>2</v>
      </c>
      <c r="K13" s="23">
        <f ca="1">COUNTIF(INDIRECT("["&amp;datatable!$C$4&amp;"]"&amp;datatable!$A8&amp;"!"&amp;"Y:Y"),"Medium Incorrect")</f>
        <v>1</v>
      </c>
      <c r="L13" s="25">
        <f ca="1">COUNTIF(INDIRECT("["&amp;datatable!$C$4&amp;"]"&amp;datatable!$A8&amp;"!"&amp;"Y:Y"),"High Incorrect")</f>
        <v>4</v>
      </c>
      <c r="M13" s="27">
        <f ca="1">COUNTIF(INDIRECT("["&amp;datatable!$C$4&amp;"]"&amp;datatable!$A8&amp;"!"&amp;"Y:Y"),"N/A")</f>
        <v>1</v>
      </c>
      <c r="N13" s="29">
        <f t="shared" ca="1" si="0"/>
        <v>18</v>
      </c>
      <c r="O13" s="29">
        <f t="shared" ca="1" si="1"/>
        <v>17</v>
      </c>
      <c r="R13" t="s">
        <v>85</v>
      </c>
    </row>
    <row r="14" spans="3:18">
      <c r="C14" s="5" t="s">
        <v>20</v>
      </c>
      <c r="D14" s="8">
        <f ca="1">COUNTIF(INDIRECT("["&amp;datatable!$C$4&amp;"]"&amp;datatable!$A9&amp;"!"&amp;"Y:Y"),"High Correct")</f>
        <v>9</v>
      </c>
      <c r="E14" s="11">
        <f ca="1">COUNTIF(INDIRECT("["&amp;datatable!$C$4&amp;"]"&amp;datatable!$A9&amp;"!"&amp;"Y:Y"),"Medium Correct")</f>
        <v>0</v>
      </c>
      <c r="F14" s="13">
        <f ca="1">COUNTIF(INDIRECT("["&amp;datatable!$C$4&amp;"]"&amp;datatable!$A9&amp;"!"&amp;"Y:Y"),"Low Correct")</f>
        <v>0</v>
      </c>
      <c r="G14" s="15">
        <f ca="1">COUNTIF(INDIRECT("["&amp;datatable!$C$4&amp;"]"&amp;datatable!$A9&amp;"!"&amp;"Y:Y"),"High Maybe")</f>
        <v>3</v>
      </c>
      <c r="H14" s="17">
        <f ca="1">COUNTIF(INDIRECT("["&amp;datatable!$C$4&amp;"]"&amp;datatable!$A9&amp;"!"&amp;"Y:Y"),"Medium Maybe")</f>
        <v>1</v>
      </c>
      <c r="I14" s="19">
        <f ca="1">COUNTIF(INDIRECT("["&amp;datatable!$C$4&amp;"]"&amp;datatable!$A9&amp;"!"&amp;"Y:Y"),"Low Maybe")</f>
        <v>0</v>
      </c>
      <c r="J14" s="21">
        <f ca="1">COUNTIF(INDIRECT("["&amp;datatable!$C$4&amp;"]"&amp;datatable!$A9&amp;"!"&amp;"Y:Y"),"Low Incorrect")</f>
        <v>0</v>
      </c>
      <c r="K14" s="23">
        <f ca="1">COUNTIF(INDIRECT("["&amp;datatable!$C$4&amp;"]"&amp;datatable!$A9&amp;"!"&amp;"Y:Y"),"Medium Incorrect")</f>
        <v>0</v>
      </c>
      <c r="L14" s="25">
        <f ca="1">COUNTIF(INDIRECT("["&amp;datatable!$C$4&amp;"]"&amp;datatable!$A9&amp;"!"&amp;"Y:Y"),"High Incorrect")</f>
        <v>3</v>
      </c>
      <c r="M14" s="27">
        <f ca="1">COUNTIF(INDIRECT("["&amp;datatable!$C$4&amp;"]"&amp;datatable!$A9&amp;"!"&amp;"Y:Y"),"N/A")</f>
        <v>2</v>
      </c>
      <c r="N14" s="29">
        <f t="shared" ca="1" si="0"/>
        <v>18</v>
      </c>
      <c r="O14" s="29">
        <f t="shared" ca="1" si="1"/>
        <v>16</v>
      </c>
      <c r="R14" t="s">
        <v>96</v>
      </c>
    </row>
    <row r="15" spans="3:18">
      <c r="C15" s="5" t="s">
        <v>21</v>
      </c>
      <c r="D15" s="8">
        <f ca="1">COUNTIF(INDIRECT("["&amp;datatable!$C$4&amp;"]"&amp;datatable!$A10&amp;"!"&amp;"Y:Y"),"High Correct")</f>
        <v>8</v>
      </c>
      <c r="E15" s="11">
        <f ca="1">COUNTIF(INDIRECT("["&amp;datatable!$C$4&amp;"]"&amp;datatable!$A10&amp;"!"&amp;"Y:Y"),"Medium Correct")</f>
        <v>0</v>
      </c>
      <c r="F15" s="13">
        <f ca="1">COUNTIF(INDIRECT("["&amp;datatable!$C$4&amp;"]"&amp;datatable!$A10&amp;"!"&amp;"Y:Y"),"Low Correct")</f>
        <v>1</v>
      </c>
      <c r="G15" s="15">
        <f ca="1">COUNTIF(INDIRECT("["&amp;datatable!$C$4&amp;"]"&amp;datatable!$A10&amp;"!"&amp;"Y:Y"),"High Maybe")</f>
        <v>3</v>
      </c>
      <c r="H15" s="17">
        <f ca="1">COUNTIF(INDIRECT("["&amp;datatable!$C$4&amp;"]"&amp;datatable!$A10&amp;"!"&amp;"Y:Y"),"Medium Maybe")</f>
        <v>0</v>
      </c>
      <c r="I15" s="19">
        <f ca="1">COUNTIF(INDIRECT("["&amp;datatable!$C$4&amp;"]"&amp;datatable!$A10&amp;"!"&amp;"Y:Y"),"Low Maybe")</f>
        <v>3</v>
      </c>
      <c r="J15" s="21">
        <f ca="1">COUNTIF(INDIRECT("["&amp;datatable!$C$4&amp;"]"&amp;datatable!$A10&amp;"!"&amp;"Y:Y"),"Low Incorrect")</f>
        <v>0</v>
      </c>
      <c r="K15" s="23">
        <f ca="1">COUNTIF(INDIRECT("["&amp;datatable!$C$4&amp;"]"&amp;datatable!$A10&amp;"!"&amp;"Y:Y"),"Medium Incorrect")</f>
        <v>0</v>
      </c>
      <c r="L15" s="25">
        <f ca="1">COUNTIF(INDIRECT("["&amp;datatable!$C$4&amp;"]"&amp;datatable!$A10&amp;"!"&amp;"Y:Y"),"High Incorrect")</f>
        <v>1</v>
      </c>
      <c r="M15" s="27">
        <f ca="1">COUNTIF(INDIRECT("["&amp;datatable!$C$4&amp;"]"&amp;datatable!$A10&amp;"!"&amp;"Y:Y"),"N/A")</f>
        <v>2</v>
      </c>
      <c r="N15" s="29">
        <f t="shared" ca="1" si="0"/>
        <v>18</v>
      </c>
      <c r="O15" s="29">
        <f t="shared" ca="1" si="1"/>
        <v>16</v>
      </c>
      <c r="R15" t="s">
        <v>88</v>
      </c>
    </row>
    <row r="16" spans="3:18">
      <c r="C16" s="5" t="s">
        <v>22</v>
      </c>
      <c r="D16" s="8">
        <f ca="1">COUNTIF(INDIRECT("["&amp;datatable!$C$4&amp;"]"&amp;datatable!$A11&amp;"!"&amp;"Y:Y"),"High Correct")</f>
        <v>8</v>
      </c>
      <c r="E16" s="11">
        <f ca="1">COUNTIF(INDIRECT("["&amp;datatable!$C$4&amp;"]"&amp;datatable!$A11&amp;"!"&amp;"Y:Y"),"Medium Correct")</f>
        <v>0</v>
      </c>
      <c r="F16" s="13">
        <f ca="1">COUNTIF(INDIRECT("["&amp;datatable!$C$4&amp;"]"&amp;datatable!$A11&amp;"!"&amp;"Y:Y"),"Low Correct")</f>
        <v>2</v>
      </c>
      <c r="G16" s="15">
        <f ca="1">COUNTIF(INDIRECT("["&amp;datatable!$C$4&amp;"]"&amp;datatable!$A11&amp;"!"&amp;"Y:Y"),"High Maybe")</f>
        <v>0</v>
      </c>
      <c r="H16" s="17">
        <f ca="1">COUNTIF(INDIRECT("["&amp;datatable!$C$4&amp;"]"&amp;datatable!$A11&amp;"!"&amp;"Y:Y"),"Medium Maybe")</f>
        <v>2</v>
      </c>
      <c r="I16" s="19">
        <f ca="1">COUNTIF(INDIRECT("["&amp;datatable!$C$4&amp;"]"&amp;datatable!$A11&amp;"!"&amp;"Y:Y"),"Low Maybe")</f>
        <v>0</v>
      </c>
      <c r="J16" s="21">
        <f ca="1">COUNTIF(INDIRECT("["&amp;datatable!$C$4&amp;"]"&amp;datatable!$A11&amp;"!"&amp;"Y:Y"),"Low Incorrect")</f>
        <v>0</v>
      </c>
      <c r="K16" s="23">
        <f ca="1">COUNTIF(INDIRECT("["&amp;datatable!$C$4&amp;"]"&amp;datatable!$A11&amp;"!"&amp;"Y:Y"),"Medium Incorrect")</f>
        <v>0</v>
      </c>
      <c r="L16" s="25">
        <f ca="1">COUNTIF(INDIRECT("["&amp;datatable!$C$4&amp;"]"&amp;datatable!$A11&amp;"!"&amp;"Y:Y"),"High Incorrect")</f>
        <v>3</v>
      </c>
      <c r="M16" s="27">
        <f ca="1">COUNTIF(INDIRECT("["&amp;datatable!$C$4&amp;"]"&amp;datatable!$A11&amp;"!"&amp;"Y:Y"),"N/A")</f>
        <v>3</v>
      </c>
      <c r="N16" s="29">
        <f t="shared" ca="1" si="0"/>
        <v>18</v>
      </c>
      <c r="O16" s="29">
        <f t="shared" ca="1" si="1"/>
        <v>15</v>
      </c>
    </row>
    <row r="17" spans="3:18">
      <c r="C17" s="5" t="s">
        <v>23</v>
      </c>
      <c r="D17" s="8">
        <f ca="1">COUNTIF(INDIRECT("["&amp;datatable!$C$4&amp;"]"&amp;datatable!$A12&amp;"!"&amp;"Y:Y"),"High Correct")</f>
        <v>10</v>
      </c>
      <c r="E17" s="11">
        <f ca="1">COUNTIF(INDIRECT("["&amp;datatable!$C$4&amp;"]"&amp;datatable!$A12&amp;"!"&amp;"Y:Y"),"Medium Correct")</f>
        <v>1</v>
      </c>
      <c r="F17" s="13">
        <f ca="1">COUNTIF(INDIRECT("["&amp;datatable!$C$4&amp;"]"&amp;datatable!$A12&amp;"!"&amp;"Y:Y"),"Low Correct")</f>
        <v>2</v>
      </c>
      <c r="G17" s="15">
        <f ca="1">COUNTIF(INDIRECT("["&amp;datatable!$C$4&amp;"]"&amp;datatable!$A12&amp;"!"&amp;"Y:Y"),"High Maybe")</f>
        <v>3</v>
      </c>
      <c r="H17" s="17">
        <f ca="1">COUNTIF(INDIRECT("["&amp;datatable!$C$4&amp;"]"&amp;datatable!$A12&amp;"!"&amp;"Y:Y"),"Medium Maybe")</f>
        <v>0</v>
      </c>
      <c r="I17" s="19">
        <f ca="1">COUNTIF(INDIRECT("["&amp;datatable!$C$4&amp;"]"&amp;datatable!$A12&amp;"!"&amp;"Y:Y"),"Low Maybe")</f>
        <v>0</v>
      </c>
      <c r="J17" s="21">
        <f ca="1">COUNTIF(INDIRECT("["&amp;datatable!$C$4&amp;"]"&amp;datatable!$A12&amp;"!"&amp;"Y:Y"),"Low Incorrect")</f>
        <v>0</v>
      </c>
      <c r="K17" s="23">
        <f ca="1">COUNTIF(INDIRECT("["&amp;datatable!$C$4&amp;"]"&amp;datatable!$A12&amp;"!"&amp;"Y:Y"),"Medium Incorrect")</f>
        <v>0</v>
      </c>
      <c r="L17" s="25">
        <f ca="1">COUNTIF(INDIRECT("["&amp;datatable!$C$4&amp;"]"&amp;datatable!$A12&amp;"!"&amp;"Y:Y"),"High Incorrect")</f>
        <v>0</v>
      </c>
      <c r="M17" s="27">
        <f ca="1">COUNTIF(INDIRECT("["&amp;datatable!$C$4&amp;"]"&amp;datatable!$A12&amp;"!"&amp;"Y:Y"),"N/A")</f>
        <v>2</v>
      </c>
      <c r="N17" s="29">
        <f t="shared" ca="1" si="0"/>
        <v>18</v>
      </c>
      <c r="O17" s="29">
        <f t="shared" ca="1" si="1"/>
        <v>16</v>
      </c>
      <c r="R17" t="s">
        <v>90</v>
      </c>
    </row>
    <row r="18" spans="3:18">
      <c r="C18" s="5" t="s">
        <v>24</v>
      </c>
      <c r="D18" s="8">
        <f ca="1">COUNTIF(INDIRECT("["&amp;datatable!$C$4&amp;"]"&amp;datatable!$A13&amp;"!"&amp;"Y:Y"),"High Correct")</f>
        <v>11</v>
      </c>
      <c r="E18" s="11">
        <f ca="1">COUNTIF(INDIRECT("["&amp;datatable!$C$4&amp;"]"&amp;datatable!$A13&amp;"!"&amp;"Y:Y"),"Medium Correct")</f>
        <v>2</v>
      </c>
      <c r="F18" s="13">
        <f ca="1">COUNTIF(INDIRECT("["&amp;datatable!$C$4&amp;"]"&amp;datatable!$A13&amp;"!"&amp;"Y:Y"),"Low Correct")</f>
        <v>1</v>
      </c>
      <c r="G18" s="15">
        <f ca="1">COUNTIF(INDIRECT("["&amp;datatable!$C$4&amp;"]"&amp;datatable!$A13&amp;"!"&amp;"Y:Y"),"High Maybe")</f>
        <v>0</v>
      </c>
      <c r="H18" s="17">
        <f ca="1">COUNTIF(INDIRECT("["&amp;datatable!$C$4&amp;"]"&amp;datatable!$A13&amp;"!"&amp;"Y:Y"),"Medium Maybe")</f>
        <v>0</v>
      </c>
      <c r="I18" s="19">
        <f ca="1">COUNTIF(INDIRECT("["&amp;datatable!$C$4&amp;"]"&amp;datatable!$A13&amp;"!"&amp;"Y:Y"),"Low Maybe")</f>
        <v>0</v>
      </c>
      <c r="J18" s="21">
        <f ca="1">COUNTIF(INDIRECT("["&amp;datatable!$C$4&amp;"]"&amp;datatable!$A13&amp;"!"&amp;"Y:Y"),"Low Incorrect")</f>
        <v>0</v>
      </c>
      <c r="K18" s="23">
        <f ca="1">COUNTIF(INDIRECT("["&amp;datatable!$C$4&amp;"]"&amp;datatable!$A13&amp;"!"&amp;"Y:Y"),"Medium Incorrect")</f>
        <v>0</v>
      </c>
      <c r="L18" s="25">
        <f ca="1">COUNTIF(INDIRECT("["&amp;datatable!$C$4&amp;"]"&amp;datatable!$A13&amp;"!"&amp;"Y:Y"),"High Incorrect")</f>
        <v>2</v>
      </c>
      <c r="M18" s="27">
        <f ca="1">COUNTIF(INDIRECT("["&amp;datatable!$C$4&amp;"]"&amp;datatable!$A13&amp;"!"&amp;"Y:Y"),"N/A")</f>
        <v>2</v>
      </c>
      <c r="N18" s="29">
        <f t="shared" ca="1" si="0"/>
        <v>18</v>
      </c>
      <c r="O18" s="29">
        <f t="shared" ca="1" si="1"/>
        <v>16</v>
      </c>
    </row>
    <row r="19" spans="3:18">
      <c r="C19" s="5" t="s">
        <v>25</v>
      </c>
      <c r="D19" s="8">
        <f ca="1">COUNTIF(INDIRECT("["&amp;datatable!$C$4&amp;"]"&amp;datatable!$A14&amp;"!"&amp;"Y:Y"),"High Correct")</f>
        <v>4</v>
      </c>
      <c r="E19" s="11">
        <f ca="1">COUNTIF(INDIRECT("["&amp;datatable!$C$4&amp;"]"&amp;datatable!$A14&amp;"!"&amp;"Y:Y"),"Medium Correct")</f>
        <v>4</v>
      </c>
      <c r="F19" s="13">
        <f ca="1">COUNTIF(INDIRECT("["&amp;datatable!$C$4&amp;"]"&amp;datatable!$A14&amp;"!"&amp;"Y:Y"),"Low Correct")</f>
        <v>3</v>
      </c>
      <c r="G19" s="15">
        <f ca="1">COUNTIF(INDIRECT("["&amp;datatable!$C$4&amp;"]"&amp;datatable!$A14&amp;"!"&amp;"Y:Y"),"High Maybe")</f>
        <v>1</v>
      </c>
      <c r="H19" s="17">
        <f ca="1">COUNTIF(INDIRECT("["&amp;datatable!$C$4&amp;"]"&amp;datatable!$A14&amp;"!"&amp;"Y:Y"),"Medium Maybe")</f>
        <v>2</v>
      </c>
      <c r="I19" s="19">
        <f ca="1">COUNTIF(INDIRECT("["&amp;datatable!$C$4&amp;"]"&amp;datatable!$A14&amp;"!"&amp;"Y:Y"),"Low Maybe")</f>
        <v>1</v>
      </c>
      <c r="J19" s="21">
        <f ca="1">COUNTIF(INDIRECT("["&amp;datatable!$C$4&amp;"]"&amp;datatable!$A14&amp;"!"&amp;"Y:Y"),"Low Incorrect")</f>
        <v>1</v>
      </c>
      <c r="K19" s="23">
        <f ca="1">COUNTIF(INDIRECT("["&amp;datatable!$C$4&amp;"]"&amp;datatable!$A14&amp;"!"&amp;"Y:Y"),"Medium Incorrect")</f>
        <v>0</v>
      </c>
      <c r="L19" s="25">
        <f ca="1">COUNTIF(INDIRECT("["&amp;datatable!$C$4&amp;"]"&amp;datatable!$A14&amp;"!"&amp;"Y:Y"),"High Incorrect")</f>
        <v>0</v>
      </c>
      <c r="M19" s="27">
        <f ca="1">COUNTIF(INDIRECT("["&amp;datatable!$C$4&amp;"]"&amp;datatable!$A14&amp;"!"&amp;"Y:Y"),"N/A")</f>
        <v>2</v>
      </c>
      <c r="N19" s="29">
        <f t="shared" ca="1" si="0"/>
        <v>18</v>
      </c>
      <c r="O19" s="29">
        <f t="shared" ca="1" si="1"/>
        <v>16</v>
      </c>
    </row>
    <row r="20" spans="3:18">
      <c r="C20" s="5" t="s">
        <v>26</v>
      </c>
      <c r="D20" s="8">
        <f ca="1">COUNTIF(INDIRECT("["&amp;datatable!$C$4&amp;"]"&amp;datatable!$A15&amp;"!"&amp;"Y:Y"),"High Correct")</f>
        <v>8</v>
      </c>
      <c r="E20" s="11">
        <f ca="1">COUNTIF(INDIRECT("["&amp;datatable!$C$4&amp;"]"&amp;datatable!$A15&amp;"!"&amp;"Y:Y"),"Medium Correct")</f>
        <v>0</v>
      </c>
      <c r="F20" s="13">
        <f ca="1">COUNTIF(INDIRECT("["&amp;datatable!$C$4&amp;"]"&amp;datatable!$A15&amp;"!"&amp;"Y:Y"),"Low Correct")</f>
        <v>3</v>
      </c>
      <c r="G20" s="15">
        <f ca="1">COUNTIF(INDIRECT("["&amp;datatable!$C$4&amp;"]"&amp;datatable!$A15&amp;"!"&amp;"Y:Y"),"High Maybe")</f>
        <v>1</v>
      </c>
      <c r="H20" s="17">
        <f ca="1">COUNTIF(INDIRECT("["&amp;datatable!$C$4&amp;"]"&amp;datatable!$A15&amp;"!"&amp;"Y:Y"),"Medium Maybe")</f>
        <v>0</v>
      </c>
      <c r="I20" s="19">
        <f ca="1">COUNTIF(INDIRECT("["&amp;datatable!$C$4&amp;"]"&amp;datatable!$A15&amp;"!"&amp;"Y:Y"),"Low Maybe")</f>
        <v>0</v>
      </c>
      <c r="J20" s="21">
        <f ca="1">COUNTIF(INDIRECT("["&amp;datatable!$C$4&amp;"]"&amp;datatable!$A15&amp;"!"&amp;"Y:Y"),"Low Incorrect")</f>
        <v>0</v>
      </c>
      <c r="K20" s="23">
        <f ca="1">COUNTIF(INDIRECT("["&amp;datatable!$C$4&amp;"]"&amp;datatable!$A15&amp;"!"&amp;"Y:Y"),"Medium Incorrect")</f>
        <v>0</v>
      </c>
      <c r="L20" s="25">
        <f ca="1">COUNTIF(INDIRECT("["&amp;datatable!$C$4&amp;"]"&amp;datatable!$A15&amp;"!"&amp;"Y:Y"),"High Incorrect")</f>
        <v>4</v>
      </c>
      <c r="M20" s="27">
        <f ca="1">COUNTIF(INDIRECT("["&amp;datatable!$C$4&amp;"]"&amp;datatable!$A15&amp;"!"&amp;"Y:Y"),"N/A")</f>
        <v>2</v>
      </c>
      <c r="N20" s="29">
        <f t="shared" ca="1" si="0"/>
        <v>18</v>
      </c>
      <c r="O20" s="29">
        <f t="shared" ca="1" si="1"/>
        <v>16</v>
      </c>
    </row>
    <row r="21" spans="3:18">
      <c r="C21" s="5" t="s">
        <v>27</v>
      </c>
      <c r="D21" s="8">
        <f ca="1">COUNTIF(INDIRECT("["&amp;datatable!$C$4&amp;"]"&amp;datatable!$A16&amp;"!"&amp;"Y:Y"),"High Correct")</f>
        <v>9</v>
      </c>
      <c r="E21" s="11">
        <f ca="1">COUNTIF(INDIRECT("["&amp;datatable!$C$4&amp;"]"&amp;datatable!$A16&amp;"!"&amp;"Y:Y"),"Medium Correct")</f>
        <v>1</v>
      </c>
      <c r="F21" s="13">
        <f ca="1">COUNTIF(INDIRECT("["&amp;datatable!$C$4&amp;"]"&amp;datatable!$A16&amp;"!"&amp;"Y:Y"),"Low Correct")</f>
        <v>2</v>
      </c>
      <c r="G21" s="15">
        <f ca="1">COUNTIF(INDIRECT("["&amp;datatable!$C$4&amp;"]"&amp;datatable!$A16&amp;"!"&amp;"Y:Y"),"High Maybe")</f>
        <v>2</v>
      </c>
      <c r="H21" s="17">
        <f ca="1">COUNTIF(INDIRECT("["&amp;datatable!$C$4&amp;"]"&amp;datatable!$A16&amp;"!"&amp;"Y:Y"),"Medium Maybe")</f>
        <v>1</v>
      </c>
      <c r="I21" s="19">
        <f ca="1">COUNTIF(INDIRECT("["&amp;datatable!$C$4&amp;"]"&amp;datatable!$A16&amp;"!"&amp;"Y:Y"),"Low Maybe")</f>
        <v>0</v>
      </c>
      <c r="J21" s="21">
        <f ca="1">COUNTIF(INDIRECT("["&amp;datatable!$C$4&amp;"]"&amp;datatable!$A16&amp;"!"&amp;"Y:Y"),"Low Incorrect")</f>
        <v>0</v>
      </c>
      <c r="K21" s="23">
        <f ca="1">COUNTIF(INDIRECT("["&amp;datatable!$C$4&amp;"]"&amp;datatable!$A16&amp;"!"&amp;"Y:Y"),"Medium Incorrect")</f>
        <v>0</v>
      </c>
      <c r="L21" s="25">
        <f ca="1">COUNTIF(INDIRECT("["&amp;datatable!$C$4&amp;"]"&amp;datatable!$A16&amp;"!"&amp;"Y:Y"),"High Incorrect")</f>
        <v>2</v>
      </c>
      <c r="M21" s="27">
        <f ca="1">COUNTIF(INDIRECT("["&amp;datatable!$C$4&amp;"]"&amp;datatable!$A16&amp;"!"&amp;"Y:Y"),"N/A")</f>
        <v>1</v>
      </c>
      <c r="N21" s="29">
        <f t="shared" ca="1" si="0"/>
        <v>18</v>
      </c>
      <c r="O21" s="29">
        <f t="shared" ca="1" si="1"/>
        <v>17</v>
      </c>
      <c r="Q21" t="s">
        <v>97</v>
      </c>
    </row>
    <row r="22" spans="3:18">
      <c r="C22" s="5" t="s">
        <v>28</v>
      </c>
      <c r="D22" s="8">
        <f ca="1">COUNTIF(INDIRECT("["&amp;datatable!$C$4&amp;"]"&amp;datatable!$A17&amp;"!"&amp;"Y:Y"),"High Correct")</f>
        <v>13</v>
      </c>
      <c r="E22" s="11">
        <f ca="1">COUNTIF(INDIRECT("["&amp;datatable!$C$4&amp;"]"&amp;datatable!$A17&amp;"!"&amp;"Y:Y"),"Medium Correct")</f>
        <v>0</v>
      </c>
      <c r="F22" s="13">
        <f ca="1">COUNTIF(INDIRECT("["&amp;datatable!$C$4&amp;"]"&amp;datatable!$A17&amp;"!"&amp;"Y:Y"),"Low Correct")</f>
        <v>1</v>
      </c>
      <c r="G22" s="15">
        <f ca="1">COUNTIF(INDIRECT("["&amp;datatable!$C$4&amp;"]"&amp;datatable!$A17&amp;"!"&amp;"Y:Y"),"High Maybe")</f>
        <v>0</v>
      </c>
      <c r="H22" s="17">
        <f ca="1">COUNTIF(INDIRECT("["&amp;datatable!$C$4&amp;"]"&amp;datatable!$A17&amp;"!"&amp;"Y:Y"),"Medium Maybe")</f>
        <v>0</v>
      </c>
      <c r="I22" s="19">
        <f ca="1">COUNTIF(INDIRECT("["&amp;datatable!$C$4&amp;"]"&amp;datatable!$A17&amp;"!"&amp;"Y:Y"),"Low Maybe")</f>
        <v>0</v>
      </c>
      <c r="J22" s="21">
        <f ca="1">COUNTIF(INDIRECT("["&amp;datatable!$C$4&amp;"]"&amp;datatable!$A17&amp;"!"&amp;"Y:Y"),"Low Incorrect")</f>
        <v>0</v>
      </c>
      <c r="K22" s="23">
        <f ca="1">COUNTIF(INDIRECT("["&amp;datatable!$C$4&amp;"]"&amp;datatable!$A17&amp;"!"&amp;"Y:Y"),"Medium Incorrect")</f>
        <v>0</v>
      </c>
      <c r="L22" s="25">
        <f ca="1">COUNTIF(INDIRECT("["&amp;datatable!$C$4&amp;"]"&amp;datatable!$A17&amp;"!"&amp;"Y:Y"),"High Incorrect")</f>
        <v>2</v>
      </c>
      <c r="M22" s="27">
        <f ca="1">COUNTIF(INDIRECT("["&amp;datatable!$C$4&amp;"]"&amp;datatable!$A17&amp;"!"&amp;"Y:Y"),"N/A")</f>
        <v>2</v>
      </c>
      <c r="N22" s="29">
        <f t="shared" ca="1" si="0"/>
        <v>18</v>
      </c>
      <c r="O22" s="29">
        <f t="shared" ca="1" si="1"/>
        <v>16</v>
      </c>
      <c r="Q22" t="s">
        <v>98</v>
      </c>
    </row>
    <row r="23" spans="3:18">
      <c r="C23" s="5" t="s">
        <v>29</v>
      </c>
      <c r="D23" s="8">
        <f ca="1">COUNTIF(INDIRECT("["&amp;datatable!$C$4&amp;"]"&amp;datatable!$A18&amp;"!"&amp;"Y:Y"),"High Correct")</f>
        <v>0</v>
      </c>
      <c r="E23" s="11">
        <f ca="1">COUNTIF(INDIRECT("["&amp;datatable!$C$4&amp;"]"&amp;datatable!$A18&amp;"!"&amp;"Y:Y"),"Medium Correct")</f>
        <v>6</v>
      </c>
      <c r="F23" s="13">
        <f ca="1">COUNTIF(INDIRECT("["&amp;datatable!$C$4&amp;"]"&amp;datatable!$A18&amp;"!"&amp;"Y:Y"),"Low Correct")</f>
        <v>1</v>
      </c>
      <c r="G23" s="15">
        <f ca="1">COUNTIF(INDIRECT("["&amp;datatable!$C$4&amp;"]"&amp;datatable!$A18&amp;"!"&amp;"Y:Y"),"High Maybe")</f>
        <v>0</v>
      </c>
      <c r="H23" s="17">
        <f ca="1">COUNTIF(INDIRECT("["&amp;datatable!$C$4&amp;"]"&amp;datatable!$A18&amp;"!"&amp;"Y:Y"),"Medium Maybe")</f>
        <v>1</v>
      </c>
      <c r="I23" s="19">
        <f ca="1">COUNTIF(INDIRECT("["&amp;datatable!$C$4&amp;"]"&amp;datatable!$A18&amp;"!"&amp;"Y:Y"),"Low Maybe")</f>
        <v>1</v>
      </c>
      <c r="J23" s="21">
        <f ca="1">COUNTIF(INDIRECT("["&amp;datatable!$C$4&amp;"]"&amp;datatable!$A18&amp;"!"&amp;"Y:Y"),"Low Incorrect")</f>
        <v>0</v>
      </c>
      <c r="K23" s="23">
        <f ca="1">COUNTIF(INDIRECT("["&amp;datatable!$C$4&amp;"]"&amp;datatable!$A18&amp;"!"&amp;"Y:Y"),"Medium Incorrect")</f>
        <v>0</v>
      </c>
      <c r="L23" s="25">
        <f ca="1">COUNTIF(INDIRECT("["&amp;datatable!$C$4&amp;"]"&amp;datatable!$A18&amp;"!"&amp;"Y:Y"),"High Incorrect")</f>
        <v>2</v>
      </c>
      <c r="M23" s="27">
        <f ca="1">COUNTIF(INDIRECT("["&amp;datatable!$C$4&amp;"]"&amp;datatable!$A18&amp;"!"&amp;"Y:Y"),"N/A")</f>
        <v>7</v>
      </c>
      <c r="N23" s="29">
        <f t="shared" ca="1" si="0"/>
        <v>18</v>
      </c>
      <c r="O23" s="29">
        <f t="shared" ca="1" si="1"/>
        <v>11</v>
      </c>
    </row>
    <row r="24" spans="3:18">
      <c r="C24" s="5" t="s">
        <v>30</v>
      </c>
      <c r="D24" s="8">
        <f ca="1">COUNTIF(INDIRECT("["&amp;datatable!$C$4&amp;"]"&amp;datatable!$A19&amp;"!"&amp;"Y:Y"),"High Correct")</f>
        <v>1</v>
      </c>
      <c r="E24" s="11">
        <f ca="1">COUNTIF(INDIRECT("["&amp;datatable!$C$4&amp;"]"&amp;datatable!$A19&amp;"!"&amp;"Y:Y"),"Medium Correct")</f>
        <v>0</v>
      </c>
      <c r="F24" s="13">
        <f ca="1">COUNTIF(INDIRECT("["&amp;datatable!$C$4&amp;"]"&amp;datatable!$A19&amp;"!"&amp;"Y:Y"),"Low Correct")</f>
        <v>0</v>
      </c>
      <c r="G24" s="15">
        <f ca="1">COUNTIF(INDIRECT("["&amp;datatable!$C$4&amp;"]"&amp;datatable!$A19&amp;"!"&amp;"Y:Y"),"High Maybe")</f>
        <v>4</v>
      </c>
      <c r="H24" s="17">
        <f ca="1">COUNTIF(INDIRECT("["&amp;datatable!$C$4&amp;"]"&amp;datatable!$A19&amp;"!"&amp;"Y:Y"),"Medium Maybe")</f>
        <v>1</v>
      </c>
      <c r="I24" s="19">
        <f ca="1">COUNTIF(INDIRECT("["&amp;datatable!$C$4&amp;"]"&amp;datatable!$A19&amp;"!"&amp;"Y:Y"),"Low Maybe")</f>
        <v>1</v>
      </c>
      <c r="J24" s="21">
        <f ca="1">COUNTIF(INDIRECT("["&amp;datatable!$C$4&amp;"]"&amp;datatable!$A19&amp;"!"&amp;"Y:Y"),"Low Incorrect")</f>
        <v>2</v>
      </c>
      <c r="K24" s="23">
        <f ca="1">COUNTIF(INDIRECT("["&amp;datatable!$C$4&amp;"]"&amp;datatable!$A19&amp;"!"&amp;"Y:Y"),"Medium Incorrect")</f>
        <v>3</v>
      </c>
      <c r="L24" s="25">
        <f ca="1">COUNTIF(INDIRECT("["&amp;datatable!$C$4&amp;"]"&amp;datatable!$A19&amp;"!"&amp;"Y:Y"),"High Incorrect")</f>
        <v>4</v>
      </c>
      <c r="M24" s="27">
        <f ca="1">COUNTIF(INDIRECT("["&amp;datatable!$C$4&amp;"]"&amp;datatable!$A19&amp;"!"&amp;"Y:Y"),"N/A")</f>
        <v>2</v>
      </c>
      <c r="N24" s="29">
        <f t="shared" ca="1" si="0"/>
        <v>18</v>
      </c>
      <c r="O24" s="29">
        <f t="shared" ca="1" si="1"/>
        <v>16</v>
      </c>
    </row>
    <row r="25" spans="3:18">
      <c r="C25" s="5" t="s">
        <v>31</v>
      </c>
      <c r="D25" s="8">
        <f ca="1">COUNTIF(INDIRECT("["&amp;datatable!$C$4&amp;"]"&amp;datatable!$A20&amp;"!"&amp;"Y:Y"),"High Correct")</f>
        <v>0</v>
      </c>
      <c r="E25" s="11">
        <f ca="1">COUNTIF(INDIRECT("["&amp;datatable!$C$4&amp;"]"&amp;datatable!$A20&amp;"!"&amp;"Y:Y"),"Medium Correct")</f>
        <v>8</v>
      </c>
      <c r="F25" s="13">
        <f ca="1">COUNTIF(INDIRECT("["&amp;datatable!$C$4&amp;"]"&amp;datatable!$A20&amp;"!"&amp;"Y:Y"),"Low Correct")</f>
        <v>2</v>
      </c>
      <c r="G25" s="15">
        <f ca="1">COUNTIF(INDIRECT("["&amp;datatable!$C$4&amp;"]"&amp;datatable!$A20&amp;"!"&amp;"Y:Y"),"High Maybe")</f>
        <v>1</v>
      </c>
      <c r="H25" s="17">
        <f ca="1">COUNTIF(INDIRECT("["&amp;datatable!$C$4&amp;"]"&amp;datatable!$A20&amp;"!"&amp;"Y:Y"),"Medium Maybe")</f>
        <v>0</v>
      </c>
      <c r="I25" s="19">
        <f ca="1">COUNTIF(INDIRECT("["&amp;datatable!$C$4&amp;"]"&amp;datatable!$A20&amp;"!"&amp;"Y:Y"),"Low Maybe")</f>
        <v>2</v>
      </c>
      <c r="J25" s="21">
        <f ca="1">COUNTIF(INDIRECT("["&amp;datatable!$C$4&amp;"]"&amp;datatable!$A20&amp;"!"&amp;"Y:Y"),"Low Incorrect")</f>
        <v>0</v>
      </c>
      <c r="K25" s="23">
        <f ca="1">COUNTIF(INDIRECT("["&amp;datatable!$C$4&amp;"]"&amp;datatable!$A20&amp;"!"&amp;"Y:Y"),"Medium Incorrect")</f>
        <v>1</v>
      </c>
      <c r="L25" s="25">
        <f ca="1">COUNTIF(INDIRECT("["&amp;datatable!$C$4&amp;"]"&amp;datatable!$A20&amp;"!"&amp;"Y:Y"),"High Incorrect")</f>
        <v>0</v>
      </c>
      <c r="M25" s="27">
        <f ca="1">COUNTIF(INDIRECT("["&amp;datatable!$C$4&amp;"]"&amp;datatable!$A20&amp;"!"&amp;"Y:Y"),"N/A")</f>
        <v>4</v>
      </c>
      <c r="N25" s="29">
        <f t="shared" ca="1" si="0"/>
        <v>18</v>
      </c>
      <c r="O25" s="29">
        <f t="shared" ca="1" si="1"/>
        <v>14</v>
      </c>
      <c r="Q25" t="s">
        <v>99</v>
      </c>
    </row>
    <row r="26" spans="3:18">
      <c r="C26" s="5" t="s">
        <v>32</v>
      </c>
      <c r="D26" s="8">
        <f ca="1">COUNTIF(INDIRECT("["&amp;datatable!$C$4&amp;"]"&amp;datatable!$A21&amp;"!"&amp;"Y:Y"),"High Correct")</f>
        <v>3</v>
      </c>
      <c r="E26" s="11">
        <f ca="1">COUNTIF(INDIRECT("["&amp;datatable!$C$4&amp;"]"&amp;datatable!$A21&amp;"!"&amp;"Y:Y"),"Medium Correct")</f>
        <v>0</v>
      </c>
      <c r="F26" s="13">
        <f ca="1">COUNTIF(INDIRECT("["&amp;datatable!$C$4&amp;"]"&amp;datatable!$A21&amp;"!"&amp;"Y:Y"),"Low Correct")</f>
        <v>1</v>
      </c>
      <c r="G26" s="15">
        <f ca="1">COUNTIF(INDIRECT("["&amp;datatable!$C$4&amp;"]"&amp;datatable!$A21&amp;"!"&amp;"Y:Y"),"High Maybe")</f>
        <v>3</v>
      </c>
      <c r="H26" s="17">
        <f ca="1">COUNTIF(INDIRECT("["&amp;datatable!$C$4&amp;"]"&amp;datatable!$A21&amp;"!"&amp;"Y:Y"),"Medium Maybe")</f>
        <v>0</v>
      </c>
      <c r="I26" s="19">
        <f ca="1">COUNTIF(INDIRECT("["&amp;datatable!$C$4&amp;"]"&amp;datatable!$A21&amp;"!"&amp;"Y:Y"),"Low Maybe")</f>
        <v>2</v>
      </c>
      <c r="J26" s="21">
        <f ca="1">COUNTIF(INDIRECT("["&amp;datatable!$C$4&amp;"]"&amp;datatable!$A21&amp;"!"&amp;"Y:Y"),"Low Incorrect")</f>
        <v>2</v>
      </c>
      <c r="K26" s="23">
        <f ca="1">COUNTIF(INDIRECT("["&amp;datatable!$C$4&amp;"]"&amp;datatable!$A21&amp;"!"&amp;"Y:Y"),"Medium Incorrect")</f>
        <v>0</v>
      </c>
      <c r="L26" s="25">
        <f ca="1">COUNTIF(INDIRECT("["&amp;datatable!$C$4&amp;"]"&amp;datatable!$A21&amp;"!"&amp;"Y:Y"),"High Incorrect")</f>
        <v>5</v>
      </c>
      <c r="M26" s="27">
        <f ca="1">COUNTIF(INDIRECT("["&amp;datatable!$C$4&amp;"]"&amp;datatable!$A21&amp;"!"&amp;"Y:Y"),"N/A")</f>
        <v>2</v>
      </c>
      <c r="N26" s="29">
        <f t="shared" ca="1" si="0"/>
        <v>18</v>
      </c>
      <c r="O26" s="29">
        <f t="shared" ca="1" si="1"/>
        <v>16</v>
      </c>
    </row>
    <row r="27" spans="3:18">
      <c r="C27" s="5" t="s">
        <v>33</v>
      </c>
      <c r="D27" s="8">
        <f ca="1">COUNTIF(INDIRECT("["&amp;datatable!$C$4&amp;"]"&amp;datatable!$A22&amp;"!"&amp;"Y:Y"),"High Correct")</f>
        <v>0</v>
      </c>
      <c r="E27" s="11">
        <f ca="1">COUNTIF(INDIRECT("["&amp;datatable!$C$4&amp;"]"&amp;datatable!$A22&amp;"!"&amp;"Y:Y"),"Medium Correct")</f>
        <v>0</v>
      </c>
      <c r="F27" s="13">
        <f ca="1">COUNTIF(INDIRECT("["&amp;datatable!$C$4&amp;"]"&amp;datatable!$A22&amp;"!"&amp;"Y:Y"),"Low Correct")</f>
        <v>1</v>
      </c>
      <c r="G27" s="15">
        <f ca="1">COUNTIF(INDIRECT("["&amp;datatable!$C$4&amp;"]"&amp;datatable!$A22&amp;"!"&amp;"Y:Y"),"High Maybe")</f>
        <v>0</v>
      </c>
      <c r="H27" s="17">
        <f ca="1">COUNTIF(INDIRECT("["&amp;datatable!$C$4&amp;"]"&amp;datatable!$A22&amp;"!"&amp;"Y:Y"),"Medium Maybe")</f>
        <v>0</v>
      </c>
      <c r="I27" s="19">
        <f ca="1">COUNTIF(INDIRECT("["&amp;datatable!$C$4&amp;"]"&amp;datatable!$A22&amp;"!"&amp;"Y:Y"),"Low Maybe")</f>
        <v>0</v>
      </c>
      <c r="J27" s="21">
        <f ca="1">COUNTIF(INDIRECT("["&amp;datatable!$C$4&amp;"]"&amp;datatable!$A22&amp;"!"&amp;"Y:Y"),"Low Incorrect")</f>
        <v>0</v>
      </c>
      <c r="K27" s="23">
        <f ca="1">COUNTIF(INDIRECT("["&amp;datatable!$C$4&amp;"]"&amp;datatable!$A22&amp;"!"&amp;"Y:Y"),"Medium Incorrect")</f>
        <v>0</v>
      </c>
      <c r="L27" s="25">
        <f ca="1">COUNTIF(INDIRECT("["&amp;datatable!$C$4&amp;"]"&amp;datatable!$A22&amp;"!"&amp;"Y:Y"),"High Incorrect")</f>
        <v>8</v>
      </c>
      <c r="M27" s="27">
        <f ca="1">COUNTIF(INDIRECT("["&amp;datatable!$C$4&amp;"]"&amp;datatable!$A22&amp;"!"&amp;"Y:Y"),"N/A")</f>
        <v>9</v>
      </c>
      <c r="N27" s="29">
        <f t="shared" ca="1" si="0"/>
        <v>18</v>
      </c>
      <c r="O27" s="29">
        <f t="shared" ca="1" si="1"/>
        <v>9</v>
      </c>
      <c r="Q27" t="s">
        <v>100</v>
      </c>
    </row>
    <row r="28" spans="3:18">
      <c r="C28" s="6" t="s">
        <v>34</v>
      </c>
      <c r="D28" s="9">
        <f t="shared" ref="D28:M28" ca="1" si="2">SUM(D7:D27)</f>
        <v>127</v>
      </c>
      <c r="E28" s="9">
        <f t="shared" ca="1" si="2"/>
        <v>26</v>
      </c>
      <c r="F28" s="9">
        <f t="shared" ca="1" si="2"/>
        <v>23</v>
      </c>
      <c r="G28" s="9">
        <f t="shared" ca="1" si="2"/>
        <v>30</v>
      </c>
      <c r="H28" s="9">
        <f t="shared" ca="1" si="2"/>
        <v>20</v>
      </c>
      <c r="I28" s="9">
        <f t="shared" ca="1" si="2"/>
        <v>12</v>
      </c>
      <c r="J28" s="9">
        <f t="shared" ca="1" si="2"/>
        <v>13</v>
      </c>
      <c r="K28" s="9">
        <f t="shared" ca="1" si="2"/>
        <v>8</v>
      </c>
      <c r="L28" s="9">
        <f t="shared" ca="1" si="2"/>
        <v>64</v>
      </c>
      <c r="M28" s="9">
        <f t="shared" ca="1" si="2"/>
        <v>55</v>
      </c>
      <c r="N28" s="29">
        <f t="shared" ca="1" si="0"/>
        <v>378</v>
      </c>
      <c r="O28" s="29">
        <f t="shared" ca="1" si="1"/>
        <v>323</v>
      </c>
    </row>
    <row r="30" spans="3:18">
      <c r="C30" s="30" t="s">
        <v>35</v>
      </c>
    </row>
    <row r="31" spans="3:18">
      <c r="C31" s="30"/>
      <c r="D31" s="31" t="s">
        <v>1</v>
      </c>
      <c r="E31" s="32" t="s">
        <v>2</v>
      </c>
      <c r="F31" s="33" t="s">
        <v>3</v>
      </c>
      <c r="G31" s="34" t="s">
        <v>4</v>
      </c>
      <c r="H31" s="35" t="s">
        <v>5</v>
      </c>
      <c r="I31" s="36" t="s">
        <v>6</v>
      </c>
      <c r="J31" s="37" t="s">
        <v>7</v>
      </c>
      <c r="K31" s="38" t="s">
        <v>8</v>
      </c>
      <c r="L31" s="39" t="s">
        <v>9</v>
      </c>
      <c r="M31" s="40" t="s">
        <v>10</v>
      </c>
      <c r="N31" s="41" t="s">
        <v>36</v>
      </c>
      <c r="O31" s="41" t="s">
        <v>12</v>
      </c>
    </row>
    <row r="32" spans="3:18">
      <c r="C32" s="42" t="s">
        <v>37</v>
      </c>
      <c r="D32" s="8">
        <f ca="1">COUNTIF(INDIRECT("["&amp;datatable!$C$4&amp;"]"&amp;datatable!$B2&amp;"!"&amp;"Y:Y"),"High Correct")</f>
        <v>14</v>
      </c>
      <c r="E32" s="11">
        <f ca="1">COUNTIF(INDIRECT("["&amp;datatable!$C$4&amp;"]"&amp;datatable!$B2&amp;"!"&amp;"Y:Y"),"Medium Correct")</f>
        <v>0</v>
      </c>
      <c r="F32" s="13">
        <f ca="1">COUNTIF(INDIRECT("["&amp;datatable!$C$4&amp;"]"&amp;datatable!$B2&amp;"!"&amp;"Y:Y"),"Low Correct")</f>
        <v>0</v>
      </c>
      <c r="G32" s="15">
        <f ca="1">COUNTIF(INDIRECT("["&amp;datatable!$C$4&amp;"]"&amp;datatable!$B2&amp;"!"&amp;"Y:Y"),"High Maybe")</f>
        <v>1</v>
      </c>
      <c r="H32" s="17">
        <f ca="1">COUNTIF(INDIRECT("["&amp;datatable!$C$4&amp;"]"&amp;datatable!$B2&amp;"!"&amp;"Y:Y"),"Medium Maybe")</f>
        <v>0</v>
      </c>
      <c r="I32" s="19">
        <f ca="1">COUNTIF(INDIRECT("["&amp;datatable!$C$4&amp;"]"&amp;datatable!$B2&amp;"!"&amp;"Y:Y"),"Low Maybe")</f>
        <v>1</v>
      </c>
      <c r="J32" s="21">
        <f ca="1">COUNTIF(INDIRECT("["&amp;datatable!$C$4&amp;"]"&amp;datatable!$B2&amp;"!"&amp;"Y:Y"),"Low Incorrect")</f>
        <v>0</v>
      </c>
      <c r="K32" s="23">
        <f ca="1">COUNTIF(INDIRECT("["&amp;datatable!$C$4&amp;"]"&amp;datatable!$B2&amp;"!"&amp;"Y:Y"),"Medium Incorrect")</f>
        <v>0</v>
      </c>
      <c r="L32" s="25">
        <f ca="1">COUNTIF(INDIRECT("["&amp;datatable!$C$4&amp;"]"&amp;datatable!$B2&amp;"!"&amp;"Y:Y"),"High Incorrect")</f>
        <v>0</v>
      </c>
      <c r="M32" s="27">
        <f ca="1">COUNTIF(INDIRECT("["&amp;datatable!$C$4&amp;"]"&amp;datatable!$B2&amp;"!"&amp;"Y:Y"),"N/A")</f>
        <v>5</v>
      </c>
      <c r="N32" s="43">
        <f t="shared" ref="N32:N48" ca="1" si="3">SUM(D32:M32)</f>
        <v>21</v>
      </c>
      <c r="O32" s="43">
        <f t="shared" ref="O32:O48" ca="1" si="4">SUM(D32:L32)</f>
        <v>16</v>
      </c>
    </row>
    <row r="33" spans="3:15">
      <c r="C33" s="44" t="s">
        <v>38</v>
      </c>
      <c r="D33" s="8">
        <f ca="1">COUNTIF(INDIRECT("["&amp;datatable!$C$4&amp;"]"&amp;datatable!$B3&amp;"!"&amp;"Y:Y"),"High Correct")</f>
        <v>7</v>
      </c>
      <c r="E33" s="11">
        <f ca="1">COUNTIF(INDIRECT("["&amp;datatable!$C$4&amp;"]"&amp;datatable!$B3&amp;"!"&amp;"Y:Y"),"Medium Correct")</f>
        <v>1</v>
      </c>
      <c r="F33" s="13">
        <f ca="1">COUNTIF(INDIRECT("["&amp;datatable!$C$4&amp;"]"&amp;datatable!$B3&amp;"!"&amp;"Y:Y"),"Low Correct")</f>
        <v>0</v>
      </c>
      <c r="G33" s="15">
        <f ca="1">COUNTIF(INDIRECT("["&amp;datatable!$C$4&amp;"]"&amp;datatable!$B3&amp;"!"&amp;"Y:Y"),"High Maybe")</f>
        <v>2</v>
      </c>
      <c r="H33" s="17">
        <f ca="1">COUNTIF(INDIRECT("["&amp;datatable!$C$4&amp;"]"&amp;datatable!$B3&amp;"!"&amp;"Y:Y"),"Medium Maybe")</f>
        <v>2</v>
      </c>
      <c r="I33" s="19">
        <f ca="1">COUNTIF(INDIRECT("["&amp;datatable!$C$4&amp;"]"&amp;datatable!$B3&amp;"!"&amp;"Y:Y"),"Low Maybe")</f>
        <v>1</v>
      </c>
      <c r="J33" s="21">
        <f ca="1">COUNTIF(INDIRECT("["&amp;datatable!$C$4&amp;"]"&amp;datatable!$B3&amp;"!"&amp;"Y:Y"),"Low Incorrect")</f>
        <v>0</v>
      </c>
      <c r="K33" s="23">
        <f ca="1">COUNTIF(INDIRECT("["&amp;datatable!$C$4&amp;"]"&amp;datatable!$B3&amp;"!"&amp;"Y:Y"),"Medium Incorrect")</f>
        <v>1</v>
      </c>
      <c r="L33" s="25">
        <f ca="1">COUNTIF(INDIRECT("["&amp;datatable!$C$4&amp;"]"&amp;datatable!$B3&amp;"!"&amp;"Y:Y"),"High Incorrect")</f>
        <v>4</v>
      </c>
      <c r="M33" s="27">
        <f ca="1">COUNTIF(INDIRECT("["&amp;datatable!$C$4&amp;"]"&amp;datatable!$B3&amp;"!"&amp;"Y:Y"),"N/A")</f>
        <v>3</v>
      </c>
      <c r="N33" s="43">
        <f t="shared" ca="1" si="3"/>
        <v>21</v>
      </c>
      <c r="O33" s="43">
        <f t="shared" ca="1" si="4"/>
        <v>18</v>
      </c>
    </row>
    <row r="34" spans="3:15">
      <c r="C34" s="44" t="s">
        <v>39</v>
      </c>
      <c r="D34" s="8">
        <f ca="1">COUNTIF(INDIRECT("["&amp;datatable!$C$4&amp;"]"&amp;datatable!$B4&amp;"!"&amp;"Y:Y"),"High Correct")</f>
        <v>12</v>
      </c>
      <c r="E34" s="11">
        <f ca="1">COUNTIF(INDIRECT("["&amp;datatable!$C$4&amp;"]"&amp;datatable!$B4&amp;"!"&amp;"Y:Y"),"Medium Correct")</f>
        <v>0</v>
      </c>
      <c r="F34" s="13">
        <f ca="1">COUNTIF(INDIRECT("["&amp;datatable!$C$4&amp;"]"&amp;datatable!$B4&amp;"!"&amp;"Y:Y"),"Low Correct")</f>
        <v>2</v>
      </c>
      <c r="G34" s="15">
        <f ca="1">COUNTIF(INDIRECT("["&amp;datatable!$C$4&amp;"]"&amp;datatable!$B4&amp;"!"&amp;"Y:Y"),"High Maybe")</f>
        <v>2</v>
      </c>
      <c r="H34" s="17">
        <f ca="1">COUNTIF(INDIRECT("["&amp;datatable!$C$4&amp;"]"&amp;datatable!$B4&amp;"!"&amp;"Y:Y"),"Medium Maybe")</f>
        <v>0</v>
      </c>
      <c r="I34" s="19">
        <f ca="1">COUNTIF(INDIRECT("["&amp;datatable!$C$4&amp;"]"&amp;datatable!$B4&amp;"!"&amp;"Y:Y"),"Low Maybe")</f>
        <v>1</v>
      </c>
      <c r="J34" s="21">
        <f ca="1">COUNTIF(INDIRECT("["&amp;datatable!$C$4&amp;"]"&amp;datatable!$B4&amp;"!"&amp;"Y:Y"),"Low Incorrect")</f>
        <v>1</v>
      </c>
      <c r="K34" s="23">
        <f ca="1">COUNTIF(INDIRECT("["&amp;datatable!$C$4&amp;"]"&amp;datatable!$B4&amp;"!"&amp;"Y:Y"),"Medium Incorrect")</f>
        <v>0</v>
      </c>
      <c r="L34" s="25">
        <f ca="1">COUNTIF(INDIRECT("["&amp;datatable!$C$4&amp;"]"&amp;datatable!$B4&amp;"!"&amp;"Y:Y"),"High Incorrect")</f>
        <v>0</v>
      </c>
      <c r="M34" s="27">
        <f ca="1">COUNTIF(INDIRECT("["&amp;datatable!$C$4&amp;"]"&amp;datatable!$B4&amp;"!"&amp;"Y:Y"),"N/A")</f>
        <v>3</v>
      </c>
      <c r="N34" s="43">
        <f t="shared" ca="1" si="3"/>
        <v>21</v>
      </c>
      <c r="O34" s="43">
        <f t="shared" ca="1" si="4"/>
        <v>18</v>
      </c>
    </row>
    <row r="35" spans="3:15">
      <c r="C35" s="44" t="s">
        <v>40</v>
      </c>
      <c r="D35" s="8">
        <f ca="1">COUNTIF(INDIRECT("["&amp;datatable!$C$4&amp;"]"&amp;datatable!$B5&amp;"!"&amp;"Y:Y"),"High Correct")</f>
        <v>10</v>
      </c>
      <c r="E35" s="11">
        <f ca="1">COUNTIF(INDIRECT("["&amp;datatable!$C$4&amp;"]"&amp;datatable!$B5&amp;"!"&amp;"Y:Y"),"Medium Correct")</f>
        <v>3</v>
      </c>
      <c r="F35" s="13">
        <f ca="1">COUNTIF(INDIRECT("["&amp;datatable!$C$4&amp;"]"&amp;datatable!$B5&amp;"!"&amp;"Y:Y"),"Low Correct")</f>
        <v>0</v>
      </c>
      <c r="G35" s="15">
        <f ca="1">COUNTIF(INDIRECT("["&amp;datatable!$C$4&amp;"]"&amp;datatable!$B5&amp;"!"&amp;"Y:Y"),"High Maybe")</f>
        <v>1</v>
      </c>
      <c r="H35" s="17">
        <f ca="1">COUNTIF(INDIRECT("["&amp;datatable!$C$4&amp;"]"&amp;datatable!$B5&amp;"!"&amp;"Y:Y"),"Medium Maybe")</f>
        <v>2</v>
      </c>
      <c r="I35" s="19">
        <f ca="1">COUNTIF(INDIRECT("["&amp;datatable!$C$4&amp;"]"&amp;datatable!$B5&amp;"!"&amp;"Y:Y"),"Low Maybe")</f>
        <v>1</v>
      </c>
      <c r="J35" s="21">
        <f ca="1">COUNTIF(INDIRECT("["&amp;datatable!$C$4&amp;"]"&amp;datatable!$B5&amp;"!"&amp;"Y:Y"),"Low Incorrect")</f>
        <v>1</v>
      </c>
      <c r="K35" s="23">
        <f ca="1">COUNTIF(INDIRECT("["&amp;datatable!$C$4&amp;"]"&amp;datatable!$B5&amp;"!"&amp;"Y:Y"),"Medium Incorrect")</f>
        <v>0</v>
      </c>
      <c r="L35" s="25">
        <f ca="1">COUNTIF(INDIRECT("["&amp;datatable!$C$4&amp;"]"&amp;datatable!$B5&amp;"!"&amp;"Y:Y"),"High Incorrect")</f>
        <v>3</v>
      </c>
      <c r="M35" s="27">
        <f ca="1">COUNTIF(INDIRECT("["&amp;datatable!$C$4&amp;"]"&amp;datatable!$B5&amp;"!"&amp;"Y:Y"),"N/A")</f>
        <v>0</v>
      </c>
      <c r="N35" s="43">
        <f t="shared" ca="1" si="3"/>
        <v>21</v>
      </c>
      <c r="O35" s="43">
        <f t="shared" ca="1" si="4"/>
        <v>21</v>
      </c>
    </row>
    <row r="36" spans="3:15">
      <c r="C36" s="44" t="s">
        <v>41</v>
      </c>
      <c r="D36" s="8">
        <f ca="1">COUNTIF(INDIRECT("["&amp;datatable!$C$4&amp;"]"&amp;datatable!$B6&amp;"!"&amp;"Y:Y"),"High Correct")</f>
        <v>10</v>
      </c>
      <c r="E36" s="11">
        <f ca="1">COUNTIF(INDIRECT("["&amp;datatable!$C$4&amp;"]"&amp;datatable!$B6&amp;"!"&amp;"Y:Y"),"Medium Correct")</f>
        <v>2</v>
      </c>
      <c r="F36" s="13">
        <f ca="1">COUNTIF(INDIRECT("["&amp;datatable!$C$4&amp;"]"&amp;datatable!$B6&amp;"!"&amp;"Y:Y"),"Low Correct")</f>
        <v>0</v>
      </c>
      <c r="G36" s="15">
        <f ca="1">COUNTIF(INDIRECT("["&amp;datatable!$C$4&amp;"]"&amp;datatable!$B6&amp;"!"&amp;"Y:Y"),"High Maybe")</f>
        <v>2</v>
      </c>
      <c r="H36" s="17">
        <f ca="1">COUNTIF(INDIRECT("["&amp;datatable!$C$4&amp;"]"&amp;datatable!$B6&amp;"!"&amp;"Y:Y"),"Medium Maybe")</f>
        <v>2</v>
      </c>
      <c r="I36" s="19">
        <f ca="1">COUNTIF(INDIRECT("["&amp;datatable!$C$4&amp;"]"&amp;datatable!$B6&amp;"!"&amp;"Y:Y"),"Low Maybe")</f>
        <v>0</v>
      </c>
      <c r="J36" s="21">
        <f ca="1">COUNTIF(INDIRECT("["&amp;datatable!$C$4&amp;"]"&amp;datatable!$B6&amp;"!"&amp;"Y:Y"),"Low Incorrect")</f>
        <v>1</v>
      </c>
      <c r="K36" s="23">
        <f ca="1">COUNTIF(INDIRECT("["&amp;datatable!$C$4&amp;"]"&amp;datatable!$B6&amp;"!"&amp;"Y:Y"),"Medium Incorrect")</f>
        <v>2</v>
      </c>
      <c r="L36" s="25">
        <f ca="1">COUNTIF(INDIRECT("["&amp;datatable!$C$4&amp;"]"&amp;datatable!$B6&amp;"!"&amp;"Y:Y"),"High Incorrect")</f>
        <v>1</v>
      </c>
      <c r="M36" s="27">
        <f ca="1">COUNTIF(INDIRECT("["&amp;datatable!$C$4&amp;"]"&amp;datatable!$B6&amp;"!"&amp;"Y:Y"),"N/A")</f>
        <v>1</v>
      </c>
      <c r="N36" s="43">
        <f t="shared" ca="1" si="3"/>
        <v>21</v>
      </c>
      <c r="O36" s="43">
        <f t="shared" ca="1" si="4"/>
        <v>20</v>
      </c>
    </row>
    <row r="37" spans="3:15">
      <c r="C37" s="44" t="s">
        <v>42</v>
      </c>
      <c r="D37" s="8">
        <f ca="1">COUNTIF(INDIRECT("["&amp;datatable!$C$4&amp;"]"&amp;datatable!$B7&amp;"!"&amp;"Y:Y"),"High Correct")</f>
        <v>3</v>
      </c>
      <c r="E37" s="11">
        <f ca="1">COUNTIF(INDIRECT("["&amp;datatable!$C$4&amp;"]"&amp;datatable!$B7&amp;"!"&amp;"Y:Y"),"Medium Correct")</f>
        <v>0</v>
      </c>
      <c r="F37" s="13">
        <f ca="1">COUNTIF(INDIRECT("["&amp;datatable!$C$4&amp;"]"&amp;datatable!$B7&amp;"!"&amp;"Y:Y"),"Low Correct")</f>
        <v>1</v>
      </c>
      <c r="G37" s="15">
        <f ca="1">COUNTIF(INDIRECT("["&amp;datatable!$C$4&amp;"]"&amp;datatable!$B7&amp;"!"&amp;"Y:Y"),"High Maybe")</f>
        <v>0</v>
      </c>
      <c r="H37" s="17">
        <f ca="1">COUNTIF(INDIRECT("["&amp;datatable!$C$4&amp;"]"&amp;datatable!$B7&amp;"!"&amp;"Y:Y"),"Medium Maybe")</f>
        <v>1</v>
      </c>
      <c r="I37" s="19">
        <f ca="1">COUNTIF(INDIRECT("["&amp;datatable!$C$4&amp;"]"&amp;datatable!$B7&amp;"!"&amp;"Y:Y"),"Low Maybe")</f>
        <v>0</v>
      </c>
      <c r="J37" s="21">
        <f ca="1">COUNTIF(INDIRECT("["&amp;datatable!$C$4&amp;"]"&amp;datatable!$B7&amp;"!"&amp;"Y:Y"),"Low Incorrect")</f>
        <v>1</v>
      </c>
      <c r="K37" s="23">
        <f ca="1">COUNTIF(INDIRECT("["&amp;datatable!$C$4&amp;"]"&amp;datatable!$B7&amp;"!"&amp;"Y:Y"),"Medium Incorrect")</f>
        <v>0</v>
      </c>
      <c r="L37" s="25">
        <f ca="1">COUNTIF(INDIRECT("["&amp;datatable!$C$4&amp;"]"&amp;datatable!$B7&amp;"!"&amp;"Y:Y"),"High Incorrect")</f>
        <v>0</v>
      </c>
      <c r="M37" s="27">
        <f ca="1">COUNTIF(INDIRECT("["&amp;datatable!$C$4&amp;"]"&amp;datatable!$B7&amp;"!"&amp;"Y:Y"),"N/A")</f>
        <v>15</v>
      </c>
      <c r="N37" s="43">
        <f t="shared" ca="1" si="3"/>
        <v>21</v>
      </c>
      <c r="O37" s="43">
        <f t="shared" ca="1" si="4"/>
        <v>6</v>
      </c>
    </row>
    <row r="38" spans="3:15">
      <c r="C38" s="44" t="s">
        <v>43</v>
      </c>
      <c r="D38" s="8">
        <f ca="1">COUNTIF(INDIRECT("["&amp;datatable!$C$4&amp;"]"&amp;datatable!$B8&amp;"!"&amp;"Y:Y"),"High Correct")</f>
        <v>9</v>
      </c>
      <c r="E38" s="11">
        <f ca="1">COUNTIF(INDIRECT("["&amp;datatable!$C$4&amp;"]"&amp;datatable!$B8&amp;"!"&amp;"Y:Y"),"Medium Correct")</f>
        <v>2</v>
      </c>
      <c r="F38" s="13">
        <f ca="1">COUNTIF(INDIRECT("["&amp;datatable!$C$4&amp;"]"&amp;datatable!$B8&amp;"!"&amp;"Y:Y"),"Low Correct")</f>
        <v>1</v>
      </c>
      <c r="G38" s="15">
        <f ca="1">COUNTIF(INDIRECT("["&amp;datatable!$C$4&amp;"]"&amp;datatable!$B8&amp;"!"&amp;"Y:Y"),"High Maybe")</f>
        <v>2</v>
      </c>
      <c r="H38" s="17">
        <f ca="1">COUNTIF(INDIRECT("["&amp;datatable!$C$4&amp;"]"&amp;datatable!$B8&amp;"!"&amp;"Y:Y"),"Medium Maybe")</f>
        <v>1</v>
      </c>
      <c r="I38" s="19">
        <f ca="1">COUNTIF(INDIRECT("["&amp;datatable!$C$4&amp;"]"&amp;datatable!$B8&amp;"!"&amp;"Y:Y"),"Low Maybe")</f>
        <v>1</v>
      </c>
      <c r="J38" s="21">
        <f ca="1">COUNTIF(INDIRECT("["&amp;datatable!$C$4&amp;"]"&amp;datatable!$B8&amp;"!"&amp;"Y:Y"),"Low Incorrect")</f>
        <v>0</v>
      </c>
      <c r="K38" s="23">
        <f ca="1">COUNTIF(INDIRECT("["&amp;datatable!$C$4&amp;"]"&amp;datatable!$B8&amp;"!"&amp;"Y:Y"),"Medium Incorrect")</f>
        <v>0</v>
      </c>
      <c r="L38" s="25">
        <f ca="1">COUNTIF(INDIRECT("["&amp;datatable!$C$4&amp;"]"&amp;datatable!$B8&amp;"!"&amp;"Y:Y"),"High Incorrect")</f>
        <v>3</v>
      </c>
      <c r="M38" s="27">
        <f ca="1">COUNTIF(INDIRECT("["&amp;datatable!$C$4&amp;"]"&amp;datatable!$B8&amp;"!"&amp;"Y:Y"),"N/A")</f>
        <v>2</v>
      </c>
      <c r="N38" s="43">
        <f t="shared" ca="1" si="3"/>
        <v>21</v>
      </c>
      <c r="O38" s="43">
        <f t="shared" ca="1" si="4"/>
        <v>19</v>
      </c>
    </row>
    <row r="39" spans="3:15">
      <c r="C39" s="44" t="s">
        <v>44</v>
      </c>
      <c r="D39" s="8">
        <f ca="1">COUNTIF(INDIRECT("["&amp;datatable!$C$4&amp;"]"&amp;datatable!$B9&amp;"!"&amp;"Y:Y"),"High Correct")</f>
        <v>7</v>
      </c>
      <c r="E39" s="11">
        <f ca="1">COUNTIF(INDIRECT("["&amp;datatable!$C$4&amp;"]"&amp;datatable!$B9&amp;"!"&amp;"Y:Y"),"Medium Correct")</f>
        <v>2</v>
      </c>
      <c r="F39" s="13">
        <f ca="1">COUNTIF(INDIRECT("["&amp;datatable!$C$4&amp;"]"&amp;datatable!$B9&amp;"!"&amp;"Y:Y"),"Low Correct")</f>
        <v>2</v>
      </c>
      <c r="G39" s="15">
        <f ca="1">COUNTIF(INDIRECT("["&amp;datatable!$C$4&amp;"]"&amp;datatable!$B9&amp;"!"&amp;"Y:Y"),"High Maybe")</f>
        <v>1</v>
      </c>
      <c r="H39" s="17">
        <f ca="1">COUNTIF(INDIRECT("["&amp;datatable!$C$4&amp;"]"&amp;datatable!$B9&amp;"!"&amp;"Y:Y"),"Medium Maybe")</f>
        <v>0</v>
      </c>
      <c r="I39" s="19">
        <f ca="1">COUNTIF(INDIRECT("["&amp;datatable!$C$4&amp;"]"&amp;datatable!$B9&amp;"!"&amp;"Y:Y"),"Low Maybe")</f>
        <v>0</v>
      </c>
      <c r="J39" s="21">
        <f ca="1">COUNTIF(INDIRECT("["&amp;datatable!$C$4&amp;"]"&amp;datatable!$B9&amp;"!"&amp;"Y:Y"),"Low Incorrect")</f>
        <v>2</v>
      </c>
      <c r="K39" s="23">
        <f ca="1">COUNTIF(INDIRECT("["&amp;datatable!$C$4&amp;"]"&amp;datatable!$B9&amp;"!"&amp;"Y:Y"),"Medium Incorrect")</f>
        <v>0</v>
      </c>
      <c r="L39" s="25">
        <f ca="1">COUNTIF(INDIRECT("["&amp;datatable!$C$4&amp;"]"&amp;datatable!$B9&amp;"!"&amp;"Y:Y"),"High Incorrect")</f>
        <v>4</v>
      </c>
      <c r="M39" s="27">
        <f ca="1">COUNTIF(INDIRECT("["&amp;datatable!$C$4&amp;"]"&amp;datatable!$B9&amp;"!"&amp;"Y:Y"),"N/A")</f>
        <v>3</v>
      </c>
      <c r="N39" s="43">
        <f t="shared" ca="1" si="3"/>
        <v>21</v>
      </c>
      <c r="O39" s="43">
        <f t="shared" ca="1" si="4"/>
        <v>18</v>
      </c>
    </row>
    <row r="40" spans="3:15">
      <c r="C40" s="44" t="s">
        <v>45</v>
      </c>
      <c r="D40" s="8">
        <f ca="1">COUNTIF(INDIRECT("["&amp;datatable!$C$4&amp;"]"&amp;datatable!$B10&amp;"!"&amp;"Y:Y"),"High Correct")</f>
        <v>4</v>
      </c>
      <c r="E40" s="11">
        <f ca="1">COUNTIF(INDIRECT("["&amp;datatable!$C$4&amp;"]"&amp;datatable!$B10&amp;"!"&amp;"Y:Y"),"Medium Correct")</f>
        <v>1</v>
      </c>
      <c r="F40" s="13">
        <f ca="1">COUNTIF(INDIRECT("["&amp;datatable!$C$4&amp;"]"&amp;datatable!$B10&amp;"!"&amp;"Y:Y"),"Low Correct")</f>
        <v>4</v>
      </c>
      <c r="G40" s="15">
        <f ca="1">COUNTIF(INDIRECT("["&amp;datatable!$C$4&amp;"]"&amp;datatable!$B10&amp;"!"&amp;"Y:Y"),"High Maybe")</f>
        <v>2</v>
      </c>
      <c r="H40" s="17">
        <f ca="1">COUNTIF(INDIRECT("["&amp;datatable!$C$4&amp;"]"&amp;datatable!$B10&amp;"!"&amp;"Y:Y"),"Medium Maybe")</f>
        <v>2</v>
      </c>
      <c r="I40" s="19">
        <f ca="1">COUNTIF(INDIRECT("["&amp;datatable!$C$4&amp;"]"&amp;datatable!$B10&amp;"!"&amp;"Y:Y"),"Low Maybe")</f>
        <v>1</v>
      </c>
      <c r="J40" s="21">
        <f ca="1">COUNTIF(INDIRECT("["&amp;datatable!$C$4&amp;"]"&amp;datatable!$B10&amp;"!"&amp;"Y:Y"),"Low Incorrect")</f>
        <v>1</v>
      </c>
      <c r="K40" s="23">
        <f ca="1">COUNTIF(INDIRECT("["&amp;datatable!$C$4&amp;"]"&amp;datatable!$B10&amp;"!"&amp;"Y:Y"),"Medium Incorrect")</f>
        <v>0</v>
      </c>
      <c r="L40" s="25">
        <f ca="1">COUNTIF(INDIRECT("["&amp;datatable!$C$4&amp;"]"&amp;datatable!$B10&amp;"!"&amp;"Y:Y"),"High Incorrect")</f>
        <v>3</v>
      </c>
      <c r="M40" s="27">
        <f ca="1">COUNTIF(INDIRECT("["&amp;datatable!$C$4&amp;"]"&amp;datatable!$B10&amp;"!"&amp;"Y:Y"),"N/A")</f>
        <v>3</v>
      </c>
      <c r="N40" s="43">
        <f t="shared" ca="1" si="3"/>
        <v>21</v>
      </c>
      <c r="O40" s="43">
        <f t="shared" ca="1" si="4"/>
        <v>18</v>
      </c>
    </row>
    <row r="41" spans="3:15">
      <c r="C41" s="44" t="s">
        <v>46</v>
      </c>
      <c r="D41" s="8">
        <f ca="1">COUNTIF(INDIRECT("["&amp;datatable!$C$4&amp;"]"&amp;datatable!$B11&amp;"!"&amp;"Y:Y"),"High Correct")</f>
        <v>7</v>
      </c>
      <c r="E41" s="11">
        <f ca="1">COUNTIF(INDIRECT("["&amp;datatable!$C$4&amp;"]"&amp;datatable!$B11&amp;"!"&amp;"Y:Y"),"Medium Correct")</f>
        <v>4</v>
      </c>
      <c r="F41" s="13">
        <f ca="1">COUNTIF(INDIRECT("["&amp;datatable!$C$4&amp;"]"&amp;datatable!$B11&amp;"!"&amp;"Y:Y"),"Low Correct")</f>
        <v>0</v>
      </c>
      <c r="G41" s="15">
        <f ca="1">COUNTIF(INDIRECT("["&amp;datatable!$C$4&amp;"]"&amp;datatable!$B11&amp;"!"&amp;"Y:Y"),"High Maybe")</f>
        <v>1</v>
      </c>
      <c r="H41" s="17">
        <f ca="1">COUNTIF(INDIRECT("["&amp;datatable!$C$4&amp;"]"&amp;datatable!$B11&amp;"!"&amp;"Y:Y"),"Medium Maybe")</f>
        <v>1</v>
      </c>
      <c r="I41" s="19">
        <f ca="1">COUNTIF(INDIRECT("["&amp;datatable!$C$4&amp;"]"&amp;datatable!$B11&amp;"!"&amp;"Y:Y"),"Low Maybe")</f>
        <v>1</v>
      </c>
      <c r="J41" s="21">
        <f ca="1">COUNTIF(INDIRECT("["&amp;datatable!$C$4&amp;"]"&amp;datatable!$B11&amp;"!"&amp;"Y:Y"),"Low Incorrect")</f>
        <v>3</v>
      </c>
      <c r="K41" s="23">
        <f ca="1">COUNTIF(INDIRECT("["&amp;datatable!$C$4&amp;"]"&amp;datatable!$B11&amp;"!"&amp;"Y:Y"),"Medium Incorrect")</f>
        <v>1</v>
      </c>
      <c r="L41" s="25">
        <f ca="1">COUNTIF(INDIRECT("["&amp;datatable!$C$4&amp;"]"&amp;datatable!$B11&amp;"!"&amp;"Y:Y"),"High Incorrect")</f>
        <v>2</v>
      </c>
      <c r="M41" s="27">
        <f ca="1">COUNTIF(INDIRECT("["&amp;datatable!$C$4&amp;"]"&amp;datatable!$B11&amp;"!"&amp;"Y:Y"),"N/A")</f>
        <v>1</v>
      </c>
      <c r="N41" s="43">
        <f t="shared" ca="1" si="3"/>
        <v>21</v>
      </c>
      <c r="O41" s="43">
        <f t="shared" ca="1" si="4"/>
        <v>20</v>
      </c>
    </row>
    <row r="42" spans="3:15">
      <c r="C42" s="44" t="s">
        <v>47</v>
      </c>
      <c r="D42" s="8">
        <f ca="1">COUNTIF(INDIRECT("["&amp;datatable!$C$4&amp;"]"&amp;datatable!$B12&amp;"!"&amp;"Y:Y"),"High Correct")</f>
        <v>8</v>
      </c>
      <c r="E42" s="11">
        <f ca="1">COUNTIF(INDIRECT("["&amp;datatable!$C$4&amp;"]"&amp;datatable!$B12&amp;"!"&amp;"Y:Y"),"Medium Correct")</f>
        <v>3</v>
      </c>
      <c r="F42" s="13">
        <f ca="1">COUNTIF(INDIRECT("["&amp;datatable!$C$4&amp;"]"&amp;datatable!$B12&amp;"!"&amp;"Y:Y"),"Low Correct")</f>
        <v>0</v>
      </c>
      <c r="G42" s="15">
        <f ca="1">COUNTIF(INDIRECT("["&amp;datatable!$C$4&amp;"]"&amp;datatable!$B12&amp;"!"&amp;"Y:Y"),"High Maybe")</f>
        <v>3</v>
      </c>
      <c r="H42" s="17">
        <f ca="1">COUNTIF(INDIRECT("["&amp;datatable!$C$4&amp;"]"&amp;datatable!$B12&amp;"!"&amp;"Y:Y"),"Medium Maybe")</f>
        <v>2</v>
      </c>
      <c r="I42" s="19">
        <f ca="1">COUNTIF(INDIRECT("["&amp;datatable!$C$4&amp;"]"&amp;datatable!$B12&amp;"!"&amp;"Y:Y"),"Low Maybe")</f>
        <v>0</v>
      </c>
      <c r="J42" s="21">
        <f ca="1">COUNTIF(INDIRECT("["&amp;datatable!$C$4&amp;"]"&amp;datatable!$B12&amp;"!"&amp;"Y:Y"),"Low Incorrect")</f>
        <v>1</v>
      </c>
      <c r="K42" s="23">
        <f ca="1">COUNTIF(INDIRECT("["&amp;datatable!$C$4&amp;"]"&amp;datatable!$B12&amp;"!"&amp;"Y:Y"),"Medium Incorrect")</f>
        <v>1</v>
      </c>
      <c r="L42" s="25">
        <f ca="1">COUNTIF(INDIRECT("["&amp;datatable!$C$4&amp;"]"&amp;datatable!$B12&amp;"!"&amp;"Y:Y"),"High Incorrect")</f>
        <v>3</v>
      </c>
      <c r="M42" s="27">
        <f ca="1">COUNTIF(INDIRECT("["&amp;datatable!$C$4&amp;"]"&amp;datatable!$B12&amp;"!"&amp;"Y:Y"),"N/A")</f>
        <v>0</v>
      </c>
      <c r="N42" s="43">
        <f t="shared" ca="1" si="3"/>
        <v>21</v>
      </c>
      <c r="O42" s="43">
        <f t="shared" ca="1" si="4"/>
        <v>21</v>
      </c>
    </row>
    <row r="43" spans="3:15">
      <c r="C43" s="44" t="s">
        <v>48</v>
      </c>
      <c r="D43" s="8">
        <f ca="1">COUNTIF(INDIRECT("["&amp;datatable!$C$4&amp;"]"&amp;datatable!$B13&amp;"!"&amp;"Y:Y"),"High Correct")</f>
        <v>14</v>
      </c>
      <c r="E43" s="11">
        <f ca="1">COUNTIF(INDIRECT("["&amp;datatable!$C$4&amp;"]"&amp;datatable!$B13&amp;"!"&amp;"Y:Y"),"Medium Correct")</f>
        <v>2</v>
      </c>
      <c r="F43" s="13">
        <f ca="1">COUNTIF(INDIRECT("["&amp;datatable!$C$4&amp;"]"&amp;datatable!$B13&amp;"!"&amp;"Y:Y"),"Low Correct")</f>
        <v>0</v>
      </c>
      <c r="G43" s="15">
        <f ca="1">COUNTIF(INDIRECT("["&amp;datatable!$C$4&amp;"]"&amp;datatable!$B13&amp;"!"&amp;"Y:Y"),"High Maybe")</f>
        <v>1</v>
      </c>
      <c r="H43" s="17">
        <f ca="1">COUNTIF(INDIRECT("["&amp;datatable!$C$4&amp;"]"&amp;datatable!$B13&amp;"!"&amp;"Y:Y"),"Medium Maybe")</f>
        <v>1</v>
      </c>
      <c r="I43" s="19">
        <f ca="1">COUNTIF(INDIRECT("["&amp;datatable!$C$4&amp;"]"&amp;datatable!$B13&amp;"!"&amp;"Y:Y"),"Low Maybe")</f>
        <v>0</v>
      </c>
      <c r="J43" s="21">
        <f ca="1">COUNTIF(INDIRECT("["&amp;datatable!$C$4&amp;"]"&amp;datatable!$B13&amp;"!"&amp;"Y:Y"),"Low Incorrect")</f>
        <v>0</v>
      </c>
      <c r="K43" s="23">
        <f ca="1">COUNTIF(INDIRECT("["&amp;datatable!$C$4&amp;"]"&amp;datatable!$B13&amp;"!"&amp;"Y:Y"),"Medium Incorrect")</f>
        <v>1</v>
      </c>
      <c r="L43" s="25">
        <f ca="1">COUNTIF(INDIRECT("["&amp;datatable!$C$4&amp;"]"&amp;datatable!$B13&amp;"!"&amp;"Y:Y"),"High Incorrect")</f>
        <v>1</v>
      </c>
      <c r="M43" s="27">
        <f ca="1">COUNTIF(INDIRECT("["&amp;datatable!$C$4&amp;"]"&amp;datatable!$B13&amp;"!"&amp;"Y:Y"),"N/A")</f>
        <v>1</v>
      </c>
      <c r="N43" s="43">
        <f t="shared" ca="1" si="3"/>
        <v>21</v>
      </c>
      <c r="O43" s="43">
        <f t="shared" ca="1" si="4"/>
        <v>20</v>
      </c>
    </row>
    <row r="44" spans="3:15">
      <c r="C44" s="44" t="s">
        <v>49</v>
      </c>
      <c r="D44" s="8">
        <f ca="1">COUNTIF(INDIRECT("["&amp;datatable!$C$4&amp;"]"&amp;datatable!$B14&amp;"!"&amp;"Y:Y"),"High Correct")</f>
        <v>3</v>
      </c>
      <c r="E44" s="11">
        <f ca="1">COUNTIF(INDIRECT("["&amp;datatable!$C$4&amp;"]"&amp;datatable!$B14&amp;"!"&amp;"Y:Y"),"Medium Correct")</f>
        <v>2</v>
      </c>
      <c r="F44" s="13">
        <f ca="1">COUNTIF(INDIRECT("["&amp;datatable!$C$4&amp;"]"&amp;datatable!$B14&amp;"!"&amp;"Y:Y"),"Low Correct")</f>
        <v>3</v>
      </c>
      <c r="G44" s="15">
        <f ca="1">COUNTIF(INDIRECT("["&amp;datatable!$C$4&amp;"]"&amp;datatable!$B14&amp;"!"&amp;"Y:Y"),"High Maybe")</f>
        <v>0</v>
      </c>
      <c r="H44" s="17">
        <f ca="1">COUNTIF(INDIRECT("["&amp;datatable!$C$4&amp;"]"&amp;datatable!$B14&amp;"!"&amp;"Y:Y"),"Medium Maybe")</f>
        <v>0</v>
      </c>
      <c r="I44" s="19">
        <f ca="1">COUNTIF(INDIRECT("["&amp;datatable!$C$4&amp;"]"&amp;datatable!$B14&amp;"!"&amp;"Y:Y"),"Low Maybe")</f>
        <v>0</v>
      </c>
      <c r="J44" s="21">
        <f ca="1">COUNTIF(INDIRECT("["&amp;datatable!$C$4&amp;"]"&amp;datatable!$B14&amp;"!"&amp;"Y:Y"),"Low Incorrect")</f>
        <v>1</v>
      </c>
      <c r="K44" s="23">
        <f ca="1">COUNTIF(INDIRECT("["&amp;datatable!$C$4&amp;"]"&amp;datatable!$B14&amp;"!"&amp;"Y:Y"),"Medium Incorrect")</f>
        <v>2</v>
      </c>
      <c r="L44" s="25">
        <f ca="1">COUNTIF(INDIRECT("["&amp;datatable!$C$4&amp;"]"&amp;datatable!$B14&amp;"!"&amp;"Y:Y"),"High Incorrect")</f>
        <v>6</v>
      </c>
      <c r="M44" s="27">
        <f ca="1">COUNTIF(INDIRECT("["&amp;datatable!$C$4&amp;"]"&amp;datatable!$B14&amp;"!"&amp;"Y:Y"),"N/A")</f>
        <v>4</v>
      </c>
      <c r="N44" s="43">
        <f t="shared" ca="1" si="3"/>
        <v>21</v>
      </c>
      <c r="O44" s="43">
        <f t="shared" ca="1" si="4"/>
        <v>17</v>
      </c>
    </row>
    <row r="45" spans="3:15">
      <c r="C45" s="44" t="s">
        <v>50</v>
      </c>
      <c r="D45" s="8">
        <f ca="1">COUNTIF(INDIRECT("["&amp;datatable!$C$4&amp;"]"&amp;datatable!$B15&amp;"!"&amp;"Y:Y"),"High Correct")</f>
        <v>5</v>
      </c>
      <c r="E45" s="11">
        <f ca="1">COUNTIF(INDIRECT("["&amp;datatable!$C$4&amp;"]"&amp;datatable!$B15&amp;"!"&amp;"Y:Y"),"Medium Correct")</f>
        <v>2</v>
      </c>
      <c r="F45" s="13">
        <f ca="1">COUNTIF(INDIRECT("["&amp;datatable!$C$4&amp;"]"&amp;datatable!$B15&amp;"!"&amp;"Y:Y"),"Low Correct")</f>
        <v>1</v>
      </c>
      <c r="G45" s="15">
        <f ca="1">COUNTIF(INDIRECT("["&amp;datatable!$C$4&amp;"]"&amp;datatable!$B15&amp;"!"&amp;"Y:Y"),"High Maybe")</f>
        <v>1</v>
      </c>
      <c r="H45" s="17">
        <f ca="1">COUNTIF(INDIRECT("["&amp;datatable!$C$4&amp;"]"&amp;datatable!$B15&amp;"!"&amp;"Y:Y"),"Medium Maybe")</f>
        <v>2</v>
      </c>
      <c r="I45" s="19">
        <f ca="1">COUNTIF(INDIRECT("["&amp;datatable!$C$4&amp;"]"&amp;datatable!$B15&amp;"!"&amp;"Y:Y"),"Low Maybe")</f>
        <v>3</v>
      </c>
      <c r="J45" s="21">
        <f ca="1">COUNTIF(INDIRECT("["&amp;datatable!$C$4&amp;"]"&amp;datatable!$B15&amp;"!"&amp;"Y:Y"),"Low Incorrect")</f>
        <v>0</v>
      </c>
      <c r="K45" s="23">
        <f ca="1">COUNTIF(INDIRECT("["&amp;datatable!$C$4&amp;"]"&amp;datatable!$B15&amp;"!"&amp;"Y:Y"),"Medium Incorrect")</f>
        <v>0</v>
      </c>
      <c r="L45" s="25">
        <f ca="1">COUNTIF(INDIRECT("["&amp;datatable!$C$4&amp;"]"&amp;datatable!$B15&amp;"!"&amp;"Y:Y"),"High Incorrect")</f>
        <v>7</v>
      </c>
      <c r="M45" s="27">
        <f ca="1">COUNTIF(INDIRECT("["&amp;datatable!$C$4&amp;"]"&amp;datatable!$B15&amp;"!"&amp;"Y:Y"),"N/A")</f>
        <v>0</v>
      </c>
      <c r="N45" s="43">
        <f t="shared" ca="1" si="3"/>
        <v>21</v>
      </c>
      <c r="O45" s="43">
        <f t="shared" ca="1" si="4"/>
        <v>21</v>
      </c>
    </row>
    <row r="46" spans="3:15">
      <c r="C46" s="45" t="s">
        <v>51</v>
      </c>
      <c r="D46" s="8">
        <f ca="1">COUNTIF(INDIRECT("["&amp;datatable!$C$4&amp;"]"&amp;datatable!$B16&amp;"!"&amp;"Y:Y"),"High Correct")</f>
        <v>1</v>
      </c>
      <c r="E46" s="11">
        <f ca="1">COUNTIF(INDIRECT("["&amp;datatable!$C$4&amp;"]"&amp;datatable!$B16&amp;"!"&amp;"Y:Y"),"Medium Correct")</f>
        <v>0</v>
      </c>
      <c r="F46" s="13">
        <f ca="1">COUNTIF(INDIRECT("["&amp;datatable!$C$4&amp;"]"&amp;datatable!$B16&amp;"!"&amp;"Y:Y"),"Low Correct")</f>
        <v>0</v>
      </c>
      <c r="G46" s="15">
        <f ca="1">COUNTIF(INDIRECT("["&amp;datatable!$C$4&amp;"]"&amp;datatable!$B16&amp;"!"&amp;"Y:Y"),"High Maybe")</f>
        <v>1</v>
      </c>
      <c r="H46" s="17">
        <f ca="1">COUNTIF(INDIRECT("["&amp;datatable!$C$4&amp;"]"&amp;datatable!$B16&amp;"!"&amp;"Y:Y"),"Medium Maybe")</f>
        <v>1</v>
      </c>
      <c r="I46" s="19">
        <f ca="1">COUNTIF(INDIRECT("["&amp;datatable!$C$4&amp;"]"&amp;datatable!$B16&amp;"!"&amp;"Y:Y"),"Low Maybe")</f>
        <v>1</v>
      </c>
      <c r="J46" s="21">
        <f ca="1">COUNTIF(INDIRECT("["&amp;datatable!$C$4&amp;"]"&amp;datatable!$B16&amp;"!"&amp;"Y:Y"),"Low Incorrect")</f>
        <v>0</v>
      </c>
      <c r="K46" s="23">
        <f ca="1">COUNTIF(INDIRECT("["&amp;datatable!$C$4&amp;"]"&amp;datatable!$B16&amp;"!"&amp;"Y:Y"),"Medium Incorrect")</f>
        <v>0</v>
      </c>
      <c r="L46" s="25">
        <f ca="1">COUNTIF(INDIRECT("["&amp;datatable!$C$4&amp;"]"&amp;datatable!$B16&amp;"!"&amp;"Y:Y"),"High Incorrect")</f>
        <v>14</v>
      </c>
      <c r="M46" s="27">
        <f ca="1">COUNTIF(INDIRECT("["&amp;datatable!$C$4&amp;"]"&amp;datatable!$B16&amp;"!"&amp;"Y:Y"),"N/A")</f>
        <v>3</v>
      </c>
      <c r="N46" s="43">
        <f t="shared" ca="1" si="3"/>
        <v>21</v>
      </c>
      <c r="O46" s="43">
        <f t="shared" ca="1" si="4"/>
        <v>18</v>
      </c>
    </row>
    <row r="47" spans="3:15">
      <c r="C47" s="44" t="s">
        <v>52</v>
      </c>
      <c r="D47" s="8">
        <f ca="1">COUNTIF(INDIRECT("["&amp;datatable!$C$4&amp;"]"&amp;datatable!$B17&amp;"!"&amp;"Y:Y"),"High Correct")</f>
        <v>8</v>
      </c>
      <c r="E47" s="11">
        <f ca="1">COUNTIF(INDIRECT("["&amp;datatable!$C$4&amp;"]"&amp;datatable!$B17&amp;"!"&amp;"Y:Y"),"Medium Correct")</f>
        <v>2</v>
      </c>
      <c r="F47" s="13">
        <f ca="1">COUNTIF(INDIRECT("["&amp;datatable!$C$4&amp;"]"&amp;datatable!$B17&amp;"!"&amp;"Y:Y"),"Low Correct")</f>
        <v>1</v>
      </c>
      <c r="G47" s="15">
        <f ca="1">COUNTIF(INDIRECT("["&amp;datatable!$C$4&amp;"]"&amp;datatable!$B17&amp;"!"&amp;"Y:Y"),"High Maybe")</f>
        <v>4</v>
      </c>
      <c r="H47" s="17">
        <f ca="1">COUNTIF(INDIRECT("["&amp;datatable!$C$4&amp;"]"&amp;datatable!$B17&amp;"!"&amp;"Y:Y"),"Medium Maybe")</f>
        <v>1</v>
      </c>
      <c r="I47" s="19">
        <f ca="1">COUNTIF(INDIRECT("["&amp;datatable!$C$4&amp;"]"&amp;datatable!$B17&amp;"!"&amp;"Y:Y"),"Low Maybe")</f>
        <v>0</v>
      </c>
      <c r="J47" s="21">
        <f ca="1">COUNTIF(INDIRECT("["&amp;datatable!$C$4&amp;"]"&amp;datatable!$B17&amp;"!"&amp;"Y:Y"),"Low Incorrect")</f>
        <v>0</v>
      </c>
      <c r="K47" s="23">
        <f ca="1">COUNTIF(INDIRECT("["&amp;datatable!$C$4&amp;"]"&amp;datatable!$B17&amp;"!"&amp;"Y:Y"),"Medium Incorrect")</f>
        <v>0</v>
      </c>
      <c r="L47" s="25">
        <f ca="1">COUNTIF(INDIRECT("["&amp;datatable!$C$4&amp;"]"&amp;datatable!$B17&amp;"!"&amp;"Y:Y"),"High Incorrect")</f>
        <v>0</v>
      </c>
      <c r="M47" s="27">
        <f ca="1">COUNTIF(INDIRECT("["&amp;datatable!$C$4&amp;"]"&amp;datatable!$B17&amp;"!"&amp;"Y:Y"),"N/A")</f>
        <v>5</v>
      </c>
      <c r="N47" s="43">
        <f t="shared" ca="1" si="3"/>
        <v>21</v>
      </c>
      <c r="O47" s="43">
        <f t="shared" ca="1" si="4"/>
        <v>16</v>
      </c>
    </row>
    <row r="48" spans="3:15">
      <c r="C48" s="44" t="s">
        <v>53</v>
      </c>
      <c r="D48" s="8">
        <f ca="1">COUNTIF(INDIRECT("["&amp;datatable!$C$4&amp;"]"&amp;datatable!$B18&amp;"!"&amp;"Y:Y"),"High Correct")</f>
        <v>1</v>
      </c>
      <c r="E48" s="11">
        <f ca="1">COUNTIF(INDIRECT("["&amp;datatable!$C$4&amp;"]"&amp;datatable!$B18&amp;"!"&amp;"Y:Y"),"Medium Correct")</f>
        <v>0</v>
      </c>
      <c r="F48" s="13">
        <f ca="1">COUNTIF(INDIRECT("["&amp;datatable!$C$4&amp;"]"&amp;datatable!$B18&amp;"!"&amp;"Y:Y"),"Low Correct")</f>
        <v>0</v>
      </c>
      <c r="G48" s="15">
        <f ca="1">COUNTIF(INDIRECT("["&amp;datatable!$C$4&amp;"]"&amp;datatable!$B18&amp;"!"&amp;"Y:Y"),"High Maybe")</f>
        <v>3</v>
      </c>
      <c r="H48" s="17">
        <f ca="1">COUNTIF(INDIRECT("["&amp;datatable!$C$4&amp;"]"&amp;datatable!$B18&amp;"!"&amp;"Y:Y"),"Medium Maybe")</f>
        <v>1</v>
      </c>
      <c r="I48" s="19">
        <f ca="1">COUNTIF(INDIRECT("["&amp;datatable!$C$4&amp;"]"&amp;datatable!$B18&amp;"!"&amp;"Y:Y"),"Low Maybe")</f>
        <v>0</v>
      </c>
      <c r="J48" s="21">
        <f ca="1">COUNTIF(INDIRECT("["&amp;datatable!$C$4&amp;"]"&amp;datatable!$B18&amp;"!"&amp;"Y:Y"),"Low Incorrect")</f>
        <v>1</v>
      </c>
      <c r="K48" s="23">
        <f ca="1">COUNTIF(INDIRECT("["&amp;datatable!$C$4&amp;"]"&amp;datatable!$B18&amp;"!"&amp;"Y:Y"),"Medium Incorrect")</f>
        <v>0</v>
      </c>
      <c r="L48" s="25">
        <f ca="1">COUNTIF(INDIRECT("["&amp;datatable!$C$4&amp;"]"&amp;datatable!$B18&amp;"!"&amp;"Y:Y"),"High Incorrect")</f>
        <v>13</v>
      </c>
      <c r="M48" s="27">
        <f ca="1">COUNTIF(INDIRECT("["&amp;datatable!$C$4&amp;"]"&amp;datatable!$B18&amp;"!"&amp;"Y:Y"),"N/A")</f>
        <v>2</v>
      </c>
      <c r="N48" s="43">
        <f t="shared" ca="1" si="3"/>
        <v>21</v>
      </c>
      <c r="O48" s="43">
        <f t="shared" ca="1" si="4"/>
        <v>19</v>
      </c>
    </row>
    <row r="49" spans="3:25">
      <c r="C49" s="44" t="s">
        <v>54</v>
      </c>
      <c r="D49" s="8">
        <f ca="1">COUNTIF(INDIRECT("["&amp;datatable!$C$4&amp;"]"&amp;datatable!$B19&amp;"!"&amp;"Y:Y"),"High Correct")</f>
        <v>4</v>
      </c>
      <c r="E49" s="11">
        <f ca="1">COUNTIF(INDIRECT("["&amp;datatable!$C$4&amp;"]"&amp;datatable!$B19&amp;"!"&amp;"Y:Y"),"Medium Correct")</f>
        <v>0</v>
      </c>
      <c r="F49" s="13">
        <f ca="1">COUNTIF(INDIRECT("["&amp;datatable!$C$4&amp;"]"&amp;datatable!$B19&amp;"!"&amp;"Y:Y"),"Low Correct")</f>
        <v>8</v>
      </c>
      <c r="G49" s="15">
        <f ca="1">COUNTIF(INDIRECT("["&amp;datatable!$C$4&amp;"]"&amp;datatable!$B19&amp;"!"&amp;"Y:Y"),"High Maybe")</f>
        <v>3</v>
      </c>
      <c r="H49" s="17">
        <f ca="1">COUNTIF(INDIRECT("["&amp;datatable!$C$4&amp;"]"&amp;datatable!$B19&amp;"!"&amp;"Y:Y"),"Medium Maybe")</f>
        <v>1</v>
      </c>
      <c r="I49" s="19">
        <f ca="1">COUNTIF(INDIRECT("["&amp;datatable!$C$4&amp;"]"&amp;datatable!$B19&amp;"!"&amp;"Y:Y"),"Low Maybe")</f>
        <v>1</v>
      </c>
      <c r="J49" s="21">
        <f ca="1">COUNTIF(INDIRECT("["&amp;datatable!$C$4&amp;"]"&amp;datatable!$B19&amp;"!"&amp;"Y:Y"),"Low Incorrect")</f>
        <v>0</v>
      </c>
      <c r="K49" s="23">
        <f ca="1">COUNTIF(INDIRECT("["&amp;datatable!$C$4&amp;"]"&amp;datatable!$B19&amp;"!"&amp;"Y:Y"),"Medium Incorrect")</f>
        <v>0</v>
      </c>
      <c r="L49" s="25">
        <f ca="1">COUNTIF(INDIRECT("["&amp;datatable!$C$4&amp;"]"&amp;datatable!$B19&amp;"!"&amp;"Y:Y"),"High Incorrect")</f>
        <v>0</v>
      </c>
      <c r="M49" s="27">
        <f ca="1">COUNTIF(INDIRECT("["&amp;datatable!$C$4&amp;"]"&amp;datatable!$B19&amp;"!"&amp;"Y:Y"),"N/A")</f>
        <v>4</v>
      </c>
      <c r="N49" s="43">
        <f t="shared" ref="N49" ca="1" si="5">SUM(D49:M49)</f>
        <v>21</v>
      </c>
      <c r="O49" s="43">
        <f t="shared" ref="O49" ca="1" si="6">SUM(D49:L49)</f>
        <v>17</v>
      </c>
    </row>
    <row r="50" spans="3:25">
      <c r="C50" s="46" t="s">
        <v>36</v>
      </c>
      <c r="D50" s="47">
        <f ca="1">SUM(D32:D49)</f>
        <v>127</v>
      </c>
      <c r="E50" s="47">
        <f t="shared" ref="E50:M50" ca="1" si="7">SUM(E32:E49)</f>
        <v>26</v>
      </c>
      <c r="F50" s="47">
        <f t="shared" ca="1" si="7"/>
        <v>23</v>
      </c>
      <c r="G50" s="47">
        <f t="shared" ca="1" si="7"/>
        <v>30</v>
      </c>
      <c r="H50" s="47">
        <f t="shared" ca="1" si="7"/>
        <v>20</v>
      </c>
      <c r="I50" s="47">
        <f t="shared" ca="1" si="7"/>
        <v>12</v>
      </c>
      <c r="J50" s="47">
        <f t="shared" ca="1" si="7"/>
        <v>13</v>
      </c>
      <c r="K50" s="47">
        <f t="shared" ca="1" si="7"/>
        <v>8</v>
      </c>
      <c r="L50" s="47">
        <f t="shared" ca="1" si="7"/>
        <v>64</v>
      </c>
      <c r="M50" s="47">
        <f t="shared" ca="1" si="7"/>
        <v>55</v>
      </c>
      <c r="N50" s="43">
        <f ca="1">SUM(D50:M50)</f>
        <v>378</v>
      </c>
      <c r="O50" s="43">
        <f ca="1">SUM(D50:L50)</f>
        <v>323</v>
      </c>
    </row>
    <row r="53" spans="3:25">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5">
      <c r="C54" s="30"/>
      <c r="D54" s="51"/>
      <c r="E54" s="51"/>
      <c r="F54" s="51"/>
      <c r="G54" s="51"/>
      <c r="H54" s="51"/>
      <c r="I54" s="51"/>
      <c r="J54" s="51"/>
      <c r="K54" s="51"/>
      <c r="L54" s="51"/>
      <c r="M54" s="51"/>
      <c r="N54" s="51"/>
      <c r="O54" s="51"/>
      <c r="P54" s="51"/>
      <c r="Q54" s="51"/>
      <c r="R54" s="51"/>
      <c r="S54" s="51"/>
      <c r="T54" s="51"/>
      <c r="U54" s="51"/>
      <c r="V54" s="51"/>
      <c r="W54" s="51"/>
      <c r="X54" s="51"/>
      <c r="Y54" s="50"/>
    </row>
    <row r="55" spans="3:25">
      <c r="C55" s="52" t="s">
        <v>37</v>
      </c>
      <c r="D55" s="51" t="str" cm="1">
        <f t="array" aca="1" ref="D55" ca="1">INDIRECT("["&amp;datatable!$C$4&amp;"]"&amp;datatable!$B2&amp;"!"&amp;"Y2")</f>
        <v>N/A</v>
      </c>
      <c r="E55" s="51" t="str" cm="1">
        <f t="array" aca="1" ref="E55" ca="1">INDIRECT("["&amp;datatable!$C$4&amp;"]"&amp;datatable!$B2&amp;"!"&amp;"Y3")</f>
        <v>High Correct</v>
      </c>
      <c r="F55" s="51" t="str" cm="1">
        <f t="array" aca="1" ref="F55" ca="1">INDIRECT("["&amp;datatable!$C$4&amp;"]"&amp;datatable!$B2&amp;"!"&amp;"Y4")</f>
        <v>High Correct</v>
      </c>
      <c r="G55" s="51" t="str" cm="1">
        <f t="array" aca="1" ref="G55" ca="1">INDIRECT("["&amp;datatable!$C$4&amp;"]"&amp;datatable!$B2&amp;"!"&amp;"Y5")</f>
        <v>N/A</v>
      </c>
      <c r="H55" s="51" t="str" cm="1">
        <f t="array" aca="1" ref="H55" ca="1">INDIRECT("["&amp;datatable!$C$4&amp;"]"&amp;datatable!$B2&amp;"!"&amp;"Y6")</f>
        <v>High Correct</v>
      </c>
      <c r="I55" s="51" t="str" cm="1">
        <f t="array" aca="1" ref="I55" ca="1">INDIRECT("["&amp;datatable!$C$4&amp;"]"&amp;datatable!$B2&amp;"!"&amp;"Y7")</f>
        <v>High Correct</v>
      </c>
      <c r="J55" s="51" t="str" cm="1">
        <f t="array" aca="1" ref="J55" ca="1">INDIRECT("["&amp;datatable!$C$4&amp;"]"&amp;datatable!$B2&amp;"!"&amp;"Y8")</f>
        <v>High Maybe</v>
      </c>
      <c r="K55" s="51" t="str" cm="1">
        <f t="array" aca="1" ref="K55" ca="1">INDIRECT("["&amp;datatable!$C$4&amp;"]"&amp;datatable!$B2&amp;"!"&amp;"Y9")</f>
        <v>High Correct</v>
      </c>
      <c r="L55" s="51" t="str" cm="1">
        <f t="array" aca="1" ref="L55" ca="1">INDIRECT("["&amp;datatable!$C$4&amp;"]"&amp;datatable!$B2&amp;"!"&amp;"Y10")</f>
        <v>High Correct</v>
      </c>
      <c r="M55" s="51" t="str" cm="1">
        <f t="array" aca="1" ref="M55" ca="1">INDIRECT("["&amp;datatable!$C$4&amp;"]"&amp;datatable!$B2&amp;"!"&amp;"Y11")</f>
        <v>High Correct</v>
      </c>
      <c r="N55" s="51" t="str" cm="1">
        <f t="array" aca="1" ref="N55" ca="1">INDIRECT("["&amp;datatable!$C$4&amp;"]"&amp;datatable!$B2&amp;"!"&amp;"Y46")</f>
        <v>High Correct</v>
      </c>
      <c r="O55" s="51" t="str" cm="1">
        <f t="array" aca="1" ref="O55" ca="1">INDIRECT("["&amp;datatable!$C$4&amp;"]"&amp;datatable!$B2&amp;"!"&amp;"Y47")</f>
        <v>High Correct</v>
      </c>
      <c r="P55" s="51" t="str" cm="1">
        <f t="array" aca="1" ref="P55" ca="1">INDIRECT("["&amp;datatable!$C$4&amp;"]"&amp;datatable!$B2&amp;"!"&amp;"Y48")</f>
        <v>High Correct</v>
      </c>
      <c r="Q55" s="51" t="str" cm="1">
        <f t="array" aca="1" ref="Q55" ca="1">INDIRECT("["&amp;datatable!$C$4&amp;"]"&amp;datatable!$B2&amp;"!"&amp;"Y49")</f>
        <v>High Correct</v>
      </c>
      <c r="R55" s="51" t="str" cm="1">
        <f t="array" aca="1" ref="R55" ca="1">INDIRECT("["&amp;datatable!$C$4&amp;"]"&amp;datatable!$B2&amp;"!"&amp;"Y50")</f>
        <v>High Correct</v>
      </c>
      <c r="S55" s="51" t="str" cm="1">
        <f t="array" aca="1" ref="S55" ca="1">INDIRECT("["&amp;datatable!$C$4&amp;"]"&amp;datatable!$B2&amp;"!"&amp;"Y51")</f>
        <v>High Correct</v>
      </c>
      <c r="T55" s="51" t="str" cm="1">
        <f t="array" aca="1" ref="T55" ca="1">INDIRECT("["&amp;datatable!$C$4&amp;"]"&amp;datatable!$B2&amp;"!"&amp;"Y52")</f>
        <v>N/A</v>
      </c>
      <c r="U55" s="51" t="str" cm="1">
        <f t="array" aca="1" ref="U55" ca="1">INDIRECT("["&amp;datatable!$C$4&amp;"]"&amp;datatable!$B2&amp;"!"&amp;"Y53")</f>
        <v>Low Maybe</v>
      </c>
      <c r="V55" s="51" t="str" cm="1">
        <f t="array" aca="1" ref="V55" ca="1">INDIRECT("["&amp;datatable!$C$4&amp;"]"&amp;datatable!$B2&amp;"!"&amp;"Y54")</f>
        <v>N/A</v>
      </c>
      <c r="W55" s="51" t="str" cm="1">
        <f t="array" aca="1" ref="W55" ca="1">INDIRECT("["&amp;datatable!$C$4&amp;"]"&amp;datatable!$B2&amp;"!"&amp;"Y55")</f>
        <v>High Correct</v>
      </c>
      <c r="X55" s="51" t="str" cm="1">
        <f t="array" aca="1" ref="X55" ca="1">INDIRECT("["&amp;datatable!$C$4&amp;"]"&amp;datatable!$B2&amp;"!"&amp;"Y56")</f>
        <v>N/A</v>
      </c>
      <c r="Y55" s="50"/>
    </row>
    <row r="56" spans="3:25">
      <c r="C56" s="30" t="s">
        <v>38</v>
      </c>
      <c r="D56" s="51" t="str" cm="1">
        <f t="array" aca="1" ref="D56" ca="1">INDIRECT("["&amp;datatable!$C$4&amp;"]"&amp;datatable!$B3&amp;"!"&amp;"Y2")</f>
        <v>Medium Incorrect</v>
      </c>
      <c r="E56" s="51" t="str" cm="1">
        <f t="array" aca="1" ref="E56" ca="1">INDIRECT("["&amp;datatable!$C$4&amp;"]"&amp;datatable!$B3&amp;"!"&amp;"Y3")</f>
        <v>Medium Correct</v>
      </c>
      <c r="F56" s="51" t="str" cm="1">
        <f t="array" aca="1" ref="F56" ca="1">INDIRECT("["&amp;datatable!$C$4&amp;"]"&amp;datatable!$B3&amp;"!"&amp;"Y4")</f>
        <v>High Incorrect</v>
      </c>
      <c r="G56" s="51" t="str" cm="1">
        <f t="array" aca="1" ref="G56" ca="1">INDIRECT("["&amp;datatable!$C$4&amp;"]"&amp;datatable!$B3&amp;"!"&amp;"Y5")</f>
        <v>High Correct</v>
      </c>
      <c r="H56" s="51" t="str" cm="1">
        <f t="array" aca="1" ref="H56" ca="1">INDIRECT("["&amp;datatable!$C$4&amp;"]"&amp;datatable!$B3&amp;"!"&amp;"Y6")</f>
        <v>N/A</v>
      </c>
      <c r="I56" s="51" t="str" cm="1">
        <f t="array" aca="1" ref="I56" ca="1">INDIRECT("["&amp;datatable!$C$4&amp;"]"&amp;datatable!$B3&amp;"!"&amp;"Y7")</f>
        <v>High Correct</v>
      </c>
      <c r="J56" s="51" t="str" cm="1">
        <f t="array" aca="1" ref="J56" ca="1">INDIRECT("["&amp;datatable!$C$4&amp;"]"&amp;datatable!$B3&amp;"!"&amp;"Y8")</f>
        <v>High Maybe</v>
      </c>
      <c r="K56" s="51" t="str" cm="1">
        <f t="array" aca="1" ref="K56" ca="1">INDIRECT("["&amp;datatable!$C$4&amp;"]"&amp;datatable!$B3&amp;"!"&amp;"Y9")</f>
        <v>High Correct</v>
      </c>
      <c r="L56" s="51" t="str" cm="1">
        <f t="array" aca="1" ref="L56" ca="1">INDIRECT("["&amp;datatable!$C$4&amp;"]"&amp;datatable!$B3&amp;"!"&amp;"Y10")</f>
        <v>High Correct</v>
      </c>
      <c r="M56" s="51" t="str" cm="1">
        <f t="array" aca="1" ref="M56" ca="1">INDIRECT("["&amp;datatable!$C$4&amp;"]"&amp;datatable!$B3&amp;"!"&amp;"Y11")</f>
        <v>N/A</v>
      </c>
      <c r="N56" s="51" t="str" cm="1">
        <f t="array" aca="1" ref="N56" ca="1">INDIRECT("["&amp;datatable!$C$4&amp;"]"&amp;datatable!$B3&amp;"!"&amp;"Y46")</f>
        <v>High Correct</v>
      </c>
      <c r="O56" s="51" t="str" cm="1">
        <f t="array" aca="1" ref="O56" ca="1">INDIRECT("["&amp;datatable!$C$4&amp;"]"&amp;datatable!$B3&amp;"!"&amp;"Y47")</f>
        <v>High Correct</v>
      </c>
      <c r="P56" s="51" t="str" cm="1">
        <f t="array" aca="1" ref="P56" ca="1">INDIRECT("["&amp;datatable!$C$4&amp;"]"&amp;datatable!$B3&amp;"!"&amp;"Y48")</f>
        <v>Medium Maybe</v>
      </c>
      <c r="Q56" s="51" t="str" cm="1">
        <f t="array" aca="1" ref="Q56" ca="1">INDIRECT("["&amp;datatable!$C$4&amp;"]"&amp;datatable!$B3&amp;"!"&amp;"Y49")</f>
        <v>High Incorrect</v>
      </c>
      <c r="R56" s="51" t="str" cm="1">
        <f t="array" aca="1" ref="R56" ca="1">INDIRECT("["&amp;datatable!$C$4&amp;"]"&amp;datatable!$B3&amp;"!"&amp;"Y50")</f>
        <v>High Maybe</v>
      </c>
      <c r="S56" s="51" t="str" cm="1">
        <f t="array" aca="1" ref="S56" ca="1">INDIRECT("["&amp;datatable!$C$4&amp;"]"&amp;datatable!$B3&amp;"!"&amp;"Y51")</f>
        <v>High Correct</v>
      </c>
      <c r="T56" s="51" t="str" cm="1">
        <f t="array" aca="1" ref="T56" ca="1">INDIRECT("["&amp;datatable!$C$4&amp;"]"&amp;datatable!$B3&amp;"!"&amp;"Y52")</f>
        <v>Medium Maybe</v>
      </c>
      <c r="U56" s="51" t="str" cm="1">
        <f t="array" aca="1" ref="U56" ca="1">INDIRECT("["&amp;datatable!$C$4&amp;"]"&amp;datatable!$B3&amp;"!"&amp;"Y53")</f>
        <v>N/A</v>
      </c>
      <c r="V56" s="51" t="str" cm="1">
        <f t="array" aca="1" ref="V56" ca="1">INDIRECT("["&amp;datatable!$C$4&amp;"]"&amp;datatable!$B3&amp;"!"&amp;"Y54")</f>
        <v>Low Maybe</v>
      </c>
      <c r="W56" s="51" t="str" cm="1">
        <f t="array" aca="1" ref="W56" ca="1">INDIRECT("["&amp;datatable!$C$4&amp;"]"&amp;datatable!$B3&amp;"!"&amp;"Y55")</f>
        <v>High Incorrect</v>
      </c>
      <c r="X56" s="51" t="str" cm="1">
        <f t="array" aca="1" ref="X56" ca="1">INDIRECT("["&amp;datatable!$C$4&amp;"]"&amp;datatable!$B3&amp;"!"&amp;"Y56")</f>
        <v>High Incorrect</v>
      </c>
      <c r="Y56" s="50"/>
    </row>
    <row r="57" spans="3:25">
      <c r="C57" s="30" t="s">
        <v>39</v>
      </c>
      <c r="D57" s="51" t="str" cm="1">
        <f t="array" aca="1" ref="D57" ca="1">INDIRECT("["&amp;datatable!$C$4&amp;"]"&amp;datatable!$B4&amp;"!"&amp;"Y2")</f>
        <v>High Correct</v>
      </c>
      <c r="E57" s="51" t="str" cm="1">
        <f t="array" aca="1" ref="E57" ca="1">INDIRECT("["&amp;datatable!$C$4&amp;"]"&amp;datatable!$B4&amp;"!"&amp;"Y3")</f>
        <v>High Correct</v>
      </c>
      <c r="F57" s="51" t="str" cm="1">
        <f t="array" aca="1" ref="F57" ca="1">INDIRECT("["&amp;datatable!$C$4&amp;"]"&amp;datatable!$B4&amp;"!"&amp;"Y4")</f>
        <v>High Correct</v>
      </c>
      <c r="G57" s="51" t="str" cm="1">
        <f t="array" aca="1" ref="G57" ca="1">INDIRECT("["&amp;datatable!$C$4&amp;"]"&amp;datatable!$B4&amp;"!"&amp;"Y5")</f>
        <v>High Correct</v>
      </c>
      <c r="H57" s="51" t="str" cm="1">
        <f t="array" aca="1" ref="H57" ca="1">INDIRECT("["&amp;datatable!$C$4&amp;"]"&amp;datatable!$B4&amp;"!"&amp;"Y6")</f>
        <v>High Correct</v>
      </c>
      <c r="I57" s="51" t="str" cm="1">
        <f t="array" aca="1" ref="I57" ca="1">INDIRECT("["&amp;datatable!$C$4&amp;"]"&amp;datatable!$B4&amp;"!"&amp;"Y7")</f>
        <v>High Correct</v>
      </c>
      <c r="J57" s="51" t="str" cm="1">
        <f t="array" aca="1" ref="J57" ca="1">INDIRECT("["&amp;datatable!$C$4&amp;"]"&amp;datatable!$B4&amp;"!"&amp;"Y8")</f>
        <v>High Maybe</v>
      </c>
      <c r="K57" s="51" t="str" cm="1">
        <f t="array" aca="1" ref="K57" ca="1">INDIRECT("["&amp;datatable!$C$4&amp;"]"&amp;datatable!$B4&amp;"!"&amp;"Y9")</f>
        <v>High Correct</v>
      </c>
      <c r="L57" s="51" t="str" cm="1">
        <f t="array" aca="1" ref="L57" ca="1">INDIRECT("["&amp;datatable!$C$4&amp;"]"&amp;datatable!$B4&amp;"!"&amp;"Y10")</f>
        <v>High Correct</v>
      </c>
      <c r="M57" s="51" t="str" cm="1">
        <f t="array" aca="1" ref="M57" ca="1">INDIRECT("["&amp;datatable!$C$4&amp;"]"&amp;datatable!$B4&amp;"!"&amp;"Y11")</f>
        <v>High Correct</v>
      </c>
      <c r="N57" s="51" t="str" cm="1">
        <f t="array" aca="1" ref="N57" ca="1">INDIRECT("["&amp;datatable!$C$4&amp;"]"&amp;datatable!$B4&amp;"!"&amp;"Y46")</f>
        <v>N/A</v>
      </c>
      <c r="O57" s="51" t="str" cm="1">
        <f t="array" aca="1" ref="O57" ca="1">INDIRECT("["&amp;datatable!$C$4&amp;"]"&amp;datatable!$B4&amp;"!"&amp;"Y47")</f>
        <v>High Correct</v>
      </c>
      <c r="P57" s="51" t="str" cm="1">
        <f t="array" aca="1" ref="P57" ca="1">INDIRECT("["&amp;datatable!$C$4&amp;"]"&amp;datatable!$B4&amp;"!"&amp;"Y48")</f>
        <v>Low Incorrect</v>
      </c>
      <c r="Q57" s="51" t="str" cm="1">
        <f t="array" aca="1" ref="Q57" ca="1">INDIRECT("["&amp;datatable!$C$4&amp;"]"&amp;datatable!$B4&amp;"!"&amp;"Y49")</f>
        <v>Low Correct</v>
      </c>
      <c r="R57" s="51" t="str" cm="1">
        <f t="array" aca="1" ref="R57" ca="1">INDIRECT("["&amp;datatable!$C$4&amp;"]"&amp;datatable!$B4&amp;"!"&amp;"Y50")</f>
        <v>High Correct</v>
      </c>
      <c r="S57" s="51" t="str" cm="1">
        <f t="array" aca="1" ref="S57" ca="1">INDIRECT("["&amp;datatable!$C$4&amp;"]"&amp;datatable!$B4&amp;"!"&amp;"Y51")</f>
        <v>High Correct</v>
      </c>
      <c r="T57" s="51" t="str" cm="1">
        <f t="array" aca="1" ref="T57" ca="1">INDIRECT("["&amp;datatable!$C$4&amp;"]"&amp;datatable!$B4&amp;"!"&amp;"Y52")</f>
        <v>N/A</v>
      </c>
      <c r="U57" s="51" t="str" cm="1">
        <f t="array" aca="1" ref="U57" ca="1">INDIRECT("["&amp;datatable!$C$4&amp;"]"&amp;datatable!$B4&amp;"!"&amp;"Y53")</f>
        <v>High Maybe</v>
      </c>
      <c r="V57" s="51" t="str" cm="1">
        <f t="array" aca="1" ref="V57" ca="1">INDIRECT("["&amp;datatable!$C$4&amp;"]"&amp;datatable!$B4&amp;"!"&amp;"Y54")</f>
        <v>Low Maybe</v>
      </c>
      <c r="W57" s="51" t="str" cm="1">
        <f t="array" aca="1" ref="W57" ca="1">INDIRECT("["&amp;datatable!$C$4&amp;"]"&amp;datatable!$B4&amp;"!"&amp;"Y55")</f>
        <v>Low Correct</v>
      </c>
      <c r="X57" s="51" t="str" cm="1">
        <f t="array" aca="1" ref="X57" ca="1">INDIRECT("["&amp;datatable!$C$4&amp;"]"&amp;datatable!$B4&amp;"!"&amp;"Y56")</f>
        <v>N/A</v>
      </c>
      <c r="Y57" s="50"/>
    </row>
    <row r="58" spans="3:25">
      <c r="C58" s="30" t="s">
        <v>40</v>
      </c>
      <c r="D58" s="51" t="str" cm="1">
        <f t="array" aca="1" ref="D58" ca="1">INDIRECT("["&amp;datatable!$C$4&amp;"]"&amp;datatable!$B5&amp;"!"&amp;"Y2")</f>
        <v>High Correct</v>
      </c>
      <c r="E58" s="51" t="str" cm="1">
        <f t="array" aca="1" ref="E58" ca="1">INDIRECT("["&amp;datatable!$C$4&amp;"]"&amp;datatable!$B5&amp;"!"&amp;"Y3")</f>
        <v>Medium Maybe</v>
      </c>
      <c r="F58" s="51" t="str" cm="1">
        <f t="array" aca="1" ref="F58" ca="1">INDIRECT("["&amp;datatable!$C$4&amp;"]"&amp;datatable!$B5&amp;"!"&amp;"Y4")</f>
        <v>Medium Correct</v>
      </c>
      <c r="G58" s="51" t="str" cm="1">
        <f t="array" aca="1" ref="G58" ca="1">INDIRECT("["&amp;datatable!$C$4&amp;"]"&amp;datatable!$B5&amp;"!"&amp;"Y5")</f>
        <v>High Incorrect</v>
      </c>
      <c r="H58" s="51" t="str" cm="1">
        <f t="array" aca="1" ref="H58" ca="1">INDIRECT("["&amp;datatable!$C$4&amp;"]"&amp;datatable!$B5&amp;"!"&amp;"Y6")</f>
        <v>High Correct</v>
      </c>
      <c r="I58" s="51" t="str" cm="1">
        <f t="array" aca="1" ref="I58" ca="1">INDIRECT("["&amp;datatable!$C$4&amp;"]"&amp;datatable!$B5&amp;"!"&amp;"Y7")</f>
        <v>High Correct</v>
      </c>
      <c r="J58" s="51" t="str" cm="1">
        <f t="array" aca="1" ref="J58" ca="1">INDIRECT("["&amp;datatable!$C$4&amp;"]"&amp;datatable!$B5&amp;"!"&amp;"Y8")</f>
        <v>Low Maybe</v>
      </c>
      <c r="K58" s="51" t="str" cm="1">
        <f t="array" aca="1" ref="K58" ca="1">INDIRECT("["&amp;datatable!$C$4&amp;"]"&amp;datatable!$B5&amp;"!"&amp;"Y9")</f>
        <v>Medium Maybe</v>
      </c>
      <c r="L58" s="51" t="str" cm="1">
        <f t="array" aca="1" ref="L58" ca="1">INDIRECT("["&amp;datatable!$C$4&amp;"]"&amp;datatable!$B5&amp;"!"&amp;"Y10")</f>
        <v>High Correct</v>
      </c>
      <c r="M58" s="51" t="str" cm="1">
        <f t="array" aca="1" ref="M58" ca="1">INDIRECT("["&amp;datatable!$C$4&amp;"]"&amp;datatable!$B5&amp;"!"&amp;"Y11")</f>
        <v>High Incorrect</v>
      </c>
      <c r="N58" s="51" t="str" cm="1">
        <f t="array" aca="1" ref="N58" ca="1">INDIRECT("["&amp;datatable!$C$4&amp;"]"&amp;datatable!$B5&amp;"!"&amp;"Y46")</f>
        <v>High Correct</v>
      </c>
      <c r="O58" s="51" t="str" cm="1">
        <f t="array" aca="1" ref="O58" ca="1">INDIRECT("["&amp;datatable!$C$4&amp;"]"&amp;datatable!$B5&amp;"!"&amp;"Y47")</f>
        <v>High Correct</v>
      </c>
      <c r="P58" s="51" t="str" cm="1">
        <f t="array" aca="1" ref="P58" ca="1">INDIRECT("["&amp;datatable!$C$4&amp;"]"&amp;datatable!$B5&amp;"!"&amp;"Y48")</f>
        <v>High Correct</v>
      </c>
      <c r="Q58" s="51" t="str" cm="1">
        <f t="array" aca="1" ref="Q58" ca="1">INDIRECT("["&amp;datatable!$C$4&amp;"]"&amp;datatable!$B5&amp;"!"&amp;"Y49")</f>
        <v>High Correct</v>
      </c>
      <c r="R58" s="51" t="str" cm="1">
        <f t="array" aca="1" ref="R58" ca="1">INDIRECT("["&amp;datatable!$C$4&amp;"]"&amp;datatable!$B5&amp;"!"&amp;"Y50")</f>
        <v>High Correct</v>
      </c>
      <c r="S58" s="51" t="str" cm="1">
        <f t="array" aca="1" ref="S58" ca="1">INDIRECT("["&amp;datatable!$C$4&amp;"]"&amp;datatable!$B5&amp;"!"&amp;"Y51")</f>
        <v>High Correct</v>
      </c>
      <c r="T58" s="51" t="str" cm="1">
        <f t="array" aca="1" ref="T58" ca="1">INDIRECT("["&amp;datatable!$C$4&amp;"]"&amp;datatable!$B5&amp;"!"&amp;"Y52")</f>
        <v>Medium Correct</v>
      </c>
      <c r="U58" s="51" t="str" cm="1">
        <f t="array" aca="1" ref="U58" ca="1">INDIRECT("["&amp;datatable!$C$4&amp;"]"&amp;datatable!$B5&amp;"!"&amp;"Y53")</f>
        <v>Low Incorrect</v>
      </c>
      <c r="V58" s="51" t="str" cm="1">
        <f t="array" aca="1" ref="V58" ca="1">INDIRECT("["&amp;datatable!$C$4&amp;"]"&amp;datatable!$B5&amp;"!"&amp;"Y54")</f>
        <v>Medium Correct</v>
      </c>
      <c r="W58" s="51" t="str" cm="1">
        <f t="array" aca="1" ref="W58" ca="1">INDIRECT("["&amp;datatable!$C$4&amp;"]"&amp;datatable!$B5&amp;"!"&amp;"Y55")</f>
        <v>High Maybe</v>
      </c>
      <c r="X58" s="51" t="str" cm="1">
        <f t="array" aca="1" ref="X58" ca="1">INDIRECT("["&amp;datatable!$C$4&amp;"]"&amp;datatable!$B5&amp;"!"&amp;"Y56")</f>
        <v>High Incorrect</v>
      </c>
      <c r="Y58" s="50"/>
    </row>
    <row r="59" spans="3:25">
      <c r="C59" s="30" t="s">
        <v>41</v>
      </c>
      <c r="D59" s="51" t="str" cm="1">
        <f t="array" aca="1" ref="D59" ca="1">INDIRECT("["&amp;datatable!$C$4&amp;"]"&amp;datatable!$B6&amp;"!"&amp;"Y2")</f>
        <v>High Correct</v>
      </c>
      <c r="E59" s="51" t="str" cm="1">
        <f t="array" aca="1" ref="E59" ca="1">INDIRECT("["&amp;datatable!$C$4&amp;"]"&amp;datatable!$B6&amp;"!"&amp;"Y3")</f>
        <v>High Correct</v>
      </c>
      <c r="F59" s="51" t="str" cm="1">
        <f t="array" aca="1" ref="F59" ca="1">INDIRECT("["&amp;datatable!$C$4&amp;"]"&amp;datatable!$B6&amp;"!"&amp;"Y4")</f>
        <v>Low Incorrect</v>
      </c>
      <c r="G59" s="51" t="str" cm="1">
        <f t="array" aca="1" ref="G59" ca="1">INDIRECT("["&amp;datatable!$C$4&amp;"]"&amp;datatable!$B6&amp;"!"&amp;"Y5")</f>
        <v>High Correct</v>
      </c>
      <c r="H59" s="51" t="str" cm="1">
        <f t="array" aca="1" ref="H59" ca="1">INDIRECT("["&amp;datatable!$C$4&amp;"]"&amp;datatable!$B6&amp;"!"&amp;"Y6")</f>
        <v>High Correct</v>
      </c>
      <c r="I59" s="51" t="str" cm="1">
        <f t="array" aca="1" ref="I59" ca="1">INDIRECT("["&amp;datatable!$C$4&amp;"]"&amp;datatable!$B6&amp;"!"&amp;"Y7")</f>
        <v>High Correct</v>
      </c>
      <c r="J59" s="51" t="str" cm="1">
        <f t="array" aca="1" ref="J59" ca="1">INDIRECT("["&amp;datatable!$C$4&amp;"]"&amp;datatable!$B6&amp;"!"&amp;"Y8")</f>
        <v>Medium Maybe</v>
      </c>
      <c r="K59" s="51" t="str" cm="1">
        <f t="array" aca="1" ref="K59" ca="1">INDIRECT("["&amp;datatable!$C$4&amp;"]"&amp;datatable!$B6&amp;"!"&amp;"Y9")</f>
        <v>High Incorrect</v>
      </c>
      <c r="L59" s="51" t="str" cm="1">
        <f t="array" aca="1" ref="L59" ca="1">INDIRECT("["&amp;datatable!$C$4&amp;"]"&amp;datatable!$B6&amp;"!"&amp;"Y10")</f>
        <v>High Maybe</v>
      </c>
      <c r="M59" s="51" t="str" cm="1">
        <f t="array" aca="1" ref="M59" ca="1">INDIRECT("["&amp;datatable!$C$4&amp;"]"&amp;datatable!$B6&amp;"!"&amp;"Y11")</f>
        <v>High Correct</v>
      </c>
      <c r="N59" s="51" t="str" cm="1">
        <f t="array" aca="1" ref="N59" ca="1">INDIRECT("["&amp;datatable!$C$4&amp;"]"&amp;datatable!$B6&amp;"!"&amp;"Y46")</f>
        <v>Medium Correct</v>
      </c>
      <c r="O59" s="51" t="str" cm="1">
        <f t="array" aca="1" ref="O59" ca="1">INDIRECT("["&amp;datatable!$C$4&amp;"]"&amp;datatable!$B6&amp;"!"&amp;"Y47")</f>
        <v>High Correct</v>
      </c>
      <c r="P59" s="51" t="str" cm="1">
        <f t="array" aca="1" ref="P59" ca="1">INDIRECT("["&amp;datatable!$C$4&amp;"]"&amp;datatable!$B6&amp;"!"&amp;"Y48")</f>
        <v>Medium Maybe</v>
      </c>
      <c r="Q59" s="51" t="str" cm="1">
        <f t="array" aca="1" ref="Q59" ca="1">INDIRECT("["&amp;datatable!$C$4&amp;"]"&amp;datatable!$B6&amp;"!"&amp;"Y49")</f>
        <v>High Maybe</v>
      </c>
      <c r="R59" s="51" t="str" cm="1">
        <f t="array" aca="1" ref="R59" ca="1">INDIRECT("["&amp;datatable!$C$4&amp;"]"&amp;datatable!$B6&amp;"!"&amp;"Y50")</f>
        <v>High Correct</v>
      </c>
      <c r="S59" s="51" t="str" cm="1">
        <f t="array" aca="1" ref="S59" ca="1">INDIRECT("["&amp;datatable!$C$4&amp;"]"&amp;datatable!$B6&amp;"!"&amp;"Y51")</f>
        <v>High Correct</v>
      </c>
      <c r="T59" s="51" t="str" cm="1">
        <f t="array" aca="1" ref="T59" ca="1">INDIRECT("["&amp;datatable!$C$4&amp;"]"&amp;datatable!$B6&amp;"!"&amp;"Y52")</f>
        <v>Medium Correct</v>
      </c>
      <c r="U59" s="51" t="str" cm="1">
        <f t="array" aca="1" ref="U59" ca="1">INDIRECT("["&amp;datatable!$C$4&amp;"]"&amp;datatable!$B6&amp;"!"&amp;"Y53")</f>
        <v>Medium Incorrect</v>
      </c>
      <c r="V59" s="51" t="str" cm="1">
        <f t="array" aca="1" ref="V59" ca="1">INDIRECT("["&amp;datatable!$C$4&amp;"]"&amp;datatable!$B6&amp;"!"&amp;"Y54")</f>
        <v>Medium Incorrect</v>
      </c>
      <c r="W59" s="51" t="str" cm="1">
        <f t="array" aca="1" ref="W59" ca="1">INDIRECT("["&amp;datatable!$C$4&amp;"]"&amp;datatable!$B6&amp;"!"&amp;"Y55")</f>
        <v>High Correct</v>
      </c>
      <c r="X59" s="51" t="str" cm="1">
        <f t="array" aca="1" ref="X59" ca="1">INDIRECT("["&amp;datatable!$C$4&amp;"]"&amp;datatable!$B6&amp;"!"&amp;"Y56")</f>
        <v>N/A</v>
      </c>
      <c r="Y59" s="50"/>
    </row>
    <row r="60" spans="3:25">
      <c r="C60" s="30" t="s">
        <v>42</v>
      </c>
      <c r="D60" s="51" t="str" cm="1">
        <f t="array" aca="1" ref="D60" ca="1">INDIRECT("["&amp;datatable!$C$4&amp;"]"&amp;datatable!$B7&amp;"!"&amp;"Y2")</f>
        <v>High Correct</v>
      </c>
      <c r="E60" s="51" t="str" cm="1">
        <f t="array" aca="1" ref="E60" ca="1">INDIRECT("["&amp;datatable!$C$4&amp;"]"&amp;datatable!$B7&amp;"!"&amp;"Y3")</f>
        <v>High Correct</v>
      </c>
      <c r="F60" s="51" t="str" cm="1">
        <f t="array" aca="1" ref="F60" ca="1">INDIRECT("["&amp;datatable!$C$4&amp;"]"&amp;datatable!$B7&amp;"!"&amp;"Y4")</f>
        <v>Low Incorrect</v>
      </c>
      <c r="G60" s="51" t="str" cm="1">
        <f t="array" aca="1" ref="G60" ca="1">INDIRECT("["&amp;datatable!$C$4&amp;"]"&amp;datatable!$B7&amp;"!"&amp;"Y5")</f>
        <v>N/A</v>
      </c>
      <c r="H60" s="51" t="str" cm="1">
        <f t="array" aca="1" ref="H60" ca="1">INDIRECT("["&amp;datatable!$C$4&amp;"]"&amp;datatable!$B7&amp;"!"&amp;"Y6")</f>
        <v>N/A</v>
      </c>
      <c r="I60" s="51" t="str" cm="1">
        <f t="array" aca="1" ref="I60" ca="1">INDIRECT("["&amp;datatable!$C$4&amp;"]"&amp;datatable!$B7&amp;"!"&amp;"Y7")</f>
        <v>High Correct</v>
      </c>
      <c r="J60" s="51" t="str" cm="1">
        <f t="array" aca="1" ref="J60" ca="1">INDIRECT("["&amp;datatable!$C$4&amp;"]"&amp;datatable!$B7&amp;"!"&amp;"Y8")</f>
        <v>Low Correct</v>
      </c>
      <c r="K60" s="51" t="str" cm="1">
        <f t="array" aca="1" ref="K60" ca="1">INDIRECT("["&amp;datatable!$C$4&amp;"]"&amp;datatable!$B7&amp;"!"&amp;"Y9")</f>
        <v>N/A</v>
      </c>
      <c r="L60" s="51" t="str" cm="1">
        <f t="array" aca="1" ref="L60" ca="1">INDIRECT("["&amp;datatable!$C$4&amp;"]"&amp;datatable!$B7&amp;"!"&amp;"Y10")</f>
        <v>N/A</v>
      </c>
      <c r="M60" s="51" t="str" cm="1">
        <f t="array" aca="1" ref="M60" ca="1">INDIRECT("["&amp;datatable!$C$4&amp;"]"&amp;datatable!$B7&amp;"!"&amp;"Y11")</f>
        <v>N/A</v>
      </c>
      <c r="N60" s="51" t="str" cm="1">
        <f t="array" aca="1" ref="N60" ca="1">INDIRECT("["&amp;datatable!$C$4&amp;"]"&amp;datatable!$B7&amp;"!"&amp;"Y46")</f>
        <v>N/A</v>
      </c>
      <c r="O60" s="51" t="str" cm="1">
        <f t="array" aca="1" ref="O60" ca="1">INDIRECT("["&amp;datatable!$C$4&amp;"]"&amp;datatable!$B7&amp;"!"&amp;"Y47")</f>
        <v>N/A</v>
      </c>
      <c r="P60" s="51" t="str" cm="1">
        <f t="array" aca="1" ref="P60" ca="1">INDIRECT("["&amp;datatable!$C$4&amp;"]"&amp;datatable!$B7&amp;"!"&amp;"Y48")</f>
        <v>N/A</v>
      </c>
      <c r="Q60" s="51" t="str" cm="1">
        <f t="array" aca="1" ref="Q60" ca="1">INDIRECT("["&amp;datatable!$C$4&amp;"]"&amp;datatable!$B7&amp;"!"&amp;"Y49")</f>
        <v>N/A</v>
      </c>
      <c r="R60" s="51" t="str" cm="1">
        <f t="array" aca="1" ref="R60" ca="1">INDIRECT("["&amp;datatable!$C$4&amp;"]"&amp;datatable!$B7&amp;"!"&amp;"Y50")</f>
        <v>N/A</v>
      </c>
      <c r="S60" s="51" t="str" cm="1">
        <f t="array" aca="1" ref="S60" ca="1">INDIRECT("["&amp;datatable!$C$4&amp;"]"&amp;datatable!$B7&amp;"!"&amp;"Y51")</f>
        <v>N/A</v>
      </c>
      <c r="T60" s="51" t="str" cm="1">
        <f t="array" aca="1" ref="T60" ca="1">INDIRECT("["&amp;datatable!$C$4&amp;"]"&amp;datatable!$B7&amp;"!"&amp;"Y52")</f>
        <v>N/A</v>
      </c>
      <c r="U60" s="51" t="str" cm="1">
        <f t="array" aca="1" ref="U60" ca="1">INDIRECT("["&amp;datatable!$C$4&amp;"]"&amp;datatable!$B7&amp;"!"&amp;"Y53")</f>
        <v>Medium Maybe</v>
      </c>
      <c r="V60" s="51" t="str" cm="1">
        <f t="array" aca="1" ref="V60" ca="1">INDIRECT("["&amp;datatable!$C$4&amp;"]"&amp;datatable!$B7&amp;"!"&amp;"Y54")</f>
        <v>N/A</v>
      </c>
      <c r="W60" s="51" t="str" cm="1">
        <f t="array" aca="1" ref="W60" ca="1">INDIRECT("["&amp;datatable!$C$4&amp;"]"&amp;datatable!$B7&amp;"!"&amp;"Y55")</f>
        <v>N/A</v>
      </c>
      <c r="X60" s="51" t="str" cm="1">
        <f t="array" aca="1" ref="X60" ca="1">INDIRECT("["&amp;datatable!$C$4&amp;"]"&amp;datatable!$B7&amp;"!"&amp;"Y56")</f>
        <v>N/A</v>
      </c>
      <c r="Y60" s="50"/>
    </row>
    <row r="61" spans="3:25">
      <c r="C61" s="30" t="s">
        <v>43</v>
      </c>
      <c r="D61" s="51" t="str" cm="1">
        <f t="array" aca="1" ref="D61" ca="1">INDIRECT("["&amp;datatable!$C$4&amp;"]"&amp;datatable!$B8&amp;"!"&amp;"Y2")</f>
        <v>High Correct</v>
      </c>
      <c r="E61" s="51" t="str" cm="1">
        <f t="array" aca="1" ref="E61" ca="1">INDIRECT("["&amp;datatable!$C$4&amp;"]"&amp;datatable!$B8&amp;"!"&amp;"Y3")</f>
        <v>High Correct</v>
      </c>
      <c r="F61" s="51" t="str" cm="1">
        <f t="array" aca="1" ref="F61" ca="1">INDIRECT("["&amp;datatable!$C$4&amp;"]"&amp;datatable!$B8&amp;"!"&amp;"Y4")</f>
        <v>Medium Maybe</v>
      </c>
      <c r="G61" s="51" t="str" cm="1">
        <f t="array" aca="1" ref="G61" ca="1">INDIRECT("["&amp;datatable!$C$4&amp;"]"&amp;datatable!$B8&amp;"!"&amp;"Y5")</f>
        <v>High Correct</v>
      </c>
      <c r="H61" s="51" t="str" cm="1">
        <f t="array" aca="1" ref="H61" ca="1">INDIRECT("["&amp;datatable!$C$4&amp;"]"&amp;datatable!$B8&amp;"!"&amp;"Y6")</f>
        <v>High Correct</v>
      </c>
      <c r="I61" s="51" t="str" cm="1">
        <f t="array" aca="1" ref="I61" ca="1">INDIRECT("["&amp;datatable!$C$4&amp;"]"&amp;datatable!$B8&amp;"!"&amp;"Y7")</f>
        <v>High Correct</v>
      </c>
      <c r="J61" s="51" t="str" cm="1">
        <f t="array" aca="1" ref="J61" ca="1">INDIRECT("["&amp;datatable!$C$4&amp;"]"&amp;datatable!$B8&amp;"!"&amp;"Y8")</f>
        <v>High Correct</v>
      </c>
      <c r="K61" s="51" t="str" cm="1">
        <f t="array" aca="1" ref="K61" ca="1">INDIRECT("["&amp;datatable!$C$4&amp;"]"&amp;datatable!$B8&amp;"!"&amp;"Y9")</f>
        <v>High Correct</v>
      </c>
      <c r="L61" s="51" t="str" cm="1">
        <f t="array" aca="1" ref="L61" ca="1">INDIRECT("["&amp;datatable!$C$4&amp;"]"&amp;datatable!$B8&amp;"!"&amp;"Y10")</f>
        <v>High Maybe</v>
      </c>
      <c r="M61" s="51" t="str" cm="1">
        <f t="array" aca="1" ref="M61" ca="1">INDIRECT("["&amp;datatable!$C$4&amp;"]"&amp;datatable!$B8&amp;"!"&amp;"Y11")</f>
        <v>Low Correct</v>
      </c>
      <c r="N61" s="51" t="str" cm="1">
        <f t="array" aca="1" ref="N61" ca="1">INDIRECT("["&amp;datatable!$C$4&amp;"]"&amp;datatable!$B8&amp;"!"&amp;"Y46")</f>
        <v>High Correct</v>
      </c>
      <c r="O61" s="51" t="str" cm="1">
        <f t="array" aca="1" ref="O61" ca="1">INDIRECT("["&amp;datatable!$C$4&amp;"]"&amp;datatable!$B8&amp;"!"&amp;"Y47")</f>
        <v>Medium Correct</v>
      </c>
      <c r="P61" s="51" t="str" cm="1">
        <f t="array" aca="1" ref="P61" ca="1">INDIRECT("["&amp;datatable!$C$4&amp;"]"&amp;datatable!$B8&amp;"!"&amp;"Y48")</f>
        <v>Low Maybe</v>
      </c>
      <c r="Q61" s="51" t="str" cm="1">
        <f t="array" aca="1" ref="Q61" ca="1">INDIRECT("["&amp;datatable!$C$4&amp;"]"&amp;datatable!$B8&amp;"!"&amp;"Y49")</f>
        <v>High Incorrect</v>
      </c>
      <c r="R61" s="51" t="str" cm="1">
        <f t="array" aca="1" ref="R61" ca="1">INDIRECT("["&amp;datatable!$C$4&amp;"]"&amp;datatable!$B8&amp;"!"&amp;"Y50")</f>
        <v>High Maybe</v>
      </c>
      <c r="S61" s="51" t="str" cm="1">
        <f t="array" aca="1" ref="S61" ca="1">INDIRECT("["&amp;datatable!$C$4&amp;"]"&amp;datatable!$B8&amp;"!"&amp;"Y51")</f>
        <v>High Correct</v>
      </c>
      <c r="T61" s="51" t="str" cm="1">
        <f t="array" aca="1" ref="T61" ca="1">INDIRECT("["&amp;datatable!$C$4&amp;"]"&amp;datatable!$B8&amp;"!"&amp;"Y52")</f>
        <v>N/A</v>
      </c>
      <c r="U61" s="51" t="str" cm="1">
        <f t="array" aca="1" ref="U61" ca="1">INDIRECT("["&amp;datatable!$C$4&amp;"]"&amp;datatable!$B8&amp;"!"&amp;"Y53")</f>
        <v>High Incorrect</v>
      </c>
      <c r="V61" s="51" t="str" cm="1">
        <f t="array" aca="1" ref="V61" ca="1">INDIRECT("["&amp;datatable!$C$4&amp;"]"&amp;datatable!$B8&amp;"!"&amp;"Y54")</f>
        <v>Medium Correct</v>
      </c>
      <c r="W61" s="51" t="str" cm="1">
        <f t="array" aca="1" ref="W61" ca="1">INDIRECT("["&amp;datatable!$C$4&amp;"]"&amp;datatable!$B8&amp;"!"&amp;"Y55")</f>
        <v>High Incorrect</v>
      </c>
      <c r="X61" s="51" t="str" cm="1">
        <f t="array" aca="1" ref="X61" ca="1">INDIRECT("["&amp;datatable!$C$4&amp;"]"&amp;datatable!$B8&amp;"!"&amp;"Y56")</f>
        <v>N/A</v>
      </c>
      <c r="Y61" s="50"/>
    </row>
    <row r="62" spans="3:25">
      <c r="C62" s="30" t="s">
        <v>44</v>
      </c>
      <c r="D62" s="51" t="str" cm="1">
        <f t="array" aca="1" ref="D62" ca="1">INDIRECT("["&amp;datatable!$C$4&amp;"]"&amp;datatable!$B9&amp;"!"&amp;"Y2")</f>
        <v>High Correct</v>
      </c>
      <c r="E62" s="51" t="str" cm="1">
        <f t="array" aca="1" ref="E62" ca="1">INDIRECT("["&amp;datatable!$C$4&amp;"]"&amp;datatable!$B9&amp;"!"&amp;"Y3")</f>
        <v>Medium Correct</v>
      </c>
      <c r="F62" s="51" t="str" cm="1">
        <f t="array" aca="1" ref="F62" ca="1">INDIRECT("["&amp;datatable!$C$4&amp;"]"&amp;datatable!$B9&amp;"!"&amp;"Y4")</f>
        <v>High Correct</v>
      </c>
      <c r="G62" s="51" t="str" cm="1">
        <f t="array" aca="1" ref="G62" ca="1">INDIRECT("["&amp;datatable!$C$4&amp;"]"&amp;datatable!$B9&amp;"!"&amp;"Y5")</f>
        <v>N/A</v>
      </c>
      <c r="H62" s="51" t="str" cm="1">
        <f t="array" aca="1" ref="H62" ca="1">INDIRECT("["&amp;datatable!$C$4&amp;"]"&amp;datatable!$B9&amp;"!"&amp;"Y6")</f>
        <v>High Incorrect</v>
      </c>
      <c r="I62" s="51" t="str" cm="1">
        <f t="array" aca="1" ref="I62" ca="1">INDIRECT("["&amp;datatable!$C$4&amp;"]"&amp;datatable!$B9&amp;"!"&amp;"Y7")</f>
        <v>N/A</v>
      </c>
      <c r="J62" s="51" t="str" cm="1">
        <f t="array" aca="1" ref="J62" ca="1">INDIRECT("["&amp;datatable!$C$4&amp;"]"&amp;datatable!$B9&amp;"!"&amp;"Y8")</f>
        <v>Low Incorrect</v>
      </c>
      <c r="K62" s="51" t="str" cm="1">
        <f t="array" aca="1" ref="K62" ca="1">INDIRECT("["&amp;datatable!$C$4&amp;"]"&amp;datatable!$B9&amp;"!"&amp;"Y9")</f>
        <v>High Correct</v>
      </c>
      <c r="L62" s="51" t="str" cm="1">
        <f t="array" aca="1" ref="L62" ca="1">INDIRECT("["&amp;datatable!$C$4&amp;"]"&amp;datatable!$B9&amp;"!"&amp;"Y10")</f>
        <v>High Correct</v>
      </c>
      <c r="M62" s="51" t="str" cm="1">
        <f t="array" aca="1" ref="M62" ca="1">INDIRECT("["&amp;datatable!$C$4&amp;"]"&amp;datatable!$B9&amp;"!"&amp;"Y11")</f>
        <v>High Incorrect</v>
      </c>
      <c r="N62" s="51" t="str" cm="1">
        <f t="array" aca="1" ref="N62" ca="1">INDIRECT("["&amp;datatable!$C$4&amp;"]"&amp;datatable!$B9&amp;"!"&amp;"Y46")</f>
        <v>High Maybe</v>
      </c>
      <c r="O62" s="51" t="str" cm="1">
        <f t="array" aca="1" ref="O62" ca="1">INDIRECT("["&amp;datatable!$C$4&amp;"]"&amp;datatable!$B9&amp;"!"&amp;"Y47")</f>
        <v>Low Correct</v>
      </c>
      <c r="P62" s="51" t="str" cm="1">
        <f t="array" aca="1" ref="P62" ca="1">INDIRECT("["&amp;datatable!$C$4&amp;"]"&amp;datatable!$B9&amp;"!"&amp;"Y48")</f>
        <v>High Correct</v>
      </c>
      <c r="Q62" s="51" t="str" cm="1">
        <f t="array" aca="1" ref="Q62" ca="1">INDIRECT("["&amp;datatable!$C$4&amp;"]"&amp;datatable!$B9&amp;"!"&amp;"Y49")</f>
        <v>High Correct</v>
      </c>
      <c r="R62" s="51" t="str" cm="1">
        <f t="array" aca="1" ref="R62" ca="1">INDIRECT("["&amp;datatable!$C$4&amp;"]"&amp;datatable!$B9&amp;"!"&amp;"Y50")</f>
        <v>Medium Correct</v>
      </c>
      <c r="S62" s="51" t="str" cm="1">
        <f t="array" aca="1" ref="S62" ca="1">INDIRECT("["&amp;datatable!$C$4&amp;"]"&amp;datatable!$B9&amp;"!"&amp;"Y51")</f>
        <v>High Correct</v>
      </c>
      <c r="T62" s="51" t="str" cm="1">
        <f t="array" aca="1" ref="T62" ca="1">INDIRECT("["&amp;datatable!$C$4&amp;"]"&amp;datatable!$B9&amp;"!"&amp;"Y52")</f>
        <v>High Incorrect</v>
      </c>
      <c r="U62" s="51" t="str" cm="1">
        <f t="array" aca="1" ref="U62" ca="1">INDIRECT("["&amp;datatable!$C$4&amp;"]"&amp;datatable!$B9&amp;"!"&amp;"Y53")</f>
        <v>High Incorrect</v>
      </c>
      <c r="V62" s="51" t="str" cm="1">
        <f t="array" aca="1" ref="V62" ca="1">INDIRECT("["&amp;datatable!$C$4&amp;"]"&amp;datatable!$B9&amp;"!"&amp;"Y54")</f>
        <v>Low Correct</v>
      </c>
      <c r="W62" s="51" t="str" cm="1">
        <f t="array" aca="1" ref="W62" ca="1">INDIRECT("["&amp;datatable!$C$4&amp;"]"&amp;datatable!$B9&amp;"!"&amp;"Y55")</f>
        <v>Low Incorrect</v>
      </c>
      <c r="X62" s="51" t="str" cm="1">
        <f t="array" aca="1" ref="X62" ca="1">INDIRECT("["&amp;datatable!$C$4&amp;"]"&amp;datatable!$B9&amp;"!"&amp;"Y56")</f>
        <v>N/A</v>
      </c>
      <c r="Y62" s="50"/>
    </row>
    <row r="63" spans="3:25">
      <c r="C63" s="30" t="s">
        <v>45</v>
      </c>
      <c r="D63" s="51" t="str" cm="1">
        <f t="array" aca="1" ref="D63" ca="1">INDIRECT("["&amp;datatable!$C$4&amp;"]"&amp;datatable!$B10&amp;"!"&amp;"Y2")</f>
        <v>High Maybe</v>
      </c>
      <c r="E63" s="51" t="str" cm="1">
        <f t="array" aca="1" ref="E63" ca="1">INDIRECT("["&amp;datatable!$C$4&amp;"]"&amp;datatable!$B10&amp;"!"&amp;"Y3")</f>
        <v>High Incorrect</v>
      </c>
      <c r="F63" s="51" t="str" cm="1">
        <f t="array" aca="1" ref="F63" ca="1">INDIRECT("["&amp;datatable!$C$4&amp;"]"&amp;datatable!$B10&amp;"!"&amp;"Y4")</f>
        <v>Medium Maybe</v>
      </c>
      <c r="G63" s="51" t="str" cm="1">
        <f t="array" aca="1" ref="G63" ca="1">INDIRECT("["&amp;datatable!$C$4&amp;"]"&amp;datatable!$B10&amp;"!"&amp;"Y5")</f>
        <v>High Maybe</v>
      </c>
      <c r="H63" s="51" t="str" cm="1">
        <f t="array" aca="1" ref="H63" ca="1">INDIRECT("["&amp;datatable!$C$4&amp;"]"&amp;datatable!$B10&amp;"!"&amp;"Y6")</f>
        <v>N/A</v>
      </c>
      <c r="I63" s="51" t="str" cm="1">
        <f t="array" aca="1" ref="I63" ca="1">INDIRECT("["&amp;datatable!$C$4&amp;"]"&amp;datatable!$B10&amp;"!"&amp;"Y7")</f>
        <v>High Correct</v>
      </c>
      <c r="J63" s="51" t="str" cm="1">
        <f t="array" aca="1" ref="J63" ca="1">INDIRECT("["&amp;datatable!$C$4&amp;"]"&amp;datatable!$B10&amp;"!"&amp;"Y8")</f>
        <v>Medium Maybe</v>
      </c>
      <c r="K63" s="51" t="str" cm="1">
        <f t="array" aca="1" ref="K63" ca="1">INDIRECT("["&amp;datatable!$C$4&amp;"]"&amp;datatable!$B10&amp;"!"&amp;"Y9")</f>
        <v>High Incorrect</v>
      </c>
      <c r="L63" s="51" t="str" cm="1">
        <f t="array" aca="1" ref="L63" ca="1">INDIRECT("["&amp;datatable!$C$4&amp;"]"&amp;datatable!$B10&amp;"!"&amp;"Y10")</f>
        <v>Low Maybe</v>
      </c>
      <c r="M63" s="51" t="str" cm="1">
        <f t="array" aca="1" ref="M63" ca="1">INDIRECT("["&amp;datatable!$C$4&amp;"]"&amp;datatable!$B10&amp;"!"&amp;"Y11")</f>
        <v>High Correct</v>
      </c>
      <c r="N63" s="51" t="str" cm="1">
        <f t="array" aca="1" ref="N63" ca="1">INDIRECT("["&amp;datatable!$C$4&amp;"]"&amp;datatable!$B10&amp;"!"&amp;"Y46")</f>
        <v>Low Correct</v>
      </c>
      <c r="O63" s="51" t="str" cm="1">
        <f t="array" aca="1" ref="O63" ca="1">INDIRECT("["&amp;datatable!$C$4&amp;"]"&amp;datatable!$B10&amp;"!"&amp;"Y47")</f>
        <v>N/A</v>
      </c>
      <c r="P63" s="51" t="str" cm="1">
        <f t="array" aca="1" ref="P63" ca="1">INDIRECT("["&amp;datatable!$C$4&amp;"]"&amp;datatable!$B10&amp;"!"&amp;"Y48")</f>
        <v>Low Correct</v>
      </c>
      <c r="Q63" s="51" t="str" cm="1">
        <f t="array" aca="1" ref="Q63" ca="1">INDIRECT("["&amp;datatable!$C$4&amp;"]"&amp;datatable!$B10&amp;"!"&amp;"Y49")</f>
        <v>Low Correct</v>
      </c>
      <c r="R63" s="51" t="str" cm="1">
        <f t="array" aca="1" ref="R63" ca="1">INDIRECT("["&amp;datatable!$C$4&amp;"]"&amp;datatable!$B10&amp;"!"&amp;"Y50")</f>
        <v>Low Correct</v>
      </c>
      <c r="S63" s="51" t="str" cm="1">
        <f t="array" aca="1" ref="S63" ca="1">INDIRECT("["&amp;datatable!$C$4&amp;"]"&amp;datatable!$B10&amp;"!"&amp;"Y51")</f>
        <v>High Correct</v>
      </c>
      <c r="T63" s="51" t="str" cm="1">
        <f t="array" aca="1" ref="T63" ca="1">INDIRECT("["&amp;datatable!$C$4&amp;"]"&amp;datatable!$B10&amp;"!"&amp;"Y52")</f>
        <v>N/A</v>
      </c>
      <c r="U63" s="51" t="str" cm="1">
        <f t="array" aca="1" ref="U63" ca="1">INDIRECT("["&amp;datatable!$C$4&amp;"]"&amp;datatable!$B10&amp;"!"&amp;"Y53")</f>
        <v>High Correct</v>
      </c>
      <c r="V63" s="51" t="str" cm="1">
        <f t="array" aca="1" ref="V63" ca="1">INDIRECT("["&amp;datatable!$C$4&amp;"]"&amp;datatable!$B10&amp;"!"&amp;"Y54")</f>
        <v>Medium Correct</v>
      </c>
      <c r="W63" s="51" t="str" cm="1">
        <f t="array" aca="1" ref="W63" ca="1">INDIRECT("["&amp;datatable!$C$4&amp;"]"&amp;datatable!$B10&amp;"!"&amp;"Y55")</f>
        <v>Low Incorrect</v>
      </c>
      <c r="X63" s="51" t="str" cm="1">
        <f t="array" aca="1" ref="X63" ca="1">INDIRECT("["&amp;datatable!$C$4&amp;"]"&amp;datatable!$B10&amp;"!"&amp;"Y56")</f>
        <v>High Incorrect</v>
      </c>
      <c r="Y63" s="50"/>
    </row>
    <row r="64" spans="3:25">
      <c r="C64" s="30" t="s">
        <v>46</v>
      </c>
      <c r="D64" s="51" t="str" cm="1">
        <f t="array" aca="1" ref="D64" ca="1">INDIRECT("["&amp;datatable!$C$4&amp;"]"&amp;datatable!$B11&amp;"!"&amp;"Y2")</f>
        <v>Medium Maybe</v>
      </c>
      <c r="E64" s="51" t="str" cm="1">
        <f t="array" aca="1" ref="E64" ca="1">INDIRECT("["&amp;datatable!$C$4&amp;"]"&amp;datatable!$B11&amp;"!"&amp;"Y3")</f>
        <v>Medium Incorrect</v>
      </c>
      <c r="F64" s="51" t="str" cm="1">
        <f t="array" aca="1" ref="F64" ca="1">INDIRECT("["&amp;datatable!$C$4&amp;"]"&amp;datatable!$B11&amp;"!"&amp;"Y4")</f>
        <v>High Incorrect</v>
      </c>
      <c r="G64" s="51" t="str" cm="1">
        <f t="array" aca="1" ref="G64" ca="1">INDIRECT("["&amp;datatable!$C$4&amp;"]"&amp;datatable!$B11&amp;"!"&amp;"Y5")</f>
        <v>Low Incorrect</v>
      </c>
      <c r="H64" s="51" t="str" cm="1">
        <f t="array" aca="1" ref="H64" ca="1">INDIRECT("["&amp;datatable!$C$4&amp;"]"&amp;datatable!$B11&amp;"!"&amp;"Y6")</f>
        <v>Medium Correct</v>
      </c>
      <c r="I64" s="51" t="str" cm="1">
        <f t="array" aca="1" ref="I64" ca="1">INDIRECT("["&amp;datatable!$C$4&amp;"]"&amp;datatable!$B11&amp;"!"&amp;"Y7")</f>
        <v>High Maybe</v>
      </c>
      <c r="J64" s="51" t="str" cm="1">
        <f t="array" aca="1" ref="J64" ca="1">INDIRECT("["&amp;datatable!$C$4&amp;"]"&amp;datatable!$B11&amp;"!"&amp;"Y8")</f>
        <v>Low Incorrect</v>
      </c>
      <c r="K64" s="51" t="str" cm="1">
        <f t="array" aca="1" ref="K64" ca="1">INDIRECT("["&amp;datatable!$C$4&amp;"]"&amp;datatable!$B11&amp;"!"&amp;"Y9")</f>
        <v>High Correct</v>
      </c>
      <c r="L64" s="51" t="str" cm="1">
        <f t="array" aca="1" ref="L64" ca="1">INDIRECT("["&amp;datatable!$C$4&amp;"]"&amp;datatable!$B11&amp;"!"&amp;"Y10")</f>
        <v>High Correct</v>
      </c>
      <c r="M64" s="51" t="str" cm="1">
        <f t="array" aca="1" ref="M64" ca="1">INDIRECT("["&amp;datatable!$C$4&amp;"]"&amp;datatable!$B11&amp;"!"&amp;"Y11")</f>
        <v>High Correct</v>
      </c>
      <c r="N64" s="51" t="str" cm="1">
        <f t="array" aca="1" ref="N64" ca="1">INDIRECT("["&amp;datatable!$C$4&amp;"]"&amp;datatable!$B11&amp;"!"&amp;"Y46")</f>
        <v>High Correct</v>
      </c>
      <c r="O64" s="51" t="str" cm="1">
        <f t="array" aca="1" ref="O64" ca="1">INDIRECT("["&amp;datatable!$C$4&amp;"]"&amp;datatable!$B11&amp;"!"&amp;"Y47")</f>
        <v>High Correct</v>
      </c>
      <c r="P64" s="51" t="str" cm="1">
        <f t="array" aca="1" ref="P64" ca="1">INDIRECT("["&amp;datatable!$C$4&amp;"]"&amp;datatable!$B11&amp;"!"&amp;"Y48")</f>
        <v>Medium Correct</v>
      </c>
      <c r="Q64" s="51" t="str" cm="1">
        <f t="array" aca="1" ref="Q64" ca="1">INDIRECT("["&amp;datatable!$C$4&amp;"]"&amp;datatable!$B11&amp;"!"&amp;"Y49")</f>
        <v>High Correct</v>
      </c>
      <c r="R64" s="51" t="str" cm="1">
        <f t="array" aca="1" ref="R64" ca="1">INDIRECT("["&amp;datatable!$C$4&amp;"]"&amp;datatable!$B11&amp;"!"&amp;"Y50")</f>
        <v>High Correct</v>
      </c>
      <c r="S64" s="51" t="str" cm="1">
        <f t="array" aca="1" ref="S64" ca="1">INDIRECT("["&amp;datatable!$C$4&amp;"]"&amp;datatable!$B11&amp;"!"&amp;"Y51")</f>
        <v>N/A</v>
      </c>
      <c r="T64" s="51" t="str" cm="1">
        <f t="array" aca="1" ref="T64" ca="1">INDIRECT("["&amp;datatable!$C$4&amp;"]"&amp;datatable!$B11&amp;"!"&amp;"Y52")</f>
        <v>Medium Correct</v>
      </c>
      <c r="U64" s="51" t="str" cm="1">
        <f t="array" aca="1" ref="U64" ca="1">INDIRECT("["&amp;datatable!$C$4&amp;"]"&amp;datatable!$B11&amp;"!"&amp;"Y53")</f>
        <v>Low Incorrect</v>
      </c>
      <c r="V64" s="51" t="str" cm="1">
        <f t="array" aca="1" ref="V64" ca="1">INDIRECT("["&amp;datatable!$C$4&amp;"]"&amp;datatable!$B11&amp;"!"&amp;"Y54")</f>
        <v>Medium Correct</v>
      </c>
      <c r="W64" s="51" t="str" cm="1">
        <f t="array" aca="1" ref="W64" ca="1">INDIRECT("["&amp;datatable!$C$4&amp;"]"&amp;datatable!$B11&amp;"!"&amp;"Y55")</f>
        <v>Low Maybe</v>
      </c>
      <c r="X64" s="51" t="str" cm="1">
        <f t="array" aca="1" ref="X64" ca="1">INDIRECT("["&amp;datatable!$C$4&amp;"]"&amp;datatable!$B11&amp;"!"&amp;"Y56")</f>
        <v>High Incorrect</v>
      </c>
      <c r="Y64" s="50"/>
    </row>
    <row r="65" spans="3:25">
      <c r="C65" s="30" t="s">
        <v>47</v>
      </c>
      <c r="D65" s="51" t="str" cm="1">
        <f t="array" aca="1" ref="D65" ca="1">INDIRECT("["&amp;datatable!$C$4&amp;"]"&amp;datatable!$B12&amp;"!"&amp;"Y2")</f>
        <v>High Correct</v>
      </c>
      <c r="E65" s="51" t="str" cm="1">
        <f t="array" aca="1" ref="E65" ca="1">INDIRECT("["&amp;datatable!$C$4&amp;"]"&amp;datatable!$B12&amp;"!"&amp;"Y3")</f>
        <v>Low Incorrect</v>
      </c>
      <c r="F65" s="51" t="str" cm="1">
        <f t="array" aca="1" ref="F65" ca="1">INDIRECT("["&amp;datatable!$C$4&amp;"]"&amp;datatable!$B12&amp;"!"&amp;"Y4")</f>
        <v>High Incorrect</v>
      </c>
      <c r="G65" s="51" t="str" cm="1">
        <f t="array" aca="1" ref="G65" ca="1">INDIRECT("["&amp;datatable!$C$4&amp;"]"&amp;datatable!$B12&amp;"!"&amp;"Y5")</f>
        <v>Medium Maybe</v>
      </c>
      <c r="H65" s="51" t="str" cm="1">
        <f t="array" aca="1" ref="H65" ca="1">INDIRECT("["&amp;datatable!$C$4&amp;"]"&amp;datatable!$B12&amp;"!"&amp;"Y6")</f>
        <v>High Maybe</v>
      </c>
      <c r="I65" s="51" t="str" cm="1">
        <f t="array" aca="1" ref="I65" ca="1">INDIRECT("["&amp;datatable!$C$4&amp;"]"&amp;datatable!$B12&amp;"!"&amp;"Y7")</f>
        <v>Medium Maybe</v>
      </c>
      <c r="J65" s="51" t="str" cm="1">
        <f t="array" aca="1" ref="J65" ca="1">INDIRECT("["&amp;datatable!$C$4&amp;"]"&amp;datatable!$B12&amp;"!"&amp;"Y8")</f>
        <v>High Correct</v>
      </c>
      <c r="K65" s="51" t="str" cm="1">
        <f t="array" aca="1" ref="K65" ca="1">INDIRECT("["&amp;datatable!$C$4&amp;"]"&amp;datatable!$B12&amp;"!"&amp;"Y9")</f>
        <v>High Maybe</v>
      </c>
      <c r="L65" s="51" t="str" cm="1">
        <f t="array" aca="1" ref="L65" ca="1">INDIRECT("["&amp;datatable!$C$4&amp;"]"&amp;datatable!$B12&amp;"!"&amp;"Y10")</f>
        <v>High Maybe</v>
      </c>
      <c r="M65" s="51" t="str" cm="1">
        <f t="array" aca="1" ref="M65" ca="1">INDIRECT("["&amp;datatable!$C$4&amp;"]"&amp;datatable!$B12&amp;"!"&amp;"Y11")</f>
        <v>High Correct</v>
      </c>
      <c r="N65" s="51" t="str" cm="1">
        <f t="array" aca="1" ref="N65" ca="1">INDIRECT("["&amp;datatable!$C$4&amp;"]"&amp;datatable!$B12&amp;"!"&amp;"Y46")</f>
        <v>High Correct</v>
      </c>
      <c r="O65" s="51" t="str" cm="1">
        <f t="array" aca="1" ref="O65" ca="1">INDIRECT("["&amp;datatable!$C$4&amp;"]"&amp;datatable!$B12&amp;"!"&amp;"Y47")</f>
        <v>High Correct</v>
      </c>
      <c r="P65" s="51" t="str" cm="1">
        <f t="array" aca="1" ref="P65" ca="1">INDIRECT("["&amp;datatable!$C$4&amp;"]"&amp;datatable!$B12&amp;"!"&amp;"Y48")</f>
        <v>Medium Correct</v>
      </c>
      <c r="Q65" s="51" t="str" cm="1">
        <f t="array" aca="1" ref="Q65" ca="1">INDIRECT("["&amp;datatable!$C$4&amp;"]"&amp;datatable!$B12&amp;"!"&amp;"Y49")</f>
        <v>High Correct</v>
      </c>
      <c r="R65" s="51" t="str" cm="1">
        <f t="array" aca="1" ref="R65" ca="1">INDIRECT("["&amp;datatable!$C$4&amp;"]"&amp;datatable!$B12&amp;"!"&amp;"Y50")</f>
        <v>High Correct</v>
      </c>
      <c r="S65" s="51" t="str" cm="1">
        <f t="array" aca="1" ref="S65" ca="1">INDIRECT("["&amp;datatable!$C$4&amp;"]"&amp;datatable!$B12&amp;"!"&amp;"Y51")</f>
        <v>High Correct</v>
      </c>
      <c r="T65" s="51" t="str" cm="1">
        <f t="array" aca="1" ref="T65" ca="1">INDIRECT("["&amp;datatable!$C$4&amp;"]"&amp;datatable!$B12&amp;"!"&amp;"Y52")</f>
        <v>Medium Correct</v>
      </c>
      <c r="U65" s="51" t="str" cm="1">
        <f t="array" aca="1" ref="U65" ca="1">INDIRECT("["&amp;datatable!$C$4&amp;"]"&amp;datatable!$B12&amp;"!"&amp;"Y53")</f>
        <v>Medium Incorrect</v>
      </c>
      <c r="V65" s="51" t="str" cm="1">
        <f t="array" aca="1" ref="V65" ca="1">INDIRECT("["&amp;datatable!$C$4&amp;"]"&amp;datatable!$B12&amp;"!"&amp;"Y54")</f>
        <v>Medium Correct</v>
      </c>
      <c r="W65" s="51" t="str" cm="1">
        <f t="array" aca="1" ref="W65" ca="1">INDIRECT("["&amp;datatable!$C$4&amp;"]"&amp;datatable!$B12&amp;"!"&amp;"Y55")</f>
        <v>High Incorrect</v>
      </c>
      <c r="X65" s="51" t="str" cm="1">
        <f t="array" aca="1" ref="X65" ca="1">INDIRECT("["&amp;datatable!$C$4&amp;"]"&amp;datatable!$B12&amp;"!"&amp;"Y56")</f>
        <v>High Incorrect</v>
      </c>
      <c r="Y65" s="50"/>
    </row>
    <row r="66" spans="3:25">
      <c r="C66" s="30" t="s">
        <v>48</v>
      </c>
      <c r="D66" s="51" t="str" cm="1">
        <f t="array" aca="1" ref="D66" ca="1">INDIRECT("["&amp;datatable!$C$4&amp;"]"&amp;datatable!$B13&amp;"!"&amp;"Y2")</f>
        <v>High Correct</v>
      </c>
      <c r="E66" s="51" t="str" cm="1">
        <f t="array" aca="1" ref="E66" ca="1">INDIRECT("["&amp;datatable!$C$4&amp;"]"&amp;datatable!$B13&amp;"!"&amp;"Y3")</f>
        <v>High Correct</v>
      </c>
      <c r="F66" s="51" t="str" cm="1">
        <f t="array" aca="1" ref="F66" ca="1">INDIRECT("["&amp;datatable!$C$4&amp;"]"&amp;datatable!$B13&amp;"!"&amp;"Y4")</f>
        <v>Medium Maybe</v>
      </c>
      <c r="G66" s="51" t="str" cm="1">
        <f t="array" aca="1" ref="G66" ca="1">INDIRECT("["&amp;datatable!$C$4&amp;"]"&amp;datatable!$B13&amp;"!"&amp;"Y5")</f>
        <v>High Correct</v>
      </c>
      <c r="H66" s="51" t="str" cm="1">
        <f t="array" aca="1" ref="H66" ca="1">INDIRECT("["&amp;datatable!$C$4&amp;"]"&amp;datatable!$B13&amp;"!"&amp;"Y6")</f>
        <v>High Correct</v>
      </c>
      <c r="I66" s="51" t="str" cm="1">
        <f t="array" aca="1" ref="I66" ca="1">INDIRECT("["&amp;datatable!$C$4&amp;"]"&amp;datatable!$B13&amp;"!"&amp;"Y7")</f>
        <v>High Correct</v>
      </c>
      <c r="J66" s="51" t="str" cm="1">
        <f t="array" aca="1" ref="J66" ca="1">INDIRECT("["&amp;datatable!$C$4&amp;"]"&amp;datatable!$B13&amp;"!"&amp;"Y8")</f>
        <v>Medium Incorrect</v>
      </c>
      <c r="K66" s="51" t="str" cm="1">
        <f t="array" aca="1" ref="K66" ca="1">INDIRECT("["&amp;datatable!$C$4&amp;"]"&amp;datatable!$B13&amp;"!"&amp;"Y9")</f>
        <v>High Correct</v>
      </c>
      <c r="L66" s="51" t="str" cm="1">
        <f t="array" aca="1" ref="L66" ca="1">INDIRECT("["&amp;datatable!$C$4&amp;"]"&amp;datatable!$B13&amp;"!"&amp;"Y10")</f>
        <v>High Correct</v>
      </c>
      <c r="M66" s="51" t="str" cm="1">
        <f t="array" aca="1" ref="M66" ca="1">INDIRECT("["&amp;datatable!$C$4&amp;"]"&amp;datatable!$B13&amp;"!"&amp;"Y11")</f>
        <v>High Correct</v>
      </c>
      <c r="N66" s="51" t="str" cm="1">
        <f t="array" aca="1" ref="N66" ca="1">INDIRECT("["&amp;datatable!$C$4&amp;"]"&amp;datatable!$B13&amp;"!"&amp;"Y46")</f>
        <v>High Correct</v>
      </c>
      <c r="O66" s="51" t="str" cm="1">
        <f t="array" aca="1" ref="O66" ca="1">INDIRECT("["&amp;datatable!$C$4&amp;"]"&amp;datatable!$B13&amp;"!"&amp;"Y47")</f>
        <v>High Correct</v>
      </c>
      <c r="P66" s="51" t="str" cm="1">
        <f t="array" aca="1" ref="P66" ca="1">INDIRECT("["&amp;datatable!$C$4&amp;"]"&amp;datatable!$B13&amp;"!"&amp;"Y48")</f>
        <v>High Correct</v>
      </c>
      <c r="Q66" s="51" t="str" cm="1">
        <f t="array" aca="1" ref="Q66" ca="1">INDIRECT("["&amp;datatable!$C$4&amp;"]"&amp;datatable!$B13&amp;"!"&amp;"Y49")</f>
        <v>N/A</v>
      </c>
      <c r="R66" s="51" t="str" cm="1">
        <f t="array" aca="1" ref="R66" ca="1">INDIRECT("["&amp;datatable!$C$4&amp;"]"&amp;datatable!$B13&amp;"!"&amp;"Y50")</f>
        <v>High Correct</v>
      </c>
      <c r="S66" s="51" t="str" cm="1">
        <f t="array" aca="1" ref="S66" ca="1">INDIRECT("["&amp;datatable!$C$4&amp;"]"&amp;datatable!$B13&amp;"!"&amp;"Y51")</f>
        <v>High Correct</v>
      </c>
      <c r="T66" s="51" t="str" cm="1">
        <f t="array" aca="1" ref="T66" ca="1">INDIRECT("["&amp;datatable!$C$4&amp;"]"&amp;datatable!$B13&amp;"!"&amp;"Y52")</f>
        <v>Medium Correct</v>
      </c>
      <c r="U66" s="51" t="str" cm="1">
        <f t="array" aca="1" ref="U66" ca="1">INDIRECT("["&amp;datatable!$C$4&amp;"]"&amp;datatable!$B13&amp;"!"&amp;"Y53")</f>
        <v>High Maybe</v>
      </c>
      <c r="V66" s="51" t="str" cm="1">
        <f t="array" aca="1" ref="V66" ca="1">INDIRECT("["&amp;datatable!$C$4&amp;"]"&amp;datatable!$B13&amp;"!"&amp;"Y54")</f>
        <v>Medium Correct</v>
      </c>
      <c r="W66" s="51" t="str" cm="1">
        <f t="array" aca="1" ref="W66" ca="1">INDIRECT("["&amp;datatable!$C$4&amp;"]"&amp;datatable!$B13&amp;"!"&amp;"Y55")</f>
        <v>High Correct</v>
      </c>
      <c r="X66" s="51" t="str" cm="1">
        <f t="array" aca="1" ref="X66" ca="1">INDIRECT("["&amp;datatable!$C$4&amp;"]"&amp;datatable!$B13&amp;"!"&amp;"Y56")</f>
        <v>High Incorrect</v>
      </c>
      <c r="Y66" s="50"/>
    </row>
    <row r="67" spans="3:25">
      <c r="C67" s="30" t="s">
        <v>49</v>
      </c>
      <c r="D67" s="51" t="str" cm="1">
        <f t="array" aca="1" ref="D67" ca="1">INDIRECT("["&amp;datatable!$C$4&amp;"]"&amp;datatable!$B14&amp;"!"&amp;"Y2")</f>
        <v>High Incorrect</v>
      </c>
      <c r="E67" s="51" t="str" cm="1">
        <f t="array" aca="1" ref="E67" ca="1">INDIRECT("["&amp;datatable!$C$4&amp;"]"&amp;datatable!$B14&amp;"!"&amp;"Y3")</f>
        <v>Low Incorrect</v>
      </c>
      <c r="F67" s="51" t="str" cm="1">
        <f t="array" aca="1" ref="F67" ca="1">INDIRECT("["&amp;datatable!$C$4&amp;"]"&amp;datatable!$B14&amp;"!"&amp;"Y4")</f>
        <v>High Incorrect</v>
      </c>
      <c r="G67" s="51" t="str" cm="1">
        <f t="array" aca="1" ref="G67" ca="1">INDIRECT("["&amp;datatable!$C$4&amp;"]"&amp;datatable!$B14&amp;"!"&amp;"Y5")</f>
        <v>N/A</v>
      </c>
      <c r="H67" s="51" t="str" cm="1">
        <f t="array" aca="1" ref="H67" ca="1">INDIRECT("["&amp;datatable!$C$4&amp;"]"&amp;datatable!$B14&amp;"!"&amp;"Y6")</f>
        <v>Medium Incorrect</v>
      </c>
      <c r="I67" s="51" t="str" cm="1">
        <f t="array" aca="1" ref="I67" ca="1">INDIRECT("["&amp;datatable!$C$4&amp;"]"&amp;datatable!$B14&amp;"!"&amp;"Y7")</f>
        <v>High Incorrect</v>
      </c>
      <c r="J67" s="51" t="str" cm="1">
        <f t="array" aca="1" ref="J67" ca="1">INDIRECT("["&amp;datatable!$C$4&amp;"]"&amp;datatable!$B14&amp;"!"&amp;"Y8")</f>
        <v>High Incorrect</v>
      </c>
      <c r="K67" s="51" t="str" cm="1">
        <f t="array" aca="1" ref="K67" ca="1">INDIRECT("["&amp;datatable!$C$4&amp;"]"&amp;datatable!$B14&amp;"!"&amp;"Y9")</f>
        <v>N/A</v>
      </c>
      <c r="L67" s="51" t="str" cm="1">
        <f t="array" aca="1" ref="L67" ca="1">INDIRECT("["&amp;datatable!$C$4&amp;"]"&amp;datatable!$B14&amp;"!"&amp;"Y10")</f>
        <v>N/A</v>
      </c>
      <c r="M67" s="51" t="str" cm="1">
        <f t="array" aca="1" ref="M67" ca="1">INDIRECT("["&amp;datatable!$C$4&amp;"]"&amp;datatable!$B14&amp;"!"&amp;"Y11")</f>
        <v>High Correct</v>
      </c>
      <c r="N67" s="51" t="str" cm="1">
        <f t="array" aca="1" ref="N67" ca="1">INDIRECT("["&amp;datatable!$C$4&amp;"]"&amp;datatable!$B14&amp;"!"&amp;"Y46")</f>
        <v>Low Correct</v>
      </c>
      <c r="O67" s="51" t="str" cm="1">
        <f t="array" aca="1" ref="O67" ca="1">INDIRECT("["&amp;datatable!$C$4&amp;"]"&amp;datatable!$B14&amp;"!"&amp;"Y47")</f>
        <v>Medium Correct</v>
      </c>
      <c r="P67" s="51" t="str" cm="1">
        <f t="array" aca="1" ref="P67" ca="1">INDIRECT("["&amp;datatable!$C$4&amp;"]"&amp;datatable!$B14&amp;"!"&amp;"Y48")</f>
        <v>Medium Correct</v>
      </c>
      <c r="Q67" s="51" t="str" cm="1">
        <f t="array" aca="1" ref="Q67" ca="1">INDIRECT("["&amp;datatable!$C$4&amp;"]"&amp;datatable!$B14&amp;"!"&amp;"Y49")</f>
        <v>High Correct</v>
      </c>
      <c r="R67" s="51" t="str" cm="1">
        <f t="array" aca="1" ref="R67" ca="1">INDIRECT("["&amp;datatable!$C$4&amp;"]"&amp;datatable!$B14&amp;"!"&amp;"Y50")</f>
        <v>High Correct</v>
      </c>
      <c r="S67" s="51" t="str" cm="1">
        <f t="array" aca="1" ref="S67" ca="1">INDIRECT("["&amp;datatable!$C$4&amp;"]"&amp;datatable!$B14&amp;"!"&amp;"Y51")</f>
        <v>Low Correct</v>
      </c>
      <c r="T67" s="51" t="str" cm="1">
        <f t="array" aca="1" ref="T67" ca="1">INDIRECT("["&amp;datatable!$C$4&amp;"]"&amp;datatable!$B14&amp;"!"&amp;"Y52")</f>
        <v>High Incorrect</v>
      </c>
      <c r="U67" s="51" t="str" cm="1">
        <f t="array" aca="1" ref="U67" ca="1">INDIRECT("["&amp;datatable!$C$4&amp;"]"&amp;datatable!$B14&amp;"!"&amp;"Y53")</f>
        <v>Medium Incorrect</v>
      </c>
      <c r="V67" s="51" t="str" cm="1">
        <f t="array" aca="1" ref="V67" ca="1">INDIRECT("["&amp;datatable!$C$4&amp;"]"&amp;datatable!$B14&amp;"!"&amp;"Y54")</f>
        <v>Low Correct</v>
      </c>
      <c r="W67" s="51" t="str" cm="1">
        <f t="array" aca="1" ref="W67" ca="1">INDIRECT("["&amp;datatable!$C$4&amp;"]"&amp;datatable!$B14&amp;"!"&amp;"Y55")</f>
        <v>High Incorrect</v>
      </c>
      <c r="X67" s="51" t="str" cm="1">
        <f t="array" aca="1" ref="X67" ca="1">INDIRECT("["&amp;datatable!$C$4&amp;"]"&amp;datatable!$B14&amp;"!"&amp;"Y56")</f>
        <v>N/A</v>
      </c>
      <c r="Y67" s="50"/>
    </row>
    <row r="68" spans="3:25">
      <c r="C68" s="30" t="s">
        <v>50</v>
      </c>
      <c r="D68" s="51" t="str" cm="1">
        <f t="array" aca="1" ref="D68" ca="1">INDIRECT("["&amp;datatable!$C$4&amp;"]"&amp;datatable!$B15&amp;"!"&amp;"Y2")</f>
        <v>High Incorrect</v>
      </c>
      <c r="E68" s="51" t="str" cm="1">
        <f t="array" aca="1" ref="E68" ca="1">INDIRECT("["&amp;datatable!$C$4&amp;"]"&amp;datatable!$B15&amp;"!"&amp;"Y3")</f>
        <v>High Incorrect</v>
      </c>
      <c r="F68" s="51" t="str" cm="1">
        <f t="array" aca="1" ref="F68" ca="1">INDIRECT("["&amp;datatable!$C$4&amp;"]"&amp;datatable!$B15&amp;"!"&amp;"Y4")</f>
        <v>High Incorrect</v>
      </c>
      <c r="G68" s="51" t="str" cm="1">
        <f t="array" aca="1" ref="G68" ca="1">INDIRECT("["&amp;datatable!$C$4&amp;"]"&amp;datatable!$B15&amp;"!"&amp;"Y5")</f>
        <v>Low Maybe</v>
      </c>
      <c r="H68" s="51" t="str" cm="1">
        <f t="array" aca="1" ref="H68" ca="1">INDIRECT("["&amp;datatable!$C$4&amp;"]"&amp;datatable!$B15&amp;"!"&amp;"Y6")</f>
        <v>High Incorrect</v>
      </c>
      <c r="I68" s="51" t="str" cm="1">
        <f t="array" aca="1" ref="I68" ca="1">INDIRECT("["&amp;datatable!$C$4&amp;"]"&amp;datatable!$B15&amp;"!"&amp;"Y7")</f>
        <v>Medium Maybe</v>
      </c>
      <c r="J68" s="51" t="str" cm="1">
        <f t="array" aca="1" ref="J68" ca="1">INDIRECT("["&amp;datatable!$C$4&amp;"]"&amp;datatable!$B15&amp;"!"&amp;"Y8")</f>
        <v>High Incorrect</v>
      </c>
      <c r="K68" s="51" t="str" cm="1">
        <f t="array" aca="1" ref="K68" ca="1">INDIRECT("["&amp;datatable!$C$4&amp;"]"&amp;datatable!$B15&amp;"!"&amp;"Y9")</f>
        <v>High Correct</v>
      </c>
      <c r="L68" s="51" t="str" cm="1">
        <f t="array" aca="1" ref="L68" ca="1">INDIRECT("["&amp;datatable!$C$4&amp;"]"&amp;datatable!$B15&amp;"!"&amp;"Y10")</f>
        <v>Low Maybe</v>
      </c>
      <c r="M68" s="51" t="str" cm="1">
        <f t="array" aca="1" ref="M68" ca="1">INDIRECT("["&amp;datatable!$C$4&amp;"]"&amp;datatable!$B15&amp;"!"&amp;"Y11")</f>
        <v>Medium Maybe</v>
      </c>
      <c r="N68" s="51" t="str" cm="1">
        <f t="array" aca="1" ref="N68" ca="1">INDIRECT("["&amp;datatable!$C$4&amp;"]"&amp;datatable!$B15&amp;"!"&amp;"Y46")</f>
        <v>High Correct</v>
      </c>
      <c r="O68" s="51" t="str" cm="1">
        <f t="array" aca="1" ref="O68" ca="1">INDIRECT("["&amp;datatable!$C$4&amp;"]"&amp;datatable!$B15&amp;"!"&amp;"Y47")</f>
        <v>High Correct</v>
      </c>
      <c r="P68" s="51" t="str" cm="1">
        <f t="array" aca="1" ref="P68" ca="1">INDIRECT("["&amp;datatable!$C$4&amp;"]"&amp;datatable!$B15&amp;"!"&amp;"Y48")</f>
        <v>Medium Correct</v>
      </c>
      <c r="Q68" s="51" t="str" cm="1">
        <f t="array" aca="1" ref="Q68" ca="1">INDIRECT("["&amp;datatable!$C$4&amp;"]"&amp;datatable!$B15&amp;"!"&amp;"Y49")</f>
        <v>High Correct</v>
      </c>
      <c r="R68" s="51" t="str" cm="1">
        <f t="array" aca="1" ref="R68" ca="1">INDIRECT("["&amp;datatable!$C$4&amp;"]"&amp;datatable!$B15&amp;"!"&amp;"Y50")</f>
        <v>High Incorrect</v>
      </c>
      <c r="S68" s="51" t="str" cm="1">
        <f t="array" aca="1" ref="S68" ca="1">INDIRECT("["&amp;datatable!$C$4&amp;"]"&amp;datatable!$B15&amp;"!"&amp;"Y51")</f>
        <v>High Correct</v>
      </c>
      <c r="T68" s="51" t="str" cm="1">
        <f t="array" aca="1" ref="T68" ca="1">INDIRECT("["&amp;datatable!$C$4&amp;"]"&amp;datatable!$B15&amp;"!"&amp;"Y52")</f>
        <v>Low Correct</v>
      </c>
      <c r="U68" s="51" t="str" cm="1">
        <f t="array" aca="1" ref="U68" ca="1">INDIRECT("["&amp;datatable!$C$4&amp;"]"&amp;datatable!$B15&amp;"!"&amp;"Y53")</f>
        <v>High Maybe</v>
      </c>
      <c r="V68" s="51" t="str" cm="1">
        <f t="array" aca="1" ref="V68" ca="1">INDIRECT("["&amp;datatable!$C$4&amp;"]"&amp;datatable!$B15&amp;"!"&amp;"Y54")</f>
        <v>Medium Correct</v>
      </c>
      <c r="W68" s="51" t="str" cm="1">
        <f t="array" aca="1" ref="W68" ca="1">INDIRECT("["&amp;datatable!$C$4&amp;"]"&amp;datatable!$B15&amp;"!"&amp;"Y55")</f>
        <v>Low Maybe</v>
      </c>
      <c r="X68" s="51" t="str" cm="1">
        <f t="array" aca="1" ref="X68" ca="1">INDIRECT("["&amp;datatable!$C$4&amp;"]"&amp;datatable!$B15&amp;"!"&amp;"Y56")</f>
        <v>High Incorrect</v>
      </c>
      <c r="Y68" s="50"/>
    </row>
    <row r="69" spans="3:25">
      <c r="C69" s="30" t="s">
        <v>51</v>
      </c>
      <c r="D69" s="51" t="str" cm="1">
        <f t="array" aca="1" ref="D69" ca="1">INDIRECT("["&amp;datatable!$C$4&amp;"]"&amp;datatable!$B16&amp;"!"&amp;"Y2")</f>
        <v>High Incorrect</v>
      </c>
      <c r="E69" s="51" t="str" cm="1">
        <f t="array" aca="1" ref="E69" ca="1">INDIRECT("["&amp;datatable!$C$4&amp;"]"&amp;datatable!$B16&amp;"!"&amp;"Y3")</f>
        <v>High Incorrect</v>
      </c>
      <c r="F69" s="51" t="str" cm="1">
        <f t="array" aca="1" ref="F69" ca="1">INDIRECT("["&amp;datatable!$C$4&amp;"]"&amp;datatable!$B16&amp;"!"&amp;"Y4")</f>
        <v>High Incorrect</v>
      </c>
      <c r="G69" s="51" t="str" cm="1">
        <f t="array" aca="1" ref="G69" ca="1">INDIRECT("["&amp;datatable!$C$4&amp;"]"&amp;datatable!$B16&amp;"!"&amp;"Y5")</f>
        <v>High Incorrect</v>
      </c>
      <c r="H69" s="51" t="str" cm="1">
        <f t="array" aca="1" ref="H69" ca="1">INDIRECT("["&amp;datatable!$C$4&amp;"]"&amp;datatable!$B16&amp;"!"&amp;"Y6")</f>
        <v>High Incorrect</v>
      </c>
      <c r="I69" s="51" t="str" cm="1">
        <f t="array" aca="1" ref="I69" ca="1">INDIRECT("["&amp;datatable!$C$4&amp;"]"&amp;datatable!$B16&amp;"!"&amp;"Y7")</f>
        <v>High Incorrect</v>
      </c>
      <c r="J69" s="51" t="str" cm="1">
        <f t="array" aca="1" ref="J69" ca="1">INDIRECT("["&amp;datatable!$C$4&amp;"]"&amp;datatable!$B16&amp;"!"&amp;"Y8")</f>
        <v>High Incorrect</v>
      </c>
      <c r="K69" s="51" t="str" cm="1">
        <f t="array" aca="1" ref="K69" ca="1">INDIRECT("["&amp;datatable!$C$4&amp;"]"&amp;datatable!$B16&amp;"!"&amp;"Y9")</f>
        <v>High Correct</v>
      </c>
      <c r="L69" s="51" t="str" cm="1">
        <f t="array" aca="1" ref="L69" ca="1">INDIRECT("["&amp;datatable!$C$4&amp;"]"&amp;datatable!$B16&amp;"!"&amp;"Y10")</f>
        <v>Low Maybe</v>
      </c>
      <c r="M69" s="51" t="str" cm="1">
        <f t="array" aca="1" ref="M69" ca="1">INDIRECT("["&amp;datatable!$C$4&amp;"]"&amp;datatable!$B16&amp;"!"&amp;"Y11")</f>
        <v>High Incorrect</v>
      </c>
      <c r="N69" s="51" t="str" cm="1">
        <f t="array" aca="1" ref="N69" ca="1">INDIRECT("["&amp;datatable!$C$4&amp;"]"&amp;datatable!$B16&amp;"!"&amp;"Y46")</f>
        <v>High Maybe</v>
      </c>
      <c r="O69" s="51" t="str" cm="1">
        <f t="array" aca="1" ref="O69" ca="1">INDIRECT("["&amp;datatable!$C$4&amp;"]"&amp;datatable!$B16&amp;"!"&amp;"Y47")</f>
        <v>High Incorrect</v>
      </c>
      <c r="P69" s="51" t="str" cm="1">
        <f t="array" aca="1" ref="P69" ca="1">INDIRECT("["&amp;datatable!$C$4&amp;"]"&amp;datatable!$B16&amp;"!"&amp;"Y48")</f>
        <v>N/A</v>
      </c>
      <c r="Q69" s="51" t="str" cm="1">
        <f t="array" aca="1" ref="Q69" ca="1">INDIRECT("["&amp;datatable!$C$4&amp;"]"&amp;datatable!$B16&amp;"!"&amp;"Y49")</f>
        <v>High Incorrect</v>
      </c>
      <c r="R69" s="51" t="str" cm="1">
        <f t="array" aca="1" ref="R69" ca="1">INDIRECT("["&amp;datatable!$C$4&amp;"]"&amp;datatable!$B16&amp;"!"&amp;"Y50")</f>
        <v>Medium Maybe</v>
      </c>
      <c r="S69" s="51" t="str" cm="1">
        <f t="array" aca="1" ref="S69" ca="1">INDIRECT("["&amp;datatable!$C$4&amp;"]"&amp;datatable!$B16&amp;"!"&amp;"Y51")</f>
        <v>High Incorrect</v>
      </c>
      <c r="T69" s="51" t="str" cm="1">
        <f t="array" aca="1" ref="T69" ca="1">INDIRECT("["&amp;datatable!$C$4&amp;"]"&amp;datatable!$B16&amp;"!"&amp;"Y52")</f>
        <v>N/A</v>
      </c>
      <c r="U69" s="51" t="str" cm="1">
        <f t="array" aca="1" ref="U69" ca="1">INDIRECT("["&amp;datatable!$C$4&amp;"]"&amp;datatable!$B16&amp;"!"&amp;"Y53")</f>
        <v>High Incorrect</v>
      </c>
      <c r="V69" s="51" t="str" cm="1">
        <f t="array" aca="1" ref="V69" ca="1">INDIRECT("["&amp;datatable!$C$4&amp;"]"&amp;datatable!$B16&amp;"!"&amp;"Y54")</f>
        <v>N/A</v>
      </c>
      <c r="W69" s="51" t="str" cm="1">
        <f t="array" aca="1" ref="W69" ca="1">INDIRECT("["&amp;datatable!$C$4&amp;"]"&amp;datatable!$B16&amp;"!"&amp;"Y55")</f>
        <v>High Incorrect</v>
      </c>
      <c r="X69" s="51" t="str" cm="1">
        <f t="array" aca="1" ref="X69" ca="1">INDIRECT("["&amp;datatable!$C$4&amp;"]"&amp;datatable!$B16&amp;"!"&amp;"Y56")</f>
        <v>High Incorrect</v>
      </c>
      <c r="Y69" s="50"/>
    </row>
    <row r="70" spans="3:25">
      <c r="C70" s="30" t="s">
        <v>52</v>
      </c>
      <c r="D70" s="51" t="str" cm="1">
        <f t="array" aca="1" ref="D70" ca="1">INDIRECT("["&amp;datatable!$C$4&amp;"]"&amp;datatable!$B17&amp;"!"&amp;"Y2")</f>
        <v>N/A</v>
      </c>
      <c r="E70" s="51" t="str" cm="1">
        <f t="array" aca="1" ref="E70" ca="1">INDIRECT("["&amp;datatable!$C$4&amp;"]"&amp;datatable!$B17&amp;"!"&amp;"Y3")</f>
        <v>High Correct</v>
      </c>
      <c r="F70" s="51" t="str" cm="1">
        <f t="array" aca="1" ref="F70" ca="1">INDIRECT("["&amp;datatable!$C$4&amp;"]"&amp;datatable!$B17&amp;"!"&amp;"Y4")</f>
        <v>High Maybe</v>
      </c>
      <c r="G70" s="51" t="str" cm="1">
        <f t="array" aca="1" ref="G70" ca="1">INDIRECT("["&amp;datatable!$C$4&amp;"]"&amp;datatable!$B17&amp;"!"&amp;"Y5")</f>
        <v>N/A</v>
      </c>
      <c r="H70" s="51" t="str" cm="1">
        <f t="array" aca="1" ref="H70" ca="1">INDIRECT("["&amp;datatable!$C$4&amp;"]"&amp;datatable!$B17&amp;"!"&amp;"Y6")</f>
        <v>High Correct</v>
      </c>
      <c r="I70" s="51" t="str" cm="1">
        <f t="array" aca="1" ref="I70" ca="1">INDIRECT("["&amp;datatable!$C$4&amp;"]"&amp;datatable!$B17&amp;"!"&amp;"Y7")</f>
        <v>Medium Maybe</v>
      </c>
      <c r="J70" s="51" t="str" cm="1">
        <f t="array" aca="1" ref="J70" ca="1">INDIRECT("["&amp;datatable!$C$4&amp;"]"&amp;datatable!$B17&amp;"!"&amp;"Y8")</f>
        <v>N/A</v>
      </c>
      <c r="K70" s="51" t="str" cm="1">
        <f t="array" aca="1" ref="K70" ca="1">INDIRECT("["&amp;datatable!$C$4&amp;"]"&amp;datatable!$B17&amp;"!"&amp;"Y9")</f>
        <v>High Maybe</v>
      </c>
      <c r="L70" s="51" t="str" cm="1">
        <f t="array" aca="1" ref="L70" ca="1">INDIRECT("["&amp;datatable!$C$4&amp;"]"&amp;datatable!$B17&amp;"!"&amp;"Y10")</f>
        <v>High Correct</v>
      </c>
      <c r="M70" s="51" t="str" cm="1">
        <f t="array" aca="1" ref="M70" ca="1">INDIRECT("["&amp;datatable!$C$4&amp;"]"&amp;datatable!$B17&amp;"!"&amp;"Y11")</f>
        <v>N/A</v>
      </c>
      <c r="N70" s="51" t="str" cm="1">
        <f t="array" aca="1" ref="N70" ca="1">INDIRECT("["&amp;datatable!$C$4&amp;"]"&amp;datatable!$B17&amp;"!"&amp;"Y46")</f>
        <v>High Correct</v>
      </c>
      <c r="O70" s="51" t="str" cm="1">
        <f t="array" aca="1" ref="O70" ca="1">INDIRECT("["&amp;datatable!$C$4&amp;"]"&amp;datatable!$B17&amp;"!"&amp;"Y47")</f>
        <v>High Correct</v>
      </c>
      <c r="P70" s="51" t="str" cm="1">
        <f t="array" aca="1" ref="P70" ca="1">INDIRECT("["&amp;datatable!$C$4&amp;"]"&amp;datatable!$B17&amp;"!"&amp;"Y48")</f>
        <v>Low Correct</v>
      </c>
      <c r="Q70" s="51" t="str" cm="1">
        <f t="array" aca="1" ref="Q70" ca="1">INDIRECT("["&amp;datatable!$C$4&amp;"]"&amp;datatable!$B17&amp;"!"&amp;"Y49")</f>
        <v>High Correct</v>
      </c>
      <c r="R70" s="51" t="str" cm="1">
        <f t="array" aca="1" ref="R70" ca="1">INDIRECT("["&amp;datatable!$C$4&amp;"]"&amp;datatable!$B17&amp;"!"&amp;"Y50")</f>
        <v>High Correct</v>
      </c>
      <c r="S70" s="51" t="str" cm="1">
        <f t="array" aca="1" ref="S70" ca="1">INDIRECT("["&amp;datatable!$C$4&amp;"]"&amp;datatable!$B17&amp;"!"&amp;"Y51")</f>
        <v>High Correct</v>
      </c>
      <c r="T70" s="51" t="str" cm="1">
        <f t="array" aca="1" ref="T70" ca="1">INDIRECT("["&amp;datatable!$C$4&amp;"]"&amp;datatable!$B17&amp;"!"&amp;"Y52")</f>
        <v>Medium Correct</v>
      </c>
      <c r="U70" s="51" t="str" cm="1">
        <f t="array" aca="1" ref="U70" ca="1">INDIRECT("["&amp;datatable!$C$4&amp;"]"&amp;datatable!$B17&amp;"!"&amp;"Y53")</f>
        <v>High Maybe</v>
      </c>
      <c r="V70" s="51" t="str" cm="1">
        <f t="array" aca="1" ref="V70" ca="1">INDIRECT("["&amp;datatable!$C$4&amp;"]"&amp;datatable!$B17&amp;"!"&amp;"Y54")</f>
        <v>Medium Correct</v>
      </c>
      <c r="W70" s="51" t="str" cm="1">
        <f t="array" aca="1" ref="W70" ca="1">INDIRECT("["&amp;datatable!$C$4&amp;"]"&amp;datatable!$B17&amp;"!"&amp;"Y55")</f>
        <v>High Maybe</v>
      </c>
      <c r="X70" s="51" t="str" cm="1">
        <f t="array" aca="1" ref="X70" ca="1">INDIRECT("["&amp;datatable!$C$4&amp;"]"&amp;datatable!$B17&amp;"!"&amp;"Y56")</f>
        <v>N/A</v>
      </c>
      <c r="Y70" s="50"/>
    </row>
    <row r="71" spans="3:25">
      <c r="C71" s="30" t="s">
        <v>53</v>
      </c>
      <c r="D71" s="51" t="str" cm="1">
        <f t="array" aca="1" ref="D71" ca="1">INDIRECT("["&amp;datatable!$C$4&amp;"]"&amp;datatable!$B18&amp;"!"&amp;"Y2")</f>
        <v>High Incorrect</v>
      </c>
      <c r="E71" s="51" t="str" cm="1">
        <f t="array" aca="1" ref="E71" ca="1">INDIRECT("["&amp;datatable!$C$4&amp;"]"&amp;datatable!$B18&amp;"!"&amp;"Y3")</f>
        <v>Low Incorrect</v>
      </c>
      <c r="F71" s="51" t="str" cm="1">
        <f t="array" aca="1" ref="F71" ca="1">INDIRECT("["&amp;datatable!$C$4&amp;"]"&amp;datatable!$B18&amp;"!"&amp;"Y4")</f>
        <v>High Incorrect</v>
      </c>
      <c r="G71" s="51" t="str" cm="1">
        <f t="array" aca="1" ref="G71" ca="1">INDIRECT("["&amp;datatable!$C$4&amp;"]"&amp;datatable!$B18&amp;"!"&amp;"Y5")</f>
        <v>High Incorrect</v>
      </c>
      <c r="H71" s="51" t="str" cm="1">
        <f t="array" aca="1" ref="H71" ca="1">INDIRECT("["&amp;datatable!$C$4&amp;"]"&amp;datatable!$B18&amp;"!"&amp;"Y6")</f>
        <v>High Incorrect</v>
      </c>
      <c r="I71" s="51" t="str" cm="1">
        <f t="array" aca="1" ref="I71" ca="1">INDIRECT("["&amp;datatable!$C$4&amp;"]"&amp;datatable!$B18&amp;"!"&amp;"Y7")</f>
        <v>High Incorrect</v>
      </c>
      <c r="J71" s="51" t="str" cm="1">
        <f t="array" aca="1" ref="J71" ca="1">INDIRECT("["&amp;datatable!$C$4&amp;"]"&amp;datatable!$B18&amp;"!"&amp;"Y8")</f>
        <v>High Incorrect</v>
      </c>
      <c r="K71" s="51" t="str" cm="1">
        <f t="array" aca="1" ref="K71" ca="1">INDIRECT("["&amp;datatable!$C$4&amp;"]"&amp;datatable!$B18&amp;"!"&amp;"Y9")</f>
        <v>High Incorrect</v>
      </c>
      <c r="L71" s="51" t="str" cm="1">
        <f t="array" aca="1" ref="L71" ca="1">INDIRECT("["&amp;datatable!$C$4&amp;"]"&amp;datatable!$B18&amp;"!"&amp;"Y10")</f>
        <v>High Incorrect</v>
      </c>
      <c r="M71" s="51" t="str" cm="1">
        <f t="array" aca="1" ref="M71" ca="1">INDIRECT("["&amp;datatable!$C$4&amp;"]"&amp;datatable!$B18&amp;"!"&amp;"Y11")</f>
        <v>Medium Maybe</v>
      </c>
      <c r="N71" s="51" t="str" cm="1">
        <f t="array" aca="1" ref="N71" ca="1">INDIRECT("["&amp;datatable!$C$4&amp;"]"&amp;datatable!$B18&amp;"!"&amp;"Y46")</f>
        <v>High Correct</v>
      </c>
      <c r="O71" s="51" t="str" cm="1">
        <f t="array" aca="1" ref="O71" ca="1">INDIRECT("["&amp;datatable!$C$4&amp;"]"&amp;datatable!$B18&amp;"!"&amp;"Y47")</f>
        <v>High Incorrect</v>
      </c>
      <c r="P71" s="51" t="str" cm="1">
        <f t="array" aca="1" ref="P71" ca="1">INDIRECT("["&amp;datatable!$C$4&amp;"]"&amp;datatable!$B18&amp;"!"&amp;"Y48")</f>
        <v>High Maybe</v>
      </c>
      <c r="Q71" s="51" t="str" cm="1">
        <f t="array" aca="1" ref="Q71" ca="1">INDIRECT("["&amp;datatable!$C$4&amp;"]"&amp;datatable!$B18&amp;"!"&amp;"Y49")</f>
        <v>High Incorrect</v>
      </c>
      <c r="R71" s="51" t="str" cm="1">
        <f t="array" aca="1" ref="R71" ca="1">INDIRECT("["&amp;datatable!$C$4&amp;"]"&amp;datatable!$B18&amp;"!"&amp;"Y50")</f>
        <v>High Incorrect</v>
      </c>
      <c r="S71" s="51" t="str" cm="1">
        <f t="array" aca="1" ref="S71" ca="1">INDIRECT("["&amp;datatable!$C$4&amp;"]"&amp;datatable!$B18&amp;"!"&amp;"Y51")</f>
        <v>High Incorrect</v>
      </c>
      <c r="T71" s="51" t="str" cm="1">
        <f t="array" aca="1" ref="T71" ca="1">INDIRECT("["&amp;datatable!$C$4&amp;"]"&amp;datatable!$B18&amp;"!"&amp;"Y52")</f>
        <v>N/A</v>
      </c>
      <c r="U71" s="51" t="str" cm="1">
        <f t="array" aca="1" ref="U71" ca="1">INDIRECT("["&amp;datatable!$C$4&amp;"]"&amp;datatable!$B18&amp;"!"&amp;"Y53")</f>
        <v>High Incorrect</v>
      </c>
      <c r="V71" s="51" t="str" cm="1">
        <f t="array" aca="1" ref="V71" ca="1">INDIRECT("["&amp;datatable!$C$4&amp;"]"&amp;datatable!$B18&amp;"!"&amp;"Y54")</f>
        <v>High Maybe</v>
      </c>
      <c r="W71" s="51" t="str" cm="1">
        <f t="array" aca="1" ref="W71" ca="1">INDIRECT("["&amp;datatable!$C$4&amp;"]"&amp;datatable!$B18&amp;"!"&amp;"Y55")</f>
        <v>High Maybe</v>
      </c>
      <c r="X71" s="51" t="str" cm="1">
        <f t="array" aca="1" ref="X71" ca="1">INDIRECT("["&amp;datatable!$C$4&amp;"]"&amp;datatable!$B18&amp;"!"&amp;"Y56")</f>
        <v>N/A</v>
      </c>
      <c r="Y71" s="50"/>
    </row>
    <row r="72" spans="3:25">
      <c r="C72" s="30" t="s">
        <v>54</v>
      </c>
      <c r="D72" s="51" t="str" cm="1">
        <f t="array" aca="1" ref="D72" ca="1">INDIRECT("["&amp;datatable!$C$4&amp;"]"&amp;datatable!$B19&amp;"!"&amp;"Y2")</f>
        <v>High Correct</v>
      </c>
      <c r="E72" s="51" t="str" cm="1">
        <f t="array" aca="1" ref="E72" ca="1">INDIRECT("["&amp;datatable!$C$4&amp;"]"&amp;datatable!$B19&amp;"!"&amp;"Y3")</f>
        <v>Low Correct</v>
      </c>
      <c r="F72" s="51" t="str" cm="1">
        <f t="array" aca="1" ref="F72" ca="1">INDIRECT("["&amp;datatable!$C$4&amp;"]"&amp;datatable!$B19&amp;"!"&amp;"Y4")</f>
        <v>N/A</v>
      </c>
      <c r="G72" s="51" t="str" cm="1">
        <f t="array" aca="1" ref="G72" ca="1">INDIRECT("["&amp;datatable!$C$4&amp;"]"&amp;datatable!$B19&amp;"!"&amp;"Y5")</f>
        <v>High Maybe</v>
      </c>
      <c r="H72" s="51" t="str" cm="1">
        <f t="array" aca="1" ref="H72" ca="1">INDIRECT("["&amp;datatable!$C$4&amp;"]"&amp;datatable!$B19&amp;"!"&amp;"Y6")</f>
        <v>Medium Maybe</v>
      </c>
      <c r="I72" s="51" t="str" cm="1">
        <f t="array" aca="1" ref="I72" ca="1">INDIRECT("["&amp;datatable!$C$4&amp;"]"&amp;datatable!$B19&amp;"!"&amp;"Y7")</f>
        <v>High Correct</v>
      </c>
      <c r="J72" s="51" t="str" cm="1">
        <f t="array" aca="1" ref="J72" ca="1">INDIRECT("["&amp;datatable!$C$4&amp;"]"&amp;datatable!$B19&amp;"!"&amp;"Y8")</f>
        <v>Low Correct</v>
      </c>
      <c r="K72" s="51" t="str" cm="1">
        <f t="array" aca="1" ref="K72" ca="1">INDIRECT("["&amp;datatable!$C$4&amp;"]"&amp;datatable!$B19&amp;"!"&amp;"Y9")</f>
        <v>High Maybe</v>
      </c>
      <c r="L72" s="51" t="str" cm="1">
        <f t="array" aca="1" ref="L72" ca="1">INDIRECT("["&amp;datatable!$C$4&amp;"]"&amp;datatable!$B19&amp;"!"&amp;"Y10")</f>
        <v>Low Correct</v>
      </c>
      <c r="M72" s="51" t="str" cm="1">
        <f t="array" aca="1" ref="M72" ca="1">INDIRECT("["&amp;datatable!$C$4&amp;"]"&amp;datatable!$B19&amp;"!"&amp;"Y11")</f>
        <v>Low Correct</v>
      </c>
      <c r="N72" s="51" t="str" cm="1">
        <f t="array" aca="1" ref="N72" ca="1">INDIRECT("["&amp;datatable!$C$4&amp;"]"&amp;datatable!$B19&amp;"!"&amp;"Y46")</f>
        <v>High Maybe</v>
      </c>
      <c r="O72" s="51" t="str" cm="1">
        <f t="array" aca="1" ref="O72" ca="1">INDIRECT("["&amp;datatable!$C$4&amp;"]"&amp;datatable!$B19&amp;"!"&amp;"Y47")</f>
        <v>High Correct</v>
      </c>
      <c r="P72" s="51" t="str" cm="1">
        <f t="array" aca="1" ref="P72" ca="1">INDIRECT("["&amp;datatable!$C$4&amp;"]"&amp;datatable!$B19&amp;"!"&amp;"Y48")</f>
        <v>Low Correct</v>
      </c>
      <c r="Q72" s="51" t="str" cm="1">
        <f t="array" aca="1" ref="Q72" ca="1">INDIRECT("["&amp;datatable!$C$4&amp;"]"&amp;datatable!$B19&amp;"!"&amp;"Y49")</f>
        <v>Low Correct</v>
      </c>
      <c r="R72" s="51" t="str" cm="1">
        <f t="array" aca="1" ref="R72" ca="1">INDIRECT("["&amp;datatable!$C$4&amp;"]"&amp;datatable!$B19&amp;"!"&amp;"Y50")</f>
        <v>Low Correct</v>
      </c>
      <c r="S72" s="51" t="str" cm="1">
        <f t="array" aca="1" ref="S72" ca="1">INDIRECT("["&amp;datatable!$C$4&amp;"]"&amp;datatable!$B19&amp;"!"&amp;"Y51")</f>
        <v>High Correct</v>
      </c>
      <c r="T72" s="51" t="str" cm="1">
        <f t="array" aca="1" ref="T72" ca="1">INDIRECT("["&amp;datatable!$C$4&amp;"]"&amp;datatable!$B19&amp;"!"&amp;"Y52")</f>
        <v>Low Maybe</v>
      </c>
      <c r="U72" s="51" t="str" cm="1">
        <f t="array" aca="1" ref="U72" ca="1">INDIRECT("["&amp;datatable!$C$4&amp;"]"&amp;datatable!$B19&amp;"!"&amp;"Y53")</f>
        <v>N/A</v>
      </c>
      <c r="V72" s="51" t="str" cm="1">
        <f t="array" aca="1" ref="V72" ca="1">INDIRECT("["&amp;datatable!$C$4&amp;"]"&amp;datatable!$B19&amp;"!"&amp;"Y54")</f>
        <v>N/A</v>
      </c>
      <c r="W72" s="51" t="str" cm="1">
        <f t="array" aca="1" ref="W72" ca="1">INDIRECT("["&amp;datatable!$C$4&amp;"]"&amp;datatable!$B19&amp;"!"&amp;"Y55")</f>
        <v>N/A</v>
      </c>
      <c r="X72" s="51" t="str" cm="1">
        <f t="array" aca="1" ref="X72" ca="1">INDIRECT("["&amp;datatable!$C$4&amp;"]"&amp;datatable!$B19&amp;"!"&amp;"Y56")</f>
        <v>Low Correct</v>
      </c>
      <c r="Y72" s="50"/>
    </row>
    <row r="73" spans="3:25">
      <c r="C73" s="50"/>
      <c r="D73" s="53"/>
      <c r="E73" s="50"/>
      <c r="F73" s="50"/>
      <c r="G73" s="50"/>
      <c r="H73" s="50"/>
      <c r="I73" s="50"/>
      <c r="J73" s="50"/>
      <c r="K73" s="50"/>
      <c r="L73" s="50"/>
      <c r="M73" s="50"/>
      <c r="N73" s="50"/>
      <c r="O73" s="50"/>
      <c r="P73" s="50"/>
      <c r="Q73" s="50"/>
      <c r="R73" s="50"/>
      <c r="S73" s="50"/>
      <c r="T73" s="50"/>
      <c r="U73" s="50"/>
      <c r="V73" s="50"/>
      <c r="W73" s="50"/>
      <c r="X73" s="50"/>
      <c r="Y73" s="50"/>
    </row>
  </sheetData>
  <phoneticPr fontId="4" type="noConversion"/>
  <conditionalFormatting sqref="D54:X72">
    <cfRule type="cellIs" dxfId="29" priority="4" operator="equal">
      <formula>"Medium Correct"</formula>
    </cfRule>
    <cfRule type="cellIs" dxfId="28" priority="5" operator="equal">
      <formula>"Low Correct"</formula>
    </cfRule>
    <cfRule type="cellIs" dxfId="27" priority="6" operator="equal">
      <formula>"Medium Maybe"</formula>
    </cfRule>
    <cfRule type="cellIs" dxfId="26" priority="7" operator="equal">
      <formula>"Low Maybe"</formula>
    </cfRule>
    <cfRule type="cellIs" dxfId="25" priority="8" operator="equal">
      <formula>"Medium Incorrect"</formula>
    </cfRule>
    <cfRule type="cellIs" dxfId="24" priority="9" operator="equal">
      <formula>"Low Incorrect"</formula>
    </cfRule>
    <cfRule type="cellIs" dxfId="23" priority="10" operator="equal">
      <formula>"N/A"</formula>
    </cfRule>
  </conditionalFormatting>
  <conditionalFormatting sqref="D55:X72">
    <cfRule type="cellIs" dxfId="22" priority="1" operator="equal">
      <formula>"High Correct"</formula>
    </cfRule>
    <cfRule type="cellIs" dxfId="21" priority="2" operator="equal">
      <formula>"High Incorrect"</formula>
    </cfRule>
    <cfRule type="cellIs" dxfId="20" priority="3" operator="equal">
      <formula>"High Maybe"</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770B-5F87-4A4F-8DF4-68AB6CC89716}">
  <dimension ref="C5:O50"/>
  <sheetViews>
    <sheetView topLeftCell="B17" zoomScale="80" zoomScaleNormal="80" workbookViewId="0">
      <selection activeCell="O69" sqref="O69"/>
    </sheetView>
  </sheetViews>
  <sheetFormatPr defaultRowHeight="14.4"/>
  <cols>
    <col min="4" max="4" width="12.6640625" customWidth="1"/>
    <col min="5" max="5" width="15.109375" customWidth="1"/>
    <col min="6" max="6" width="11.44140625" bestFit="1" customWidth="1"/>
    <col min="7" max="7" width="11.33203125" bestFit="1" customWidth="1"/>
    <col min="8" max="8" width="14" bestFit="1" customWidth="1"/>
    <col min="9" max="9" width="10.6640625" bestFit="1" customWidth="1"/>
    <col min="10" max="10" width="12.6640625" bestFit="1" customWidth="1"/>
    <col min="11" max="11" width="15.88671875" bestFit="1" customWidth="1"/>
    <col min="12" max="12" width="13.33203125" bestFit="1"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SUM(INDIRECT("'"&amp;datatable!$G$8:$G10&amp;"'!D"&amp;7))</f>
        <v>26</v>
      </c>
      <c r="E7" s="54" cm="1">
        <f t="array" aca="1" ref="E7" ca="1">SUM(INDIRECT("'"&amp;datatable!$G$8:$G10&amp;"'!E"&amp;7))</f>
        <v>1</v>
      </c>
      <c r="F7" s="55" cm="1">
        <f t="array" aca="1" ref="F7" ca="1">SUM(INDIRECT("'"&amp;datatable!$G$8:$G10&amp;"'!F"&amp;7))</f>
        <v>1</v>
      </c>
      <c r="G7" s="56" cm="1">
        <f t="array" aca="1" ref="G7" ca="1">SUM(INDIRECT("'"&amp;datatable!$G$8:$G10&amp;"'!G"&amp;7))</f>
        <v>3</v>
      </c>
      <c r="H7" s="57" cm="1">
        <f t="array" aca="1" ref="H7" ca="1">SUM(INDIRECT("'"&amp;datatable!$G$8:$G10&amp;"'!H"&amp;7))</f>
        <v>1</v>
      </c>
      <c r="I7" s="58" cm="1">
        <f t="array" aca="1" ref="I7" ca="1">SUM(INDIRECT("'"&amp;datatable!$G$8:$G10&amp;"'!I"&amp;7))</f>
        <v>1</v>
      </c>
      <c r="J7" s="59" cm="1">
        <f t="array" aca="1" ref="J7" ca="1">SUM(INDIRECT("'"&amp;datatable!$G$8:$G10&amp;"'!J"&amp;7))</f>
        <v>0</v>
      </c>
      <c r="K7" s="60" cm="1">
        <f t="array" aca="1" ref="K7" ca="1">SUM(INDIRECT("'"&amp;datatable!$G$8:$G10&amp;"'!K"&amp;7))</f>
        <v>4</v>
      </c>
      <c r="L7" s="61" cm="1">
        <f t="array" aca="1" ref="L7" ca="1">SUM(INDIRECT("'"&amp;datatable!$G$8:$G10&amp;"'!L"&amp;7))</f>
        <v>12</v>
      </c>
      <c r="M7" s="62" cm="1">
        <f t="array" aca="1" ref="M7" ca="1">SUM(INDIRECT("'"&amp;datatable!$G$8:$G10&amp;"'!M"&amp;7))</f>
        <v>5</v>
      </c>
      <c r="N7" s="29">
        <f t="shared" ref="N7:N28" ca="1" si="0">SUM(D7:M7)</f>
        <v>54</v>
      </c>
      <c r="O7" s="29">
        <f t="shared" ref="O7:O28" ca="1" si="1">SUM(D7:L7)</f>
        <v>49</v>
      </c>
    </row>
    <row r="8" spans="3:15">
      <c r="C8" s="5" t="s">
        <v>14</v>
      </c>
      <c r="D8" s="8" cm="1">
        <f t="array" aca="1" ref="D8" ca="1">SUM(INDIRECT("'"&amp;datatable!$G$8:$G10&amp;"'!D"&amp;8))</f>
        <v>26</v>
      </c>
      <c r="E8" s="54" cm="1">
        <f t="array" aca="1" ref="E8" ca="1">SUM(INDIRECT("'"&amp;datatable!$G$8:$G10&amp;"'!E"&amp;8))</f>
        <v>2</v>
      </c>
      <c r="F8" s="55" cm="1">
        <f t="array" aca="1" ref="F8" ca="1">SUM(INDIRECT("'"&amp;datatable!$G$8:$G10&amp;"'!F"&amp;8))</f>
        <v>1</v>
      </c>
      <c r="G8" s="56" cm="1">
        <f t="array" aca="1" ref="G8" ca="1">SUM(INDIRECT("'"&amp;datatable!$G$8:$G10&amp;"'!G"&amp;8))</f>
        <v>5</v>
      </c>
      <c r="H8" s="57" cm="1">
        <f t="array" aca="1" ref="H8" ca="1">SUM(INDIRECT("'"&amp;datatable!$G$8:$G10&amp;"'!H"&amp;8))</f>
        <v>1</v>
      </c>
      <c r="I8" s="58" cm="1">
        <f t="array" aca="1" ref="I8" ca="1">SUM(INDIRECT("'"&amp;datatable!$G$8:$G10&amp;"'!I"&amp;8))</f>
        <v>2</v>
      </c>
      <c r="J8" s="59" cm="1">
        <f t="array" aca="1" ref="J8" ca="1">SUM(INDIRECT("'"&amp;datatable!$G$8:$G10&amp;"'!J"&amp;8))</f>
        <v>4</v>
      </c>
      <c r="K8" s="60" cm="1">
        <f t="array" aca="1" ref="K8" ca="1">SUM(INDIRECT("'"&amp;datatable!$G$8:$G10&amp;"'!K"&amp;8))</f>
        <v>3</v>
      </c>
      <c r="L8" s="61" cm="1">
        <f t="array" aca="1" ref="L8" ca="1">SUM(INDIRECT("'"&amp;datatable!$G$8:$G10&amp;"'!L"&amp;8))</f>
        <v>10</v>
      </c>
      <c r="M8" s="62" cm="1">
        <f t="array" aca="1" ref="M8" ca="1">SUM(INDIRECT("'"&amp;datatable!$G$8:$G10&amp;"'!M"&amp;8))</f>
        <v>0</v>
      </c>
      <c r="N8" s="29">
        <f t="shared" ca="1" si="0"/>
        <v>54</v>
      </c>
      <c r="O8" s="29">
        <f t="shared" ca="1" si="1"/>
        <v>54</v>
      </c>
    </row>
    <row r="9" spans="3:15">
      <c r="C9" s="5" t="s">
        <v>15</v>
      </c>
      <c r="D9" s="8" cm="1">
        <f t="array" aca="1" ref="D9" ca="1">SUM(INDIRECT("'"&amp;datatable!$G$8:$G10&amp;"'!D"&amp;9))</f>
        <v>7</v>
      </c>
      <c r="E9" s="54" cm="1">
        <f t="array" aca="1" ref="E9" ca="1">SUM(INDIRECT("'"&amp;datatable!$G$8:$G10&amp;"'!E"&amp;9))</f>
        <v>1</v>
      </c>
      <c r="F9" s="55" cm="1">
        <f t="array" aca="1" ref="F9" ca="1">SUM(INDIRECT("'"&amp;datatable!$G$8:$G10&amp;"'!F"&amp;9))</f>
        <v>1</v>
      </c>
      <c r="G9" s="56" cm="1">
        <f t="array" aca="1" ref="G9" ca="1">SUM(INDIRECT("'"&amp;datatable!$G$8:$G10&amp;"'!G"&amp;9))</f>
        <v>9</v>
      </c>
      <c r="H9" s="57" cm="1">
        <f t="array" aca="1" ref="H9" ca="1">SUM(INDIRECT("'"&amp;datatable!$G$8:$G10&amp;"'!H"&amp;9))</f>
        <v>9</v>
      </c>
      <c r="I9" s="58" cm="1">
        <f t="array" aca="1" ref="I9" ca="1">SUM(INDIRECT("'"&amp;datatable!$G$8:$G10&amp;"'!I"&amp;9))</f>
        <v>3</v>
      </c>
      <c r="J9" s="59" cm="1">
        <f t="array" aca="1" ref="J9" ca="1">SUM(INDIRECT("'"&amp;datatable!$G$8:$G10&amp;"'!J"&amp;9))</f>
        <v>2</v>
      </c>
      <c r="K9" s="60" cm="1">
        <f t="array" aca="1" ref="K9" ca="1">SUM(INDIRECT("'"&amp;datatable!$G$8:$G10&amp;"'!K"&amp;9))</f>
        <v>1</v>
      </c>
      <c r="L9" s="61" cm="1">
        <f t="array" aca="1" ref="L9" ca="1">SUM(INDIRECT("'"&amp;datatable!$G$8:$G10&amp;"'!L"&amp;9))</f>
        <v>19</v>
      </c>
      <c r="M9" s="62" cm="1">
        <f t="array" aca="1" ref="M9" ca="1">SUM(INDIRECT("'"&amp;datatable!$G$8:$G10&amp;"'!M"&amp;9))</f>
        <v>2</v>
      </c>
      <c r="N9" s="29">
        <f t="shared" ca="1" si="0"/>
        <v>54</v>
      </c>
      <c r="O9" s="29">
        <f t="shared" ca="1" si="1"/>
        <v>52</v>
      </c>
    </row>
    <row r="10" spans="3:15">
      <c r="C10" s="5" t="s">
        <v>16</v>
      </c>
      <c r="D10" s="8" cm="1">
        <f t="array" aca="1" ref="D10" ca="1">SUM(INDIRECT("'"&amp;datatable!$G$8:$G10&amp;"'!D"&amp;10))</f>
        <v>20</v>
      </c>
      <c r="E10" s="54" cm="1">
        <f t="array" aca="1" ref="E10" ca="1">SUM(INDIRECT("'"&amp;datatable!$G$8:$G10&amp;"'!E"&amp;10))</f>
        <v>0</v>
      </c>
      <c r="F10" s="55" cm="1">
        <f t="array" aca="1" ref="F10" ca="1">SUM(INDIRECT("'"&amp;datatable!$G$8:$G10&amp;"'!F"&amp;10))</f>
        <v>2</v>
      </c>
      <c r="G10" s="56" cm="1">
        <f t="array" aca="1" ref="G10" ca="1">SUM(INDIRECT("'"&amp;datatable!$G$8:$G10&amp;"'!G"&amp;10))</f>
        <v>4</v>
      </c>
      <c r="H10" s="57" cm="1">
        <f t="array" aca="1" ref="H10" ca="1">SUM(INDIRECT("'"&amp;datatable!$G$8:$G10&amp;"'!H"&amp;10))</f>
        <v>5</v>
      </c>
      <c r="I10" s="58" cm="1">
        <f t="array" aca="1" ref="I10" ca="1">SUM(INDIRECT("'"&amp;datatable!$G$8:$G10&amp;"'!I"&amp;10))</f>
        <v>1</v>
      </c>
      <c r="J10" s="59" cm="1">
        <f t="array" aca="1" ref="J10" ca="1">SUM(INDIRECT("'"&amp;datatable!$G$8:$G10&amp;"'!J"&amp;10))</f>
        <v>1</v>
      </c>
      <c r="K10" s="60" cm="1">
        <f t="array" aca="1" ref="K10" ca="1">SUM(INDIRECT("'"&amp;datatable!$G$8:$G10&amp;"'!K"&amp;10))</f>
        <v>3</v>
      </c>
      <c r="L10" s="61" cm="1">
        <f t="array" aca="1" ref="L10" ca="1">SUM(INDIRECT("'"&amp;datatable!$G$8:$G10&amp;"'!L"&amp;10))</f>
        <v>13</v>
      </c>
      <c r="M10" s="62" cm="1">
        <f t="array" aca="1" ref="M10" ca="1">SUM(INDIRECT("'"&amp;datatable!$G$8:$G10&amp;"'!M"&amp;10))</f>
        <v>5</v>
      </c>
      <c r="N10" s="29">
        <f t="shared" ca="1" si="0"/>
        <v>54</v>
      </c>
      <c r="O10" s="29">
        <f t="shared" ca="1" si="1"/>
        <v>49</v>
      </c>
    </row>
    <row r="11" spans="3:15">
      <c r="C11" s="5" t="s">
        <v>17</v>
      </c>
      <c r="D11" s="8" cm="1">
        <f t="array" aca="1" ref="D11" ca="1">SUM(INDIRECT("'"&amp;datatable!$G$8:$G10&amp;"'!D"&amp;11))</f>
        <v>19</v>
      </c>
      <c r="E11" s="54" cm="1">
        <f t="array" aca="1" ref="E11" ca="1">SUM(INDIRECT("'"&amp;datatable!$G$8:$G10&amp;"'!E"&amp;11))</f>
        <v>6</v>
      </c>
      <c r="F11" s="55" cm="1">
        <f t="array" aca="1" ref="F11" ca="1">SUM(INDIRECT("'"&amp;datatable!$G$8:$G10&amp;"'!F"&amp;11))</f>
        <v>2</v>
      </c>
      <c r="G11" s="56" cm="1">
        <f t="array" aca="1" ref="G11" ca="1">SUM(INDIRECT("'"&amp;datatable!$G$8:$G10&amp;"'!G"&amp;11))</f>
        <v>3</v>
      </c>
      <c r="H11" s="57" cm="1">
        <f t="array" aca="1" ref="H11" ca="1">SUM(INDIRECT("'"&amp;datatable!$G$8:$G10&amp;"'!H"&amp;11))</f>
        <v>1</v>
      </c>
      <c r="I11" s="58" cm="1">
        <f t="array" aca="1" ref="I11" ca="1">SUM(INDIRECT("'"&amp;datatable!$G$8:$G10&amp;"'!I"&amp;11))</f>
        <v>1</v>
      </c>
      <c r="J11" s="59" cm="1">
        <f t="array" aca="1" ref="J11" ca="1">SUM(INDIRECT("'"&amp;datatable!$G$8:$G10&amp;"'!J"&amp;11))</f>
        <v>1</v>
      </c>
      <c r="K11" s="60" cm="1">
        <f t="array" aca="1" ref="K11" ca="1">SUM(INDIRECT("'"&amp;datatable!$G$8:$G10&amp;"'!K"&amp;11))</f>
        <v>3</v>
      </c>
      <c r="L11" s="61" cm="1">
        <f t="array" aca="1" ref="L11" ca="1">SUM(INDIRECT("'"&amp;datatable!$G$8:$G10&amp;"'!L"&amp;11))</f>
        <v>9</v>
      </c>
      <c r="M11" s="62" cm="1">
        <f t="array" aca="1" ref="M11" ca="1">SUM(INDIRECT("'"&amp;datatable!$G$8:$G10&amp;"'!M"&amp;11))</f>
        <v>9</v>
      </c>
      <c r="N11" s="29">
        <f t="shared" ca="1" si="0"/>
        <v>54</v>
      </c>
      <c r="O11" s="29">
        <f t="shared" ca="1" si="1"/>
        <v>45</v>
      </c>
    </row>
    <row r="12" spans="3:15">
      <c r="C12" s="5" t="s">
        <v>18</v>
      </c>
      <c r="D12" s="8" cm="1">
        <f t="array" aca="1" ref="D12" ca="1">SUM(INDIRECT("'"&amp;datatable!$G$8:$G10&amp;"'!D"&amp;12))</f>
        <v>19</v>
      </c>
      <c r="E12" s="54" cm="1">
        <f t="array" aca="1" ref="E12" ca="1">SUM(INDIRECT("'"&amp;datatable!$G$8:$G10&amp;"'!E"&amp;12))</f>
        <v>0</v>
      </c>
      <c r="F12" s="55" cm="1">
        <f t="array" aca="1" ref="F12" ca="1">SUM(INDIRECT("'"&amp;datatable!$G$8:$G10&amp;"'!F"&amp;12))</f>
        <v>4</v>
      </c>
      <c r="G12" s="56" cm="1">
        <f t="array" aca="1" ref="G12" ca="1">SUM(INDIRECT("'"&amp;datatable!$G$8:$G10&amp;"'!G"&amp;12))</f>
        <v>4</v>
      </c>
      <c r="H12" s="57" cm="1">
        <f t="array" aca="1" ref="H12" ca="1">SUM(INDIRECT("'"&amp;datatable!$G$8:$G10&amp;"'!H"&amp;12))</f>
        <v>7</v>
      </c>
      <c r="I12" s="58" cm="1">
        <f t="array" aca="1" ref="I12" ca="1">SUM(INDIRECT("'"&amp;datatable!$G$8:$G10&amp;"'!I"&amp;12))</f>
        <v>1</v>
      </c>
      <c r="J12" s="59" cm="1">
        <f t="array" aca="1" ref="J12" ca="1">SUM(INDIRECT("'"&amp;datatable!$G$8:$G10&amp;"'!J"&amp;12))</f>
        <v>1</v>
      </c>
      <c r="K12" s="60" cm="1">
        <f t="array" aca="1" ref="K12" ca="1">SUM(INDIRECT("'"&amp;datatable!$G$8:$G10&amp;"'!K"&amp;12))</f>
        <v>2</v>
      </c>
      <c r="L12" s="61" cm="1">
        <f t="array" aca="1" ref="L12" ca="1">SUM(INDIRECT("'"&amp;datatable!$G$8:$G10&amp;"'!L"&amp;12))</f>
        <v>13</v>
      </c>
      <c r="M12" s="62" cm="1">
        <f t="array" aca="1" ref="M12" ca="1">SUM(INDIRECT("'"&amp;datatable!$G$8:$G10&amp;"'!M"&amp;12))</f>
        <v>3</v>
      </c>
      <c r="N12" s="29">
        <f t="shared" ca="1" si="0"/>
        <v>54</v>
      </c>
      <c r="O12" s="29">
        <f t="shared" ca="1" si="1"/>
        <v>51</v>
      </c>
    </row>
    <row r="13" spans="3:15">
      <c r="C13" s="5" t="s">
        <v>19</v>
      </c>
      <c r="D13" s="8" cm="1">
        <f t="array" aca="1" ref="D13" ca="1">SUM(INDIRECT("'"&amp;datatable!$G$8:$G10&amp;"'!D"&amp;13))</f>
        <v>8</v>
      </c>
      <c r="E13" s="54" cm="1">
        <f t="array" aca="1" ref="E13" ca="1">SUM(INDIRECT("'"&amp;datatable!$G$8:$G10&amp;"'!E"&amp;13))</f>
        <v>3</v>
      </c>
      <c r="F13" s="55" cm="1">
        <f t="array" aca="1" ref="F13" ca="1">SUM(INDIRECT("'"&amp;datatable!$G$8:$G10&amp;"'!F"&amp;13))</f>
        <v>4</v>
      </c>
      <c r="G13" s="56" cm="1">
        <f t="array" aca="1" ref="G13" ca="1">SUM(INDIRECT("'"&amp;datatable!$G$8:$G10&amp;"'!G"&amp;13))</f>
        <v>4</v>
      </c>
      <c r="H13" s="57" cm="1">
        <f t="array" aca="1" ref="H13" ca="1">SUM(INDIRECT("'"&amp;datatable!$G$8:$G10&amp;"'!H"&amp;13))</f>
        <v>4</v>
      </c>
      <c r="I13" s="58" cm="1">
        <f t="array" aca="1" ref="I13" ca="1">SUM(INDIRECT("'"&amp;datatable!$G$8:$G10&amp;"'!I"&amp;13))</f>
        <v>2</v>
      </c>
      <c r="J13" s="59" cm="1">
        <f t="array" aca="1" ref="J13" ca="1">SUM(INDIRECT("'"&amp;datatable!$G$8:$G10&amp;"'!J"&amp;13))</f>
        <v>8</v>
      </c>
      <c r="K13" s="60" cm="1">
        <f t="array" aca="1" ref="K13" ca="1">SUM(INDIRECT("'"&amp;datatable!$G$8:$G10&amp;"'!K"&amp;13))</f>
        <v>4</v>
      </c>
      <c r="L13" s="61" cm="1">
        <f t="array" aca="1" ref="L13" ca="1">SUM(INDIRECT("'"&amp;datatable!$G$8:$G10&amp;"'!L"&amp;13))</f>
        <v>15</v>
      </c>
      <c r="M13" s="62" cm="1">
        <f t="array" aca="1" ref="M13" ca="1">SUM(INDIRECT("'"&amp;datatable!$G$8:$G10&amp;"'!M"&amp;13))</f>
        <v>2</v>
      </c>
      <c r="N13" s="29">
        <f t="shared" ca="1" si="0"/>
        <v>54</v>
      </c>
      <c r="O13" s="29">
        <f t="shared" ca="1" si="1"/>
        <v>52</v>
      </c>
    </row>
    <row r="14" spans="3:15">
      <c r="C14" s="5" t="s">
        <v>20</v>
      </c>
      <c r="D14" s="8" cm="1">
        <f t="array" aca="1" ref="D14" ca="1">SUM(INDIRECT("'"&amp;datatable!$G$8:$G10&amp;"'!D"&amp;14))</f>
        <v>26</v>
      </c>
      <c r="E14" s="54" cm="1">
        <f t="array" aca="1" ref="E14" ca="1">SUM(INDIRECT("'"&amp;datatable!$G$8:$G10&amp;"'!E"&amp;14))</f>
        <v>1</v>
      </c>
      <c r="F14" s="55" cm="1">
        <f t="array" aca="1" ref="F14" ca="1">SUM(INDIRECT("'"&amp;datatable!$G$8:$G10&amp;"'!F"&amp;14))</f>
        <v>1</v>
      </c>
      <c r="G14" s="56" cm="1">
        <f t="array" aca="1" ref="G14" ca="1">SUM(INDIRECT("'"&amp;datatable!$G$8:$G10&amp;"'!G"&amp;14))</f>
        <v>4</v>
      </c>
      <c r="H14" s="57" cm="1">
        <f t="array" aca="1" ref="H14" ca="1">SUM(INDIRECT("'"&amp;datatable!$G$8:$G10&amp;"'!H"&amp;14))</f>
        <v>2</v>
      </c>
      <c r="I14" s="58" cm="1">
        <f t="array" aca="1" ref="I14" ca="1">SUM(INDIRECT("'"&amp;datatable!$G$8:$G10&amp;"'!I"&amp;14))</f>
        <v>0</v>
      </c>
      <c r="J14" s="59" cm="1">
        <f t="array" aca="1" ref="J14" ca="1">SUM(INDIRECT("'"&amp;datatable!$G$8:$G10&amp;"'!J"&amp;14))</f>
        <v>1</v>
      </c>
      <c r="K14" s="60" cm="1">
        <f t="array" aca="1" ref="K14" ca="1">SUM(INDIRECT("'"&amp;datatable!$G$8:$G10&amp;"'!K"&amp;14))</f>
        <v>0</v>
      </c>
      <c r="L14" s="61" cm="1">
        <f t="array" aca="1" ref="L14" ca="1">SUM(INDIRECT("'"&amp;datatable!$G$8:$G10&amp;"'!L"&amp;14))</f>
        <v>15</v>
      </c>
      <c r="M14" s="62" cm="1">
        <f t="array" aca="1" ref="M14" ca="1">SUM(INDIRECT("'"&amp;datatable!$G$8:$G10&amp;"'!M"&amp;14))</f>
        <v>4</v>
      </c>
      <c r="N14" s="29">
        <f t="shared" ca="1" si="0"/>
        <v>54</v>
      </c>
      <c r="O14" s="29">
        <f t="shared" ca="1" si="1"/>
        <v>50</v>
      </c>
    </row>
    <row r="15" spans="3:15">
      <c r="C15" s="5" t="s">
        <v>21</v>
      </c>
      <c r="D15" s="8" cm="1">
        <f t="array" aca="1" ref="D15" ca="1">SUM(INDIRECT("'"&amp;datatable!$G$8:$G10&amp;"'!D"&amp;15))</f>
        <v>23</v>
      </c>
      <c r="E15" s="54" cm="1">
        <f t="array" aca="1" ref="E15" ca="1">SUM(INDIRECT("'"&amp;datatable!$G$8:$G10&amp;"'!E"&amp;15))</f>
        <v>9</v>
      </c>
      <c r="F15" s="55" cm="1">
        <f t="array" aca="1" ref="F15" ca="1">SUM(INDIRECT("'"&amp;datatable!$G$8:$G10&amp;"'!F"&amp;15))</f>
        <v>1</v>
      </c>
      <c r="G15" s="56" cm="1">
        <f t="array" aca="1" ref="G15" ca="1">SUM(INDIRECT("'"&amp;datatable!$G$8:$G10&amp;"'!G"&amp;15))</f>
        <v>6</v>
      </c>
      <c r="H15" s="57" cm="1">
        <f t="array" aca="1" ref="H15" ca="1">SUM(INDIRECT("'"&amp;datatable!$G$8:$G10&amp;"'!H"&amp;15))</f>
        <v>1</v>
      </c>
      <c r="I15" s="58" cm="1">
        <f t="array" aca="1" ref="I15" ca="1">SUM(INDIRECT("'"&amp;datatable!$G$8:$G10&amp;"'!I"&amp;15))</f>
        <v>3</v>
      </c>
      <c r="J15" s="59" cm="1">
        <f t="array" aca="1" ref="J15" ca="1">SUM(INDIRECT("'"&amp;datatable!$G$8:$G10&amp;"'!J"&amp;15))</f>
        <v>0</v>
      </c>
      <c r="K15" s="60" cm="1">
        <f t="array" aca="1" ref="K15" ca="1">SUM(INDIRECT("'"&amp;datatable!$G$8:$G10&amp;"'!K"&amp;15))</f>
        <v>1</v>
      </c>
      <c r="L15" s="61" cm="1">
        <f t="array" aca="1" ref="L15" ca="1">SUM(INDIRECT("'"&amp;datatable!$G$8:$G10&amp;"'!L"&amp;15))</f>
        <v>5</v>
      </c>
      <c r="M15" s="62" cm="1">
        <f t="array" aca="1" ref="M15" ca="1">SUM(INDIRECT("'"&amp;datatable!$G$8:$G10&amp;"'!M"&amp;15))</f>
        <v>5</v>
      </c>
      <c r="N15" s="29">
        <f t="shared" ca="1" si="0"/>
        <v>54</v>
      </c>
      <c r="O15" s="29">
        <f t="shared" ca="1" si="1"/>
        <v>49</v>
      </c>
    </row>
    <row r="16" spans="3:15">
      <c r="C16" s="5" t="s">
        <v>22</v>
      </c>
      <c r="D16" s="8" cm="1">
        <f t="array" aca="1" ref="D16" ca="1">SUM(INDIRECT("'"&amp;datatable!$G$8:$G10&amp;"'!D"&amp;16))</f>
        <v>22</v>
      </c>
      <c r="E16" s="54" cm="1">
        <f t="array" aca="1" ref="E16" ca="1">SUM(INDIRECT("'"&amp;datatable!$G$8:$G10&amp;"'!E"&amp;16))</f>
        <v>1</v>
      </c>
      <c r="F16" s="55" cm="1">
        <f t="array" aca="1" ref="F16" ca="1">SUM(INDIRECT("'"&amp;datatable!$G$8:$G10&amp;"'!F"&amp;16))</f>
        <v>6</v>
      </c>
      <c r="G16" s="56" cm="1">
        <f t="array" aca="1" ref="G16" ca="1">SUM(INDIRECT("'"&amp;datatable!$G$8:$G10&amp;"'!G"&amp;16))</f>
        <v>6</v>
      </c>
      <c r="H16" s="57" cm="1">
        <f t="array" aca="1" ref="H16" ca="1">SUM(INDIRECT("'"&amp;datatable!$G$8:$G10&amp;"'!H"&amp;16))</f>
        <v>2</v>
      </c>
      <c r="I16" s="58" cm="1">
        <f t="array" aca="1" ref="I16" ca="1">SUM(INDIRECT("'"&amp;datatable!$G$8:$G10&amp;"'!I"&amp;16))</f>
        <v>0</v>
      </c>
      <c r="J16" s="59" cm="1">
        <f t="array" aca="1" ref="J16" ca="1">SUM(INDIRECT("'"&amp;datatable!$G$8:$G10&amp;"'!J"&amp;16))</f>
        <v>2</v>
      </c>
      <c r="K16" s="60" cm="1">
        <f t="array" aca="1" ref="K16" ca="1">SUM(INDIRECT("'"&amp;datatable!$G$8:$G10&amp;"'!K"&amp;16))</f>
        <v>2</v>
      </c>
      <c r="L16" s="61" cm="1">
        <f t="array" aca="1" ref="L16" ca="1">SUM(INDIRECT("'"&amp;datatable!$G$8:$G10&amp;"'!L"&amp;16))</f>
        <v>10</v>
      </c>
      <c r="M16" s="62" cm="1">
        <f t="array" aca="1" ref="M16" ca="1">SUM(INDIRECT("'"&amp;datatable!$G$8:$G10&amp;"'!M"&amp;16))</f>
        <v>3</v>
      </c>
      <c r="N16" s="29">
        <f t="shared" ca="1" si="0"/>
        <v>54</v>
      </c>
      <c r="O16" s="29">
        <f t="shared" ca="1" si="1"/>
        <v>51</v>
      </c>
    </row>
    <row r="17" spans="3:15">
      <c r="C17" s="5" t="s">
        <v>23</v>
      </c>
      <c r="D17" s="8" cm="1">
        <f t="array" aca="1" ref="D17" ca="1">SUM(INDIRECT("'"&amp;datatable!$G$8:$G10&amp;"'!D"&amp;17))</f>
        <v>40</v>
      </c>
      <c r="E17" s="54" cm="1">
        <f t="array" aca="1" ref="E17" ca="1">SUM(INDIRECT("'"&amp;datatable!$G$8:$G10&amp;"'!E"&amp;17))</f>
        <v>2</v>
      </c>
      <c r="F17" s="55" cm="1">
        <f t="array" aca="1" ref="F17" ca="1">SUM(INDIRECT("'"&amp;datatable!$G$8:$G10&amp;"'!F"&amp;17))</f>
        <v>4</v>
      </c>
      <c r="G17" s="56" cm="1">
        <f t="array" aca="1" ref="G17" ca="1">SUM(INDIRECT("'"&amp;datatable!$G$8:$G10&amp;"'!G"&amp;17))</f>
        <v>3</v>
      </c>
      <c r="H17" s="57" cm="1">
        <f t="array" aca="1" ref="H17" ca="1">SUM(INDIRECT("'"&amp;datatable!$G$8:$G10&amp;"'!H"&amp;17))</f>
        <v>0</v>
      </c>
      <c r="I17" s="58" cm="1">
        <f t="array" aca="1" ref="I17" ca="1">SUM(INDIRECT("'"&amp;datatable!$G$8:$G10&amp;"'!I"&amp;17))</f>
        <v>0</v>
      </c>
      <c r="J17" s="59" cm="1">
        <f t="array" aca="1" ref="J17" ca="1">SUM(INDIRECT("'"&amp;datatable!$G$8:$G10&amp;"'!J"&amp;17))</f>
        <v>1</v>
      </c>
      <c r="K17" s="60" cm="1">
        <f t="array" aca="1" ref="K17" ca="1">SUM(INDIRECT("'"&amp;datatable!$G$8:$G10&amp;"'!K"&amp;17))</f>
        <v>0</v>
      </c>
      <c r="L17" s="61" cm="1">
        <f t="array" aca="1" ref="L17" ca="1">SUM(INDIRECT("'"&amp;datatable!$G$8:$G10&amp;"'!L"&amp;17))</f>
        <v>0</v>
      </c>
      <c r="M17" s="62" cm="1">
        <f t="array" aca="1" ref="M17" ca="1">SUM(INDIRECT("'"&amp;datatable!$G$8:$G10&amp;"'!M"&amp;17))</f>
        <v>4</v>
      </c>
      <c r="N17" s="29">
        <f t="shared" ca="1" si="0"/>
        <v>54</v>
      </c>
      <c r="O17" s="29">
        <f t="shared" ca="1" si="1"/>
        <v>50</v>
      </c>
    </row>
    <row r="18" spans="3:15">
      <c r="C18" s="5" t="s">
        <v>24</v>
      </c>
      <c r="D18" s="8" cm="1">
        <f t="array" aca="1" ref="D18" ca="1">SUM(INDIRECT("'"&amp;datatable!$G$8:$G10&amp;"'!D"&amp;18))</f>
        <v>25</v>
      </c>
      <c r="E18" s="54" cm="1">
        <f t="array" aca="1" ref="E18" ca="1">SUM(INDIRECT("'"&amp;datatable!$G$8:$G10&amp;"'!E"&amp;18))</f>
        <v>3</v>
      </c>
      <c r="F18" s="55" cm="1">
        <f t="array" aca="1" ref="F18" ca="1">SUM(INDIRECT("'"&amp;datatable!$G$8:$G10&amp;"'!F"&amp;18))</f>
        <v>3</v>
      </c>
      <c r="G18" s="56" cm="1">
        <f t="array" aca="1" ref="G18" ca="1">SUM(INDIRECT("'"&amp;datatable!$G$8:$G10&amp;"'!G"&amp;18))</f>
        <v>2</v>
      </c>
      <c r="H18" s="57" cm="1">
        <f t="array" aca="1" ref="H18" ca="1">SUM(INDIRECT("'"&amp;datatable!$G$8:$G10&amp;"'!H"&amp;18))</f>
        <v>5</v>
      </c>
      <c r="I18" s="58" cm="1">
        <f t="array" aca="1" ref="I18" ca="1">SUM(INDIRECT("'"&amp;datatable!$G$8:$G10&amp;"'!I"&amp;18))</f>
        <v>1</v>
      </c>
      <c r="J18" s="59" cm="1">
        <f t="array" aca="1" ref="J18" ca="1">SUM(INDIRECT("'"&amp;datatable!$G$8:$G10&amp;"'!J"&amp;18))</f>
        <v>1</v>
      </c>
      <c r="K18" s="60" cm="1">
        <f t="array" aca="1" ref="K18" ca="1">SUM(INDIRECT("'"&amp;datatable!$G$8:$G10&amp;"'!K"&amp;18))</f>
        <v>1</v>
      </c>
      <c r="L18" s="61" cm="1">
        <f t="array" aca="1" ref="L18" ca="1">SUM(INDIRECT("'"&amp;datatable!$G$8:$G10&amp;"'!L"&amp;18))</f>
        <v>7</v>
      </c>
      <c r="M18" s="62" cm="1">
        <f t="array" aca="1" ref="M18" ca="1">SUM(INDIRECT("'"&amp;datatable!$G$8:$G10&amp;"'!M"&amp;18))</f>
        <v>6</v>
      </c>
      <c r="N18" s="29">
        <f t="shared" ca="1" si="0"/>
        <v>54</v>
      </c>
      <c r="O18" s="29">
        <f t="shared" ca="1" si="1"/>
        <v>48</v>
      </c>
    </row>
    <row r="19" spans="3:15">
      <c r="C19" s="5" t="s">
        <v>25</v>
      </c>
      <c r="D19" s="8" cm="1">
        <f t="array" aca="1" ref="D19" ca="1">SUM(INDIRECT("'"&amp;datatable!$G$8:$G10&amp;"'!D"&amp;19))</f>
        <v>28</v>
      </c>
      <c r="E19" s="54" cm="1">
        <f t="array" aca="1" ref="E19" ca="1">SUM(INDIRECT("'"&amp;datatable!$G$8:$G10&amp;"'!E"&amp;19))</f>
        <v>4</v>
      </c>
      <c r="F19" s="55" cm="1">
        <f t="array" aca="1" ref="F19" ca="1">SUM(INDIRECT("'"&amp;datatable!$G$8:$G10&amp;"'!F"&amp;19))</f>
        <v>6</v>
      </c>
      <c r="G19" s="56" cm="1">
        <f t="array" aca="1" ref="G19" ca="1">SUM(INDIRECT("'"&amp;datatable!$G$8:$G10&amp;"'!G"&amp;19))</f>
        <v>2</v>
      </c>
      <c r="H19" s="57" cm="1">
        <f t="array" aca="1" ref="H19" ca="1">SUM(INDIRECT("'"&amp;datatable!$G$8:$G10&amp;"'!H"&amp;19))</f>
        <v>2</v>
      </c>
      <c r="I19" s="58" cm="1">
        <f t="array" aca="1" ref="I19" ca="1">SUM(INDIRECT("'"&amp;datatable!$G$8:$G10&amp;"'!I"&amp;19))</f>
        <v>1</v>
      </c>
      <c r="J19" s="59" cm="1">
        <f t="array" aca="1" ref="J19" ca="1">SUM(INDIRECT("'"&amp;datatable!$G$8:$G10&amp;"'!J"&amp;19))</f>
        <v>2</v>
      </c>
      <c r="K19" s="60" cm="1">
        <f t="array" aca="1" ref="K19" ca="1">SUM(INDIRECT("'"&amp;datatable!$G$8:$G10&amp;"'!K"&amp;19))</f>
        <v>0</v>
      </c>
      <c r="L19" s="61" cm="1">
        <f t="array" aca="1" ref="L19" ca="1">SUM(INDIRECT("'"&amp;datatable!$G$8:$G10&amp;"'!L"&amp;19))</f>
        <v>3</v>
      </c>
      <c r="M19" s="62" cm="1">
        <f t="array" aca="1" ref="M19" ca="1">SUM(INDIRECT("'"&amp;datatable!$G$8:$G10&amp;"'!M"&amp;19))</f>
        <v>6</v>
      </c>
      <c r="N19" s="29">
        <f t="shared" ca="1" si="0"/>
        <v>54</v>
      </c>
      <c r="O19" s="29">
        <f t="shared" ca="1" si="1"/>
        <v>48</v>
      </c>
    </row>
    <row r="20" spans="3:15">
      <c r="C20" s="5" t="s">
        <v>26</v>
      </c>
      <c r="D20" s="8" cm="1">
        <f t="array" aca="1" ref="D20" ca="1">SUM(INDIRECT("'"&amp;datatable!$G$8:$G10&amp;"'!D"&amp;20))</f>
        <v>27</v>
      </c>
      <c r="E20" s="54" cm="1">
        <f t="array" aca="1" ref="E20" ca="1">SUM(INDIRECT("'"&amp;datatable!$G$8:$G10&amp;"'!E"&amp;20))</f>
        <v>1</v>
      </c>
      <c r="F20" s="55" cm="1">
        <f t="array" aca="1" ref="F20" ca="1">SUM(INDIRECT("'"&amp;datatable!$G$8:$G10&amp;"'!F"&amp;20))</f>
        <v>3</v>
      </c>
      <c r="G20" s="56" cm="1">
        <f t="array" aca="1" ref="G20" ca="1">SUM(INDIRECT("'"&amp;datatable!$G$8:$G10&amp;"'!G"&amp;20))</f>
        <v>4</v>
      </c>
      <c r="H20" s="57" cm="1">
        <f t="array" aca="1" ref="H20" ca="1">SUM(INDIRECT("'"&amp;datatable!$G$8:$G10&amp;"'!H"&amp;20))</f>
        <v>1</v>
      </c>
      <c r="I20" s="58" cm="1">
        <f t="array" aca="1" ref="I20" ca="1">SUM(INDIRECT("'"&amp;datatable!$G$8:$G10&amp;"'!I"&amp;20))</f>
        <v>1</v>
      </c>
      <c r="J20" s="59" cm="1">
        <f t="array" aca="1" ref="J20" ca="1">SUM(INDIRECT("'"&amp;datatable!$G$8:$G10&amp;"'!J"&amp;20))</f>
        <v>1</v>
      </c>
      <c r="K20" s="60" cm="1">
        <f t="array" aca="1" ref="K20" ca="1">SUM(INDIRECT("'"&amp;datatable!$G$8:$G10&amp;"'!K"&amp;20))</f>
        <v>1</v>
      </c>
      <c r="L20" s="61" cm="1">
        <f t="array" aca="1" ref="L20" ca="1">SUM(INDIRECT("'"&amp;datatable!$G$8:$G10&amp;"'!L"&amp;20))</f>
        <v>11</v>
      </c>
      <c r="M20" s="62" cm="1">
        <f t="array" aca="1" ref="M20" ca="1">SUM(INDIRECT("'"&amp;datatable!$G$8:$G10&amp;"'!M"&amp;20))</f>
        <v>4</v>
      </c>
      <c r="N20" s="29">
        <f t="shared" ca="1" si="0"/>
        <v>54</v>
      </c>
      <c r="O20" s="29">
        <f t="shared" ca="1" si="1"/>
        <v>50</v>
      </c>
    </row>
    <row r="21" spans="3:15">
      <c r="C21" s="5" t="s">
        <v>27</v>
      </c>
      <c r="D21" s="8" cm="1">
        <f t="array" aca="1" ref="D21" ca="1">SUM(INDIRECT("'"&amp;datatable!$G$8:$G10&amp;"'!D"&amp;21))</f>
        <v>28</v>
      </c>
      <c r="E21" s="54" cm="1">
        <f t="array" aca="1" ref="E21" ca="1">SUM(INDIRECT("'"&amp;datatable!$G$8:$G10&amp;"'!E"&amp;21))</f>
        <v>3</v>
      </c>
      <c r="F21" s="55" cm="1">
        <f t="array" aca="1" ref="F21" ca="1">SUM(INDIRECT("'"&amp;datatable!$G$8:$G10&amp;"'!F"&amp;21))</f>
        <v>3</v>
      </c>
      <c r="G21" s="56" cm="1">
        <f t="array" aca="1" ref="G21" ca="1">SUM(INDIRECT("'"&amp;datatable!$G$8:$G10&amp;"'!G"&amp;21))</f>
        <v>6</v>
      </c>
      <c r="H21" s="57" cm="1">
        <f t="array" aca="1" ref="H21" ca="1">SUM(INDIRECT("'"&amp;datatable!$G$8:$G10&amp;"'!H"&amp;21))</f>
        <v>4</v>
      </c>
      <c r="I21" s="58" cm="1">
        <f t="array" aca="1" ref="I21" ca="1">SUM(INDIRECT("'"&amp;datatable!$G$8:$G10&amp;"'!I"&amp;21))</f>
        <v>0</v>
      </c>
      <c r="J21" s="59" cm="1">
        <f t="array" aca="1" ref="J21" ca="1">SUM(INDIRECT("'"&amp;datatable!$G$8:$G10&amp;"'!J"&amp;21))</f>
        <v>0</v>
      </c>
      <c r="K21" s="60" cm="1">
        <f t="array" aca="1" ref="K21" ca="1">SUM(INDIRECT("'"&amp;datatable!$G$8:$G10&amp;"'!K"&amp;21))</f>
        <v>0</v>
      </c>
      <c r="L21" s="61" cm="1">
        <f t="array" aca="1" ref="L21" ca="1">SUM(INDIRECT("'"&amp;datatable!$G$8:$G10&amp;"'!L"&amp;21))</f>
        <v>7</v>
      </c>
      <c r="M21" s="62" cm="1">
        <f t="array" aca="1" ref="M21" ca="1">SUM(INDIRECT("'"&amp;datatable!$G$8:$G10&amp;"'!M"&amp;21))</f>
        <v>3</v>
      </c>
      <c r="N21" s="29">
        <f t="shared" ca="1" si="0"/>
        <v>54</v>
      </c>
      <c r="O21" s="29">
        <f t="shared" ca="1" si="1"/>
        <v>51</v>
      </c>
    </row>
    <row r="22" spans="3:15">
      <c r="C22" s="5" t="s">
        <v>28</v>
      </c>
      <c r="D22" s="8" cm="1">
        <f t="array" aca="1" ref="D22" ca="1">SUM(INDIRECT("'"&amp;datatable!$G$8:$G10&amp;"'!D"&amp;22))</f>
        <v>32</v>
      </c>
      <c r="E22" s="54" cm="1">
        <f t="array" aca="1" ref="E22" ca="1">SUM(INDIRECT("'"&amp;datatable!$G$8:$G10&amp;"'!E"&amp;22))</f>
        <v>2</v>
      </c>
      <c r="F22" s="55" cm="1">
        <f t="array" aca="1" ref="F22" ca="1">SUM(INDIRECT("'"&amp;datatable!$G$8:$G10&amp;"'!F"&amp;22))</f>
        <v>2</v>
      </c>
      <c r="G22" s="56" cm="1">
        <f t="array" aca="1" ref="G22" ca="1">SUM(INDIRECT("'"&amp;datatable!$G$8:$G10&amp;"'!G"&amp;22))</f>
        <v>2</v>
      </c>
      <c r="H22" s="57" cm="1">
        <f t="array" aca="1" ref="H22" ca="1">SUM(INDIRECT("'"&amp;datatable!$G$8:$G10&amp;"'!H"&amp;22))</f>
        <v>2</v>
      </c>
      <c r="I22" s="58" cm="1">
        <f t="array" aca="1" ref="I22" ca="1">SUM(INDIRECT("'"&amp;datatable!$G$8:$G10&amp;"'!I"&amp;22))</f>
        <v>1</v>
      </c>
      <c r="J22" s="59" cm="1">
        <f t="array" aca="1" ref="J22" ca="1">SUM(INDIRECT("'"&amp;datatable!$G$8:$G10&amp;"'!J"&amp;22))</f>
        <v>1</v>
      </c>
      <c r="K22" s="60" cm="1">
        <f t="array" aca="1" ref="K22" ca="1">SUM(INDIRECT("'"&amp;datatable!$G$8:$G10&amp;"'!K"&amp;22))</f>
        <v>0</v>
      </c>
      <c r="L22" s="61" cm="1">
        <f t="array" aca="1" ref="L22" ca="1">SUM(INDIRECT("'"&amp;datatable!$G$8:$G10&amp;"'!L"&amp;22))</f>
        <v>8</v>
      </c>
      <c r="M22" s="62" cm="1">
        <f t="array" aca="1" ref="M22" ca="1">SUM(INDIRECT("'"&amp;datatable!$G$8:$G10&amp;"'!M"&amp;22))</f>
        <v>4</v>
      </c>
      <c r="N22" s="29">
        <f t="shared" ca="1" si="0"/>
        <v>54</v>
      </c>
      <c r="O22" s="29">
        <f t="shared" ca="1" si="1"/>
        <v>50</v>
      </c>
    </row>
    <row r="23" spans="3:15">
      <c r="C23" s="5" t="s">
        <v>29</v>
      </c>
      <c r="D23" s="8" cm="1">
        <f t="array" aca="1" ref="D23" ca="1">SUM(INDIRECT("'"&amp;datatable!$G$8:$G10&amp;"'!D"&amp;23))</f>
        <v>2</v>
      </c>
      <c r="E23" s="54" cm="1">
        <f t="array" aca="1" ref="E23" ca="1">SUM(INDIRECT("'"&amp;datatable!$G$8:$G10&amp;"'!E"&amp;23))</f>
        <v>20</v>
      </c>
      <c r="F23" s="55" cm="1">
        <f t="array" aca="1" ref="F23" ca="1">SUM(INDIRECT("'"&amp;datatable!$G$8:$G10&amp;"'!F"&amp;23))</f>
        <v>1</v>
      </c>
      <c r="G23" s="56" cm="1">
        <f t="array" aca="1" ref="G23" ca="1">SUM(INDIRECT("'"&amp;datatable!$G$8:$G10&amp;"'!G"&amp;23))</f>
        <v>1</v>
      </c>
      <c r="H23" s="57" cm="1">
        <f t="array" aca="1" ref="H23" ca="1">SUM(INDIRECT("'"&amp;datatable!$G$8:$G10&amp;"'!H"&amp;23))</f>
        <v>2</v>
      </c>
      <c r="I23" s="58" cm="1">
        <f t="array" aca="1" ref="I23" ca="1">SUM(INDIRECT("'"&amp;datatable!$G$8:$G10&amp;"'!I"&amp;23))</f>
        <v>1</v>
      </c>
      <c r="J23" s="59" cm="1">
        <f t="array" aca="1" ref="J23" ca="1">SUM(INDIRECT("'"&amp;datatable!$G$8:$G10&amp;"'!J"&amp;23))</f>
        <v>1</v>
      </c>
      <c r="K23" s="60" cm="1">
        <f t="array" aca="1" ref="K23" ca="1">SUM(INDIRECT("'"&amp;datatable!$G$8:$G10&amp;"'!K"&amp;23))</f>
        <v>0</v>
      </c>
      <c r="L23" s="61" cm="1">
        <f t="array" aca="1" ref="L23" ca="1">SUM(INDIRECT("'"&amp;datatable!$G$8:$G10&amp;"'!L"&amp;23))</f>
        <v>5</v>
      </c>
      <c r="M23" s="62" cm="1">
        <f t="array" aca="1" ref="M23" ca="1">SUM(INDIRECT("'"&amp;datatable!$G$8:$G10&amp;"'!M"&amp;23))</f>
        <v>21</v>
      </c>
      <c r="N23" s="29">
        <f t="shared" ca="1" si="0"/>
        <v>54</v>
      </c>
      <c r="O23" s="29">
        <f t="shared" ca="1" si="1"/>
        <v>33</v>
      </c>
    </row>
    <row r="24" spans="3:15">
      <c r="C24" s="5" t="s">
        <v>30</v>
      </c>
      <c r="D24" s="8" cm="1">
        <f t="array" aca="1" ref="D24" ca="1">SUM(INDIRECT("'"&amp;datatable!$G$8:$G10&amp;"'!D"&amp;24))</f>
        <v>3</v>
      </c>
      <c r="E24" s="54" cm="1">
        <f t="array" aca="1" ref="E24" ca="1">SUM(INDIRECT("'"&amp;datatable!$G$8:$G10&amp;"'!E"&amp;24))</f>
        <v>3</v>
      </c>
      <c r="F24" s="55" cm="1">
        <f t="array" aca="1" ref="F24" ca="1">SUM(INDIRECT("'"&amp;datatable!$G$8:$G10&amp;"'!F"&amp;24))</f>
        <v>1</v>
      </c>
      <c r="G24" s="56" cm="1">
        <f t="array" aca="1" ref="G24" ca="1">SUM(INDIRECT("'"&amp;datatable!$G$8:$G10&amp;"'!G"&amp;24))</f>
        <v>7</v>
      </c>
      <c r="H24" s="57" cm="1">
        <f t="array" aca="1" ref="H24" ca="1">SUM(INDIRECT("'"&amp;datatable!$G$8:$G10&amp;"'!H"&amp;24))</f>
        <v>7</v>
      </c>
      <c r="I24" s="58" cm="1">
        <f t="array" aca="1" ref="I24" ca="1">SUM(INDIRECT("'"&amp;datatable!$G$8:$G10&amp;"'!I"&amp;24))</f>
        <v>4</v>
      </c>
      <c r="J24" s="59" cm="1">
        <f t="array" aca="1" ref="J24" ca="1">SUM(INDIRECT("'"&amp;datatable!$G$8:$G10&amp;"'!J"&amp;24))</f>
        <v>5</v>
      </c>
      <c r="K24" s="60" cm="1">
        <f t="array" aca="1" ref="K24" ca="1">SUM(INDIRECT("'"&amp;datatable!$G$8:$G10&amp;"'!K"&amp;24))</f>
        <v>10</v>
      </c>
      <c r="L24" s="61" cm="1">
        <f t="array" aca="1" ref="L24" ca="1">SUM(INDIRECT("'"&amp;datatable!$G$8:$G10&amp;"'!L"&amp;24))</f>
        <v>12</v>
      </c>
      <c r="M24" s="62" cm="1">
        <f t="array" aca="1" ref="M24" ca="1">SUM(INDIRECT("'"&amp;datatable!$G$8:$G10&amp;"'!M"&amp;24))</f>
        <v>2</v>
      </c>
      <c r="N24" s="29">
        <f t="shared" ca="1" si="0"/>
        <v>54</v>
      </c>
      <c r="O24" s="29">
        <f t="shared" ca="1" si="1"/>
        <v>52</v>
      </c>
    </row>
    <row r="25" spans="3:15">
      <c r="C25" s="5" t="s">
        <v>31</v>
      </c>
      <c r="D25" s="8" cm="1">
        <f t="array" aca="1" ref="D25" ca="1">SUM(INDIRECT("'"&amp;datatable!$G$8:$G10&amp;"'!D"&amp;25))</f>
        <v>1</v>
      </c>
      <c r="E25" s="54" cm="1">
        <f t="array" aca="1" ref="E25" ca="1">SUM(INDIRECT("'"&amp;datatable!$G$8:$G10&amp;"'!E"&amp;25))</f>
        <v>23</v>
      </c>
      <c r="F25" s="55" cm="1">
        <f t="array" aca="1" ref="F25" ca="1">SUM(INDIRECT("'"&amp;datatable!$G$8:$G10&amp;"'!F"&amp;25))</f>
        <v>4</v>
      </c>
      <c r="G25" s="56" cm="1">
        <f t="array" aca="1" ref="G25" ca="1">SUM(INDIRECT("'"&amp;datatable!$G$8:$G10&amp;"'!G"&amp;25))</f>
        <v>3</v>
      </c>
      <c r="H25" s="57" cm="1">
        <f t="array" aca="1" ref="H25" ca="1">SUM(INDIRECT("'"&amp;datatable!$G$8:$G10&amp;"'!H"&amp;25))</f>
        <v>2</v>
      </c>
      <c r="I25" s="58" cm="1">
        <f t="array" aca="1" ref="I25" ca="1">SUM(INDIRECT("'"&amp;datatable!$G$8:$G10&amp;"'!I"&amp;25))</f>
        <v>2</v>
      </c>
      <c r="J25" s="59" cm="1">
        <f t="array" aca="1" ref="J25" ca="1">SUM(INDIRECT("'"&amp;datatable!$G$8:$G10&amp;"'!J"&amp;25))</f>
        <v>1</v>
      </c>
      <c r="K25" s="60" cm="1">
        <f t="array" aca="1" ref="K25" ca="1">SUM(INDIRECT("'"&amp;datatable!$G$8:$G10&amp;"'!K"&amp;25))</f>
        <v>1</v>
      </c>
      <c r="L25" s="61" cm="1">
        <f t="array" aca="1" ref="L25" ca="1">SUM(INDIRECT("'"&amp;datatable!$G$8:$G10&amp;"'!L"&amp;25))</f>
        <v>2</v>
      </c>
      <c r="M25" s="62" cm="1">
        <f t="array" aca="1" ref="M25" ca="1">SUM(INDIRECT("'"&amp;datatable!$G$8:$G10&amp;"'!M"&amp;25))</f>
        <v>15</v>
      </c>
      <c r="N25" s="29">
        <f t="shared" ca="1" si="0"/>
        <v>54</v>
      </c>
      <c r="O25" s="29">
        <f t="shared" ca="1" si="1"/>
        <v>39</v>
      </c>
    </row>
    <row r="26" spans="3:15">
      <c r="C26" s="5" t="s">
        <v>32</v>
      </c>
      <c r="D26" s="8" cm="1">
        <f t="array" aca="1" ref="D26" ca="1">SUM(INDIRECT("'"&amp;datatable!$G$8:$G10&amp;"'!D"&amp;26))</f>
        <v>9</v>
      </c>
      <c r="E26" s="54" cm="1">
        <f t="array" aca="1" ref="E26" ca="1">SUM(INDIRECT("'"&amp;datatable!$G$8:$G10&amp;"'!E"&amp;26))</f>
        <v>1</v>
      </c>
      <c r="F26" s="55" cm="1">
        <f t="array" aca="1" ref="F26" ca="1">SUM(INDIRECT("'"&amp;datatable!$G$8:$G10&amp;"'!F"&amp;26))</f>
        <v>2</v>
      </c>
      <c r="G26" s="56" cm="1">
        <f t="array" aca="1" ref="G26" ca="1">SUM(INDIRECT("'"&amp;datatable!$G$8:$G10&amp;"'!G"&amp;26))</f>
        <v>8</v>
      </c>
      <c r="H26" s="57" cm="1">
        <f t="array" aca="1" ref="H26" ca="1">SUM(INDIRECT("'"&amp;datatable!$G$8:$G10&amp;"'!H"&amp;26))</f>
        <v>11</v>
      </c>
      <c r="I26" s="58" cm="1">
        <f t="array" aca="1" ref="I26" ca="1">SUM(INDIRECT("'"&amp;datatable!$G$8:$G10&amp;"'!I"&amp;26))</f>
        <v>2</v>
      </c>
      <c r="J26" s="59" cm="1">
        <f t="array" aca="1" ref="J26" ca="1">SUM(INDIRECT("'"&amp;datatable!$G$8:$G10&amp;"'!J"&amp;26))</f>
        <v>2</v>
      </c>
      <c r="K26" s="60" cm="1">
        <f t="array" aca="1" ref="K26" ca="1">SUM(INDIRECT("'"&amp;datatable!$G$8:$G10&amp;"'!K"&amp;26))</f>
        <v>3</v>
      </c>
      <c r="L26" s="61" cm="1">
        <f t="array" aca="1" ref="L26" ca="1">SUM(INDIRECT("'"&amp;datatable!$G$8:$G10&amp;"'!L"&amp;26))</f>
        <v>12</v>
      </c>
      <c r="M26" s="62" cm="1">
        <f t="array" aca="1" ref="M26" ca="1">SUM(INDIRECT("'"&amp;datatable!$G$8:$G10&amp;"'!M"&amp;26))</f>
        <v>4</v>
      </c>
      <c r="N26" s="29">
        <f t="shared" ca="1" si="0"/>
        <v>54</v>
      </c>
      <c r="O26" s="29">
        <f t="shared" ca="1" si="1"/>
        <v>50</v>
      </c>
    </row>
    <row r="27" spans="3:15">
      <c r="C27" s="5" t="s">
        <v>33</v>
      </c>
      <c r="D27" s="8" cm="1">
        <f t="array" aca="1" ref="D27" ca="1">SUM(INDIRECT("'"&amp;datatable!$G$8:$G10&amp;"'!D"&amp;27))</f>
        <v>2</v>
      </c>
      <c r="E27" s="54" cm="1">
        <f t="array" aca="1" ref="E27" ca="1">SUM(INDIRECT("'"&amp;datatable!$G$8:$G10&amp;"'!E"&amp;27))</f>
        <v>0</v>
      </c>
      <c r="F27" s="55" cm="1">
        <f t="array" aca="1" ref="F27" ca="1">SUM(INDIRECT("'"&amp;datatable!$G$8:$G10&amp;"'!F"&amp;27))</f>
        <v>2</v>
      </c>
      <c r="G27" s="56" cm="1">
        <f t="array" aca="1" ref="G27" ca="1">SUM(INDIRECT("'"&amp;datatable!$G$8:$G10&amp;"'!G"&amp;27))</f>
        <v>2</v>
      </c>
      <c r="H27" s="57" cm="1">
        <f t="array" aca="1" ref="H27" ca="1">SUM(INDIRECT("'"&amp;datatable!$G$8:$G10&amp;"'!H"&amp;27))</f>
        <v>0</v>
      </c>
      <c r="I27" s="58" cm="1">
        <f t="array" aca="1" ref="I27" ca="1">SUM(INDIRECT("'"&amp;datatable!$G$8:$G10&amp;"'!I"&amp;27))</f>
        <v>1</v>
      </c>
      <c r="J27" s="59" cm="1">
        <f t="array" aca="1" ref="J27" ca="1">SUM(INDIRECT("'"&amp;datatable!$G$8:$G10&amp;"'!J"&amp;27))</f>
        <v>1</v>
      </c>
      <c r="K27" s="60" cm="1">
        <f t="array" aca="1" ref="K27" ca="1">SUM(INDIRECT("'"&amp;datatable!$G$8:$G10&amp;"'!K"&amp;27))</f>
        <v>0</v>
      </c>
      <c r="L27" s="61" cm="1">
        <f t="array" aca="1" ref="L27" ca="1">SUM(INDIRECT("'"&amp;datatable!$G$8:$G10&amp;"'!L"&amp;27))</f>
        <v>19</v>
      </c>
      <c r="M27" s="62" cm="1">
        <f t="array" aca="1" ref="M27" ca="1">SUM(INDIRECT("'"&amp;datatable!$G$8:$G10&amp;"'!M"&amp;27))</f>
        <v>27</v>
      </c>
      <c r="N27" s="29">
        <f t="shared" ca="1" si="0"/>
        <v>54</v>
      </c>
      <c r="O27" s="29">
        <f t="shared" ca="1" si="1"/>
        <v>27</v>
      </c>
    </row>
    <row r="28" spans="3:15">
      <c r="C28" s="6" t="s">
        <v>34</v>
      </c>
      <c r="D28" s="9">
        <f t="shared" ref="D28:M28" ca="1" si="2">SUM(D7:D27)</f>
        <v>393</v>
      </c>
      <c r="E28" s="9">
        <f t="shared" ca="1" si="2"/>
        <v>86</v>
      </c>
      <c r="F28" s="9">
        <f t="shared" ca="1" si="2"/>
        <v>54</v>
      </c>
      <c r="G28" s="9">
        <f t="shared" ca="1" si="2"/>
        <v>88</v>
      </c>
      <c r="H28" s="9">
        <f t="shared" ca="1" si="2"/>
        <v>69</v>
      </c>
      <c r="I28" s="9">
        <f t="shared" ca="1" si="2"/>
        <v>28</v>
      </c>
      <c r="J28" s="9">
        <f t="shared" ca="1" si="2"/>
        <v>36</v>
      </c>
      <c r="K28" s="9">
        <f t="shared" ca="1" si="2"/>
        <v>39</v>
      </c>
      <c r="L28" s="9">
        <f t="shared" ca="1" si="2"/>
        <v>207</v>
      </c>
      <c r="M28" s="9">
        <f t="shared" ca="1" si="2"/>
        <v>134</v>
      </c>
      <c r="N28" s="29">
        <f t="shared" ca="1" si="0"/>
        <v>1134</v>
      </c>
      <c r="O28" s="29">
        <f t="shared" ca="1" si="1"/>
        <v>1000</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SUM(INDIRECT("'"&amp;datatable!$G$8:$G10&amp;"'!D"&amp;32))</f>
        <v>32</v>
      </c>
      <c r="E32" s="11" cm="1">
        <f t="array" aca="1" ref="E32" ca="1">SUM(INDIRECT("'"&amp;datatable!$G$8:$G10&amp;"'!E"&amp;32))</f>
        <v>2</v>
      </c>
      <c r="F32" s="13" cm="1">
        <f t="array" aca="1" ref="F32" ca="1">SUM(INDIRECT("'"&amp;datatable!$G$8:$G10&amp;"'!F"&amp;32))</f>
        <v>0</v>
      </c>
      <c r="G32" s="15" cm="1">
        <f t="array" aca="1" ref="G32" ca="1">SUM(INDIRECT("'"&amp;datatable!$G$8:$G10&amp;"'!G"&amp;32))</f>
        <v>3</v>
      </c>
      <c r="H32" s="17" cm="1">
        <f t="array" aca="1" ref="H32" ca="1">SUM(INDIRECT("'"&amp;datatable!$G$8:$G10&amp;"'!H"&amp;32))</f>
        <v>3</v>
      </c>
      <c r="I32" s="19" cm="1">
        <f t="array" aca="1" ref="I32" ca="1">SUM(INDIRECT("'"&amp;datatable!$G$8:$G10&amp;"'!I"&amp;32))</f>
        <v>2</v>
      </c>
      <c r="J32" s="21" cm="1">
        <f t="array" aca="1" ref="J32" ca="1">SUM(INDIRECT("'"&amp;datatable!$G$8:$G10&amp;"'!J"&amp;32))</f>
        <v>1</v>
      </c>
      <c r="K32" s="23" cm="1">
        <f t="array" aca="1" ref="K32" ca="1">SUM(INDIRECT("'"&amp;datatable!$G$8:$G10&amp;"'!K"&amp;32))</f>
        <v>3</v>
      </c>
      <c r="L32" s="25" cm="1">
        <f t="array" aca="1" ref="L32" ca="1">SUM(INDIRECT("'"&amp;datatable!$G$8:$G10&amp;"'!L"&amp;32))</f>
        <v>4</v>
      </c>
      <c r="M32" s="27" cm="1">
        <f t="array" aca="1" ref="M32" ca="1">SUM(INDIRECT("'"&amp;datatable!$G$8:$G10&amp;"'!M"&amp;32))</f>
        <v>13</v>
      </c>
      <c r="N32" s="43">
        <f t="shared" ref="N32:N49" ca="1" si="3">SUM(D32:M32)</f>
        <v>63</v>
      </c>
      <c r="O32" s="43">
        <f t="shared" ref="O32:O49" ca="1" si="4">SUM(D32:L32)</f>
        <v>50</v>
      </c>
    </row>
    <row r="33" spans="3:15">
      <c r="C33" s="44" t="s">
        <v>38</v>
      </c>
      <c r="D33" s="8" cm="1">
        <f t="array" aca="1" ref="D33" ca="1">SUM(INDIRECT("'"&amp;datatable!$G$8:$G10&amp;"'!D"&amp;33))</f>
        <v>21</v>
      </c>
      <c r="E33" s="11" cm="1">
        <f t="array" aca="1" ref="E33" ca="1">SUM(INDIRECT("'"&amp;datatable!$G$8:$G10&amp;"'!E"&amp;33))</f>
        <v>2</v>
      </c>
      <c r="F33" s="13" cm="1">
        <f t="array" aca="1" ref="F33" ca="1">SUM(INDIRECT("'"&amp;datatable!$G$8:$G10&amp;"'!F"&amp;33))</f>
        <v>2</v>
      </c>
      <c r="G33" s="15" cm="1">
        <f t="array" aca="1" ref="G33" ca="1">SUM(INDIRECT("'"&amp;datatable!$G$8:$G10&amp;"'!G"&amp;33))</f>
        <v>4</v>
      </c>
      <c r="H33" s="17" cm="1">
        <f t="array" aca="1" ref="H33" ca="1">SUM(INDIRECT("'"&amp;datatable!$G$8:$G10&amp;"'!H"&amp;33))</f>
        <v>4</v>
      </c>
      <c r="I33" s="19" cm="1">
        <f t="array" aca="1" ref="I33" ca="1">SUM(INDIRECT("'"&amp;datatable!$G$8:$G10&amp;"'!I"&amp;33))</f>
        <v>1</v>
      </c>
      <c r="J33" s="21" cm="1">
        <f t="array" aca="1" ref="J33" ca="1">SUM(INDIRECT("'"&amp;datatable!$G$8:$G10&amp;"'!J"&amp;33))</f>
        <v>1</v>
      </c>
      <c r="K33" s="23" cm="1">
        <f t="array" aca="1" ref="K33" ca="1">SUM(INDIRECT("'"&amp;datatable!$G$8:$G10&amp;"'!K"&amp;33))</f>
        <v>4</v>
      </c>
      <c r="L33" s="25" cm="1">
        <f t="array" aca="1" ref="L33" ca="1">SUM(INDIRECT("'"&amp;datatable!$G$8:$G10&amp;"'!L"&amp;33))</f>
        <v>19</v>
      </c>
      <c r="M33" s="27" cm="1">
        <f t="array" aca="1" ref="M33" ca="1">SUM(INDIRECT("'"&amp;datatable!$G$8:$G10&amp;"'!M"&amp;33))</f>
        <v>5</v>
      </c>
      <c r="N33" s="43">
        <f t="shared" ca="1" si="3"/>
        <v>63</v>
      </c>
      <c r="O33" s="43">
        <f t="shared" ca="1" si="4"/>
        <v>58</v>
      </c>
    </row>
    <row r="34" spans="3:15">
      <c r="C34" s="44" t="s">
        <v>39</v>
      </c>
      <c r="D34" s="8" cm="1">
        <f t="array" aca="1" ref="D34" ca="1">SUM(INDIRECT("'"&amp;datatable!$G$8:$G10&amp;"'!D"&amp;34))</f>
        <v>30</v>
      </c>
      <c r="E34" s="11" cm="1">
        <f t="array" aca="1" ref="E34" ca="1">SUM(INDIRECT("'"&amp;datatable!$G$8:$G10&amp;"'!E"&amp;34))</f>
        <v>2</v>
      </c>
      <c r="F34" s="13" cm="1">
        <f t="array" aca="1" ref="F34" ca="1">SUM(INDIRECT("'"&amp;datatable!$G$8:$G10&amp;"'!F"&amp;34))</f>
        <v>2</v>
      </c>
      <c r="G34" s="15" cm="1">
        <f t="array" aca="1" ref="G34" ca="1">SUM(INDIRECT("'"&amp;datatable!$G$8:$G10&amp;"'!G"&amp;34))</f>
        <v>5</v>
      </c>
      <c r="H34" s="17" cm="1">
        <f t="array" aca="1" ref="H34" ca="1">SUM(INDIRECT("'"&amp;datatable!$G$8:$G10&amp;"'!H"&amp;34))</f>
        <v>3</v>
      </c>
      <c r="I34" s="19" cm="1">
        <f t="array" aca="1" ref="I34" ca="1">SUM(INDIRECT("'"&amp;datatable!$G$8:$G10&amp;"'!I"&amp;34))</f>
        <v>2</v>
      </c>
      <c r="J34" s="21" cm="1">
        <f t="array" aca="1" ref="J34" ca="1">SUM(INDIRECT("'"&amp;datatable!$G$8:$G10&amp;"'!J"&amp;34))</f>
        <v>3</v>
      </c>
      <c r="K34" s="23" cm="1">
        <f t="array" aca="1" ref="K34" ca="1">SUM(INDIRECT("'"&amp;datatable!$G$8:$G10&amp;"'!K"&amp;34))</f>
        <v>1</v>
      </c>
      <c r="L34" s="25" cm="1">
        <f t="array" aca="1" ref="L34" ca="1">SUM(INDIRECT("'"&amp;datatable!$G$8:$G10&amp;"'!L"&amp;34))</f>
        <v>8</v>
      </c>
      <c r="M34" s="27" cm="1">
        <f t="array" aca="1" ref="M34" ca="1">SUM(INDIRECT("'"&amp;datatable!$G$8:$G10&amp;"'!M"&amp;34))</f>
        <v>7</v>
      </c>
      <c r="N34" s="43">
        <f t="shared" ca="1" si="3"/>
        <v>63</v>
      </c>
      <c r="O34" s="43">
        <f t="shared" ca="1" si="4"/>
        <v>56</v>
      </c>
    </row>
    <row r="35" spans="3:15">
      <c r="C35" s="44" t="s">
        <v>40</v>
      </c>
      <c r="D35" s="8" cm="1">
        <f t="array" aca="1" ref="D35" ca="1">SUM(INDIRECT("'"&amp;datatable!$G$8:$G10&amp;"'!D"&amp;35))</f>
        <v>29</v>
      </c>
      <c r="E35" s="11" cm="1">
        <f t="array" aca="1" ref="E35" ca="1">SUM(INDIRECT("'"&amp;datatable!$G$8:$G10&amp;"'!E"&amp;35))</f>
        <v>10</v>
      </c>
      <c r="F35" s="13" cm="1">
        <f t="array" aca="1" ref="F35" ca="1">SUM(INDIRECT("'"&amp;datatable!$G$8:$G10&amp;"'!F"&amp;35))</f>
        <v>1</v>
      </c>
      <c r="G35" s="15" cm="1">
        <f t="array" aca="1" ref="G35" ca="1">SUM(INDIRECT("'"&amp;datatable!$G$8:$G10&amp;"'!G"&amp;35))</f>
        <v>4</v>
      </c>
      <c r="H35" s="17" cm="1">
        <f t="array" aca="1" ref="H35" ca="1">SUM(INDIRECT("'"&amp;datatable!$G$8:$G10&amp;"'!H"&amp;35))</f>
        <v>3</v>
      </c>
      <c r="I35" s="19" cm="1">
        <f t="array" aca="1" ref="I35" ca="1">SUM(INDIRECT("'"&amp;datatable!$G$8:$G10&amp;"'!I"&amp;35))</f>
        <v>3</v>
      </c>
      <c r="J35" s="21" cm="1">
        <f t="array" aca="1" ref="J35" ca="1">SUM(INDIRECT("'"&amp;datatable!$G$8:$G10&amp;"'!J"&amp;35))</f>
        <v>3</v>
      </c>
      <c r="K35" s="23" cm="1">
        <f t="array" aca="1" ref="K35" ca="1">SUM(INDIRECT("'"&amp;datatable!$G$8:$G10&amp;"'!K"&amp;35))</f>
        <v>0</v>
      </c>
      <c r="L35" s="25" cm="1">
        <f t="array" aca="1" ref="L35" ca="1">SUM(INDIRECT("'"&amp;datatable!$G$8:$G10&amp;"'!L"&amp;35))</f>
        <v>9</v>
      </c>
      <c r="M35" s="27" cm="1">
        <f t="array" aca="1" ref="M35" ca="1">SUM(INDIRECT("'"&amp;datatable!$G$8:$G10&amp;"'!M"&amp;35))</f>
        <v>1</v>
      </c>
      <c r="N35" s="43">
        <f t="shared" ca="1" si="3"/>
        <v>63</v>
      </c>
      <c r="O35" s="43">
        <f t="shared" ca="1" si="4"/>
        <v>62</v>
      </c>
    </row>
    <row r="36" spans="3:15">
      <c r="C36" s="44" t="s">
        <v>41</v>
      </c>
      <c r="D36" s="8" cm="1">
        <f t="array" aca="1" ref="D36" ca="1">SUM(INDIRECT("'"&amp;datatable!$G$8:$G10&amp;"'!D"&amp;36))</f>
        <v>26</v>
      </c>
      <c r="E36" s="11" cm="1">
        <f t="array" aca="1" ref="E36" ca="1">SUM(INDIRECT("'"&amp;datatable!$G$8:$G10&amp;"'!E"&amp;36))</f>
        <v>6</v>
      </c>
      <c r="F36" s="13" cm="1">
        <f t="array" aca="1" ref="F36" ca="1">SUM(INDIRECT("'"&amp;datatable!$G$8:$G10&amp;"'!F"&amp;36))</f>
        <v>0</v>
      </c>
      <c r="G36" s="15" cm="1">
        <f t="array" aca="1" ref="G36" ca="1">SUM(INDIRECT("'"&amp;datatable!$G$8:$G10&amp;"'!G"&amp;36))</f>
        <v>8</v>
      </c>
      <c r="H36" s="17" cm="1">
        <f t="array" aca="1" ref="H36" ca="1">SUM(INDIRECT("'"&amp;datatable!$G$8:$G10&amp;"'!H"&amp;36))</f>
        <v>6</v>
      </c>
      <c r="I36" s="19" cm="1">
        <f t="array" aca="1" ref="I36" ca="1">SUM(INDIRECT("'"&amp;datatable!$G$8:$G10&amp;"'!I"&amp;36))</f>
        <v>0</v>
      </c>
      <c r="J36" s="21" cm="1">
        <f t="array" aca="1" ref="J36" ca="1">SUM(INDIRECT("'"&amp;datatable!$G$8:$G10&amp;"'!J"&amp;36))</f>
        <v>4</v>
      </c>
      <c r="K36" s="23" cm="1">
        <f t="array" aca="1" ref="K36" ca="1">SUM(INDIRECT("'"&amp;datatable!$G$8:$G10&amp;"'!K"&amp;36))</f>
        <v>3</v>
      </c>
      <c r="L36" s="25" cm="1">
        <f t="array" aca="1" ref="L36" ca="1">SUM(INDIRECT("'"&amp;datatable!$G$8:$G10&amp;"'!L"&amp;36))</f>
        <v>7</v>
      </c>
      <c r="M36" s="27" cm="1">
        <f t="array" aca="1" ref="M36" ca="1">SUM(INDIRECT("'"&amp;datatable!$G$8:$G10&amp;"'!M"&amp;36))</f>
        <v>3</v>
      </c>
      <c r="N36" s="43">
        <f t="shared" ca="1" si="3"/>
        <v>63</v>
      </c>
      <c r="O36" s="43">
        <f t="shared" ca="1" si="4"/>
        <v>60</v>
      </c>
    </row>
    <row r="37" spans="3:15">
      <c r="C37" s="44" t="s">
        <v>42</v>
      </c>
      <c r="D37" s="8" cm="1">
        <f t="array" aca="1" ref="D37" ca="1">SUM(INDIRECT("'"&amp;datatable!$G$8:$G10&amp;"'!D"&amp;37))</f>
        <v>15</v>
      </c>
      <c r="E37" s="11" cm="1">
        <f t="array" aca="1" ref="E37" ca="1">SUM(INDIRECT("'"&amp;datatable!$G$8:$G10&amp;"'!E"&amp;37))</f>
        <v>3</v>
      </c>
      <c r="F37" s="13" cm="1">
        <f t="array" aca="1" ref="F37" ca="1">SUM(INDIRECT("'"&amp;datatable!$G$8:$G10&amp;"'!F"&amp;37))</f>
        <v>1</v>
      </c>
      <c r="G37" s="15" cm="1">
        <f t="array" aca="1" ref="G37" ca="1">SUM(INDIRECT("'"&amp;datatable!$G$8:$G10&amp;"'!G"&amp;37))</f>
        <v>1</v>
      </c>
      <c r="H37" s="17" cm="1">
        <f t="array" aca="1" ref="H37" ca="1">SUM(INDIRECT("'"&amp;datatable!$G$8:$G10&amp;"'!H"&amp;37))</f>
        <v>2</v>
      </c>
      <c r="I37" s="19" cm="1">
        <f t="array" aca="1" ref="I37" ca="1">SUM(INDIRECT("'"&amp;datatable!$G$8:$G10&amp;"'!I"&amp;37))</f>
        <v>0</v>
      </c>
      <c r="J37" s="21" cm="1">
        <f t="array" aca="1" ref="J37" ca="1">SUM(INDIRECT("'"&amp;datatable!$G$8:$G10&amp;"'!J"&amp;37))</f>
        <v>2</v>
      </c>
      <c r="K37" s="23" cm="1">
        <f t="array" aca="1" ref="K37" ca="1">SUM(INDIRECT("'"&amp;datatable!$G$8:$G10&amp;"'!K"&amp;37))</f>
        <v>0</v>
      </c>
      <c r="L37" s="25" cm="1">
        <f t="array" aca="1" ref="L37" ca="1">SUM(INDIRECT("'"&amp;datatable!$G$8:$G10&amp;"'!L"&amp;37))</f>
        <v>0</v>
      </c>
      <c r="M37" s="27" cm="1">
        <f t="array" aca="1" ref="M37" ca="1">SUM(INDIRECT("'"&amp;datatable!$G$8:$G10&amp;"'!M"&amp;37))</f>
        <v>39</v>
      </c>
      <c r="N37" s="43">
        <f t="shared" ca="1" si="3"/>
        <v>63</v>
      </c>
      <c r="O37" s="43">
        <f t="shared" ca="1" si="4"/>
        <v>24</v>
      </c>
    </row>
    <row r="38" spans="3:15">
      <c r="C38" s="44" t="s">
        <v>43</v>
      </c>
      <c r="D38" s="8" cm="1">
        <f t="array" aca="1" ref="D38" ca="1">SUM(INDIRECT("'"&amp;datatable!$G$8:$G10&amp;"'!D"&amp;38))</f>
        <v>33</v>
      </c>
      <c r="E38" s="11" cm="1">
        <f t="array" aca="1" ref="E38" ca="1">SUM(INDIRECT("'"&amp;datatable!$G$8:$G10&amp;"'!E"&amp;38))</f>
        <v>4</v>
      </c>
      <c r="F38" s="13" cm="1">
        <f t="array" aca="1" ref="F38" ca="1">SUM(INDIRECT("'"&amp;datatable!$G$8:$G10&amp;"'!F"&amp;38))</f>
        <v>4</v>
      </c>
      <c r="G38" s="15" cm="1">
        <f t="array" aca="1" ref="G38" ca="1">SUM(INDIRECT("'"&amp;datatable!$G$8:$G10&amp;"'!G"&amp;38))</f>
        <v>3</v>
      </c>
      <c r="H38" s="17" cm="1">
        <f t="array" aca="1" ref="H38" ca="1">SUM(INDIRECT("'"&amp;datatable!$G$8:$G10&amp;"'!H"&amp;38))</f>
        <v>4</v>
      </c>
      <c r="I38" s="19" cm="1">
        <f t="array" aca="1" ref="I38" ca="1">SUM(INDIRECT("'"&amp;datatable!$G$8:$G10&amp;"'!I"&amp;38))</f>
        <v>3</v>
      </c>
      <c r="J38" s="21" cm="1">
        <f t="array" aca="1" ref="J38" ca="1">SUM(INDIRECT("'"&amp;datatable!$G$8:$G10&amp;"'!J"&amp;38))</f>
        <v>0</v>
      </c>
      <c r="K38" s="23" cm="1">
        <f t="array" aca="1" ref="K38" ca="1">SUM(INDIRECT("'"&amp;datatable!$G$8:$G10&amp;"'!K"&amp;38))</f>
        <v>0</v>
      </c>
      <c r="L38" s="25" cm="1">
        <f t="array" aca="1" ref="L38" ca="1">SUM(INDIRECT("'"&amp;datatable!$G$8:$G10&amp;"'!L"&amp;38))</f>
        <v>6</v>
      </c>
      <c r="M38" s="27" cm="1">
        <f t="array" aca="1" ref="M38" ca="1">SUM(INDIRECT("'"&amp;datatable!$G$8:$G10&amp;"'!M"&amp;38))</f>
        <v>6</v>
      </c>
      <c r="N38" s="43">
        <f t="shared" ca="1" si="3"/>
        <v>63</v>
      </c>
      <c r="O38" s="43">
        <f t="shared" ca="1" si="4"/>
        <v>57</v>
      </c>
    </row>
    <row r="39" spans="3:15">
      <c r="C39" s="44" t="s">
        <v>44</v>
      </c>
      <c r="D39" s="8" cm="1">
        <f t="array" aca="1" ref="D39" ca="1">SUM(INDIRECT("'"&amp;datatable!$G$8:$G10&amp;"'!D"&amp;39))</f>
        <v>34</v>
      </c>
      <c r="E39" s="11" cm="1">
        <f t="array" aca="1" ref="E39" ca="1">SUM(INDIRECT("'"&amp;datatable!$G$8:$G10&amp;"'!E"&amp;39))</f>
        <v>8</v>
      </c>
      <c r="F39" s="13" cm="1">
        <f t="array" aca="1" ref="F39" ca="1">SUM(INDIRECT("'"&amp;datatable!$G$8:$G10&amp;"'!F"&amp;39))</f>
        <v>4</v>
      </c>
      <c r="G39" s="15" cm="1">
        <f t="array" aca="1" ref="G39" ca="1">SUM(INDIRECT("'"&amp;datatable!$G$8:$G10&amp;"'!G"&amp;39))</f>
        <v>3</v>
      </c>
      <c r="H39" s="17" cm="1">
        <f t="array" aca="1" ref="H39" ca="1">SUM(INDIRECT("'"&amp;datatable!$G$8:$G10&amp;"'!H"&amp;39))</f>
        <v>1</v>
      </c>
      <c r="I39" s="19" cm="1">
        <f t="array" aca="1" ref="I39" ca="1">SUM(INDIRECT("'"&amp;datatable!$G$8:$G10&amp;"'!I"&amp;39))</f>
        <v>0</v>
      </c>
      <c r="J39" s="21" cm="1">
        <f t="array" aca="1" ref="J39" ca="1">SUM(INDIRECT("'"&amp;datatable!$G$8:$G10&amp;"'!J"&amp;39))</f>
        <v>3</v>
      </c>
      <c r="K39" s="23" cm="1">
        <f t="array" aca="1" ref="K39" ca="1">SUM(INDIRECT("'"&amp;datatable!$G$8:$G10&amp;"'!K"&amp;39))</f>
        <v>0</v>
      </c>
      <c r="L39" s="25" cm="1">
        <f t="array" aca="1" ref="L39" ca="1">SUM(INDIRECT("'"&amp;datatable!$G$8:$G10&amp;"'!L"&amp;39))</f>
        <v>5</v>
      </c>
      <c r="M39" s="27" cm="1">
        <f t="array" aca="1" ref="M39" ca="1">SUM(INDIRECT("'"&amp;datatable!$G$8:$G10&amp;"'!M"&amp;39))</f>
        <v>5</v>
      </c>
      <c r="N39" s="43">
        <f t="shared" ca="1" si="3"/>
        <v>63</v>
      </c>
      <c r="O39" s="43">
        <f t="shared" ca="1" si="4"/>
        <v>58</v>
      </c>
    </row>
    <row r="40" spans="3:15">
      <c r="C40" s="44" t="s">
        <v>45</v>
      </c>
      <c r="D40" s="8" cm="1">
        <f t="array" aca="1" ref="D40" ca="1">SUM(INDIRECT("'"&amp;datatable!$G$8:$G10&amp;"'!D"&amp;40))</f>
        <v>12</v>
      </c>
      <c r="E40" s="11" cm="1">
        <f t="array" aca="1" ref="E40" ca="1">SUM(INDIRECT("'"&amp;datatable!$G$8:$G10&amp;"'!E"&amp;40))</f>
        <v>2</v>
      </c>
      <c r="F40" s="13" cm="1">
        <f t="array" aca="1" ref="F40" ca="1">SUM(INDIRECT("'"&amp;datatable!$G$8:$G10&amp;"'!F"&amp;40))</f>
        <v>6</v>
      </c>
      <c r="G40" s="15" cm="1">
        <f t="array" aca="1" ref="G40" ca="1">SUM(INDIRECT("'"&amp;datatable!$G$8:$G10&amp;"'!G"&amp;40))</f>
        <v>7</v>
      </c>
      <c r="H40" s="17" cm="1">
        <f t="array" aca="1" ref="H40" ca="1">SUM(INDIRECT("'"&amp;datatable!$G$8:$G10&amp;"'!H"&amp;40))</f>
        <v>8</v>
      </c>
      <c r="I40" s="19" cm="1">
        <f t="array" aca="1" ref="I40" ca="1">SUM(INDIRECT("'"&amp;datatable!$G$8:$G10&amp;"'!I"&amp;40))</f>
        <v>2</v>
      </c>
      <c r="J40" s="21" cm="1">
        <f t="array" aca="1" ref="J40" ca="1">SUM(INDIRECT("'"&amp;datatable!$G$8:$G10&amp;"'!J"&amp;40))</f>
        <v>2</v>
      </c>
      <c r="K40" s="23" cm="1">
        <f t="array" aca="1" ref="K40" ca="1">SUM(INDIRECT("'"&amp;datatable!$G$8:$G10&amp;"'!K"&amp;40))</f>
        <v>5</v>
      </c>
      <c r="L40" s="25" cm="1">
        <f t="array" aca="1" ref="L40" ca="1">SUM(INDIRECT("'"&amp;datatable!$G$8:$G10&amp;"'!L"&amp;40))</f>
        <v>9</v>
      </c>
      <c r="M40" s="27" cm="1">
        <f t="array" aca="1" ref="M40" ca="1">SUM(INDIRECT("'"&amp;datatable!$G$8:$G10&amp;"'!M"&amp;40))</f>
        <v>10</v>
      </c>
      <c r="N40" s="43">
        <f t="shared" ca="1" si="3"/>
        <v>63</v>
      </c>
      <c r="O40" s="43">
        <f t="shared" ca="1" si="4"/>
        <v>53</v>
      </c>
    </row>
    <row r="41" spans="3:15">
      <c r="C41" s="44" t="s">
        <v>46</v>
      </c>
      <c r="D41" s="8" cm="1">
        <f t="array" aca="1" ref="D41" ca="1">SUM(INDIRECT("'"&amp;datatable!$G$8:$G10&amp;"'!D"&amp;41))</f>
        <v>19</v>
      </c>
      <c r="E41" s="11" cm="1">
        <f t="array" aca="1" ref="E41" ca="1">SUM(INDIRECT("'"&amp;datatable!$G$8:$G10&amp;"'!E"&amp;41))</f>
        <v>9</v>
      </c>
      <c r="F41" s="13" cm="1">
        <f t="array" aca="1" ref="F41" ca="1">SUM(INDIRECT("'"&amp;datatable!$G$8:$G10&amp;"'!F"&amp;41))</f>
        <v>1</v>
      </c>
      <c r="G41" s="15" cm="1">
        <f t="array" aca="1" ref="G41" ca="1">SUM(INDIRECT("'"&amp;datatable!$G$8:$G10&amp;"'!G"&amp;41))</f>
        <v>7</v>
      </c>
      <c r="H41" s="17" cm="1">
        <f t="array" aca="1" ref="H41" ca="1">SUM(INDIRECT("'"&amp;datatable!$G$8:$G10&amp;"'!H"&amp;41))</f>
        <v>4</v>
      </c>
      <c r="I41" s="19" cm="1">
        <f t="array" aca="1" ref="I41" ca="1">SUM(INDIRECT("'"&amp;datatable!$G$8:$G10&amp;"'!I"&amp;41))</f>
        <v>4</v>
      </c>
      <c r="J41" s="21" cm="1">
        <f t="array" aca="1" ref="J41" ca="1">SUM(INDIRECT("'"&amp;datatable!$G$8:$G10&amp;"'!J"&amp;41))</f>
        <v>5</v>
      </c>
      <c r="K41" s="23" cm="1">
        <f t="array" aca="1" ref="K41" ca="1">SUM(INDIRECT("'"&amp;datatable!$G$8:$G10&amp;"'!K"&amp;41))</f>
        <v>5</v>
      </c>
      <c r="L41" s="25" cm="1">
        <f t="array" aca="1" ref="L41" ca="1">SUM(INDIRECT("'"&amp;datatable!$G$8:$G10&amp;"'!L"&amp;41))</f>
        <v>7</v>
      </c>
      <c r="M41" s="27" cm="1">
        <f t="array" aca="1" ref="M41" ca="1">SUM(INDIRECT("'"&amp;datatable!$G$8:$G10&amp;"'!M"&amp;41))</f>
        <v>2</v>
      </c>
      <c r="N41" s="43">
        <f t="shared" ca="1" si="3"/>
        <v>63</v>
      </c>
      <c r="O41" s="43">
        <f t="shared" ca="1" si="4"/>
        <v>61</v>
      </c>
    </row>
    <row r="42" spans="3:15">
      <c r="C42" s="44" t="s">
        <v>47</v>
      </c>
      <c r="D42" s="8" cm="1">
        <f t="array" aca="1" ref="D42" ca="1">SUM(INDIRECT("'"&amp;datatable!$G$8:$G10&amp;"'!D"&amp;42))</f>
        <v>17</v>
      </c>
      <c r="E42" s="11" cm="1">
        <f t="array" aca="1" ref="E42" ca="1">SUM(INDIRECT("'"&amp;datatable!$G$8:$G10&amp;"'!E"&amp;42))</f>
        <v>7</v>
      </c>
      <c r="F42" s="13" cm="1">
        <f t="array" aca="1" ref="F42" ca="1">SUM(INDIRECT("'"&amp;datatable!$G$8:$G10&amp;"'!F"&amp;42))</f>
        <v>1</v>
      </c>
      <c r="G42" s="15" cm="1">
        <f t="array" aca="1" ref="G42" ca="1">SUM(INDIRECT("'"&amp;datatable!$G$8:$G10&amp;"'!G"&amp;42))</f>
        <v>12</v>
      </c>
      <c r="H42" s="17" cm="1">
        <f t="array" aca="1" ref="H42" ca="1">SUM(INDIRECT("'"&amp;datatable!$G$8:$G10&amp;"'!H"&amp;42))</f>
        <v>9</v>
      </c>
      <c r="I42" s="19" cm="1">
        <f t="array" aca="1" ref="I42" ca="1">SUM(INDIRECT("'"&amp;datatable!$G$8:$G10&amp;"'!I"&amp;42))</f>
        <v>1</v>
      </c>
      <c r="J42" s="21" cm="1">
        <f t="array" aca="1" ref="J42" ca="1">SUM(INDIRECT("'"&amp;datatable!$G$8:$G10&amp;"'!J"&amp;42))</f>
        <v>2</v>
      </c>
      <c r="K42" s="23" cm="1">
        <f t="array" aca="1" ref="K42" ca="1">SUM(INDIRECT("'"&amp;datatable!$G$8:$G10&amp;"'!K"&amp;42))</f>
        <v>3</v>
      </c>
      <c r="L42" s="25" cm="1">
        <f t="array" aca="1" ref="L42" ca="1">SUM(INDIRECT("'"&amp;datatable!$G$8:$G10&amp;"'!L"&amp;42))</f>
        <v>11</v>
      </c>
      <c r="M42" s="27" cm="1">
        <f t="array" aca="1" ref="M42" ca="1">SUM(INDIRECT("'"&amp;datatable!$G$8:$G10&amp;"'!M"&amp;42))</f>
        <v>0</v>
      </c>
      <c r="N42" s="43">
        <f t="shared" ca="1" si="3"/>
        <v>63</v>
      </c>
      <c r="O42" s="43">
        <f t="shared" ca="1" si="4"/>
        <v>63</v>
      </c>
    </row>
    <row r="43" spans="3:15">
      <c r="C43" s="44" t="s">
        <v>48</v>
      </c>
      <c r="D43" s="8" cm="1">
        <f t="array" aca="1" ref="D43" ca="1">SUM(INDIRECT("'"&amp;datatable!$G$8:$G10&amp;"'!D"&amp;43))</f>
        <v>37</v>
      </c>
      <c r="E43" s="11" cm="1">
        <f t="array" aca="1" ref="E43" ca="1">SUM(INDIRECT("'"&amp;datatable!$G$8:$G10&amp;"'!E"&amp;43))</f>
        <v>10</v>
      </c>
      <c r="F43" s="13" cm="1">
        <f t="array" aca="1" ref="F43" ca="1">SUM(INDIRECT("'"&amp;datatable!$G$8:$G10&amp;"'!F"&amp;43))</f>
        <v>3</v>
      </c>
      <c r="G43" s="15" cm="1">
        <f t="array" aca="1" ref="G43" ca="1">SUM(INDIRECT("'"&amp;datatable!$G$8:$G10&amp;"'!G"&amp;43))</f>
        <v>1</v>
      </c>
      <c r="H43" s="17" cm="1">
        <f t="array" aca="1" ref="H43" ca="1">SUM(INDIRECT("'"&amp;datatable!$G$8:$G10&amp;"'!H"&amp;43))</f>
        <v>3</v>
      </c>
      <c r="I43" s="19" cm="1">
        <f t="array" aca="1" ref="I43" ca="1">SUM(INDIRECT("'"&amp;datatable!$G$8:$G10&amp;"'!I"&amp;43))</f>
        <v>0</v>
      </c>
      <c r="J43" s="21" cm="1">
        <f t="array" aca="1" ref="J43" ca="1">SUM(INDIRECT("'"&amp;datatable!$G$8:$G10&amp;"'!J"&amp;43))</f>
        <v>2</v>
      </c>
      <c r="K43" s="23" cm="1">
        <f t="array" aca="1" ref="K43" ca="1">SUM(INDIRECT("'"&amp;datatable!$G$8:$G10&amp;"'!K"&amp;43))</f>
        <v>1</v>
      </c>
      <c r="L43" s="25" cm="1">
        <f t="array" aca="1" ref="L43" ca="1">SUM(INDIRECT("'"&amp;datatable!$G$8:$G10&amp;"'!L"&amp;43))</f>
        <v>5</v>
      </c>
      <c r="M43" s="27" cm="1">
        <f t="array" aca="1" ref="M43" ca="1">SUM(INDIRECT("'"&amp;datatable!$G$8:$G10&amp;"'!M"&amp;43))</f>
        <v>1</v>
      </c>
      <c r="N43" s="43">
        <f t="shared" ca="1" si="3"/>
        <v>63</v>
      </c>
      <c r="O43" s="43">
        <f t="shared" ca="1" si="4"/>
        <v>62</v>
      </c>
    </row>
    <row r="44" spans="3:15">
      <c r="C44" s="44" t="s">
        <v>49</v>
      </c>
      <c r="D44" s="8" cm="1">
        <f t="array" aca="1" ref="D44" ca="1">SUM(INDIRECT("'"&amp;datatable!$G$8:$G10&amp;"'!D"&amp;44))</f>
        <v>11</v>
      </c>
      <c r="E44" s="11" cm="1">
        <f t="array" aca="1" ref="E44" ca="1">SUM(INDIRECT("'"&amp;datatable!$G$8:$G10&amp;"'!E"&amp;44))</f>
        <v>2</v>
      </c>
      <c r="F44" s="13" cm="1">
        <f t="array" aca="1" ref="F44" ca="1">SUM(INDIRECT("'"&amp;datatable!$G$8:$G10&amp;"'!F"&amp;44))</f>
        <v>5</v>
      </c>
      <c r="G44" s="15" cm="1">
        <f t="array" aca="1" ref="G44" ca="1">SUM(INDIRECT("'"&amp;datatable!$G$8:$G10&amp;"'!G"&amp;44))</f>
        <v>3</v>
      </c>
      <c r="H44" s="17" cm="1">
        <f t="array" aca="1" ref="H44" ca="1">SUM(INDIRECT("'"&amp;datatable!$G$8:$G10&amp;"'!H"&amp;44))</f>
        <v>4</v>
      </c>
      <c r="I44" s="19" cm="1">
        <f t="array" aca="1" ref="I44" ca="1">SUM(INDIRECT("'"&amp;datatable!$G$8:$G10&amp;"'!I"&amp;44))</f>
        <v>1</v>
      </c>
      <c r="J44" s="21" cm="1">
        <f t="array" aca="1" ref="J44" ca="1">SUM(INDIRECT("'"&amp;datatable!$G$8:$G10&amp;"'!J"&amp;44))</f>
        <v>3</v>
      </c>
      <c r="K44" s="23" cm="1">
        <f t="array" aca="1" ref="K44" ca="1">SUM(INDIRECT("'"&amp;datatable!$G$8:$G10&amp;"'!K"&amp;44))</f>
        <v>4</v>
      </c>
      <c r="L44" s="25" cm="1">
        <f t="array" aca="1" ref="L44" ca="1">SUM(INDIRECT("'"&amp;datatable!$G$8:$G10&amp;"'!L"&amp;44))</f>
        <v>19</v>
      </c>
      <c r="M44" s="27" cm="1">
        <f t="array" aca="1" ref="M44" ca="1">SUM(INDIRECT("'"&amp;datatable!$G$8:$G10&amp;"'!M"&amp;44))</f>
        <v>11</v>
      </c>
      <c r="N44" s="43">
        <f t="shared" ca="1" si="3"/>
        <v>63</v>
      </c>
      <c r="O44" s="43">
        <f t="shared" ca="1" si="4"/>
        <v>52</v>
      </c>
    </row>
    <row r="45" spans="3:15">
      <c r="C45" s="44" t="s">
        <v>50</v>
      </c>
      <c r="D45" s="8" cm="1">
        <f t="array" aca="1" ref="D45" ca="1">SUM(INDIRECT("'"&amp;datatable!$G$8:$G10&amp;"'!D"&amp;45))</f>
        <v>15</v>
      </c>
      <c r="E45" s="11" cm="1">
        <f t="array" aca="1" ref="E45" ca="1">SUM(INDIRECT("'"&amp;datatable!$G$8:$G10&amp;"'!E"&amp;45))</f>
        <v>7</v>
      </c>
      <c r="F45" s="13" cm="1">
        <f t="array" aca="1" ref="F45" ca="1">SUM(INDIRECT("'"&amp;datatable!$G$8:$G10&amp;"'!F"&amp;45))</f>
        <v>1</v>
      </c>
      <c r="G45" s="15" cm="1">
        <f t="array" aca="1" ref="G45" ca="1">SUM(INDIRECT("'"&amp;datatable!$G$8:$G10&amp;"'!G"&amp;45))</f>
        <v>9</v>
      </c>
      <c r="H45" s="17" cm="1">
        <f t="array" aca="1" ref="H45" ca="1">SUM(INDIRECT("'"&amp;datatable!$G$8:$G10&amp;"'!H"&amp;45))</f>
        <v>7</v>
      </c>
      <c r="I45" s="19" cm="1">
        <f t="array" aca="1" ref="I45" ca="1">SUM(INDIRECT("'"&amp;datatable!$G$8:$G10&amp;"'!I"&amp;45))</f>
        <v>5</v>
      </c>
      <c r="J45" s="21" cm="1">
        <f t="array" aca="1" ref="J45" ca="1">SUM(INDIRECT("'"&amp;datatable!$G$8:$G10&amp;"'!J"&amp;45))</f>
        <v>2</v>
      </c>
      <c r="K45" s="23" cm="1">
        <f t="array" aca="1" ref="K45" ca="1">SUM(INDIRECT("'"&amp;datatable!$G$8:$G10&amp;"'!K"&amp;45))</f>
        <v>5</v>
      </c>
      <c r="L45" s="25" cm="1">
        <f t="array" aca="1" ref="L45" ca="1">SUM(INDIRECT("'"&amp;datatable!$G$8:$G10&amp;"'!L"&amp;45))</f>
        <v>12</v>
      </c>
      <c r="M45" s="27" cm="1">
        <f t="array" aca="1" ref="M45" ca="1">SUM(INDIRECT("'"&amp;datatable!$G$8:$G10&amp;"'!M"&amp;45))</f>
        <v>0</v>
      </c>
      <c r="N45" s="43">
        <f t="shared" ca="1" si="3"/>
        <v>63</v>
      </c>
      <c r="O45" s="43">
        <f t="shared" ca="1" si="4"/>
        <v>63</v>
      </c>
    </row>
    <row r="46" spans="3:15">
      <c r="C46" s="45" t="s">
        <v>51</v>
      </c>
      <c r="D46" s="8" cm="1">
        <f t="array" aca="1" ref="D46" ca="1">SUM(INDIRECT("'"&amp;datatable!$G$8:$G10&amp;"'!D"&amp;46))</f>
        <v>4</v>
      </c>
      <c r="E46" s="11" cm="1">
        <f t="array" aca="1" ref="E46" ca="1">SUM(INDIRECT("'"&amp;datatable!$G$8:$G10&amp;"'!E"&amp;46))</f>
        <v>2</v>
      </c>
      <c r="F46" s="13" cm="1">
        <f t="array" aca="1" ref="F46" ca="1">SUM(INDIRECT("'"&amp;datatable!$G$8:$G10&amp;"'!F"&amp;46))</f>
        <v>1</v>
      </c>
      <c r="G46" s="15" cm="1">
        <f t="array" aca="1" ref="G46" ca="1">SUM(INDIRECT("'"&amp;datatable!$G$8:$G10&amp;"'!G"&amp;46))</f>
        <v>2</v>
      </c>
      <c r="H46" s="17" cm="1">
        <f t="array" aca="1" ref="H46" ca="1">SUM(INDIRECT("'"&amp;datatable!$G$8:$G10&amp;"'!H"&amp;46))</f>
        <v>1</v>
      </c>
      <c r="I46" s="19" cm="1">
        <f t="array" aca="1" ref="I46" ca="1">SUM(INDIRECT("'"&amp;datatable!$G$8:$G10&amp;"'!I"&amp;46))</f>
        <v>2</v>
      </c>
      <c r="J46" s="21" cm="1">
        <f t="array" aca="1" ref="J46" ca="1">SUM(INDIRECT("'"&amp;datatable!$G$8:$G10&amp;"'!J"&amp;46))</f>
        <v>0</v>
      </c>
      <c r="K46" s="23" cm="1">
        <f t="array" aca="1" ref="K46" ca="1">SUM(INDIRECT("'"&amp;datatable!$G$8:$G10&amp;"'!K"&amp;46))</f>
        <v>1</v>
      </c>
      <c r="L46" s="25" cm="1">
        <f t="array" aca="1" ref="L46" ca="1">SUM(INDIRECT("'"&amp;datatable!$G$8:$G10&amp;"'!L"&amp;46))</f>
        <v>43</v>
      </c>
      <c r="M46" s="27" cm="1">
        <f t="array" aca="1" ref="M46" ca="1">SUM(INDIRECT("'"&amp;datatable!$G$8:$G10&amp;"'!M"&amp;46))</f>
        <v>7</v>
      </c>
      <c r="N46" s="43">
        <f t="shared" ca="1" si="3"/>
        <v>63</v>
      </c>
      <c r="O46" s="43">
        <f t="shared" ca="1" si="4"/>
        <v>56</v>
      </c>
    </row>
    <row r="47" spans="3:15">
      <c r="C47" s="44" t="s">
        <v>52</v>
      </c>
      <c r="D47" s="8" cm="1">
        <f t="array" aca="1" ref="D47" ca="1">SUM(INDIRECT("'"&amp;datatable!$G$8:$G10&amp;"'!D"&amp;47))</f>
        <v>32</v>
      </c>
      <c r="E47" s="11" cm="1">
        <f t="array" aca="1" ref="E47" ca="1">SUM(INDIRECT("'"&amp;datatable!$G$8:$G10&amp;"'!E"&amp;47))</f>
        <v>6</v>
      </c>
      <c r="F47" s="13" cm="1">
        <f t="array" aca="1" ref="F47" ca="1">SUM(INDIRECT("'"&amp;datatable!$G$8:$G10&amp;"'!F"&amp;47))</f>
        <v>3</v>
      </c>
      <c r="G47" s="15" cm="1">
        <f t="array" aca="1" ref="G47" ca="1">SUM(INDIRECT("'"&amp;datatable!$G$8:$G10&amp;"'!G"&amp;47))</f>
        <v>7</v>
      </c>
      <c r="H47" s="17" cm="1">
        <f t="array" aca="1" ref="H47" ca="1">SUM(INDIRECT("'"&amp;datatable!$G$8:$G10&amp;"'!H"&amp;47))</f>
        <v>2</v>
      </c>
      <c r="I47" s="19" cm="1">
        <f t="array" aca="1" ref="I47" ca="1">SUM(INDIRECT("'"&amp;datatable!$G$8:$G10&amp;"'!I"&amp;47))</f>
        <v>0</v>
      </c>
      <c r="J47" s="21" cm="1">
        <f t="array" aca="1" ref="J47" ca="1">SUM(INDIRECT("'"&amp;datatable!$G$8:$G10&amp;"'!J"&amp;47))</f>
        <v>0</v>
      </c>
      <c r="K47" s="23" cm="1">
        <f t="array" aca="1" ref="K47" ca="1">SUM(INDIRECT("'"&amp;datatable!$G$8:$G10&amp;"'!K"&amp;47))</f>
        <v>1</v>
      </c>
      <c r="L47" s="25" cm="1">
        <f t="array" aca="1" ref="L47" ca="1">SUM(INDIRECT("'"&amp;datatable!$G$8:$G10&amp;"'!L"&amp;47))</f>
        <v>2</v>
      </c>
      <c r="M47" s="27" cm="1">
        <f t="array" aca="1" ref="M47" ca="1">SUM(INDIRECT("'"&amp;datatable!$G$8:$G10&amp;"'!M"&amp;47))</f>
        <v>10</v>
      </c>
      <c r="N47" s="43">
        <f t="shared" ca="1" si="3"/>
        <v>63</v>
      </c>
      <c r="O47" s="43">
        <f t="shared" ca="1" si="4"/>
        <v>53</v>
      </c>
    </row>
    <row r="48" spans="3:15">
      <c r="C48" s="44" t="s">
        <v>53</v>
      </c>
      <c r="D48" s="8" cm="1">
        <f t="array" aca="1" ref="D48" ca="1">SUM(INDIRECT("'"&amp;datatable!$G$8:$G10&amp;"'!D"&amp;48))</f>
        <v>5</v>
      </c>
      <c r="E48" s="11" cm="1">
        <f t="array" aca="1" ref="E48" ca="1">SUM(INDIRECT("'"&amp;datatable!$G$8:$G10&amp;"'!E"&amp;48))</f>
        <v>0</v>
      </c>
      <c r="F48" s="13" cm="1">
        <f t="array" aca="1" ref="F48" ca="1">SUM(INDIRECT("'"&amp;datatable!$G$8:$G10&amp;"'!F"&amp;48))</f>
        <v>0</v>
      </c>
      <c r="G48" s="15" cm="1">
        <f t="array" aca="1" ref="G48" ca="1">SUM(INDIRECT("'"&amp;datatable!$G$8:$G10&amp;"'!G"&amp;48))</f>
        <v>4</v>
      </c>
      <c r="H48" s="17" cm="1">
        <f t="array" aca="1" ref="H48" ca="1">SUM(INDIRECT("'"&amp;datatable!$G$8:$G10&amp;"'!H"&amp;48))</f>
        <v>4</v>
      </c>
      <c r="I48" s="19" cm="1">
        <f t="array" aca="1" ref="I48" ca="1">SUM(INDIRECT("'"&amp;datatable!$G$8:$G10&amp;"'!I"&amp;48))</f>
        <v>0</v>
      </c>
      <c r="J48" s="21" cm="1">
        <f t="array" aca="1" ref="J48" ca="1">SUM(INDIRECT("'"&amp;datatable!$G$8:$G10&amp;"'!J"&amp;48))</f>
        <v>1</v>
      </c>
      <c r="K48" s="23" cm="1">
        <f t="array" aca="1" ref="K48" ca="1">SUM(INDIRECT("'"&amp;datatable!$G$8:$G10&amp;"'!K"&amp;48))</f>
        <v>2</v>
      </c>
      <c r="L48" s="25" cm="1">
        <f t="array" aca="1" ref="L48" ca="1">SUM(INDIRECT("'"&amp;datatable!$G$8:$G10&amp;"'!L"&amp;48))</f>
        <v>41</v>
      </c>
      <c r="M48" s="27" cm="1">
        <f t="array" aca="1" ref="M48" ca="1">SUM(INDIRECT("'"&amp;datatable!$G$8:$G10&amp;"'!M"&amp;48))</f>
        <v>6</v>
      </c>
      <c r="N48" s="43">
        <f t="shared" ca="1" si="3"/>
        <v>63</v>
      </c>
      <c r="O48" s="43">
        <f t="shared" ca="1" si="4"/>
        <v>57</v>
      </c>
    </row>
    <row r="49" spans="3:15">
      <c r="C49" s="44" t="s">
        <v>54</v>
      </c>
      <c r="D49" s="8" cm="1">
        <f t="array" aca="1" ref="D49" ca="1">SUM(INDIRECT("'"&amp;datatable!$G$8:$G10&amp;"'!D"&amp;49))</f>
        <v>21</v>
      </c>
      <c r="E49" s="11" cm="1">
        <f t="array" aca="1" ref="E49" ca="1">SUM(INDIRECT("'"&amp;datatable!$G$8:$G10&amp;"'!E"&amp;49))</f>
        <v>4</v>
      </c>
      <c r="F49" s="13" cm="1">
        <f t="array" aca="1" ref="F49" ca="1">SUM(INDIRECT("'"&amp;datatable!$G$8:$G10&amp;"'!F"&amp;49))</f>
        <v>19</v>
      </c>
      <c r="G49" s="15" cm="1">
        <f t="array" aca="1" ref="G49" ca="1">SUM(INDIRECT("'"&amp;datatable!$G$8:$G10&amp;"'!G"&amp;49))</f>
        <v>5</v>
      </c>
      <c r="H49" s="17" cm="1">
        <f t="array" aca="1" ref="H49" ca="1">SUM(INDIRECT("'"&amp;datatable!$G$8:$G10&amp;"'!H"&amp;49))</f>
        <v>1</v>
      </c>
      <c r="I49" s="19" cm="1">
        <f t="array" aca="1" ref="I49" ca="1">SUM(INDIRECT("'"&amp;datatable!$G$8:$G10&amp;"'!I"&amp;49))</f>
        <v>2</v>
      </c>
      <c r="J49" s="21" cm="1">
        <f t="array" aca="1" ref="J49" ca="1">SUM(INDIRECT("'"&amp;datatable!$G$8:$G10&amp;"'!J"&amp;49))</f>
        <v>2</v>
      </c>
      <c r="K49" s="23" cm="1">
        <f t="array" aca="1" ref="K49" ca="1">SUM(INDIRECT("'"&amp;datatable!$G$8:$G10&amp;"'!K"&amp;49))</f>
        <v>1</v>
      </c>
      <c r="L49" s="25" cm="1">
        <f t="array" aca="1" ref="L49" ca="1">SUM(INDIRECT("'"&amp;datatable!$G$8:$G10&amp;"'!L"&amp;49))</f>
        <v>0</v>
      </c>
      <c r="M49" s="27" cm="1">
        <f t="array" aca="1" ref="M49" ca="1">SUM(INDIRECT("'"&amp;datatable!$G$8:$G10&amp;"'!M"&amp;49))</f>
        <v>8</v>
      </c>
      <c r="N49" s="43">
        <f t="shared" ca="1" si="3"/>
        <v>63</v>
      </c>
      <c r="O49" s="43">
        <f t="shared" ca="1" si="4"/>
        <v>55</v>
      </c>
    </row>
    <row r="50" spans="3:15">
      <c r="C50" s="46" t="s">
        <v>36</v>
      </c>
      <c r="D50" s="47">
        <f ca="1">SUM(D32:D49)</f>
        <v>393</v>
      </c>
      <c r="E50" s="47">
        <f t="shared" ref="E50:M50" ca="1" si="5">SUM(E32:E49)</f>
        <v>86</v>
      </c>
      <c r="F50" s="47">
        <f t="shared" ca="1" si="5"/>
        <v>54</v>
      </c>
      <c r="G50" s="47">
        <f t="shared" ca="1" si="5"/>
        <v>88</v>
      </c>
      <c r="H50" s="47">
        <f t="shared" ca="1" si="5"/>
        <v>69</v>
      </c>
      <c r="I50" s="47">
        <f t="shared" ca="1" si="5"/>
        <v>28</v>
      </c>
      <c r="J50" s="47">
        <f t="shared" ca="1" si="5"/>
        <v>36</v>
      </c>
      <c r="K50" s="47">
        <f t="shared" ca="1" si="5"/>
        <v>39</v>
      </c>
      <c r="L50" s="47">
        <f t="shared" ca="1" si="5"/>
        <v>207</v>
      </c>
      <c r="M50" s="47">
        <f t="shared" ca="1" si="5"/>
        <v>134</v>
      </c>
      <c r="N50" s="43">
        <f ca="1">SUM(D50:M50)</f>
        <v>1134</v>
      </c>
      <c r="O50" s="43">
        <f ca="1">SUM(D50:L50)</f>
        <v>1000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25DCF-DE2D-4880-8019-22475EFCB6CD}">
  <dimension ref="C5:AC249"/>
  <sheetViews>
    <sheetView zoomScale="70" zoomScaleNormal="70" workbookViewId="0">
      <selection activeCell="D7" sqref="D7"/>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9.33203125" customWidth="1"/>
    <col min="18" max="19" width="13" bestFit="1" customWidth="1"/>
    <col min="20" max="20" width="14.6640625" bestFit="1" customWidth="1"/>
    <col min="21" max="22" width="16.33203125" bestFit="1" customWidth="1"/>
    <col min="23" max="23" width="14.6640625" bestFit="1" customWidth="1"/>
    <col min="24" max="24" width="16.33203125" bestFit="1" customWidth="1"/>
    <col min="28" max="28" width="9" customWidth="1"/>
  </cols>
  <sheetData>
    <row r="5" spans="3:18">
      <c r="C5" t="s">
        <v>0</v>
      </c>
    </row>
    <row r="6" spans="3:18">
      <c r="D6" s="7" t="s">
        <v>1</v>
      </c>
      <c r="E6" s="10" t="s">
        <v>2</v>
      </c>
      <c r="F6" s="12" t="s">
        <v>3</v>
      </c>
      <c r="G6" s="14" t="s">
        <v>4</v>
      </c>
      <c r="H6" s="16" t="s">
        <v>5</v>
      </c>
      <c r="I6" s="18" t="s">
        <v>6</v>
      </c>
      <c r="J6" s="20" t="s">
        <v>7</v>
      </c>
      <c r="K6" s="22" t="s">
        <v>8</v>
      </c>
      <c r="L6" s="24" t="s">
        <v>9</v>
      </c>
      <c r="M6" s="26" t="s">
        <v>10</v>
      </c>
      <c r="N6" s="28" t="s">
        <v>11</v>
      </c>
      <c r="O6" s="28" t="s">
        <v>12</v>
      </c>
      <c r="Q6" t="s">
        <v>74</v>
      </c>
    </row>
    <row r="7" spans="3:18">
      <c r="C7" s="5" t="s">
        <v>13</v>
      </c>
      <c r="D7" s="8" t="e">
        <f ca="1">COUNTIF(INDIRECT("["&amp;datatable!$C$7&amp;"]"&amp;datatable!$A2&amp;"!"&amp;"I:I"),"High Correct")</f>
        <v>#REF!</v>
      </c>
      <c r="E7" s="11" t="e">
        <f ca="1">COUNTIF(INDIRECT("["&amp;datatable!$C$7&amp;"]"&amp;datatable!$A2&amp;"!"&amp;"I:I"),"Medium Correct")</f>
        <v>#REF!</v>
      </c>
      <c r="F7" s="13" t="e">
        <f ca="1">COUNTIF(INDIRECT("["&amp;datatable!$C$7&amp;"]"&amp;datatable!$A2&amp;"!"&amp;"I:I"),"Low Correct")</f>
        <v>#REF!</v>
      </c>
      <c r="G7" s="15" t="e">
        <f ca="1">COUNTIF(INDIRECT("["&amp;datatable!$C$7&amp;"]"&amp;datatable!$A2&amp;"!"&amp;"I:I"),"High Maybe")</f>
        <v>#REF!</v>
      </c>
      <c r="H7" s="17" t="e">
        <f ca="1">COUNTIF(INDIRECT("["&amp;datatable!$C$7&amp;"]"&amp;datatable!$A2&amp;"!"&amp;"I:I"),"Medium Maybe")</f>
        <v>#REF!</v>
      </c>
      <c r="I7" s="19" t="e">
        <f ca="1">COUNTIF(INDIRECT("["&amp;datatable!$C$7&amp;"]"&amp;datatable!$A2&amp;"!"&amp;"I:I"),"Low Maybe")</f>
        <v>#REF!</v>
      </c>
      <c r="J7" s="21" t="e">
        <f ca="1">COUNTIF(INDIRECT("["&amp;datatable!$C$7&amp;"]"&amp;datatable!$A2&amp;"!"&amp;"I:I"),"Low Incorrect")</f>
        <v>#REF!</v>
      </c>
      <c r="K7" s="23" t="e">
        <f ca="1">COUNTIF(INDIRECT("["&amp;datatable!$C$7&amp;"]"&amp;datatable!$A2&amp;"!"&amp;"I:I"),"Medium Incorrect")</f>
        <v>#REF!</v>
      </c>
      <c r="L7" s="25" t="e">
        <f ca="1">COUNTIF(INDIRECT("["&amp;datatable!$C$7&amp;"]"&amp;datatable!$A2&amp;"!"&amp;"I:I"),"High Incorrect")</f>
        <v>#REF!</v>
      </c>
      <c r="M7" s="27" t="e">
        <f ca="1">COUNTIF(INDIRECT("["&amp;datatable!$C$7&amp;"]"&amp;datatable!$A2&amp;"!"&amp;"I:I"),"N/A")</f>
        <v>#REF!</v>
      </c>
      <c r="N7" s="29" t="e">
        <f t="shared" ref="N7:N28" ca="1" si="0">SUM(D7:M7)</f>
        <v>#REF!</v>
      </c>
      <c r="O7" s="29" t="e">
        <f t="shared" ref="O7:O28" ca="1" si="1">SUM(D7:L7)</f>
        <v>#REF!</v>
      </c>
      <c r="R7" t="s">
        <v>101</v>
      </c>
    </row>
    <row r="8" spans="3:18">
      <c r="C8" s="5" t="s">
        <v>14</v>
      </c>
      <c r="D8" s="8" t="e">
        <f ca="1">COUNTIF(INDIRECT("["&amp;datatable!$C$7&amp;"]"&amp;datatable!$A3&amp;"!"&amp;"I:I"),"High Correct")</f>
        <v>#REF!</v>
      </c>
      <c r="E8" s="11" t="e">
        <f ca="1">COUNTIF(INDIRECT("["&amp;datatable!$C$7&amp;"]"&amp;datatable!$A3&amp;"!"&amp;"I:I"),"Medium Correct")</f>
        <v>#REF!</v>
      </c>
      <c r="F8" s="13" t="e">
        <f ca="1">COUNTIF(INDIRECT("["&amp;datatable!$C$7&amp;"]"&amp;datatable!$A3&amp;"!"&amp;"I:I"),"Low Correct")</f>
        <v>#REF!</v>
      </c>
      <c r="G8" s="15" t="e">
        <f ca="1">COUNTIF(INDIRECT("["&amp;datatable!$C$7&amp;"]"&amp;datatable!$A3&amp;"!"&amp;"I:I"),"High Maybe")</f>
        <v>#REF!</v>
      </c>
      <c r="H8" s="17" t="e">
        <f ca="1">COUNTIF(INDIRECT("["&amp;datatable!$C$7&amp;"]"&amp;datatable!$A3&amp;"!"&amp;"I:I"),"Medium Maybe")</f>
        <v>#REF!</v>
      </c>
      <c r="I8" s="19" t="e">
        <f ca="1">COUNTIF(INDIRECT("["&amp;datatable!$C$7&amp;"]"&amp;datatable!$A3&amp;"!"&amp;"I:I"),"Low Maybe")</f>
        <v>#REF!</v>
      </c>
      <c r="J8" s="21" t="e">
        <f ca="1">COUNTIF(INDIRECT("["&amp;datatable!$C$7&amp;"]"&amp;datatable!$A3&amp;"!"&amp;"I:I"),"Low Incorrect")</f>
        <v>#REF!</v>
      </c>
      <c r="K8" s="23" t="e">
        <f ca="1">COUNTIF(INDIRECT("["&amp;datatable!$C$7&amp;"]"&amp;datatable!$A3&amp;"!"&amp;"I:I"),"Medium Incorrect")</f>
        <v>#REF!</v>
      </c>
      <c r="L8" s="25" t="e">
        <f ca="1">COUNTIF(INDIRECT("["&amp;datatable!$C$7&amp;"]"&amp;datatable!$A3&amp;"!"&amp;"I:I"),"High Incorrect")</f>
        <v>#REF!</v>
      </c>
      <c r="M8" s="27" t="e">
        <f ca="1">COUNTIF(INDIRECT("["&amp;datatable!$C$7&amp;"]"&amp;datatable!$A3&amp;"!"&amp;"I:I"),"N/A")</f>
        <v>#REF!</v>
      </c>
      <c r="N8" s="29" t="e">
        <f t="shared" ca="1" si="0"/>
        <v>#REF!</v>
      </c>
      <c r="O8" s="29" t="e">
        <f t="shared" ca="1" si="1"/>
        <v>#REF!</v>
      </c>
      <c r="R8" t="s">
        <v>102</v>
      </c>
    </row>
    <row r="9" spans="3:18">
      <c r="C9" s="5" t="s">
        <v>15</v>
      </c>
      <c r="D9" s="8" t="e">
        <f ca="1">COUNTIF(INDIRECT("["&amp;datatable!$C$7&amp;"]"&amp;datatable!$A4&amp;"!"&amp;"I:I"),"High Correct")</f>
        <v>#REF!</v>
      </c>
      <c r="E9" s="11" t="e">
        <f ca="1">COUNTIF(INDIRECT("["&amp;datatable!$C$7&amp;"]"&amp;datatable!$A4&amp;"!"&amp;"I:I"),"Medium Correct")</f>
        <v>#REF!</v>
      </c>
      <c r="F9" s="13" t="e">
        <f ca="1">COUNTIF(INDIRECT("["&amp;datatable!$C$7&amp;"]"&amp;datatable!$A4&amp;"!"&amp;"I:I"),"Low Correct")</f>
        <v>#REF!</v>
      </c>
      <c r="G9" s="15" t="e">
        <f ca="1">COUNTIF(INDIRECT("["&amp;datatable!$C$7&amp;"]"&amp;datatable!$A4&amp;"!"&amp;"I:I"),"High Maybe")</f>
        <v>#REF!</v>
      </c>
      <c r="H9" s="17" t="e">
        <f ca="1">COUNTIF(INDIRECT("["&amp;datatable!$C$7&amp;"]"&amp;datatable!$A4&amp;"!"&amp;"I:I"),"Medium Maybe")</f>
        <v>#REF!</v>
      </c>
      <c r="I9" s="19" t="e">
        <f ca="1">COUNTIF(INDIRECT("["&amp;datatable!$C$7&amp;"]"&amp;datatable!$A4&amp;"!"&amp;"I:I"),"Low Maybe")</f>
        <v>#REF!</v>
      </c>
      <c r="J9" s="21" t="e">
        <f ca="1">COUNTIF(INDIRECT("["&amp;datatable!$C$7&amp;"]"&amp;datatable!$A4&amp;"!"&amp;"I:I"),"Low Incorrect")</f>
        <v>#REF!</v>
      </c>
      <c r="K9" s="23" t="e">
        <f ca="1">COUNTIF(INDIRECT("["&amp;datatable!$C$7&amp;"]"&amp;datatable!$A4&amp;"!"&amp;"I:I"),"Medium Incorrect")</f>
        <v>#REF!</v>
      </c>
      <c r="L9" s="25" t="e">
        <f ca="1">COUNTIF(INDIRECT("["&amp;datatable!$C$7&amp;"]"&amp;datatable!$A4&amp;"!"&amp;"I:I"),"High Incorrect")</f>
        <v>#REF!</v>
      </c>
      <c r="M9" s="27" t="e">
        <f ca="1">COUNTIF(INDIRECT("["&amp;datatable!$C$7&amp;"]"&amp;datatable!$A4&amp;"!"&amp;"I:I"),"N/A")</f>
        <v>#REF!</v>
      </c>
      <c r="N9" s="29" t="e">
        <f t="shared" ca="1" si="0"/>
        <v>#REF!</v>
      </c>
      <c r="O9" s="29" t="e">
        <f t="shared" ca="1" si="1"/>
        <v>#REF!</v>
      </c>
      <c r="R9" t="s">
        <v>103</v>
      </c>
    </row>
    <row r="10" spans="3:18">
      <c r="C10" s="5" t="s">
        <v>16</v>
      </c>
      <c r="D10" s="8" t="e">
        <f ca="1">COUNTIF(INDIRECT("["&amp;datatable!$C$7&amp;"]"&amp;datatable!$A5&amp;"!"&amp;"I:I"),"High Correct")</f>
        <v>#REF!</v>
      </c>
      <c r="E10" s="11" t="e">
        <f ca="1">COUNTIF(INDIRECT("["&amp;datatable!$C$7&amp;"]"&amp;datatable!$A5&amp;"!"&amp;"I:I"),"Medium Correct")</f>
        <v>#REF!</v>
      </c>
      <c r="F10" s="13" t="e">
        <f ca="1">COUNTIF(INDIRECT("["&amp;datatable!$C$7&amp;"]"&amp;datatable!$A5&amp;"!"&amp;"I:I"),"Low Correct")</f>
        <v>#REF!</v>
      </c>
      <c r="G10" s="15" t="e">
        <f ca="1">COUNTIF(INDIRECT("["&amp;datatable!$C$7&amp;"]"&amp;datatable!$A5&amp;"!"&amp;"I:I"),"High Maybe")</f>
        <v>#REF!</v>
      </c>
      <c r="H10" s="17" t="e">
        <f ca="1">COUNTIF(INDIRECT("["&amp;datatable!$C$7&amp;"]"&amp;datatable!$A5&amp;"!"&amp;"I:I"),"Medium Maybe")</f>
        <v>#REF!</v>
      </c>
      <c r="I10" s="19" t="e">
        <f ca="1">COUNTIF(INDIRECT("["&amp;datatable!$C$7&amp;"]"&amp;datatable!$A5&amp;"!"&amp;"I:I"),"Low Maybe")</f>
        <v>#REF!</v>
      </c>
      <c r="J10" s="21" t="e">
        <f ca="1">COUNTIF(INDIRECT("["&amp;datatable!$C$7&amp;"]"&amp;datatable!$A5&amp;"!"&amp;"I:I"),"Low Incorrect")</f>
        <v>#REF!</v>
      </c>
      <c r="K10" s="23" t="e">
        <f ca="1">COUNTIF(INDIRECT("["&amp;datatable!$C$7&amp;"]"&amp;datatable!$A5&amp;"!"&amp;"I:I"),"Medium Incorrect")</f>
        <v>#REF!</v>
      </c>
      <c r="L10" s="25" t="e">
        <f ca="1">COUNTIF(INDIRECT("["&amp;datatable!$C$7&amp;"]"&amp;datatable!$A5&amp;"!"&amp;"I:I"),"High Incorrect")</f>
        <v>#REF!</v>
      </c>
      <c r="M10" s="27" t="e">
        <f ca="1">COUNTIF(INDIRECT("["&amp;datatable!$C$7&amp;"]"&amp;datatable!$A5&amp;"!"&amp;"I:I"),"N/A")</f>
        <v>#REF!</v>
      </c>
      <c r="N10" s="29" t="e">
        <f t="shared" ca="1" si="0"/>
        <v>#REF!</v>
      </c>
      <c r="O10" s="29" t="e">
        <f t="shared" ca="1" si="1"/>
        <v>#REF!</v>
      </c>
      <c r="R10" t="s">
        <v>104</v>
      </c>
    </row>
    <row r="11" spans="3:18">
      <c r="C11" s="5" t="s">
        <v>17</v>
      </c>
      <c r="D11" s="8" t="e">
        <f ca="1">COUNTIF(INDIRECT("["&amp;datatable!$C$7&amp;"]"&amp;datatable!$A6&amp;"!"&amp;"I:I"),"High Correct")</f>
        <v>#REF!</v>
      </c>
      <c r="E11" s="11" t="e">
        <f ca="1">COUNTIF(INDIRECT("["&amp;datatable!$C$7&amp;"]"&amp;datatable!$A6&amp;"!"&amp;"I:I"),"Medium Correct")</f>
        <v>#REF!</v>
      </c>
      <c r="F11" s="13" t="e">
        <f ca="1">COUNTIF(INDIRECT("["&amp;datatable!$C$7&amp;"]"&amp;datatable!$A6&amp;"!"&amp;"I:I"),"Low Correct")</f>
        <v>#REF!</v>
      </c>
      <c r="G11" s="15" t="e">
        <f ca="1">COUNTIF(INDIRECT("["&amp;datatable!$C$7&amp;"]"&amp;datatable!$A6&amp;"!"&amp;"I:I"),"High Maybe")</f>
        <v>#REF!</v>
      </c>
      <c r="H11" s="17" t="e">
        <f ca="1">COUNTIF(INDIRECT("["&amp;datatable!$C$7&amp;"]"&amp;datatable!$A6&amp;"!"&amp;"I:I"),"Medium Maybe")</f>
        <v>#REF!</v>
      </c>
      <c r="I11" s="19" t="e">
        <f ca="1">COUNTIF(INDIRECT("["&amp;datatable!$C$7&amp;"]"&amp;datatable!$A6&amp;"!"&amp;"I:I"),"Low Maybe")</f>
        <v>#REF!</v>
      </c>
      <c r="J11" s="21" t="e">
        <f ca="1">COUNTIF(INDIRECT("["&amp;datatable!$C$7&amp;"]"&amp;datatable!$A6&amp;"!"&amp;"I:I"),"Low Incorrect")</f>
        <v>#REF!</v>
      </c>
      <c r="K11" s="23" t="e">
        <f ca="1">COUNTIF(INDIRECT("["&amp;datatable!$C$7&amp;"]"&amp;datatable!$A6&amp;"!"&amp;"I:I"),"Medium Incorrect")</f>
        <v>#REF!</v>
      </c>
      <c r="L11" s="25" t="e">
        <f ca="1">COUNTIF(INDIRECT("["&amp;datatable!$C$7&amp;"]"&amp;datatable!$A6&amp;"!"&amp;"I:I"),"High Incorrect")</f>
        <v>#REF!</v>
      </c>
      <c r="M11" s="27" t="e">
        <f ca="1">COUNTIF(INDIRECT("["&amp;datatable!$C$7&amp;"]"&amp;datatable!$A6&amp;"!"&amp;"I:I"),"N/A")</f>
        <v>#REF!</v>
      </c>
      <c r="N11" s="29" t="e">
        <f t="shared" ca="1" si="0"/>
        <v>#REF!</v>
      </c>
      <c r="O11" s="29" t="e">
        <f t="shared" ca="1" si="1"/>
        <v>#REF!</v>
      </c>
      <c r="R11" t="s">
        <v>105</v>
      </c>
    </row>
    <row r="12" spans="3:18">
      <c r="C12" s="5" t="s">
        <v>18</v>
      </c>
      <c r="D12" s="8" t="e">
        <f ca="1">COUNTIF(INDIRECT("["&amp;datatable!$C$7&amp;"]"&amp;datatable!$A7&amp;"!"&amp;"I:I"),"High Correct")</f>
        <v>#REF!</v>
      </c>
      <c r="E12" s="11" t="e">
        <f ca="1">COUNTIF(INDIRECT("["&amp;datatable!$C$7&amp;"]"&amp;datatable!$A7&amp;"!"&amp;"I:I"),"Medium Correct")</f>
        <v>#REF!</v>
      </c>
      <c r="F12" s="13" t="e">
        <f ca="1">COUNTIF(INDIRECT("["&amp;datatable!$C$7&amp;"]"&amp;datatable!$A7&amp;"!"&amp;"I:I"),"Low Correct")</f>
        <v>#REF!</v>
      </c>
      <c r="G12" s="15" t="e">
        <f ca="1">COUNTIF(INDIRECT("["&amp;datatable!$C$7&amp;"]"&amp;datatable!$A7&amp;"!"&amp;"I:I"),"High Maybe")</f>
        <v>#REF!</v>
      </c>
      <c r="H12" s="17" t="e">
        <f ca="1">COUNTIF(INDIRECT("["&amp;datatable!$C$7&amp;"]"&amp;datatable!$A7&amp;"!"&amp;"I:I"),"Medium Maybe")</f>
        <v>#REF!</v>
      </c>
      <c r="I12" s="19" t="e">
        <f ca="1">COUNTIF(INDIRECT("["&amp;datatable!$C$7&amp;"]"&amp;datatable!$A7&amp;"!"&amp;"I:I"),"Low Maybe")</f>
        <v>#REF!</v>
      </c>
      <c r="J12" s="21" t="e">
        <f ca="1">COUNTIF(INDIRECT("["&amp;datatable!$C$7&amp;"]"&amp;datatable!$A7&amp;"!"&amp;"I:I"),"Low Incorrect")</f>
        <v>#REF!</v>
      </c>
      <c r="K12" s="23" t="e">
        <f ca="1">COUNTIF(INDIRECT("["&amp;datatable!$C$7&amp;"]"&amp;datatable!$A7&amp;"!"&amp;"I:I"),"Medium Incorrect")</f>
        <v>#REF!</v>
      </c>
      <c r="L12" s="25" t="e">
        <f ca="1">COUNTIF(INDIRECT("["&amp;datatable!$C$7&amp;"]"&amp;datatable!$A7&amp;"!"&amp;"I:I"),"High Incorrect")</f>
        <v>#REF!</v>
      </c>
      <c r="M12" s="27" t="e">
        <f ca="1">COUNTIF(INDIRECT("["&amp;datatable!$C$7&amp;"]"&amp;datatable!$A7&amp;"!"&amp;"I:I"),"N/A")</f>
        <v>#REF!</v>
      </c>
      <c r="N12" s="29" t="e">
        <f t="shared" ca="1" si="0"/>
        <v>#REF!</v>
      </c>
      <c r="O12" s="29" t="e">
        <f t="shared" ca="1" si="1"/>
        <v>#REF!</v>
      </c>
      <c r="R12" t="s">
        <v>106</v>
      </c>
    </row>
    <row r="13" spans="3:18">
      <c r="C13" s="5" t="s">
        <v>19</v>
      </c>
      <c r="D13" s="8" t="e">
        <f ca="1">COUNTIF(INDIRECT("["&amp;datatable!$C$7&amp;"]"&amp;datatable!$A8&amp;"!"&amp;"I:I"),"High Correct")</f>
        <v>#REF!</v>
      </c>
      <c r="E13" s="11" t="e">
        <f ca="1">COUNTIF(INDIRECT("["&amp;datatable!$C$7&amp;"]"&amp;datatable!$A8&amp;"!"&amp;"I:I"),"Medium Correct")</f>
        <v>#REF!</v>
      </c>
      <c r="F13" s="13" t="e">
        <f ca="1">COUNTIF(INDIRECT("["&amp;datatable!$C$7&amp;"]"&amp;datatable!$A8&amp;"!"&amp;"I:I"),"Low Correct")</f>
        <v>#REF!</v>
      </c>
      <c r="G13" s="15" t="e">
        <f ca="1">COUNTIF(INDIRECT("["&amp;datatable!$C$7&amp;"]"&amp;datatable!$A8&amp;"!"&amp;"I:I"),"High Maybe")</f>
        <v>#REF!</v>
      </c>
      <c r="H13" s="17" t="e">
        <f ca="1">COUNTIF(INDIRECT("["&amp;datatable!$C$7&amp;"]"&amp;datatable!$A8&amp;"!"&amp;"I:I"),"Medium Maybe")</f>
        <v>#REF!</v>
      </c>
      <c r="I13" s="19" t="e">
        <f ca="1">COUNTIF(INDIRECT("["&amp;datatable!$C$7&amp;"]"&amp;datatable!$A8&amp;"!"&amp;"I:I"),"Low Maybe")</f>
        <v>#REF!</v>
      </c>
      <c r="J13" s="21" t="e">
        <f ca="1">COUNTIF(INDIRECT("["&amp;datatable!$C$7&amp;"]"&amp;datatable!$A8&amp;"!"&amp;"I:I"),"Low Incorrect")</f>
        <v>#REF!</v>
      </c>
      <c r="K13" s="23" t="e">
        <f ca="1">COUNTIF(INDIRECT("["&amp;datatable!$C$7&amp;"]"&amp;datatable!$A8&amp;"!"&amp;"I:I"),"Medium Incorrect")</f>
        <v>#REF!</v>
      </c>
      <c r="L13" s="25" t="e">
        <f ca="1">COUNTIF(INDIRECT("["&amp;datatable!$C$7&amp;"]"&amp;datatable!$A8&amp;"!"&amp;"I:I"),"High Incorrect")</f>
        <v>#REF!</v>
      </c>
      <c r="M13" s="27" t="e">
        <f ca="1">COUNTIF(INDIRECT("["&amp;datatable!$C$7&amp;"]"&amp;datatable!$A8&amp;"!"&amp;"I:I"),"N/A")</f>
        <v>#REF!</v>
      </c>
      <c r="N13" s="29" t="e">
        <f t="shared" ca="1" si="0"/>
        <v>#REF!</v>
      </c>
      <c r="O13" s="29" t="e">
        <f t="shared" ca="1" si="1"/>
        <v>#REF!</v>
      </c>
      <c r="R13" s="51" t="s">
        <v>107</v>
      </c>
    </row>
    <row r="14" spans="3:18">
      <c r="C14" s="5" t="s">
        <v>20</v>
      </c>
      <c r="D14" s="8" t="e">
        <f ca="1">COUNTIF(INDIRECT("["&amp;datatable!$C$7&amp;"]"&amp;datatable!$A9&amp;"!"&amp;"I:I"),"High Correct")</f>
        <v>#REF!</v>
      </c>
      <c r="E14" s="11" t="e">
        <f ca="1">COUNTIF(INDIRECT("["&amp;datatable!$C$7&amp;"]"&amp;datatable!$A9&amp;"!"&amp;"I:I"),"Medium Correct")</f>
        <v>#REF!</v>
      </c>
      <c r="F14" s="13" t="e">
        <f ca="1">COUNTIF(INDIRECT("["&amp;datatable!$C$7&amp;"]"&amp;datatable!$A9&amp;"!"&amp;"I:I"),"Low Correct")</f>
        <v>#REF!</v>
      </c>
      <c r="G14" s="15" t="e">
        <f ca="1">COUNTIF(INDIRECT("["&amp;datatable!$C$7&amp;"]"&amp;datatable!$A9&amp;"!"&amp;"I:I"),"High Maybe")</f>
        <v>#REF!</v>
      </c>
      <c r="H14" s="17" t="e">
        <f ca="1">COUNTIF(INDIRECT("["&amp;datatable!$C$7&amp;"]"&amp;datatable!$A9&amp;"!"&amp;"I:I"),"Medium Maybe")</f>
        <v>#REF!</v>
      </c>
      <c r="I14" s="19" t="e">
        <f ca="1">COUNTIF(INDIRECT("["&amp;datatable!$C$7&amp;"]"&amp;datatable!$A9&amp;"!"&amp;"I:I"),"Low Maybe")</f>
        <v>#REF!</v>
      </c>
      <c r="J14" s="21" t="e">
        <f ca="1">COUNTIF(INDIRECT("["&amp;datatable!$C$7&amp;"]"&amp;datatable!$A9&amp;"!"&amp;"I:I"),"Low Incorrect")</f>
        <v>#REF!</v>
      </c>
      <c r="K14" s="23" t="e">
        <f ca="1">COUNTIF(INDIRECT("["&amp;datatable!$C$7&amp;"]"&amp;datatable!$A9&amp;"!"&amp;"I:I"),"Medium Incorrect")</f>
        <v>#REF!</v>
      </c>
      <c r="L14" s="25" t="e">
        <f ca="1">COUNTIF(INDIRECT("["&amp;datatable!$C$7&amp;"]"&amp;datatable!$A9&amp;"!"&amp;"I:I"),"High Incorrect")</f>
        <v>#REF!</v>
      </c>
      <c r="M14" s="27" t="e">
        <f ca="1">COUNTIF(INDIRECT("["&amp;datatable!$C$7&amp;"]"&amp;datatable!$A9&amp;"!"&amp;"I:I"),"N/A")</f>
        <v>#REF!</v>
      </c>
      <c r="N14" s="29" t="e">
        <f t="shared" ca="1" si="0"/>
        <v>#REF!</v>
      </c>
      <c r="O14" s="29" t="e">
        <f t="shared" ca="1" si="1"/>
        <v>#REF!</v>
      </c>
      <c r="R14" t="s">
        <v>92</v>
      </c>
    </row>
    <row r="15" spans="3:18">
      <c r="C15" s="5" t="s">
        <v>21</v>
      </c>
      <c r="D15" s="8" t="e">
        <f ca="1">COUNTIF(INDIRECT("["&amp;datatable!$C$7&amp;"]"&amp;datatable!$A10&amp;"!"&amp;"I:I"),"High Correct")</f>
        <v>#REF!</v>
      </c>
      <c r="E15" s="11" t="e">
        <f ca="1">COUNTIF(INDIRECT("["&amp;datatable!$C$7&amp;"]"&amp;datatable!$A10&amp;"!"&amp;"I:I"),"Medium Correct")</f>
        <v>#REF!</v>
      </c>
      <c r="F15" s="13" t="e">
        <f ca="1">COUNTIF(INDIRECT("["&amp;datatable!$C$7&amp;"]"&amp;datatable!$A10&amp;"!"&amp;"I:I"),"Low Correct")</f>
        <v>#REF!</v>
      </c>
      <c r="G15" s="15" t="e">
        <f ca="1">COUNTIF(INDIRECT("["&amp;datatable!$C$7&amp;"]"&amp;datatable!$A10&amp;"!"&amp;"I:I"),"High Maybe")</f>
        <v>#REF!</v>
      </c>
      <c r="H15" s="17" t="e">
        <f ca="1">COUNTIF(INDIRECT("["&amp;datatable!$C$7&amp;"]"&amp;datatable!$A10&amp;"!"&amp;"I:I"),"Medium Maybe")</f>
        <v>#REF!</v>
      </c>
      <c r="I15" s="19" t="e">
        <f ca="1">COUNTIF(INDIRECT("["&amp;datatable!$C$7&amp;"]"&amp;datatable!$A10&amp;"!"&amp;"I:I"),"Low Maybe")</f>
        <v>#REF!</v>
      </c>
      <c r="J15" s="21" t="e">
        <f ca="1">COUNTIF(INDIRECT("["&amp;datatable!$C$7&amp;"]"&amp;datatable!$A10&amp;"!"&amp;"I:I"),"Low Incorrect")</f>
        <v>#REF!</v>
      </c>
      <c r="K15" s="23" t="e">
        <f ca="1">COUNTIF(INDIRECT("["&amp;datatable!$C$7&amp;"]"&amp;datatable!$A10&amp;"!"&amp;"I:I"),"Medium Incorrect")</f>
        <v>#REF!</v>
      </c>
      <c r="L15" s="25" t="e">
        <f ca="1">COUNTIF(INDIRECT("["&amp;datatable!$C$7&amp;"]"&amp;datatable!$A10&amp;"!"&amp;"I:I"),"High Incorrect")</f>
        <v>#REF!</v>
      </c>
      <c r="M15" s="27" t="e">
        <f ca="1">COUNTIF(INDIRECT("["&amp;datatable!$C$7&amp;"]"&amp;datatable!$A10&amp;"!"&amp;"I:I"),"N/A")</f>
        <v>#REF!</v>
      </c>
      <c r="N15" s="29" t="e">
        <f t="shared" ca="1" si="0"/>
        <v>#REF!</v>
      </c>
      <c r="O15" s="29" t="e">
        <f t="shared" ca="1" si="1"/>
        <v>#REF!</v>
      </c>
      <c r="R15" t="s">
        <v>108</v>
      </c>
    </row>
    <row r="16" spans="3:18">
      <c r="C16" s="5" t="s">
        <v>22</v>
      </c>
      <c r="D16" s="8" t="e">
        <f ca="1">COUNTIF(INDIRECT("["&amp;datatable!$C$7&amp;"]"&amp;datatable!$A11&amp;"!"&amp;"I:I"),"High Correct")</f>
        <v>#REF!</v>
      </c>
      <c r="E16" s="11" t="e">
        <f ca="1">COUNTIF(INDIRECT("["&amp;datatable!$C$7&amp;"]"&amp;datatable!$A11&amp;"!"&amp;"I:I"),"Medium Correct")</f>
        <v>#REF!</v>
      </c>
      <c r="F16" s="13" t="e">
        <f ca="1">COUNTIF(INDIRECT("["&amp;datatable!$C$7&amp;"]"&amp;datatable!$A11&amp;"!"&amp;"I:I"),"Low Correct")</f>
        <v>#REF!</v>
      </c>
      <c r="G16" s="15" t="e">
        <f ca="1">COUNTIF(INDIRECT("["&amp;datatable!$C$7&amp;"]"&amp;datatable!$A11&amp;"!"&amp;"I:I"),"High Maybe")</f>
        <v>#REF!</v>
      </c>
      <c r="H16" s="17" t="e">
        <f ca="1">COUNTIF(INDIRECT("["&amp;datatable!$C$7&amp;"]"&amp;datatable!$A11&amp;"!"&amp;"I:I"),"Medium Maybe")</f>
        <v>#REF!</v>
      </c>
      <c r="I16" s="19" t="e">
        <f ca="1">COUNTIF(INDIRECT("["&amp;datatable!$C$7&amp;"]"&amp;datatable!$A11&amp;"!"&amp;"I:I"),"Low Maybe")</f>
        <v>#REF!</v>
      </c>
      <c r="J16" s="21" t="e">
        <f ca="1">COUNTIF(INDIRECT("["&amp;datatable!$C$7&amp;"]"&amp;datatable!$A11&amp;"!"&amp;"I:I"),"Low Incorrect")</f>
        <v>#REF!</v>
      </c>
      <c r="K16" s="23" t="e">
        <f ca="1">COUNTIF(INDIRECT("["&amp;datatable!$C$7&amp;"]"&amp;datatable!$A11&amp;"!"&amp;"I:I"),"Medium Incorrect")</f>
        <v>#REF!</v>
      </c>
      <c r="L16" s="25" t="e">
        <f ca="1">COUNTIF(INDIRECT("["&amp;datatable!$C$7&amp;"]"&amp;datatable!$A11&amp;"!"&amp;"I:I"),"High Incorrect")</f>
        <v>#REF!</v>
      </c>
      <c r="M16" s="27" t="e">
        <f ca="1">COUNTIF(INDIRECT("["&amp;datatable!$C$7&amp;"]"&amp;datatable!$A11&amp;"!"&amp;"I:I"),"N/A")</f>
        <v>#REF!</v>
      </c>
      <c r="N16" s="29" t="e">
        <f t="shared" ca="1" si="0"/>
        <v>#REF!</v>
      </c>
      <c r="O16" s="29" t="e">
        <f t="shared" ca="1" si="1"/>
        <v>#REF!</v>
      </c>
      <c r="R16" t="s">
        <v>92</v>
      </c>
    </row>
    <row r="17" spans="3:29">
      <c r="C17" s="5" t="s">
        <v>23</v>
      </c>
      <c r="D17" s="8" t="e">
        <f ca="1">COUNTIF(INDIRECT("["&amp;datatable!$C$7&amp;"]"&amp;datatable!$A12&amp;"!"&amp;"I:I"),"High Correct")</f>
        <v>#REF!</v>
      </c>
      <c r="E17" s="11" t="e">
        <f ca="1">COUNTIF(INDIRECT("["&amp;datatable!$C$7&amp;"]"&amp;datatable!$A12&amp;"!"&amp;"I:I"),"Medium Correct")</f>
        <v>#REF!</v>
      </c>
      <c r="F17" s="13" t="e">
        <f ca="1">COUNTIF(INDIRECT("["&amp;datatable!$C$7&amp;"]"&amp;datatable!$A12&amp;"!"&amp;"I:I"),"Low Correct")</f>
        <v>#REF!</v>
      </c>
      <c r="G17" s="15" t="e">
        <f ca="1">COUNTIF(INDIRECT("["&amp;datatable!$C$7&amp;"]"&amp;datatable!$A12&amp;"!"&amp;"I:I"),"High Maybe")</f>
        <v>#REF!</v>
      </c>
      <c r="H17" s="17" t="e">
        <f ca="1">COUNTIF(INDIRECT("["&amp;datatable!$C$7&amp;"]"&amp;datatable!$A12&amp;"!"&amp;"I:I"),"Medium Maybe")</f>
        <v>#REF!</v>
      </c>
      <c r="I17" s="19" t="e">
        <f ca="1">COUNTIF(INDIRECT("["&amp;datatable!$C$7&amp;"]"&amp;datatable!$A12&amp;"!"&amp;"I:I"),"Low Maybe")</f>
        <v>#REF!</v>
      </c>
      <c r="J17" s="21" t="e">
        <f ca="1">COUNTIF(INDIRECT("["&amp;datatable!$C$7&amp;"]"&amp;datatable!$A12&amp;"!"&amp;"I:I"),"Low Incorrect")</f>
        <v>#REF!</v>
      </c>
      <c r="K17" s="23" t="e">
        <f ca="1">COUNTIF(INDIRECT("["&amp;datatable!$C$7&amp;"]"&amp;datatable!$A12&amp;"!"&amp;"I:I"),"Medium Incorrect")</f>
        <v>#REF!</v>
      </c>
      <c r="L17" s="25" t="e">
        <f ca="1">COUNTIF(INDIRECT("["&amp;datatable!$C$7&amp;"]"&amp;datatable!$A12&amp;"!"&amp;"I:I"),"High Incorrect")</f>
        <v>#REF!</v>
      </c>
      <c r="M17" s="27" t="e">
        <f ca="1">COUNTIF(INDIRECT("["&amp;datatable!$C$7&amp;"]"&amp;datatable!$A12&amp;"!"&amp;"I:I"),"N/A")</f>
        <v>#REF!</v>
      </c>
      <c r="N17" s="29" t="e">
        <f t="shared" ca="1" si="0"/>
        <v>#REF!</v>
      </c>
      <c r="O17" s="29" t="e">
        <f t="shared" ca="1" si="1"/>
        <v>#REF!</v>
      </c>
      <c r="R17" t="s">
        <v>109</v>
      </c>
    </row>
    <row r="18" spans="3:29">
      <c r="C18" s="5" t="s">
        <v>24</v>
      </c>
      <c r="D18" s="8" t="e">
        <f ca="1">COUNTIF(INDIRECT("["&amp;datatable!$C$7&amp;"]"&amp;datatable!$A13&amp;"!"&amp;"I:I"),"High Correct")</f>
        <v>#REF!</v>
      </c>
      <c r="E18" s="11" t="e">
        <f ca="1">COUNTIF(INDIRECT("["&amp;datatable!$C$7&amp;"]"&amp;datatable!$A13&amp;"!"&amp;"I:I"),"Medium Correct")</f>
        <v>#REF!</v>
      </c>
      <c r="F18" s="13" t="e">
        <f ca="1">COUNTIF(INDIRECT("["&amp;datatable!$C$7&amp;"]"&amp;datatable!$A13&amp;"!"&amp;"I:I"),"Low Correct")</f>
        <v>#REF!</v>
      </c>
      <c r="G18" s="15" t="e">
        <f ca="1">COUNTIF(INDIRECT("["&amp;datatable!$C$7&amp;"]"&amp;datatable!$A13&amp;"!"&amp;"I:I"),"High Maybe")</f>
        <v>#REF!</v>
      </c>
      <c r="H18" s="17" t="e">
        <f ca="1">COUNTIF(INDIRECT("["&amp;datatable!$C$7&amp;"]"&amp;datatable!$A13&amp;"!"&amp;"I:I"),"Medium Maybe")</f>
        <v>#REF!</v>
      </c>
      <c r="I18" s="19" t="e">
        <f ca="1">COUNTIF(INDIRECT("["&amp;datatable!$C$7&amp;"]"&amp;datatable!$A13&amp;"!"&amp;"I:I"),"Low Maybe")</f>
        <v>#REF!</v>
      </c>
      <c r="J18" s="21" t="e">
        <f ca="1">COUNTIF(INDIRECT("["&amp;datatable!$C$7&amp;"]"&amp;datatable!$A13&amp;"!"&amp;"I:I"),"Low Incorrect")</f>
        <v>#REF!</v>
      </c>
      <c r="K18" s="23" t="e">
        <f ca="1">COUNTIF(INDIRECT("["&amp;datatable!$C$7&amp;"]"&amp;datatable!$A13&amp;"!"&amp;"I:I"),"Medium Incorrect")</f>
        <v>#REF!</v>
      </c>
      <c r="L18" s="25" t="e">
        <f ca="1">COUNTIF(INDIRECT("["&amp;datatable!$C$7&amp;"]"&amp;datatable!$A13&amp;"!"&amp;"I:I"),"High Incorrect")</f>
        <v>#REF!</v>
      </c>
      <c r="M18" s="27" t="e">
        <f ca="1">COUNTIF(INDIRECT("["&amp;datatable!$C$7&amp;"]"&amp;datatable!$A13&amp;"!"&amp;"I:I"),"N/A")</f>
        <v>#REF!</v>
      </c>
      <c r="N18" s="29" t="e">
        <f t="shared" ca="1" si="0"/>
        <v>#REF!</v>
      </c>
      <c r="O18" s="29" t="e">
        <f t="shared" ca="1" si="1"/>
        <v>#REF!</v>
      </c>
      <c r="R18" t="s">
        <v>92</v>
      </c>
    </row>
    <row r="19" spans="3:29">
      <c r="C19" s="5" t="s">
        <v>25</v>
      </c>
      <c r="D19" s="8" t="e">
        <f ca="1">COUNTIF(INDIRECT("["&amp;datatable!$C$7&amp;"]"&amp;datatable!$A14&amp;"!"&amp;"I:I"),"High Correct")</f>
        <v>#REF!</v>
      </c>
      <c r="E19" s="11" t="e">
        <f ca="1">COUNTIF(INDIRECT("["&amp;datatable!$C$7&amp;"]"&amp;datatable!$A14&amp;"!"&amp;"I:I"),"Medium Correct")</f>
        <v>#REF!</v>
      </c>
      <c r="F19" s="13" t="e">
        <f ca="1">COUNTIF(INDIRECT("["&amp;datatable!$C$7&amp;"]"&amp;datatable!$A14&amp;"!"&amp;"I:I"),"Low Correct")</f>
        <v>#REF!</v>
      </c>
      <c r="G19" s="15" t="e">
        <f ca="1">COUNTIF(INDIRECT("["&amp;datatable!$C$7&amp;"]"&amp;datatable!$A14&amp;"!"&amp;"I:I"),"High Maybe")</f>
        <v>#REF!</v>
      </c>
      <c r="H19" s="17" t="e">
        <f ca="1">COUNTIF(INDIRECT("["&amp;datatable!$C$7&amp;"]"&amp;datatable!$A14&amp;"!"&amp;"I:I"),"Medium Maybe")</f>
        <v>#REF!</v>
      </c>
      <c r="I19" s="19" t="e">
        <f ca="1">COUNTIF(INDIRECT("["&amp;datatable!$C$7&amp;"]"&amp;datatable!$A14&amp;"!"&amp;"I:I"),"Low Maybe")</f>
        <v>#REF!</v>
      </c>
      <c r="J19" s="21" t="e">
        <f ca="1">COUNTIF(INDIRECT("["&amp;datatable!$C$7&amp;"]"&amp;datatable!$A14&amp;"!"&amp;"I:I"),"Low Incorrect")</f>
        <v>#REF!</v>
      </c>
      <c r="K19" s="23" t="e">
        <f ca="1">COUNTIF(INDIRECT("["&amp;datatable!$C$7&amp;"]"&amp;datatable!$A14&amp;"!"&amp;"I:I"),"Medium Incorrect")</f>
        <v>#REF!</v>
      </c>
      <c r="L19" s="25" t="e">
        <f ca="1">COUNTIF(INDIRECT("["&amp;datatable!$C$7&amp;"]"&amp;datatable!$A14&amp;"!"&amp;"I:I"),"High Incorrect")</f>
        <v>#REF!</v>
      </c>
      <c r="M19" s="27" t="e">
        <f ca="1">COUNTIF(INDIRECT("["&amp;datatable!$C$7&amp;"]"&amp;datatable!$A14&amp;"!"&amp;"I:I"),"N/A")</f>
        <v>#REF!</v>
      </c>
      <c r="N19" s="29" t="e">
        <f t="shared" ca="1" si="0"/>
        <v>#REF!</v>
      </c>
      <c r="O19" s="29" t="e">
        <f t="shared" ca="1" si="1"/>
        <v>#REF!</v>
      </c>
      <c r="R19" t="s">
        <v>110</v>
      </c>
    </row>
    <row r="20" spans="3:29">
      <c r="C20" s="5" t="s">
        <v>26</v>
      </c>
      <c r="D20" s="8" t="e">
        <f ca="1">COUNTIF(INDIRECT("["&amp;datatable!$C$7&amp;"]"&amp;datatable!$A15&amp;"!"&amp;"I:I"),"High Correct")</f>
        <v>#REF!</v>
      </c>
      <c r="E20" s="11" t="e">
        <f ca="1">COUNTIF(INDIRECT("["&amp;datatable!$C$7&amp;"]"&amp;datatable!$A15&amp;"!"&amp;"I:I"),"Medium Correct")</f>
        <v>#REF!</v>
      </c>
      <c r="F20" s="13" t="e">
        <f ca="1">COUNTIF(INDIRECT("["&amp;datatable!$C$7&amp;"]"&amp;datatable!$A15&amp;"!"&amp;"I:I"),"Low Correct")</f>
        <v>#REF!</v>
      </c>
      <c r="G20" s="15" t="e">
        <f ca="1">COUNTIF(INDIRECT("["&amp;datatable!$C$7&amp;"]"&amp;datatable!$A15&amp;"!"&amp;"I:I"),"High Maybe")</f>
        <v>#REF!</v>
      </c>
      <c r="H20" s="17" t="e">
        <f ca="1">COUNTIF(INDIRECT("["&amp;datatable!$C$7&amp;"]"&amp;datatable!$A15&amp;"!"&amp;"I:I"),"Medium Maybe")</f>
        <v>#REF!</v>
      </c>
      <c r="I20" s="19" t="e">
        <f ca="1">COUNTIF(INDIRECT("["&amp;datatable!$C$7&amp;"]"&amp;datatable!$A15&amp;"!"&amp;"I:I"),"Low Maybe")</f>
        <v>#REF!</v>
      </c>
      <c r="J20" s="21" t="e">
        <f ca="1">COUNTIF(INDIRECT("["&amp;datatable!$C$7&amp;"]"&amp;datatable!$A15&amp;"!"&amp;"I:I"),"Low Incorrect")</f>
        <v>#REF!</v>
      </c>
      <c r="K20" s="23" t="e">
        <f ca="1">COUNTIF(INDIRECT("["&amp;datatable!$C$7&amp;"]"&amp;datatable!$A15&amp;"!"&amp;"I:I"),"Medium Incorrect")</f>
        <v>#REF!</v>
      </c>
      <c r="L20" s="25" t="e">
        <f ca="1">COUNTIF(INDIRECT("["&amp;datatable!$C$7&amp;"]"&amp;datatable!$A15&amp;"!"&amp;"I:I"),"High Incorrect")</f>
        <v>#REF!</v>
      </c>
      <c r="M20" s="27" t="e">
        <f ca="1">COUNTIF(INDIRECT("["&amp;datatable!$C$7&amp;"]"&amp;datatable!$A15&amp;"!"&amp;"I:I"),"N/A")</f>
        <v>#REF!</v>
      </c>
      <c r="N20" s="29" t="e">
        <f t="shared" ca="1" si="0"/>
        <v>#REF!</v>
      </c>
      <c r="O20" s="29" t="e">
        <f t="shared" ca="1" si="1"/>
        <v>#REF!</v>
      </c>
      <c r="R20" t="s">
        <v>92</v>
      </c>
    </row>
    <row r="21" spans="3:29">
      <c r="C21" s="5" t="s">
        <v>27</v>
      </c>
      <c r="D21" s="8" t="e">
        <f ca="1">COUNTIF(INDIRECT("["&amp;datatable!$C$7&amp;"]"&amp;datatable!$A16&amp;"!"&amp;"I:I"),"High Correct")</f>
        <v>#REF!</v>
      </c>
      <c r="E21" s="11" t="e">
        <f ca="1">COUNTIF(INDIRECT("["&amp;datatable!$C$7&amp;"]"&amp;datatable!$A16&amp;"!"&amp;"I:I"),"Medium Correct")</f>
        <v>#REF!</v>
      </c>
      <c r="F21" s="13" t="e">
        <f ca="1">COUNTIF(INDIRECT("["&amp;datatable!$C$7&amp;"]"&amp;datatable!$A16&amp;"!"&amp;"I:I"),"Low Correct")</f>
        <v>#REF!</v>
      </c>
      <c r="G21" s="15" t="e">
        <f ca="1">COUNTIF(INDIRECT("["&amp;datatable!$C$7&amp;"]"&amp;datatable!$A16&amp;"!"&amp;"I:I"),"High Maybe")</f>
        <v>#REF!</v>
      </c>
      <c r="H21" s="17" t="e">
        <f ca="1">COUNTIF(INDIRECT("["&amp;datatable!$C$7&amp;"]"&amp;datatable!$A16&amp;"!"&amp;"I:I"),"Medium Maybe")</f>
        <v>#REF!</v>
      </c>
      <c r="I21" s="19" t="e">
        <f ca="1">COUNTIF(INDIRECT("["&amp;datatable!$C$7&amp;"]"&amp;datatable!$A16&amp;"!"&amp;"I:I"),"Low Maybe")</f>
        <v>#REF!</v>
      </c>
      <c r="J21" s="21" t="e">
        <f ca="1">COUNTIF(INDIRECT("["&amp;datatable!$C$7&amp;"]"&amp;datatable!$A16&amp;"!"&amp;"I:I"),"Low Incorrect")</f>
        <v>#REF!</v>
      </c>
      <c r="K21" s="23" t="e">
        <f ca="1">COUNTIF(INDIRECT("["&amp;datatable!$C$7&amp;"]"&amp;datatable!$A16&amp;"!"&amp;"I:I"),"Medium Incorrect")</f>
        <v>#REF!</v>
      </c>
      <c r="L21" s="25" t="e">
        <f ca="1">COUNTIF(INDIRECT("["&amp;datatable!$C$7&amp;"]"&amp;datatable!$A16&amp;"!"&amp;"I:I"),"High Incorrect")</f>
        <v>#REF!</v>
      </c>
      <c r="M21" s="27" t="e">
        <f ca="1">COUNTIF(INDIRECT("["&amp;datatable!$C$7&amp;"]"&amp;datatable!$A16&amp;"!"&amp;"I:I"),"N/A")</f>
        <v>#REF!</v>
      </c>
      <c r="N21" s="29" t="e">
        <f t="shared" ca="1" si="0"/>
        <v>#REF!</v>
      </c>
      <c r="O21" s="29" t="e">
        <f t="shared" ca="1" si="1"/>
        <v>#REF!</v>
      </c>
      <c r="R21" t="s">
        <v>111</v>
      </c>
    </row>
    <row r="22" spans="3:29">
      <c r="C22" s="5" t="s">
        <v>28</v>
      </c>
      <c r="D22" s="8" t="e">
        <f ca="1">COUNTIF(INDIRECT("["&amp;datatable!$C$7&amp;"]"&amp;datatable!$A17&amp;"!"&amp;"I:I"),"High Correct")</f>
        <v>#REF!</v>
      </c>
      <c r="E22" s="11" t="e">
        <f ca="1">COUNTIF(INDIRECT("["&amp;datatable!$C$7&amp;"]"&amp;datatable!$A17&amp;"!"&amp;"I:I"),"Medium Correct")</f>
        <v>#REF!</v>
      </c>
      <c r="F22" s="13" t="e">
        <f ca="1">COUNTIF(INDIRECT("["&amp;datatable!$C$7&amp;"]"&amp;datatable!$A17&amp;"!"&amp;"I:I"),"Low Correct")</f>
        <v>#REF!</v>
      </c>
      <c r="G22" s="15" t="e">
        <f ca="1">COUNTIF(INDIRECT("["&amp;datatable!$C$7&amp;"]"&amp;datatable!$A17&amp;"!"&amp;"I:I"),"High Maybe")</f>
        <v>#REF!</v>
      </c>
      <c r="H22" s="17" t="e">
        <f ca="1">COUNTIF(INDIRECT("["&amp;datatable!$C$7&amp;"]"&amp;datatable!$A17&amp;"!"&amp;"I:I"),"Medium Maybe")</f>
        <v>#REF!</v>
      </c>
      <c r="I22" s="19" t="e">
        <f ca="1">COUNTIF(INDIRECT("["&amp;datatable!$C$7&amp;"]"&amp;datatable!$A17&amp;"!"&amp;"I:I"),"Low Maybe")</f>
        <v>#REF!</v>
      </c>
      <c r="J22" s="21" t="e">
        <f ca="1">COUNTIF(INDIRECT("["&amp;datatable!$C$7&amp;"]"&amp;datatable!$A17&amp;"!"&amp;"I:I"),"Low Incorrect")</f>
        <v>#REF!</v>
      </c>
      <c r="K22" s="23" t="e">
        <f ca="1">COUNTIF(INDIRECT("["&amp;datatable!$C$7&amp;"]"&amp;datatable!$A17&amp;"!"&amp;"I:I"),"Medium Incorrect")</f>
        <v>#REF!</v>
      </c>
      <c r="L22" s="25" t="e">
        <f ca="1">COUNTIF(INDIRECT("["&amp;datatable!$C$7&amp;"]"&amp;datatable!$A17&amp;"!"&amp;"I:I"),"High Incorrect")</f>
        <v>#REF!</v>
      </c>
      <c r="M22" s="27" t="e">
        <f ca="1">COUNTIF(INDIRECT("["&amp;datatable!$C$7&amp;"]"&amp;datatable!$A17&amp;"!"&amp;"I:I"),"N/A")</f>
        <v>#REF!</v>
      </c>
      <c r="N22" s="29" t="e">
        <f t="shared" ca="1" si="0"/>
        <v>#REF!</v>
      </c>
      <c r="O22" s="29" t="e">
        <f t="shared" ca="1" si="1"/>
        <v>#REF!</v>
      </c>
      <c r="R22" t="s">
        <v>112</v>
      </c>
      <c r="AC22" t="s">
        <v>113</v>
      </c>
    </row>
    <row r="23" spans="3:29">
      <c r="C23" s="5" t="s">
        <v>29</v>
      </c>
      <c r="D23" s="8" t="e">
        <f ca="1">COUNTIF(INDIRECT("["&amp;datatable!$C$7&amp;"]"&amp;datatable!$A18&amp;"!"&amp;"I:I"),"High Correct")</f>
        <v>#REF!</v>
      </c>
      <c r="E23" s="11" t="e">
        <f ca="1">COUNTIF(INDIRECT("["&amp;datatable!$C$7&amp;"]"&amp;datatable!$A18&amp;"!"&amp;"I:I"),"Medium Correct")</f>
        <v>#REF!</v>
      </c>
      <c r="F23" s="13" t="e">
        <f ca="1">COUNTIF(INDIRECT("["&amp;datatable!$C$7&amp;"]"&amp;datatable!$A18&amp;"!"&amp;"I:I"),"Low Correct")</f>
        <v>#REF!</v>
      </c>
      <c r="G23" s="15" t="e">
        <f ca="1">COUNTIF(INDIRECT("["&amp;datatable!$C$7&amp;"]"&amp;datatable!$A18&amp;"!"&amp;"I:I"),"High Maybe")</f>
        <v>#REF!</v>
      </c>
      <c r="H23" s="17" t="e">
        <f ca="1">COUNTIF(INDIRECT("["&amp;datatable!$C$7&amp;"]"&amp;datatable!$A18&amp;"!"&amp;"I:I"),"Medium Maybe")</f>
        <v>#REF!</v>
      </c>
      <c r="I23" s="19" t="e">
        <f ca="1">COUNTIF(INDIRECT("["&amp;datatable!$C$7&amp;"]"&amp;datatable!$A18&amp;"!"&amp;"I:I"),"Low Maybe")</f>
        <v>#REF!</v>
      </c>
      <c r="J23" s="21" t="e">
        <f ca="1">COUNTIF(INDIRECT("["&amp;datatable!$C$7&amp;"]"&amp;datatable!$A18&amp;"!"&amp;"I:I"),"Low Incorrect")</f>
        <v>#REF!</v>
      </c>
      <c r="K23" s="23" t="e">
        <f ca="1">COUNTIF(INDIRECT("["&amp;datatable!$C$7&amp;"]"&amp;datatable!$A18&amp;"!"&amp;"I:I"),"Medium Incorrect")</f>
        <v>#REF!</v>
      </c>
      <c r="L23" s="25" t="e">
        <f ca="1">COUNTIF(INDIRECT("["&amp;datatable!$C$7&amp;"]"&amp;datatable!$A18&amp;"!"&amp;"I:I"),"High Incorrect")</f>
        <v>#REF!</v>
      </c>
      <c r="M23" s="27" t="e">
        <f ca="1">COUNTIF(INDIRECT("["&amp;datatable!$C$7&amp;"]"&amp;datatable!$A18&amp;"!"&amp;"I:I"),"N/A")</f>
        <v>#REF!</v>
      </c>
      <c r="N23" s="29" t="e">
        <f t="shared" ca="1" si="0"/>
        <v>#REF!</v>
      </c>
      <c r="O23" s="29" t="e">
        <f t="shared" ca="1" si="1"/>
        <v>#REF!</v>
      </c>
      <c r="R23" t="s">
        <v>92</v>
      </c>
    </row>
    <row r="24" spans="3:29">
      <c r="C24" s="5" t="s">
        <v>30</v>
      </c>
      <c r="D24" s="8" t="e">
        <f ca="1">COUNTIF(INDIRECT("["&amp;datatable!$C$7&amp;"]"&amp;datatable!$A19&amp;"!"&amp;"I:I"),"High Correct")</f>
        <v>#REF!</v>
      </c>
      <c r="E24" s="11" t="e">
        <f ca="1">COUNTIF(INDIRECT("["&amp;datatable!$C$7&amp;"]"&amp;datatable!$A19&amp;"!"&amp;"I:I"),"Medium Correct")</f>
        <v>#REF!</v>
      </c>
      <c r="F24" s="13" t="e">
        <f ca="1">COUNTIF(INDIRECT("["&amp;datatable!$C$7&amp;"]"&amp;datatable!$A19&amp;"!"&amp;"I:I"),"Low Correct")</f>
        <v>#REF!</v>
      </c>
      <c r="G24" s="15" t="e">
        <f ca="1">COUNTIF(INDIRECT("["&amp;datatable!$C$7&amp;"]"&amp;datatable!$A19&amp;"!"&amp;"I:I"),"High Maybe")</f>
        <v>#REF!</v>
      </c>
      <c r="H24" s="17" t="e">
        <f ca="1">COUNTIF(INDIRECT("["&amp;datatable!$C$7&amp;"]"&amp;datatable!$A19&amp;"!"&amp;"I:I"),"Medium Maybe")</f>
        <v>#REF!</v>
      </c>
      <c r="I24" s="19" t="e">
        <f ca="1">COUNTIF(INDIRECT("["&amp;datatable!$C$7&amp;"]"&amp;datatable!$A19&amp;"!"&amp;"I:I"),"Low Maybe")</f>
        <v>#REF!</v>
      </c>
      <c r="J24" s="21" t="e">
        <f ca="1">COUNTIF(INDIRECT("["&amp;datatable!$C$7&amp;"]"&amp;datatable!$A19&amp;"!"&amp;"I:I"),"Low Incorrect")</f>
        <v>#REF!</v>
      </c>
      <c r="K24" s="23" t="e">
        <f ca="1">COUNTIF(INDIRECT("["&amp;datatable!$C$7&amp;"]"&amp;datatable!$A19&amp;"!"&amp;"I:I"),"Medium Incorrect")</f>
        <v>#REF!</v>
      </c>
      <c r="L24" s="25" t="e">
        <f ca="1">COUNTIF(INDIRECT("["&amp;datatable!$C$7&amp;"]"&amp;datatable!$A19&amp;"!"&amp;"I:I"),"High Incorrect")</f>
        <v>#REF!</v>
      </c>
      <c r="M24" s="27" t="e">
        <f ca="1">COUNTIF(INDIRECT("["&amp;datatable!$C$7&amp;"]"&amp;datatable!$A19&amp;"!"&amp;"I:I"),"N/A")</f>
        <v>#REF!</v>
      </c>
      <c r="N24" s="29" t="e">
        <f t="shared" ca="1" si="0"/>
        <v>#REF!</v>
      </c>
      <c r="O24" s="29" t="e">
        <f t="shared" ca="1" si="1"/>
        <v>#REF!</v>
      </c>
      <c r="R24" t="s">
        <v>114</v>
      </c>
      <c r="AC24" t="s">
        <v>115</v>
      </c>
    </row>
    <row r="25" spans="3:29">
      <c r="C25" s="5" t="s">
        <v>31</v>
      </c>
      <c r="D25" s="8" t="e">
        <f ca="1">COUNTIF(INDIRECT("["&amp;datatable!$C$7&amp;"]"&amp;datatable!$A20&amp;"!"&amp;"I:I"),"High Correct")</f>
        <v>#REF!</v>
      </c>
      <c r="E25" s="11" t="e">
        <f ca="1">COUNTIF(INDIRECT("["&amp;datatable!$C$7&amp;"]"&amp;datatable!$A20&amp;"!"&amp;"I:I"),"Medium Correct")</f>
        <v>#REF!</v>
      </c>
      <c r="F25" s="13" t="e">
        <f ca="1">COUNTIF(INDIRECT("["&amp;datatable!$C$7&amp;"]"&amp;datatable!$A20&amp;"!"&amp;"I:I"),"Low Correct")</f>
        <v>#REF!</v>
      </c>
      <c r="G25" s="15" t="e">
        <f ca="1">COUNTIF(INDIRECT("["&amp;datatable!$C$7&amp;"]"&amp;datatable!$A20&amp;"!"&amp;"I:I"),"High Maybe")</f>
        <v>#REF!</v>
      </c>
      <c r="H25" s="17" t="e">
        <f ca="1">COUNTIF(INDIRECT("["&amp;datatable!$C$7&amp;"]"&amp;datatable!$A20&amp;"!"&amp;"I:I"),"Medium Maybe")</f>
        <v>#REF!</v>
      </c>
      <c r="I25" s="19" t="e">
        <f ca="1">COUNTIF(INDIRECT("["&amp;datatable!$C$7&amp;"]"&amp;datatable!$A20&amp;"!"&amp;"I:I"),"Low Maybe")</f>
        <v>#REF!</v>
      </c>
      <c r="J25" s="21" t="e">
        <f ca="1">COUNTIF(INDIRECT("["&amp;datatable!$C$7&amp;"]"&amp;datatable!$A20&amp;"!"&amp;"I:I"),"Low Incorrect")</f>
        <v>#REF!</v>
      </c>
      <c r="K25" s="23" t="e">
        <f ca="1">COUNTIF(INDIRECT("["&amp;datatable!$C$7&amp;"]"&amp;datatable!$A20&amp;"!"&amp;"I:I"),"Medium Incorrect")</f>
        <v>#REF!</v>
      </c>
      <c r="L25" s="25" t="e">
        <f ca="1">COUNTIF(INDIRECT("["&amp;datatable!$C$7&amp;"]"&amp;datatable!$A20&amp;"!"&amp;"I:I"),"High Incorrect")</f>
        <v>#REF!</v>
      </c>
      <c r="M25" s="27" t="e">
        <f ca="1">COUNTIF(INDIRECT("["&amp;datatable!$C$7&amp;"]"&amp;datatable!$A20&amp;"!"&amp;"I:I"),"N/A")</f>
        <v>#REF!</v>
      </c>
      <c r="N25" s="29" t="e">
        <f t="shared" ca="1" si="0"/>
        <v>#REF!</v>
      </c>
      <c r="O25" s="29" t="e">
        <f t="shared" ca="1" si="1"/>
        <v>#REF!</v>
      </c>
      <c r="R25" t="s">
        <v>112</v>
      </c>
    </row>
    <row r="26" spans="3:29">
      <c r="C26" s="5" t="s">
        <v>32</v>
      </c>
      <c r="D26" s="8" t="e">
        <f ca="1">COUNTIF(INDIRECT("["&amp;datatable!$C$7&amp;"]"&amp;datatable!$A21&amp;"!"&amp;"I:I"),"High Correct")</f>
        <v>#REF!</v>
      </c>
      <c r="E26" s="11" t="e">
        <f ca="1">COUNTIF(INDIRECT("["&amp;datatable!$C$7&amp;"]"&amp;datatable!$A21&amp;"!"&amp;"I:I"),"Medium Correct")</f>
        <v>#REF!</v>
      </c>
      <c r="F26" s="13" t="e">
        <f ca="1">COUNTIF(INDIRECT("["&amp;datatable!$C$7&amp;"]"&amp;datatable!$A21&amp;"!"&amp;"I:I"),"Low Correct")</f>
        <v>#REF!</v>
      </c>
      <c r="G26" s="15" t="e">
        <f ca="1">COUNTIF(INDIRECT("["&amp;datatable!$C$7&amp;"]"&amp;datatable!$A21&amp;"!"&amp;"I:I"),"High Maybe")</f>
        <v>#REF!</v>
      </c>
      <c r="H26" s="17" t="e">
        <f ca="1">COUNTIF(INDIRECT("["&amp;datatable!$C$7&amp;"]"&amp;datatable!$A21&amp;"!"&amp;"I:I"),"Medium Maybe")</f>
        <v>#REF!</v>
      </c>
      <c r="I26" s="19" t="e">
        <f ca="1">COUNTIF(INDIRECT("["&amp;datatable!$C$7&amp;"]"&amp;datatable!$A21&amp;"!"&amp;"I:I"),"Low Maybe")</f>
        <v>#REF!</v>
      </c>
      <c r="J26" s="21" t="e">
        <f ca="1">COUNTIF(INDIRECT("["&amp;datatable!$C$7&amp;"]"&amp;datatable!$A21&amp;"!"&amp;"I:I"),"Low Incorrect")</f>
        <v>#REF!</v>
      </c>
      <c r="K26" s="23" t="e">
        <f ca="1">COUNTIF(INDIRECT("["&amp;datatable!$C$7&amp;"]"&amp;datatable!$A21&amp;"!"&amp;"I:I"),"Medium Incorrect")</f>
        <v>#REF!</v>
      </c>
      <c r="L26" s="25" t="e">
        <f ca="1">COUNTIF(INDIRECT("["&amp;datatable!$C$7&amp;"]"&amp;datatable!$A21&amp;"!"&amp;"I:I"),"High Incorrect")</f>
        <v>#REF!</v>
      </c>
      <c r="M26" s="27" t="e">
        <f ca="1">COUNTIF(INDIRECT("["&amp;datatable!$C$7&amp;"]"&amp;datatable!$A21&amp;"!"&amp;"I:I"),"N/A")</f>
        <v>#REF!</v>
      </c>
      <c r="N26" s="29" t="e">
        <f t="shared" ca="1" si="0"/>
        <v>#REF!</v>
      </c>
      <c r="O26" s="29" t="e">
        <f t="shared" ca="1" si="1"/>
        <v>#REF!</v>
      </c>
      <c r="R26" t="s">
        <v>116</v>
      </c>
      <c r="AC26" t="s">
        <v>117</v>
      </c>
    </row>
    <row r="27" spans="3:29">
      <c r="C27" s="5" t="s">
        <v>33</v>
      </c>
      <c r="D27" s="8" t="e">
        <f ca="1">COUNTIF(INDIRECT("["&amp;datatable!$C$7&amp;"]"&amp;datatable!$A22&amp;"!"&amp;"I:I"),"High Correct")</f>
        <v>#REF!</v>
      </c>
      <c r="E27" s="11" t="e">
        <f ca="1">COUNTIF(INDIRECT("["&amp;datatable!$C$7&amp;"]"&amp;datatable!$A22&amp;"!"&amp;"I:I"),"Medium Correct")</f>
        <v>#REF!</v>
      </c>
      <c r="F27" s="13" t="e">
        <f ca="1">COUNTIF(INDIRECT("["&amp;datatable!$C$7&amp;"]"&amp;datatable!$A22&amp;"!"&amp;"I:I"),"Low Correct")</f>
        <v>#REF!</v>
      </c>
      <c r="G27" s="15" t="e">
        <f ca="1">COUNTIF(INDIRECT("["&amp;datatable!$C$7&amp;"]"&amp;datatable!$A22&amp;"!"&amp;"I:I"),"High Maybe")</f>
        <v>#REF!</v>
      </c>
      <c r="H27" s="17" t="e">
        <f ca="1">COUNTIF(INDIRECT("["&amp;datatable!$C$7&amp;"]"&amp;datatable!$A22&amp;"!"&amp;"I:I"),"Medium Maybe")</f>
        <v>#REF!</v>
      </c>
      <c r="I27" s="19" t="e">
        <f ca="1">COUNTIF(INDIRECT("["&amp;datatable!$C$7&amp;"]"&amp;datatable!$A22&amp;"!"&amp;"I:I"),"Low Maybe")</f>
        <v>#REF!</v>
      </c>
      <c r="J27" s="21" t="e">
        <f ca="1">COUNTIF(INDIRECT("["&amp;datatable!$C$7&amp;"]"&amp;datatable!$A22&amp;"!"&amp;"I:I"),"Low Incorrect")</f>
        <v>#REF!</v>
      </c>
      <c r="K27" s="23" t="e">
        <f ca="1">COUNTIF(INDIRECT("["&amp;datatable!$C$7&amp;"]"&amp;datatable!$A22&amp;"!"&amp;"I:I"),"Medium Incorrect")</f>
        <v>#REF!</v>
      </c>
      <c r="L27" s="25" t="e">
        <f ca="1">COUNTIF(INDIRECT("["&amp;datatable!$C$7&amp;"]"&amp;datatable!$A22&amp;"!"&amp;"I:I"),"High Incorrect")</f>
        <v>#REF!</v>
      </c>
      <c r="M27" s="27" t="e">
        <f ca="1">COUNTIF(INDIRECT("["&amp;datatable!$C$7&amp;"]"&amp;datatable!$A22&amp;"!"&amp;"I:I"),"N/A")</f>
        <v>#REF!</v>
      </c>
      <c r="N27" s="29" t="e">
        <f t="shared" ca="1" si="0"/>
        <v>#REF!</v>
      </c>
      <c r="O27" s="29" t="e">
        <f t="shared" ca="1" si="1"/>
        <v>#REF!</v>
      </c>
      <c r="R27" t="s">
        <v>92</v>
      </c>
    </row>
    <row r="28" spans="3:29">
      <c r="C28" s="6" t="s">
        <v>34</v>
      </c>
      <c r="D28" s="9" t="e">
        <f t="shared" ref="D28:M28" ca="1" si="2">SUM(D7:D27)</f>
        <v>#REF!</v>
      </c>
      <c r="E28" s="9" t="e">
        <f t="shared" ca="1" si="2"/>
        <v>#REF!</v>
      </c>
      <c r="F28" s="9" t="e">
        <f t="shared" ca="1" si="2"/>
        <v>#REF!</v>
      </c>
      <c r="G28" s="9" t="e">
        <f t="shared" ca="1" si="2"/>
        <v>#REF!</v>
      </c>
      <c r="H28" s="9" t="e">
        <f t="shared" ca="1" si="2"/>
        <v>#REF!</v>
      </c>
      <c r="I28" s="9" t="e">
        <f t="shared" ca="1" si="2"/>
        <v>#REF!</v>
      </c>
      <c r="J28" s="9" t="e">
        <f t="shared" ca="1" si="2"/>
        <v>#REF!</v>
      </c>
      <c r="K28" s="9" t="e">
        <f t="shared" ca="1" si="2"/>
        <v>#REF!</v>
      </c>
      <c r="L28" s="9" t="e">
        <f t="shared" ca="1" si="2"/>
        <v>#REF!</v>
      </c>
      <c r="M28" s="9" t="e">
        <f t="shared" ca="1" si="2"/>
        <v>#REF!</v>
      </c>
      <c r="N28" s="29" t="e">
        <f t="shared" ca="1" si="0"/>
        <v>#REF!</v>
      </c>
      <c r="O28" s="29" t="e">
        <f t="shared" ca="1" si="1"/>
        <v>#REF!</v>
      </c>
      <c r="R28" t="s">
        <v>118</v>
      </c>
      <c r="AC28" t="s">
        <v>119</v>
      </c>
    </row>
    <row r="29" spans="3:29">
      <c r="R29" t="s">
        <v>92</v>
      </c>
    </row>
    <row r="30" spans="3:29">
      <c r="C30" s="30" t="s">
        <v>35</v>
      </c>
      <c r="R30" t="s">
        <v>120</v>
      </c>
      <c r="AC30" t="s">
        <v>121</v>
      </c>
    </row>
    <row r="31" spans="3:29">
      <c r="C31" s="30"/>
      <c r="D31" s="31" t="s">
        <v>1</v>
      </c>
      <c r="E31" s="32" t="s">
        <v>2</v>
      </c>
      <c r="F31" s="33" t="s">
        <v>3</v>
      </c>
      <c r="G31" s="34" t="s">
        <v>4</v>
      </c>
      <c r="H31" s="35" t="s">
        <v>5</v>
      </c>
      <c r="I31" s="36" t="s">
        <v>6</v>
      </c>
      <c r="J31" s="37" t="s">
        <v>7</v>
      </c>
      <c r="K31" s="38" t="s">
        <v>8</v>
      </c>
      <c r="L31" s="39" t="s">
        <v>9</v>
      </c>
      <c r="M31" s="40" t="s">
        <v>10</v>
      </c>
      <c r="N31" s="41" t="s">
        <v>36</v>
      </c>
      <c r="O31" s="41" t="s">
        <v>12</v>
      </c>
      <c r="R31" t="s">
        <v>92</v>
      </c>
    </row>
    <row r="32" spans="3:29">
      <c r="C32" s="42" t="s">
        <v>58</v>
      </c>
      <c r="D32" s="8" t="e">
        <f ca="1">COUNTIF(INDIRECT("["&amp;datatable!$C$7&amp;"]"&amp;datatable!$E2&amp;"!"&amp;"I:I"),"High Correct")</f>
        <v>#REF!</v>
      </c>
      <c r="E32" s="11" t="e">
        <f ca="1">COUNTIF(INDIRECT("["&amp;datatable!$C$7&amp;"]"&amp;datatable!$E2&amp;"!"&amp;"I:I"),"Medium Correct")</f>
        <v>#REF!</v>
      </c>
      <c r="F32" s="13" t="e">
        <f ca="1">COUNTIF(INDIRECT("["&amp;datatable!$C$7&amp;"]"&amp;datatable!$E2&amp;"!"&amp;"I:I"),"Low Correct")</f>
        <v>#REF!</v>
      </c>
      <c r="G32" s="15" t="e">
        <f ca="1">COUNTIF(INDIRECT("["&amp;datatable!$C$7&amp;"]"&amp;datatable!$E2&amp;"!"&amp;"I:I"),"High Maybe")</f>
        <v>#REF!</v>
      </c>
      <c r="H32" s="17" t="e">
        <f ca="1">COUNTIF(INDIRECT("["&amp;datatable!$C$7&amp;"]"&amp;datatable!$E2&amp;"!"&amp;"I:I"),"Medium Maybe")</f>
        <v>#REF!</v>
      </c>
      <c r="I32" s="19" t="e">
        <f ca="1">COUNTIF(INDIRECT("["&amp;datatable!$C$7&amp;"]"&amp;datatable!$E2&amp;"!"&amp;"I:I"),"Low Maybe")</f>
        <v>#REF!</v>
      </c>
      <c r="J32" s="21" t="e">
        <f ca="1">COUNTIF(INDIRECT("["&amp;datatable!$C$7&amp;"]"&amp;datatable!$E2&amp;"!"&amp;"I:I"),"Low Incorrect")</f>
        <v>#REF!</v>
      </c>
      <c r="K32" s="23" t="e">
        <f ca="1">COUNTIF(INDIRECT("["&amp;datatable!$C$7&amp;"]"&amp;datatable!$E2&amp;"!"&amp;"I:I"),"Medium Incorrect")</f>
        <v>#REF!</v>
      </c>
      <c r="L32" s="25" t="e">
        <f ca="1">COUNTIF(INDIRECT("["&amp;datatable!$C$7&amp;"]"&amp;datatable!$E2&amp;"!"&amp;"I:I"),"High Incorrect")</f>
        <v>#REF!</v>
      </c>
      <c r="M32" s="27" t="e">
        <f ca="1">COUNTIF(INDIRECT("["&amp;datatable!$C$7&amp;"]"&amp;datatable!$E2&amp;"!"&amp;"I:I"),"N/A")</f>
        <v>#REF!</v>
      </c>
      <c r="N32" s="43" t="e">
        <f t="shared" ref="N32:N48" ca="1" si="3">SUM(D32:M32)</f>
        <v>#REF!</v>
      </c>
      <c r="O32" s="43" t="e">
        <f t="shared" ref="O32:O48" ca="1" si="4">SUM(D32:L32)</f>
        <v>#REF!</v>
      </c>
      <c r="R32" t="s">
        <v>122</v>
      </c>
      <c r="AC32" t="s">
        <v>123</v>
      </c>
    </row>
    <row r="33" spans="3:29">
      <c r="C33" s="42" t="s">
        <v>59</v>
      </c>
      <c r="D33" s="8" t="e">
        <f ca="1">COUNTIF(INDIRECT("["&amp;datatable!$C$7&amp;"]"&amp;datatable!$E3&amp;"!"&amp;"I:I"),"High Correct")</f>
        <v>#REF!</v>
      </c>
      <c r="E33" s="11" t="e">
        <f ca="1">COUNTIF(INDIRECT("["&amp;datatable!$C$7&amp;"]"&amp;datatable!$E3&amp;"!"&amp;"I:I"),"Medium Correct")</f>
        <v>#REF!</v>
      </c>
      <c r="F33" s="13" t="e">
        <f ca="1">COUNTIF(INDIRECT("["&amp;datatable!$C$7&amp;"]"&amp;datatable!$E3&amp;"!"&amp;"I:I"),"Low Correct")</f>
        <v>#REF!</v>
      </c>
      <c r="G33" s="15" t="e">
        <f ca="1">COUNTIF(INDIRECT("["&amp;datatable!$C$7&amp;"]"&amp;datatable!$E3&amp;"!"&amp;"I:I"),"High Maybe")</f>
        <v>#REF!</v>
      </c>
      <c r="H33" s="17" t="e">
        <f ca="1">COUNTIF(INDIRECT("["&amp;datatable!$C$7&amp;"]"&amp;datatable!$E3&amp;"!"&amp;"I:I"),"Medium Maybe")</f>
        <v>#REF!</v>
      </c>
      <c r="I33" s="19" t="e">
        <f ca="1">COUNTIF(INDIRECT("["&amp;datatable!$C$7&amp;"]"&amp;datatable!$E3&amp;"!"&amp;"I:I"),"Low Maybe")</f>
        <v>#REF!</v>
      </c>
      <c r="J33" s="21" t="e">
        <f ca="1">COUNTIF(INDIRECT("["&amp;datatable!$C$7&amp;"]"&amp;datatable!$E3&amp;"!"&amp;"I:I"),"Low Incorrect")</f>
        <v>#REF!</v>
      </c>
      <c r="K33" s="23" t="e">
        <f ca="1">COUNTIF(INDIRECT("["&amp;datatable!$C$7&amp;"]"&amp;datatable!$E3&amp;"!"&amp;"I:I"),"Medium Incorrect")</f>
        <v>#REF!</v>
      </c>
      <c r="L33" s="25" t="e">
        <f ca="1">COUNTIF(INDIRECT("["&amp;datatable!$C$7&amp;"]"&amp;datatable!$E3&amp;"!"&amp;"I:I"),"High Incorrect")</f>
        <v>#REF!</v>
      </c>
      <c r="M33" s="27" t="e">
        <f ca="1">COUNTIF(INDIRECT("["&amp;datatable!$C$7&amp;"]"&amp;datatable!$E3&amp;"!"&amp;"I:I"),"N/A")</f>
        <v>#REF!</v>
      </c>
      <c r="N33" s="43" t="e">
        <f t="shared" ca="1" si="3"/>
        <v>#REF!</v>
      </c>
      <c r="O33" s="43" t="e">
        <f t="shared" ca="1" si="4"/>
        <v>#REF!</v>
      </c>
      <c r="R33" t="s">
        <v>92</v>
      </c>
    </row>
    <row r="34" spans="3:29">
      <c r="C34" s="42" t="s">
        <v>60</v>
      </c>
      <c r="D34" s="8" t="e">
        <f ca="1">COUNTIF(INDIRECT("["&amp;datatable!$C$7&amp;"]"&amp;datatable!$E4&amp;"!"&amp;"I:I"),"High Correct")</f>
        <v>#REF!</v>
      </c>
      <c r="E34" s="11" t="e">
        <f ca="1">COUNTIF(INDIRECT("["&amp;datatable!$C$7&amp;"]"&amp;datatable!$E4&amp;"!"&amp;"I:I"),"Medium Correct")</f>
        <v>#REF!</v>
      </c>
      <c r="F34" s="13" t="e">
        <f ca="1">COUNTIF(INDIRECT("["&amp;datatable!$C$7&amp;"]"&amp;datatable!$E4&amp;"!"&amp;"I:I"),"Low Correct")</f>
        <v>#REF!</v>
      </c>
      <c r="G34" s="15" t="e">
        <f ca="1">COUNTIF(INDIRECT("["&amp;datatable!$C$7&amp;"]"&amp;datatable!$E4&amp;"!"&amp;"I:I"),"High Maybe")</f>
        <v>#REF!</v>
      </c>
      <c r="H34" s="17" t="e">
        <f ca="1">COUNTIF(INDIRECT("["&amp;datatable!$C$7&amp;"]"&amp;datatable!$E4&amp;"!"&amp;"I:I"),"Medium Maybe")</f>
        <v>#REF!</v>
      </c>
      <c r="I34" s="19" t="e">
        <f ca="1">COUNTIF(INDIRECT("["&amp;datatable!$C$7&amp;"]"&amp;datatable!$E4&amp;"!"&amp;"I:I"),"Low Maybe")</f>
        <v>#REF!</v>
      </c>
      <c r="J34" s="21" t="e">
        <f ca="1">COUNTIF(INDIRECT("["&amp;datatable!$C$7&amp;"]"&amp;datatable!$E4&amp;"!"&amp;"I:I"),"Low Incorrect")</f>
        <v>#REF!</v>
      </c>
      <c r="K34" s="23" t="e">
        <f ca="1">COUNTIF(INDIRECT("["&amp;datatable!$C$7&amp;"]"&amp;datatable!$E4&amp;"!"&amp;"I:I"),"Medium Incorrect")</f>
        <v>#REF!</v>
      </c>
      <c r="L34" s="25" t="e">
        <f ca="1">COUNTIF(INDIRECT("["&amp;datatable!$C$7&amp;"]"&amp;datatable!$E4&amp;"!"&amp;"I:I"),"High Incorrect")</f>
        <v>#REF!</v>
      </c>
      <c r="M34" s="27" t="e">
        <f ca="1">COUNTIF(INDIRECT("["&amp;datatable!$C$7&amp;"]"&amp;datatable!$E4&amp;"!"&amp;"I:I"),"N/A")</f>
        <v>#REF!</v>
      </c>
      <c r="N34" s="43" t="e">
        <f t="shared" ca="1" si="3"/>
        <v>#REF!</v>
      </c>
      <c r="O34" s="43" t="e">
        <f t="shared" ca="1" si="4"/>
        <v>#REF!</v>
      </c>
      <c r="R34" t="s">
        <v>124</v>
      </c>
      <c r="AC34" t="s">
        <v>125</v>
      </c>
    </row>
    <row r="35" spans="3:29">
      <c r="C35" s="42" t="s">
        <v>61</v>
      </c>
      <c r="D35" s="8" t="e">
        <f ca="1">COUNTIF(INDIRECT("["&amp;datatable!$C$7&amp;"]"&amp;datatable!$E5&amp;"!"&amp;"I:I"),"High Correct")</f>
        <v>#REF!</v>
      </c>
      <c r="E35" s="11" t="e">
        <f ca="1">COUNTIF(INDIRECT("["&amp;datatable!$C$7&amp;"]"&amp;datatable!$E5&amp;"!"&amp;"I:I"),"Medium Correct")</f>
        <v>#REF!</v>
      </c>
      <c r="F35" s="13" t="e">
        <f ca="1">COUNTIF(INDIRECT("["&amp;datatable!$C$7&amp;"]"&amp;datatable!$E5&amp;"!"&amp;"I:I"),"Low Correct")</f>
        <v>#REF!</v>
      </c>
      <c r="G35" s="15" t="e">
        <f ca="1">COUNTIF(INDIRECT("["&amp;datatable!$C$7&amp;"]"&amp;datatable!$E5&amp;"!"&amp;"I:I"),"High Maybe")</f>
        <v>#REF!</v>
      </c>
      <c r="H35" s="17" t="e">
        <f ca="1">COUNTIF(INDIRECT("["&amp;datatable!$C$7&amp;"]"&amp;datatable!$E5&amp;"!"&amp;"I:I"),"Medium Maybe")</f>
        <v>#REF!</v>
      </c>
      <c r="I35" s="19" t="e">
        <f ca="1">COUNTIF(INDIRECT("["&amp;datatable!$C$7&amp;"]"&amp;datatable!$E5&amp;"!"&amp;"I:I"),"Low Maybe")</f>
        <v>#REF!</v>
      </c>
      <c r="J35" s="21" t="e">
        <f ca="1">COUNTIF(INDIRECT("["&amp;datatable!$C$7&amp;"]"&amp;datatable!$E5&amp;"!"&amp;"I:I"),"Low Incorrect")</f>
        <v>#REF!</v>
      </c>
      <c r="K35" s="23" t="e">
        <f ca="1">COUNTIF(INDIRECT("["&amp;datatable!$C$7&amp;"]"&amp;datatable!$E5&amp;"!"&amp;"I:I"),"Medium Incorrect")</f>
        <v>#REF!</v>
      </c>
      <c r="L35" s="25" t="e">
        <f ca="1">COUNTIF(INDIRECT("["&amp;datatable!$C$7&amp;"]"&amp;datatable!$E5&amp;"!"&amp;"I:I"),"High Incorrect")</f>
        <v>#REF!</v>
      </c>
      <c r="M35" s="27" t="e">
        <f ca="1">COUNTIF(INDIRECT("["&amp;datatable!$C$7&amp;"]"&amp;datatable!$E5&amp;"!"&amp;"I:I"),"N/A")</f>
        <v>#REF!</v>
      </c>
      <c r="N35" s="43" t="e">
        <f t="shared" ca="1" si="3"/>
        <v>#REF!</v>
      </c>
      <c r="O35" s="43" t="e">
        <f t="shared" ca="1" si="4"/>
        <v>#REF!</v>
      </c>
      <c r="R35" t="s">
        <v>92</v>
      </c>
    </row>
    <row r="36" spans="3:29">
      <c r="C36" s="42" t="s">
        <v>62</v>
      </c>
      <c r="D36" s="8" t="e">
        <f ca="1">COUNTIF(INDIRECT("["&amp;datatable!$C$7&amp;"]"&amp;datatable!$E6&amp;"!"&amp;"I:I"),"High Correct")</f>
        <v>#REF!</v>
      </c>
      <c r="E36" s="11" t="e">
        <f ca="1">COUNTIF(INDIRECT("["&amp;datatable!$C$7&amp;"]"&amp;datatable!$E6&amp;"!"&amp;"I:I"),"Medium Correct")</f>
        <v>#REF!</v>
      </c>
      <c r="F36" s="13" t="e">
        <f ca="1">COUNTIF(INDIRECT("["&amp;datatable!$C$7&amp;"]"&amp;datatable!$E6&amp;"!"&amp;"I:I"),"Low Correct")</f>
        <v>#REF!</v>
      </c>
      <c r="G36" s="15" t="e">
        <f ca="1">COUNTIF(INDIRECT("["&amp;datatable!$C$7&amp;"]"&amp;datatable!$E6&amp;"!"&amp;"I:I"),"High Maybe")</f>
        <v>#REF!</v>
      </c>
      <c r="H36" s="17" t="e">
        <f ca="1">COUNTIF(INDIRECT("["&amp;datatable!$C$7&amp;"]"&amp;datatable!$E6&amp;"!"&amp;"I:I"),"Medium Maybe")</f>
        <v>#REF!</v>
      </c>
      <c r="I36" s="19" t="e">
        <f ca="1">COUNTIF(INDIRECT("["&amp;datatable!$C$7&amp;"]"&amp;datatable!$E6&amp;"!"&amp;"I:I"),"Low Maybe")</f>
        <v>#REF!</v>
      </c>
      <c r="J36" s="21" t="e">
        <f ca="1">COUNTIF(INDIRECT("["&amp;datatable!$C$7&amp;"]"&amp;datatable!$E6&amp;"!"&amp;"I:I"),"Low Incorrect")</f>
        <v>#REF!</v>
      </c>
      <c r="K36" s="23" t="e">
        <f ca="1">COUNTIF(INDIRECT("["&amp;datatable!$C$7&amp;"]"&amp;datatable!$E6&amp;"!"&amp;"I:I"),"Medium Incorrect")</f>
        <v>#REF!</v>
      </c>
      <c r="L36" s="25" t="e">
        <f ca="1">COUNTIF(INDIRECT("["&amp;datatable!$C$7&amp;"]"&amp;datatable!$E6&amp;"!"&amp;"I:I"),"High Incorrect")</f>
        <v>#REF!</v>
      </c>
      <c r="M36" s="27" t="e">
        <f ca="1">COUNTIF(INDIRECT("["&amp;datatable!$C$7&amp;"]"&amp;datatable!$E6&amp;"!"&amp;"I:I"),"N/A")</f>
        <v>#REF!</v>
      </c>
      <c r="N36" s="43" t="e">
        <f t="shared" ca="1" si="3"/>
        <v>#REF!</v>
      </c>
      <c r="O36" s="43" t="e">
        <f t="shared" ca="1" si="4"/>
        <v>#REF!</v>
      </c>
      <c r="R36" t="s">
        <v>126</v>
      </c>
      <c r="AC36" t="s">
        <v>127</v>
      </c>
    </row>
    <row r="37" spans="3:29">
      <c r="C37" s="42" t="s">
        <v>63</v>
      </c>
      <c r="D37" s="8" t="e">
        <f ca="1">COUNTIF(INDIRECT("["&amp;datatable!$C$7&amp;"]"&amp;datatable!$E7&amp;"!"&amp;"I:I"),"High Correct")</f>
        <v>#REF!</v>
      </c>
      <c r="E37" s="11" t="e">
        <f ca="1">COUNTIF(INDIRECT("["&amp;datatable!$C$7&amp;"]"&amp;datatable!$E7&amp;"!"&amp;"I:I"),"Medium Correct")</f>
        <v>#REF!</v>
      </c>
      <c r="F37" s="13" t="e">
        <f ca="1">COUNTIF(INDIRECT("["&amp;datatable!$C$7&amp;"]"&amp;datatable!$E7&amp;"!"&amp;"I:I"),"Low Correct")</f>
        <v>#REF!</v>
      </c>
      <c r="G37" s="15" t="e">
        <f ca="1">COUNTIF(INDIRECT("["&amp;datatable!$C$7&amp;"]"&amp;datatable!$E7&amp;"!"&amp;"I:I"),"High Maybe")</f>
        <v>#REF!</v>
      </c>
      <c r="H37" s="17" t="e">
        <f ca="1">COUNTIF(INDIRECT("["&amp;datatable!$C$7&amp;"]"&amp;datatable!$E7&amp;"!"&amp;"I:I"),"Medium Maybe")</f>
        <v>#REF!</v>
      </c>
      <c r="I37" s="19" t="e">
        <f ca="1">COUNTIF(INDIRECT("["&amp;datatable!$C$7&amp;"]"&amp;datatable!$E7&amp;"!"&amp;"I:I"),"Low Maybe")</f>
        <v>#REF!</v>
      </c>
      <c r="J37" s="21" t="e">
        <f ca="1">COUNTIF(INDIRECT("["&amp;datatable!$C$7&amp;"]"&amp;datatable!$E7&amp;"!"&amp;"I:I"),"Low Incorrect")</f>
        <v>#REF!</v>
      </c>
      <c r="K37" s="23" t="e">
        <f ca="1">COUNTIF(INDIRECT("["&amp;datatable!$C$7&amp;"]"&amp;datatable!$E7&amp;"!"&amp;"I:I"),"Medium Incorrect")</f>
        <v>#REF!</v>
      </c>
      <c r="L37" s="25" t="e">
        <f ca="1">COUNTIF(INDIRECT("["&amp;datatable!$C$7&amp;"]"&amp;datatable!$E7&amp;"!"&amp;"I:I"),"High Incorrect")</f>
        <v>#REF!</v>
      </c>
      <c r="M37" s="27" t="e">
        <f ca="1">COUNTIF(INDIRECT("["&amp;datatable!$C$7&amp;"]"&amp;datatable!$E7&amp;"!"&amp;"I:I"),"N/A")</f>
        <v>#REF!</v>
      </c>
      <c r="N37" s="43" t="e">
        <f t="shared" ca="1" si="3"/>
        <v>#REF!</v>
      </c>
      <c r="O37" s="43" t="e">
        <f t="shared" ca="1" si="4"/>
        <v>#REF!</v>
      </c>
      <c r="R37" t="s">
        <v>92</v>
      </c>
    </row>
    <row r="38" spans="3:29">
      <c r="C38" s="42" t="s">
        <v>64</v>
      </c>
      <c r="D38" s="8" t="e">
        <f ca="1">COUNTIF(INDIRECT("["&amp;datatable!$C$7&amp;"]"&amp;datatable!$E8&amp;"!"&amp;"I:I"),"High Correct")</f>
        <v>#REF!</v>
      </c>
      <c r="E38" s="11" t="e">
        <f ca="1">COUNTIF(INDIRECT("["&amp;datatable!$C$7&amp;"]"&amp;datatable!$E8&amp;"!"&amp;"I:I"),"Medium Correct")</f>
        <v>#REF!</v>
      </c>
      <c r="F38" s="13" t="e">
        <f ca="1">COUNTIF(INDIRECT("["&amp;datatable!$C$7&amp;"]"&amp;datatable!$E8&amp;"!"&amp;"I:I"),"Low Correct")</f>
        <v>#REF!</v>
      </c>
      <c r="G38" s="15" t="e">
        <f ca="1">COUNTIF(INDIRECT("["&amp;datatable!$C$7&amp;"]"&amp;datatable!$E8&amp;"!"&amp;"I:I"),"High Maybe")</f>
        <v>#REF!</v>
      </c>
      <c r="H38" s="17" t="e">
        <f ca="1">COUNTIF(INDIRECT("["&amp;datatable!$C$7&amp;"]"&amp;datatable!$E8&amp;"!"&amp;"I:I"),"Medium Maybe")</f>
        <v>#REF!</v>
      </c>
      <c r="I38" s="19" t="e">
        <f ca="1">COUNTIF(INDIRECT("["&amp;datatable!$C$7&amp;"]"&amp;datatable!$E8&amp;"!"&amp;"I:I"),"Low Maybe")</f>
        <v>#REF!</v>
      </c>
      <c r="J38" s="21" t="e">
        <f ca="1">COUNTIF(INDIRECT("["&amp;datatable!$C$7&amp;"]"&amp;datatable!$E8&amp;"!"&amp;"I:I"),"Low Incorrect")</f>
        <v>#REF!</v>
      </c>
      <c r="K38" s="23" t="e">
        <f ca="1">COUNTIF(INDIRECT("["&amp;datatable!$C$7&amp;"]"&amp;datatable!$E8&amp;"!"&amp;"I:I"),"Medium Incorrect")</f>
        <v>#REF!</v>
      </c>
      <c r="L38" s="25" t="e">
        <f ca="1">COUNTIF(INDIRECT("["&amp;datatable!$C$7&amp;"]"&amp;datatable!$E8&amp;"!"&amp;"I:I"),"High Incorrect")</f>
        <v>#REF!</v>
      </c>
      <c r="M38" s="27" t="e">
        <f ca="1">COUNTIF(INDIRECT("["&amp;datatable!$C$7&amp;"]"&amp;datatable!$E8&amp;"!"&amp;"I:I"),"N/A")</f>
        <v>#REF!</v>
      </c>
      <c r="N38" s="43" t="e">
        <f t="shared" ca="1" si="3"/>
        <v>#REF!</v>
      </c>
      <c r="O38" s="43" t="e">
        <f t="shared" ca="1" si="4"/>
        <v>#REF!</v>
      </c>
      <c r="R38" t="s">
        <v>128</v>
      </c>
    </row>
    <row r="39" spans="3:29">
      <c r="C39" s="42" t="s">
        <v>65</v>
      </c>
      <c r="D39" s="8" t="e">
        <f ca="1">COUNTIF(INDIRECT("["&amp;datatable!$C$7&amp;"]"&amp;datatable!$E9&amp;"!"&amp;"I:I"),"High Correct")</f>
        <v>#REF!</v>
      </c>
      <c r="E39" s="11" t="e">
        <f ca="1">COUNTIF(INDIRECT("["&amp;datatable!$C$7&amp;"]"&amp;datatable!$E9&amp;"!"&amp;"I:I"),"Medium Correct")</f>
        <v>#REF!</v>
      </c>
      <c r="F39" s="13" t="e">
        <f ca="1">COUNTIF(INDIRECT("["&amp;datatable!$C$7&amp;"]"&amp;datatable!$E9&amp;"!"&amp;"I:I"),"Low Correct")</f>
        <v>#REF!</v>
      </c>
      <c r="G39" s="15" t="e">
        <f ca="1">COUNTIF(INDIRECT("["&amp;datatable!$C$7&amp;"]"&amp;datatable!$E9&amp;"!"&amp;"I:I"),"High Maybe")</f>
        <v>#REF!</v>
      </c>
      <c r="H39" s="17" t="e">
        <f ca="1">COUNTIF(INDIRECT("["&amp;datatable!$C$7&amp;"]"&amp;datatable!$E9&amp;"!"&amp;"I:I"),"Medium Maybe")</f>
        <v>#REF!</v>
      </c>
      <c r="I39" s="19" t="e">
        <f ca="1">COUNTIF(INDIRECT("["&amp;datatable!$C$7&amp;"]"&amp;datatable!$E9&amp;"!"&amp;"I:I"),"Low Maybe")</f>
        <v>#REF!</v>
      </c>
      <c r="J39" s="21" t="e">
        <f ca="1">COUNTIF(INDIRECT("["&amp;datatable!$C$7&amp;"]"&amp;datatable!$E9&amp;"!"&amp;"I:I"),"Low Incorrect")</f>
        <v>#REF!</v>
      </c>
      <c r="K39" s="23" t="e">
        <f ca="1">COUNTIF(INDIRECT("["&amp;datatable!$C$7&amp;"]"&amp;datatable!$E9&amp;"!"&amp;"I:I"),"Medium Incorrect")</f>
        <v>#REF!</v>
      </c>
      <c r="L39" s="25" t="e">
        <f ca="1">COUNTIF(INDIRECT("["&amp;datatable!$C$7&amp;"]"&amp;datatable!$E9&amp;"!"&amp;"I:I"),"High Incorrect")</f>
        <v>#REF!</v>
      </c>
      <c r="M39" s="27" t="e">
        <f ca="1">COUNTIF(INDIRECT("["&amp;datatable!$C$7&amp;"]"&amp;datatable!$E9&amp;"!"&amp;"I:I"),"N/A")</f>
        <v>#REF!</v>
      </c>
      <c r="N39" s="43" t="e">
        <f t="shared" ca="1" si="3"/>
        <v>#REF!</v>
      </c>
      <c r="O39" s="43" t="e">
        <f t="shared" ca="1" si="4"/>
        <v>#REF!</v>
      </c>
      <c r="R39" t="s">
        <v>92</v>
      </c>
      <c r="AC39" t="s">
        <v>129</v>
      </c>
    </row>
    <row r="40" spans="3:29">
      <c r="C40" s="42" t="s">
        <v>66</v>
      </c>
      <c r="D40" s="8" t="e">
        <f ca="1">COUNTIF(INDIRECT("["&amp;datatable!$C$7&amp;"]"&amp;datatable!$E10&amp;"!"&amp;"I:I"),"High Correct")</f>
        <v>#REF!</v>
      </c>
      <c r="E40" s="11" t="e">
        <f ca="1">COUNTIF(INDIRECT("["&amp;datatable!$C$7&amp;"]"&amp;datatable!$E10&amp;"!"&amp;"I:I"),"Medium Correct")</f>
        <v>#REF!</v>
      </c>
      <c r="F40" s="13" t="e">
        <f ca="1">COUNTIF(INDIRECT("["&amp;datatable!$C$7&amp;"]"&amp;datatable!$E10&amp;"!"&amp;"I:I"),"Low Correct")</f>
        <v>#REF!</v>
      </c>
      <c r="G40" s="15" t="e">
        <f ca="1">COUNTIF(INDIRECT("["&amp;datatable!$C$7&amp;"]"&amp;datatable!$E10&amp;"!"&amp;"I:I"),"High Maybe")</f>
        <v>#REF!</v>
      </c>
      <c r="H40" s="17" t="e">
        <f ca="1">COUNTIF(INDIRECT("["&amp;datatable!$C$7&amp;"]"&amp;datatable!$E10&amp;"!"&amp;"I:I"),"Medium Maybe")</f>
        <v>#REF!</v>
      </c>
      <c r="I40" s="19" t="e">
        <f ca="1">COUNTIF(INDIRECT("["&amp;datatable!$C$7&amp;"]"&amp;datatable!$E10&amp;"!"&amp;"I:I"),"Low Maybe")</f>
        <v>#REF!</v>
      </c>
      <c r="J40" s="21" t="e">
        <f ca="1">COUNTIF(INDIRECT("["&amp;datatable!$C$7&amp;"]"&amp;datatable!$E10&amp;"!"&amp;"I:I"),"Low Incorrect")</f>
        <v>#REF!</v>
      </c>
      <c r="K40" s="23" t="e">
        <f ca="1">COUNTIF(INDIRECT("["&amp;datatable!$C$7&amp;"]"&amp;datatable!$E10&amp;"!"&amp;"I:I"),"Medium Incorrect")</f>
        <v>#REF!</v>
      </c>
      <c r="L40" s="25" t="e">
        <f ca="1">COUNTIF(INDIRECT("["&amp;datatable!$C$7&amp;"]"&amp;datatable!$E10&amp;"!"&amp;"I:I"),"High Incorrect")</f>
        <v>#REF!</v>
      </c>
      <c r="M40" s="27" t="e">
        <f ca="1">COUNTIF(INDIRECT("["&amp;datatable!$C$7&amp;"]"&amp;datatable!$E10&amp;"!"&amp;"I:I"),"N/A")</f>
        <v>#REF!</v>
      </c>
      <c r="N40" s="43" t="e">
        <f t="shared" ca="1" si="3"/>
        <v>#REF!</v>
      </c>
      <c r="O40" s="43" t="e">
        <f t="shared" ca="1" si="4"/>
        <v>#REF!</v>
      </c>
      <c r="R40" t="s">
        <v>130</v>
      </c>
    </row>
    <row r="41" spans="3:29">
      <c r="C41" s="42" t="s">
        <v>67</v>
      </c>
      <c r="D41" s="8" t="e">
        <f ca="1">COUNTIF(INDIRECT("["&amp;datatable!$C$7&amp;"]"&amp;datatable!$E11&amp;"!"&amp;"I:I"),"High Correct")</f>
        <v>#REF!</v>
      </c>
      <c r="E41" s="11" t="e">
        <f ca="1">COUNTIF(INDIRECT("["&amp;datatable!$C$7&amp;"]"&amp;datatable!$E11&amp;"!"&amp;"I:I"),"Medium Correct")</f>
        <v>#REF!</v>
      </c>
      <c r="F41" s="13" t="e">
        <f ca="1">COUNTIF(INDIRECT("["&amp;datatable!$C$7&amp;"]"&amp;datatable!$E11&amp;"!"&amp;"I:I"),"Low Correct")</f>
        <v>#REF!</v>
      </c>
      <c r="G41" s="15" t="e">
        <f ca="1">COUNTIF(INDIRECT("["&amp;datatable!$C$7&amp;"]"&amp;datatable!$E11&amp;"!"&amp;"I:I"),"High Maybe")</f>
        <v>#REF!</v>
      </c>
      <c r="H41" s="17" t="e">
        <f ca="1">COUNTIF(INDIRECT("["&amp;datatable!$C$7&amp;"]"&amp;datatable!$E11&amp;"!"&amp;"I:I"),"Medium Maybe")</f>
        <v>#REF!</v>
      </c>
      <c r="I41" s="19" t="e">
        <f ca="1">COUNTIF(INDIRECT("["&amp;datatable!$C$7&amp;"]"&amp;datatable!$E11&amp;"!"&amp;"I:I"),"Low Maybe")</f>
        <v>#REF!</v>
      </c>
      <c r="J41" s="21" t="e">
        <f ca="1">COUNTIF(INDIRECT("["&amp;datatable!$C$7&amp;"]"&amp;datatable!$E11&amp;"!"&amp;"I:I"),"Low Incorrect")</f>
        <v>#REF!</v>
      </c>
      <c r="K41" s="23" t="e">
        <f ca="1">COUNTIF(INDIRECT("["&amp;datatable!$C$7&amp;"]"&amp;datatable!$E11&amp;"!"&amp;"I:I"),"Medium Incorrect")</f>
        <v>#REF!</v>
      </c>
      <c r="L41" s="25" t="e">
        <f ca="1">COUNTIF(INDIRECT("["&amp;datatable!$C$7&amp;"]"&amp;datatable!$E11&amp;"!"&amp;"I:I"),"High Incorrect")</f>
        <v>#REF!</v>
      </c>
      <c r="M41" s="27" t="e">
        <f ca="1">COUNTIF(INDIRECT("["&amp;datatable!$C$7&amp;"]"&amp;datatable!$E11&amp;"!"&amp;"I:I"),"N/A")</f>
        <v>#REF!</v>
      </c>
      <c r="N41" s="43" t="e">
        <f t="shared" ca="1" si="3"/>
        <v>#REF!</v>
      </c>
      <c r="O41" s="43" t="e">
        <f t="shared" ca="1" si="4"/>
        <v>#REF!</v>
      </c>
    </row>
    <row r="42" spans="3:29">
      <c r="C42" s="42" t="s">
        <v>68</v>
      </c>
      <c r="D42" s="8" t="e">
        <f ca="1">COUNTIF(INDIRECT("["&amp;datatable!$C$7&amp;"]"&amp;datatable!$E12&amp;"!"&amp;"I:I"),"High Correct")</f>
        <v>#REF!</v>
      </c>
      <c r="E42" s="11" t="e">
        <f ca="1">COUNTIF(INDIRECT("["&amp;datatable!$C$7&amp;"]"&amp;datatable!$E12&amp;"!"&amp;"I:I"),"Medium Correct")</f>
        <v>#REF!</v>
      </c>
      <c r="F42" s="13" t="e">
        <f ca="1">COUNTIF(INDIRECT("["&amp;datatable!$C$7&amp;"]"&amp;datatable!$E12&amp;"!"&amp;"I:I"),"Low Correct")</f>
        <v>#REF!</v>
      </c>
      <c r="G42" s="15" t="e">
        <f ca="1">COUNTIF(INDIRECT("["&amp;datatable!$C$7&amp;"]"&amp;datatable!$E12&amp;"!"&amp;"I:I"),"High Maybe")</f>
        <v>#REF!</v>
      </c>
      <c r="H42" s="17" t="e">
        <f ca="1">COUNTIF(INDIRECT("["&amp;datatable!$C$7&amp;"]"&amp;datatable!$E12&amp;"!"&amp;"I:I"),"Medium Maybe")</f>
        <v>#REF!</v>
      </c>
      <c r="I42" s="19" t="e">
        <f ca="1">COUNTIF(INDIRECT("["&amp;datatable!$C$7&amp;"]"&amp;datatable!$E12&amp;"!"&amp;"I:I"),"Low Maybe")</f>
        <v>#REF!</v>
      </c>
      <c r="J42" s="21" t="e">
        <f ca="1">COUNTIF(INDIRECT("["&amp;datatable!$C$7&amp;"]"&amp;datatable!$E12&amp;"!"&amp;"I:I"),"Low Incorrect")</f>
        <v>#REF!</v>
      </c>
      <c r="K42" s="23" t="e">
        <f ca="1">COUNTIF(INDIRECT("["&amp;datatable!$C$7&amp;"]"&amp;datatable!$E12&amp;"!"&amp;"I:I"),"Medium Incorrect")</f>
        <v>#REF!</v>
      </c>
      <c r="L42" s="25" t="e">
        <f ca="1">COUNTIF(INDIRECT("["&amp;datatable!$C$7&amp;"]"&amp;datatable!$E12&amp;"!"&amp;"I:I"),"High Incorrect")</f>
        <v>#REF!</v>
      </c>
      <c r="M42" s="27" t="e">
        <f ca="1">COUNTIF(INDIRECT("["&amp;datatable!$C$7&amp;"]"&amp;datatable!$E12&amp;"!"&amp;"I:I"),"N/A")</f>
        <v>#REF!</v>
      </c>
      <c r="N42" s="43" t="e">
        <f t="shared" ca="1" si="3"/>
        <v>#REF!</v>
      </c>
      <c r="O42" s="43" t="e">
        <f t="shared" ca="1" si="4"/>
        <v>#REF!</v>
      </c>
      <c r="AC42" t="s">
        <v>131</v>
      </c>
    </row>
    <row r="43" spans="3:29">
      <c r="C43" s="42" t="s">
        <v>69</v>
      </c>
      <c r="D43" s="8" t="e">
        <f ca="1">COUNTIF(INDIRECT("["&amp;datatable!$C$7&amp;"]"&amp;datatable!$E13&amp;"!"&amp;"I:I"),"High Correct")</f>
        <v>#REF!</v>
      </c>
      <c r="E43" s="11" t="e">
        <f ca="1">COUNTIF(INDIRECT("["&amp;datatable!$C$7&amp;"]"&amp;datatable!$E13&amp;"!"&amp;"I:I"),"Medium Correct")</f>
        <v>#REF!</v>
      </c>
      <c r="F43" s="13" t="e">
        <f ca="1">COUNTIF(INDIRECT("["&amp;datatable!$C$7&amp;"]"&amp;datatable!$E13&amp;"!"&amp;"I:I"),"Low Correct")</f>
        <v>#REF!</v>
      </c>
      <c r="G43" s="15" t="e">
        <f ca="1">COUNTIF(INDIRECT("["&amp;datatable!$C$7&amp;"]"&amp;datatable!$E13&amp;"!"&amp;"I:I"),"High Maybe")</f>
        <v>#REF!</v>
      </c>
      <c r="H43" s="17" t="e">
        <f ca="1">COUNTIF(INDIRECT("["&amp;datatable!$C$7&amp;"]"&amp;datatable!$E13&amp;"!"&amp;"I:I"),"Medium Maybe")</f>
        <v>#REF!</v>
      </c>
      <c r="I43" s="19" t="e">
        <f ca="1">COUNTIF(INDIRECT("["&amp;datatable!$C$7&amp;"]"&amp;datatable!$E13&amp;"!"&amp;"I:I"),"Low Maybe")</f>
        <v>#REF!</v>
      </c>
      <c r="J43" s="21" t="e">
        <f ca="1">COUNTIF(INDIRECT("["&amp;datatable!$C$7&amp;"]"&amp;datatable!$E13&amp;"!"&amp;"I:I"),"Low Incorrect")</f>
        <v>#REF!</v>
      </c>
      <c r="K43" s="23" t="e">
        <f ca="1">COUNTIF(INDIRECT("["&amp;datatable!$C$7&amp;"]"&amp;datatable!$E13&amp;"!"&amp;"I:I"),"Medium Incorrect")</f>
        <v>#REF!</v>
      </c>
      <c r="L43" s="25" t="e">
        <f ca="1">COUNTIF(INDIRECT("["&amp;datatable!$C$7&amp;"]"&amp;datatable!$E13&amp;"!"&amp;"I:I"),"High Incorrect")</f>
        <v>#REF!</v>
      </c>
      <c r="M43" s="27" t="e">
        <f ca="1">COUNTIF(INDIRECT("["&amp;datatable!$C$7&amp;"]"&amp;datatable!$E13&amp;"!"&amp;"I:I"),"N/A")</f>
        <v>#REF!</v>
      </c>
      <c r="N43" s="43" t="e">
        <f t="shared" ca="1" si="3"/>
        <v>#REF!</v>
      </c>
      <c r="O43" s="43" t="e">
        <f t="shared" ca="1" si="4"/>
        <v>#REF!</v>
      </c>
    </row>
    <row r="44" spans="3:29">
      <c r="C44" s="42" t="s">
        <v>70</v>
      </c>
      <c r="D44" s="8" t="e">
        <f ca="1">COUNTIF(INDIRECT("["&amp;datatable!$C$7&amp;"]"&amp;datatable!$E14&amp;"!"&amp;"I:I"),"High Correct")</f>
        <v>#REF!</v>
      </c>
      <c r="E44" s="11" t="e">
        <f ca="1">COUNTIF(INDIRECT("["&amp;datatable!$C$7&amp;"]"&amp;datatable!$E14&amp;"!"&amp;"I:I"),"Medium Correct")</f>
        <v>#REF!</v>
      </c>
      <c r="F44" s="13" t="e">
        <f ca="1">COUNTIF(INDIRECT("["&amp;datatable!$C$7&amp;"]"&amp;datatable!$E14&amp;"!"&amp;"I:I"),"Low Correct")</f>
        <v>#REF!</v>
      </c>
      <c r="G44" s="15" t="e">
        <f ca="1">COUNTIF(INDIRECT("["&amp;datatable!$C$7&amp;"]"&amp;datatable!$E14&amp;"!"&amp;"I:I"),"High Maybe")</f>
        <v>#REF!</v>
      </c>
      <c r="H44" s="17" t="e">
        <f ca="1">COUNTIF(INDIRECT("["&amp;datatable!$C$7&amp;"]"&amp;datatable!$E14&amp;"!"&amp;"I:I"),"Medium Maybe")</f>
        <v>#REF!</v>
      </c>
      <c r="I44" s="19" t="e">
        <f ca="1">COUNTIF(INDIRECT("["&amp;datatable!$C$7&amp;"]"&amp;datatable!$E14&amp;"!"&amp;"I:I"),"Low Maybe")</f>
        <v>#REF!</v>
      </c>
      <c r="J44" s="21" t="e">
        <f ca="1">COUNTIF(INDIRECT("["&amp;datatable!$C$7&amp;"]"&amp;datatable!$E14&amp;"!"&amp;"I:I"),"Low Incorrect")</f>
        <v>#REF!</v>
      </c>
      <c r="K44" s="23" t="e">
        <f ca="1">COUNTIF(INDIRECT("["&amp;datatable!$C$7&amp;"]"&amp;datatable!$E14&amp;"!"&amp;"I:I"),"Medium Incorrect")</f>
        <v>#REF!</v>
      </c>
      <c r="L44" s="25" t="e">
        <f ca="1">COUNTIF(INDIRECT("["&amp;datatable!$C$7&amp;"]"&amp;datatable!$E14&amp;"!"&amp;"I:I"),"High Incorrect")</f>
        <v>#REF!</v>
      </c>
      <c r="M44" s="27" t="e">
        <f ca="1">COUNTIF(INDIRECT("["&amp;datatable!$C$7&amp;"]"&amp;datatable!$E14&amp;"!"&amp;"I:I"),"N/A")</f>
        <v>#REF!</v>
      </c>
      <c r="N44" s="43" t="e">
        <f t="shared" ca="1" si="3"/>
        <v>#REF!</v>
      </c>
      <c r="O44" s="43" t="e">
        <f t="shared" ca="1" si="4"/>
        <v>#REF!</v>
      </c>
      <c r="AC44" t="s">
        <v>132</v>
      </c>
    </row>
    <row r="45" spans="3:29">
      <c r="C45" s="42" t="s">
        <v>71</v>
      </c>
      <c r="D45" s="8" t="e">
        <f ca="1">COUNTIF(INDIRECT("["&amp;datatable!$C$7&amp;"]"&amp;datatable!$E15&amp;"!"&amp;"I:I"),"High Correct")</f>
        <v>#REF!</v>
      </c>
      <c r="E45" s="11" t="e">
        <f ca="1">COUNTIF(INDIRECT("["&amp;datatable!$C$7&amp;"]"&amp;datatable!$E15&amp;"!"&amp;"I:I"),"Medium Correct")</f>
        <v>#REF!</v>
      </c>
      <c r="F45" s="13" t="e">
        <f ca="1">COUNTIF(INDIRECT("["&amp;datatable!$C$7&amp;"]"&amp;datatable!$E15&amp;"!"&amp;"I:I"),"Low Correct")</f>
        <v>#REF!</v>
      </c>
      <c r="G45" s="15" t="e">
        <f ca="1">COUNTIF(INDIRECT("["&amp;datatable!$C$7&amp;"]"&amp;datatable!$E15&amp;"!"&amp;"I:I"),"High Maybe")</f>
        <v>#REF!</v>
      </c>
      <c r="H45" s="17" t="e">
        <f ca="1">COUNTIF(INDIRECT("["&amp;datatable!$C$7&amp;"]"&amp;datatable!$E15&amp;"!"&amp;"I:I"),"Medium Maybe")</f>
        <v>#REF!</v>
      </c>
      <c r="I45" s="19" t="e">
        <f ca="1">COUNTIF(INDIRECT("["&amp;datatable!$C$7&amp;"]"&amp;datatable!$E15&amp;"!"&amp;"I:I"),"Low Maybe")</f>
        <v>#REF!</v>
      </c>
      <c r="J45" s="21" t="e">
        <f ca="1">COUNTIF(INDIRECT("["&amp;datatable!$C$7&amp;"]"&amp;datatable!$E15&amp;"!"&amp;"I:I"),"Low Incorrect")</f>
        <v>#REF!</v>
      </c>
      <c r="K45" s="23" t="e">
        <f ca="1">COUNTIF(INDIRECT("["&amp;datatable!$C$7&amp;"]"&amp;datatable!$E15&amp;"!"&amp;"I:I"),"Medium Incorrect")</f>
        <v>#REF!</v>
      </c>
      <c r="L45" s="25" t="e">
        <f ca="1">COUNTIF(INDIRECT("["&amp;datatable!$C$7&amp;"]"&amp;datatable!$E15&amp;"!"&amp;"I:I"),"High Incorrect")</f>
        <v>#REF!</v>
      </c>
      <c r="M45" s="27" t="e">
        <f ca="1">COUNTIF(INDIRECT("["&amp;datatable!$C$7&amp;"]"&amp;datatable!$E15&amp;"!"&amp;"I:I"),"N/A")</f>
        <v>#REF!</v>
      </c>
      <c r="N45" s="43" t="e">
        <f t="shared" ca="1" si="3"/>
        <v>#REF!</v>
      </c>
      <c r="O45" s="43" t="e">
        <f t="shared" ca="1" si="4"/>
        <v>#REF!</v>
      </c>
    </row>
    <row r="46" spans="3:29">
      <c r="C46" s="42" t="s">
        <v>72</v>
      </c>
      <c r="D46" s="8" t="e">
        <f ca="1">COUNTIF(INDIRECT("["&amp;datatable!$C$7&amp;"]"&amp;datatable!$E16&amp;"!"&amp;"I:I"),"High Correct")</f>
        <v>#REF!</v>
      </c>
      <c r="E46" s="11" t="e">
        <f ca="1">COUNTIF(INDIRECT("["&amp;datatable!$C$7&amp;"]"&amp;datatable!$E16&amp;"!"&amp;"I:I"),"Medium Correct")</f>
        <v>#REF!</v>
      </c>
      <c r="F46" s="13" t="e">
        <f ca="1">COUNTIF(INDIRECT("["&amp;datatable!$C$7&amp;"]"&amp;datatable!$E16&amp;"!"&amp;"I:I"),"Low Correct")</f>
        <v>#REF!</v>
      </c>
      <c r="G46" s="15" t="e">
        <f ca="1">COUNTIF(INDIRECT("["&amp;datatable!$C$7&amp;"]"&amp;datatable!$E16&amp;"!"&amp;"I:I"),"High Maybe")</f>
        <v>#REF!</v>
      </c>
      <c r="H46" s="17" t="e">
        <f ca="1">COUNTIF(INDIRECT("["&amp;datatable!$C$7&amp;"]"&amp;datatable!$E16&amp;"!"&amp;"I:I"),"Medium Maybe")</f>
        <v>#REF!</v>
      </c>
      <c r="I46" s="19" t="e">
        <f ca="1">COUNTIF(INDIRECT("["&amp;datatable!$C$7&amp;"]"&amp;datatable!$E16&amp;"!"&amp;"I:I"),"Low Maybe")</f>
        <v>#REF!</v>
      </c>
      <c r="J46" s="21" t="e">
        <f ca="1">COUNTIF(INDIRECT("["&amp;datatable!$C$7&amp;"]"&amp;datatable!$E16&amp;"!"&amp;"I:I"),"Low Incorrect")</f>
        <v>#REF!</v>
      </c>
      <c r="K46" s="23" t="e">
        <f ca="1">COUNTIF(INDIRECT("["&amp;datatable!$C$7&amp;"]"&amp;datatable!$E16&amp;"!"&amp;"I:I"),"Medium Incorrect")</f>
        <v>#REF!</v>
      </c>
      <c r="L46" s="25" t="e">
        <f ca="1">COUNTIF(INDIRECT("["&amp;datatable!$C$7&amp;"]"&amp;datatable!$E16&amp;"!"&amp;"I:I"),"High Incorrect")</f>
        <v>#REF!</v>
      </c>
      <c r="M46" s="27" t="e">
        <f ca="1">COUNTIF(INDIRECT("["&amp;datatable!$C$7&amp;"]"&amp;datatable!$E16&amp;"!"&amp;"I:I"),"N/A")</f>
        <v>#REF!</v>
      </c>
      <c r="N46" s="43" t="e">
        <f t="shared" ca="1" si="3"/>
        <v>#REF!</v>
      </c>
      <c r="O46" s="43" t="e">
        <f t="shared" ca="1" si="4"/>
        <v>#REF!</v>
      </c>
      <c r="AC46" t="s">
        <v>133</v>
      </c>
    </row>
    <row r="47" spans="3:29">
      <c r="C47" s="42" t="s">
        <v>73</v>
      </c>
      <c r="D47" s="8" t="e">
        <f ca="1">COUNTIF(INDIRECT("["&amp;datatable!$C$7&amp;"]"&amp;datatable!$E17&amp;"!"&amp;"I:I"),"High Correct")</f>
        <v>#REF!</v>
      </c>
      <c r="E47" s="11" t="e">
        <f ca="1">COUNTIF(INDIRECT("["&amp;datatable!$C$7&amp;"]"&amp;datatable!$E17&amp;"!"&amp;"I:I"),"Medium Correct")</f>
        <v>#REF!</v>
      </c>
      <c r="F47" s="13" t="e">
        <f ca="1">COUNTIF(INDIRECT("["&amp;datatable!$C$7&amp;"]"&amp;datatable!$E17&amp;"!"&amp;"I:I"),"Low Correct")</f>
        <v>#REF!</v>
      </c>
      <c r="G47" s="15" t="e">
        <f ca="1">COUNTIF(INDIRECT("["&amp;datatable!$C$7&amp;"]"&amp;datatable!$E17&amp;"!"&amp;"I:I"),"High Maybe")</f>
        <v>#REF!</v>
      </c>
      <c r="H47" s="17" t="e">
        <f ca="1">COUNTIF(INDIRECT("["&amp;datatable!$C$7&amp;"]"&amp;datatable!$E17&amp;"!"&amp;"I:I"),"Medium Maybe")</f>
        <v>#REF!</v>
      </c>
      <c r="I47" s="19" t="e">
        <f ca="1">COUNTIF(INDIRECT("["&amp;datatable!$C$7&amp;"]"&amp;datatable!$E17&amp;"!"&amp;"I:I"),"Low Maybe")</f>
        <v>#REF!</v>
      </c>
      <c r="J47" s="21" t="e">
        <f ca="1">COUNTIF(INDIRECT("["&amp;datatable!$C$7&amp;"]"&amp;datatable!$E17&amp;"!"&amp;"I:I"),"Low Incorrect")</f>
        <v>#REF!</v>
      </c>
      <c r="K47" s="23" t="e">
        <f ca="1">COUNTIF(INDIRECT("["&amp;datatable!$C$7&amp;"]"&amp;datatable!$E17&amp;"!"&amp;"I:I"),"Medium Incorrect")</f>
        <v>#REF!</v>
      </c>
      <c r="L47" s="25" t="e">
        <f ca="1">COUNTIF(INDIRECT("["&amp;datatable!$C$7&amp;"]"&amp;datatable!$E17&amp;"!"&amp;"I:I"),"High Incorrect")</f>
        <v>#REF!</v>
      </c>
      <c r="M47" s="27" t="e">
        <f ca="1">COUNTIF(INDIRECT("["&amp;datatable!$C$7&amp;"]"&amp;datatable!$E17&amp;"!"&amp;"I:I"),"N/A")</f>
        <v>#REF!</v>
      </c>
      <c r="N47" s="43" t="e">
        <f t="shared" ca="1" si="3"/>
        <v>#REF!</v>
      </c>
      <c r="O47" s="43" t="e">
        <f t="shared" ca="1" si="4"/>
        <v>#REF!</v>
      </c>
    </row>
    <row r="48" spans="3:29">
      <c r="C48" s="46" t="s">
        <v>36</v>
      </c>
      <c r="D48" s="47" t="e">
        <f t="shared" ref="D48:M48" ca="1" si="5">SUM(D32:D47)</f>
        <v>#REF!</v>
      </c>
      <c r="E48" s="47" t="e">
        <f t="shared" ca="1" si="5"/>
        <v>#REF!</v>
      </c>
      <c r="F48" s="47" t="e">
        <f t="shared" ca="1" si="5"/>
        <v>#REF!</v>
      </c>
      <c r="G48" s="47" t="e">
        <f t="shared" ca="1" si="5"/>
        <v>#REF!</v>
      </c>
      <c r="H48" s="47" t="e">
        <f t="shared" ca="1" si="5"/>
        <v>#REF!</v>
      </c>
      <c r="I48" s="47" t="e">
        <f t="shared" ca="1" si="5"/>
        <v>#REF!</v>
      </c>
      <c r="J48" s="47" t="e">
        <f t="shared" ca="1" si="5"/>
        <v>#REF!</v>
      </c>
      <c r="K48" s="47" t="e">
        <f t="shared" ca="1" si="5"/>
        <v>#REF!</v>
      </c>
      <c r="L48" s="47" t="e">
        <f t="shared" ca="1" si="5"/>
        <v>#REF!</v>
      </c>
      <c r="M48" s="47" t="e">
        <f t="shared" ca="1" si="5"/>
        <v>#REF!</v>
      </c>
      <c r="N48" s="43" t="e">
        <f t="shared" ca="1" si="3"/>
        <v>#REF!</v>
      </c>
      <c r="O48" s="43" t="e">
        <f t="shared" ca="1" si="4"/>
        <v>#REF!</v>
      </c>
      <c r="AC48" t="s">
        <v>134</v>
      </c>
    </row>
    <row r="50" spans="3:29">
      <c r="AC50" t="s">
        <v>135</v>
      </c>
    </row>
    <row r="52" spans="3:29">
      <c r="AC52" t="s">
        <v>136</v>
      </c>
    </row>
    <row r="53" spans="3:29">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row>
    <row r="54" spans="3:29">
      <c r="C54" s="30"/>
      <c r="D54" s="51"/>
      <c r="E54" s="51"/>
      <c r="F54" s="51"/>
      <c r="G54" s="51"/>
      <c r="H54" s="51"/>
      <c r="I54" s="51"/>
      <c r="J54" s="51"/>
      <c r="K54" s="51"/>
      <c r="L54" s="51"/>
      <c r="M54" s="51"/>
      <c r="N54" s="51"/>
      <c r="O54" s="51"/>
      <c r="P54" s="51"/>
      <c r="Q54" s="51"/>
      <c r="R54" s="51"/>
      <c r="S54" s="51"/>
      <c r="T54" s="51"/>
      <c r="U54" s="51"/>
      <c r="V54" s="51"/>
      <c r="W54" s="51"/>
      <c r="X54" s="51"/>
      <c r="Y54" s="50"/>
      <c r="AC54" t="s">
        <v>137</v>
      </c>
    </row>
    <row r="55" spans="3:29">
      <c r="C55" s="52" t="s">
        <v>37</v>
      </c>
      <c r="D55" s="51" t="str" cm="1">
        <f t="array" aca="1" ref="D55" ca="1">INDIRECT("["&amp;datatable!$C$2&amp;"]"&amp;datatable!$B2&amp;"!"&amp;"I2")</f>
        <v>N/A</v>
      </c>
      <c r="E55" s="51" t="str" cm="1">
        <f t="array" aca="1" ref="E55" ca="1">INDIRECT("["&amp;datatable!$C$2&amp;"]"&amp;datatable!$B2&amp;"!"&amp;"I3")</f>
        <v>High Correct</v>
      </c>
      <c r="F55" s="51" t="str" cm="1">
        <f t="array" aca="1" ref="F55" ca="1">INDIRECT("["&amp;datatable!$C$2&amp;"]"&amp;datatable!$B2&amp;"!"&amp;"I4")</f>
        <v>High Correct</v>
      </c>
      <c r="G55" s="51" t="str" cm="1">
        <f t="array" aca="1" ref="G55" ca="1">INDIRECT("["&amp;datatable!$C$2&amp;"]"&amp;datatable!$B2&amp;"!"&amp;"I5")</f>
        <v>High Correct</v>
      </c>
      <c r="H55" s="51" t="str" cm="1">
        <f t="array" aca="1" ref="H55" ca="1">INDIRECT("["&amp;datatable!$C$2&amp;"]"&amp;datatable!$B2&amp;"!"&amp;"I6")</f>
        <v>Medium Maybe</v>
      </c>
      <c r="I55" s="51" t="str" cm="1">
        <f t="array" aca="1" ref="I55" ca="1">INDIRECT("["&amp;datatable!$C$2&amp;"]"&amp;datatable!$B2&amp;"!"&amp;"I7")</f>
        <v>High Correct</v>
      </c>
      <c r="J55" s="51" t="str" cm="1">
        <f t="array" aca="1" ref="J55" ca="1">INDIRECT("["&amp;datatable!$C$2&amp;"]"&amp;datatable!$B2&amp;"!"&amp;"I8")</f>
        <v>High Maybe</v>
      </c>
      <c r="K55" s="51" t="str" cm="1">
        <f t="array" aca="1" ref="K55" ca="1">INDIRECT("["&amp;datatable!$C$2&amp;"]"&amp;datatable!$B2&amp;"!"&amp;"I9")</f>
        <v>High Correct</v>
      </c>
      <c r="L55" s="51" t="str" cm="1">
        <f t="array" aca="1" ref="L55" ca="1">INDIRECT("["&amp;datatable!$C$2&amp;"]"&amp;datatable!$B2&amp;"!"&amp;"I10")</f>
        <v>High Correct</v>
      </c>
      <c r="M55" s="51" t="str" cm="1">
        <f t="array" aca="1" ref="M55" ca="1">INDIRECT("["&amp;datatable!$C$2&amp;"]"&amp;datatable!$B2&amp;"!"&amp;"I11")</f>
        <v>High Correct</v>
      </c>
      <c r="N55" s="51" t="str" cm="1">
        <f t="array" aca="1" ref="N55" ca="1">INDIRECT("["&amp;datatable!$C$2&amp;"]"&amp;datatable!$B2&amp;"!"&amp;"I46")</f>
        <v>High Correct</v>
      </c>
      <c r="O55" s="51" t="str" cm="1">
        <f t="array" aca="1" ref="O55" ca="1">INDIRECT("["&amp;datatable!$C$2&amp;"]"&amp;datatable!$B2&amp;"!"&amp;"I47")</f>
        <v>Medium Correct</v>
      </c>
      <c r="P55" s="51" t="str" cm="1">
        <f t="array" aca="1" ref="P55" ca="1">INDIRECT("["&amp;datatable!$C$2&amp;"]"&amp;datatable!$B2&amp;"!"&amp;"I48")</f>
        <v>High Correct</v>
      </c>
      <c r="Q55" s="51" t="str" cm="1">
        <f t="array" aca="1" ref="Q55" ca="1">INDIRECT("["&amp;datatable!$C$2&amp;"]"&amp;datatable!$B2&amp;"!"&amp;"I49")</f>
        <v>High Correct</v>
      </c>
      <c r="R55" s="51" t="str" cm="1">
        <f t="array" aca="1" ref="R55" ca="1">INDIRECT("["&amp;datatable!$C$2&amp;"]"&amp;datatable!$B2&amp;"!"&amp;"I50")</f>
        <v>High Correct</v>
      </c>
      <c r="S55" s="51" t="str" cm="1">
        <f t="array" aca="1" ref="S55" ca="1">INDIRECT("["&amp;datatable!$C$2&amp;"]"&amp;datatable!$B2&amp;"!"&amp;"I51")</f>
        <v>High Correct</v>
      </c>
      <c r="T55" s="51" t="str" cm="1">
        <f t="array" aca="1" ref="T55" ca="1">INDIRECT("["&amp;datatable!$C$2&amp;"]"&amp;datatable!$B2&amp;"!"&amp;"I52")</f>
        <v>N/A</v>
      </c>
      <c r="U55" s="51" t="str" cm="1">
        <f t="array" aca="1" ref="U55" ca="1">INDIRECT("["&amp;datatable!$C$2&amp;"]"&amp;datatable!$B2&amp;"!"&amp;"I53")</f>
        <v>Low Correct</v>
      </c>
      <c r="V55" s="51" t="str" cm="1">
        <f t="array" aca="1" ref="V55" ca="1">INDIRECT("["&amp;datatable!$C$2&amp;"]"&amp;datatable!$B2&amp;"!"&amp;"I54")</f>
        <v>High Correct</v>
      </c>
      <c r="W55" s="51" t="str" cm="1">
        <f t="array" aca="1" ref="W55" ca="1">INDIRECT("["&amp;datatable!$C$2&amp;"]"&amp;datatable!$B2&amp;"!"&amp;"I55")</f>
        <v>Low Correct</v>
      </c>
      <c r="X55" s="51" t="str" cm="1">
        <f t="array" aca="1" ref="X55" ca="1">INDIRECT("["&amp;datatable!$C$2&amp;"]"&amp;datatable!$B2&amp;"!"&amp;"I56")</f>
        <v>N/A</v>
      </c>
      <c r="Y55" s="50"/>
      <c r="AC55" t="s">
        <v>138</v>
      </c>
    </row>
    <row r="56" spans="3:29">
      <c r="C56" s="30" t="s">
        <v>38</v>
      </c>
      <c r="D56" s="51"/>
      <c r="E56" s="51"/>
      <c r="F56" s="51"/>
      <c r="G56" s="51"/>
      <c r="H56" s="51"/>
      <c r="I56" s="51"/>
      <c r="J56" s="51"/>
      <c r="K56" s="51"/>
      <c r="L56" s="51"/>
      <c r="M56" s="51"/>
      <c r="N56" s="51"/>
      <c r="O56" s="51"/>
      <c r="P56" s="51"/>
      <c r="Q56" s="51"/>
      <c r="R56" s="51"/>
      <c r="S56" s="51"/>
      <c r="T56" s="51"/>
      <c r="U56" s="51"/>
      <c r="V56" s="51"/>
      <c r="W56" s="51"/>
      <c r="X56" s="51"/>
      <c r="Y56" s="50"/>
      <c r="AC56" t="s">
        <v>139</v>
      </c>
    </row>
    <row r="57" spans="3:29">
      <c r="C57" s="30" t="s">
        <v>39</v>
      </c>
      <c r="D57" s="51"/>
      <c r="E57" s="51"/>
      <c r="F57" s="51"/>
      <c r="G57" s="51"/>
      <c r="H57" s="51"/>
      <c r="I57" s="51"/>
      <c r="J57" s="51"/>
      <c r="K57" s="51"/>
      <c r="L57" s="51"/>
      <c r="M57" s="51"/>
      <c r="N57" s="51"/>
      <c r="O57" s="51"/>
      <c r="P57" s="51"/>
      <c r="Q57" s="51"/>
      <c r="R57" s="51"/>
      <c r="S57" s="51"/>
      <c r="T57" s="51"/>
      <c r="U57" s="51"/>
      <c r="V57" s="51"/>
      <c r="W57" s="51"/>
      <c r="X57" s="51"/>
      <c r="Y57" s="50"/>
      <c r="AC57" t="s">
        <v>140</v>
      </c>
    </row>
    <row r="58" spans="3:29">
      <c r="C58" s="30" t="s">
        <v>40</v>
      </c>
      <c r="D58" s="51"/>
      <c r="E58" s="51"/>
      <c r="F58" s="51"/>
      <c r="G58" s="51"/>
      <c r="H58" s="51"/>
      <c r="I58" s="51"/>
      <c r="J58" s="51"/>
      <c r="K58" s="51"/>
      <c r="L58" s="51"/>
      <c r="M58" s="51"/>
      <c r="N58" s="51"/>
      <c r="O58" s="51"/>
      <c r="P58" s="51"/>
      <c r="Q58" s="51"/>
      <c r="R58" s="51"/>
      <c r="S58" s="51"/>
      <c r="T58" s="51"/>
      <c r="U58" s="51"/>
      <c r="V58" s="51"/>
      <c r="W58" s="51"/>
      <c r="X58" s="51"/>
      <c r="Y58" s="50"/>
      <c r="AC58" t="s">
        <v>141</v>
      </c>
    </row>
    <row r="59" spans="3:29">
      <c r="C59" s="30" t="s">
        <v>41</v>
      </c>
      <c r="D59" s="51"/>
      <c r="E59" s="51"/>
      <c r="F59" s="51"/>
      <c r="G59" s="51"/>
      <c r="H59" s="51"/>
      <c r="I59" s="51"/>
      <c r="J59" s="51"/>
      <c r="K59" s="51"/>
      <c r="L59" s="51"/>
      <c r="M59" s="51"/>
      <c r="N59" s="51"/>
      <c r="O59" s="51"/>
      <c r="P59" s="51"/>
      <c r="Q59" s="51"/>
      <c r="R59" s="51"/>
      <c r="S59" s="51"/>
      <c r="T59" s="51"/>
      <c r="U59" s="51"/>
      <c r="V59" s="51"/>
      <c r="W59" s="51"/>
      <c r="X59" s="51"/>
      <c r="Y59" s="50"/>
      <c r="AC59" t="s">
        <v>142</v>
      </c>
    </row>
    <row r="60" spans="3:29">
      <c r="C60" s="30" t="s">
        <v>42</v>
      </c>
      <c r="D60" s="51"/>
      <c r="E60" s="51"/>
      <c r="F60" s="51"/>
      <c r="G60" s="51"/>
      <c r="H60" s="51"/>
      <c r="I60" s="51"/>
      <c r="J60" s="51"/>
      <c r="K60" s="51"/>
      <c r="L60" s="51"/>
      <c r="M60" s="51"/>
      <c r="N60" s="51"/>
      <c r="O60" s="51"/>
      <c r="P60" s="51"/>
      <c r="Q60" s="51"/>
      <c r="R60" s="51"/>
      <c r="S60" s="51"/>
      <c r="T60" s="51"/>
      <c r="U60" s="51"/>
      <c r="V60" s="51"/>
      <c r="W60" s="51"/>
      <c r="X60" s="51"/>
      <c r="Y60" s="50"/>
      <c r="AC60" t="s">
        <v>143</v>
      </c>
    </row>
    <row r="61" spans="3:29">
      <c r="C61" s="30" t="s">
        <v>43</v>
      </c>
      <c r="D61" s="51"/>
      <c r="E61" s="51"/>
      <c r="F61" s="51"/>
      <c r="G61" s="51"/>
      <c r="H61" s="51"/>
      <c r="I61" s="51"/>
      <c r="J61" s="51"/>
      <c r="K61" s="51"/>
      <c r="L61" s="51"/>
      <c r="M61" s="51"/>
      <c r="N61" s="51"/>
      <c r="O61" s="51"/>
      <c r="P61" s="51"/>
      <c r="Q61" s="51"/>
      <c r="R61" s="51"/>
      <c r="S61" s="51"/>
      <c r="T61" s="51"/>
      <c r="U61" s="51"/>
      <c r="V61" s="51"/>
      <c r="W61" s="51"/>
      <c r="X61" s="51"/>
      <c r="Y61" s="50"/>
      <c r="AC61" t="s">
        <v>144</v>
      </c>
    </row>
    <row r="62" spans="3:29">
      <c r="C62" s="30" t="s">
        <v>44</v>
      </c>
      <c r="D62" s="51"/>
      <c r="E62" s="51"/>
      <c r="F62" s="51"/>
      <c r="G62" s="51"/>
      <c r="H62" s="51"/>
      <c r="I62" s="51"/>
      <c r="J62" s="51"/>
      <c r="K62" s="51"/>
      <c r="L62" s="51"/>
      <c r="M62" s="51"/>
      <c r="N62" s="51"/>
      <c r="O62" s="51"/>
      <c r="P62" s="51"/>
      <c r="Q62" s="51"/>
      <c r="R62" s="51"/>
      <c r="S62" s="51"/>
      <c r="T62" s="51"/>
      <c r="U62" s="51"/>
      <c r="V62" s="51"/>
      <c r="W62" s="51"/>
      <c r="X62" s="51"/>
      <c r="Y62" s="50"/>
      <c r="AC62" t="s">
        <v>145</v>
      </c>
    </row>
    <row r="63" spans="3:29">
      <c r="C63" s="30" t="s">
        <v>45</v>
      </c>
      <c r="D63" s="51"/>
      <c r="E63" s="51"/>
      <c r="F63" s="51"/>
      <c r="G63" s="51"/>
      <c r="H63" s="51"/>
      <c r="I63" s="51"/>
      <c r="J63" s="51"/>
      <c r="K63" s="51"/>
      <c r="L63" s="51"/>
      <c r="M63" s="51"/>
      <c r="N63" s="51"/>
      <c r="O63" s="51"/>
      <c r="P63" s="51"/>
      <c r="Q63" s="51"/>
      <c r="R63" s="51"/>
      <c r="S63" s="51"/>
      <c r="T63" s="51"/>
      <c r="U63" s="51"/>
      <c r="V63" s="51"/>
      <c r="W63" s="51"/>
      <c r="X63" s="51"/>
      <c r="Y63" s="50"/>
      <c r="AC63" t="s">
        <v>146</v>
      </c>
    </row>
    <row r="64" spans="3:29">
      <c r="C64" s="30" t="s">
        <v>46</v>
      </c>
      <c r="D64" s="51"/>
      <c r="E64" s="51"/>
      <c r="F64" s="51"/>
      <c r="G64" s="51"/>
      <c r="H64" s="51"/>
      <c r="I64" s="51"/>
      <c r="J64" s="51"/>
      <c r="K64" s="51"/>
      <c r="L64" s="51"/>
      <c r="M64" s="51"/>
      <c r="N64" s="51"/>
      <c r="O64" s="51"/>
      <c r="P64" s="51"/>
      <c r="Q64" s="51"/>
      <c r="R64" s="51"/>
      <c r="S64" s="51"/>
      <c r="T64" s="51"/>
      <c r="U64" s="51"/>
      <c r="V64" s="51"/>
      <c r="W64" s="51"/>
      <c r="X64" s="51"/>
      <c r="Y64" s="50"/>
      <c r="AC64" t="s">
        <v>147</v>
      </c>
    </row>
    <row r="65" spans="3:29">
      <c r="C65" s="30" t="s">
        <v>47</v>
      </c>
      <c r="D65" s="51"/>
      <c r="E65" s="51"/>
      <c r="F65" s="51"/>
      <c r="G65" s="51"/>
      <c r="H65" s="51"/>
      <c r="I65" s="51"/>
      <c r="J65" s="51"/>
      <c r="K65" s="51"/>
      <c r="L65" s="51"/>
      <c r="M65" s="51"/>
      <c r="N65" s="51"/>
      <c r="O65" s="51"/>
      <c r="P65" s="51"/>
      <c r="Q65" s="51"/>
      <c r="R65" s="51"/>
      <c r="S65" s="51"/>
      <c r="T65" s="51"/>
      <c r="U65" s="51"/>
      <c r="V65" s="51"/>
      <c r="W65" s="51"/>
      <c r="X65" s="51"/>
      <c r="Y65" s="50"/>
      <c r="AC65" t="s">
        <v>148</v>
      </c>
    </row>
    <row r="66" spans="3:29">
      <c r="C66" s="30" t="s">
        <v>48</v>
      </c>
      <c r="D66" s="51"/>
      <c r="E66" s="51"/>
      <c r="F66" s="51"/>
      <c r="G66" s="51"/>
      <c r="H66" s="51"/>
      <c r="I66" s="51"/>
      <c r="J66" s="51"/>
      <c r="K66" s="51"/>
      <c r="L66" s="51"/>
      <c r="M66" s="51"/>
      <c r="N66" s="51"/>
      <c r="O66" s="51"/>
      <c r="P66" s="51"/>
      <c r="Q66" s="51"/>
      <c r="R66" s="51"/>
      <c r="S66" s="51"/>
      <c r="T66" s="51"/>
      <c r="U66" s="51"/>
      <c r="V66" s="51"/>
      <c r="W66" s="51"/>
      <c r="X66" s="51"/>
      <c r="Y66" s="50"/>
    </row>
    <row r="67" spans="3:29">
      <c r="C67" s="30" t="s">
        <v>49</v>
      </c>
      <c r="D67" s="51"/>
      <c r="E67" s="51"/>
      <c r="F67" s="51"/>
      <c r="G67" s="51"/>
      <c r="H67" s="51"/>
      <c r="I67" s="51"/>
      <c r="J67" s="51"/>
      <c r="K67" s="51"/>
      <c r="L67" s="51"/>
      <c r="M67" s="51"/>
      <c r="N67" s="51"/>
      <c r="O67" s="51"/>
      <c r="P67" s="51"/>
      <c r="Q67" s="51"/>
      <c r="R67" s="51"/>
      <c r="S67" s="51"/>
      <c r="T67" s="51"/>
      <c r="U67" s="51"/>
      <c r="V67" s="51"/>
      <c r="W67" s="51"/>
      <c r="X67" s="51"/>
      <c r="Y67" s="50"/>
    </row>
    <row r="68" spans="3:29">
      <c r="C68" s="30" t="s">
        <v>50</v>
      </c>
      <c r="D68" s="51"/>
      <c r="E68" s="51"/>
      <c r="F68" s="51"/>
      <c r="G68" s="51"/>
      <c r="H68" s="51"/>
      <c r="I68" s="51"/>
      <c r="J68" s="51"/>
      <c r="K68" s="51"/>
      <c r="L68" s="51"/>
      <c r="M68" s="51"/>
      <c r="N68" s="51"/>
      <c r="O68" s="51"/>
      <c r="P68" s="51"/>
      <c r="Q68" s="51"/>
      <c r="R68" s="51"/>
      <c r="S68" s="51"/>
      <c r="T68" s="51"/>
      <c r="U68" s="51"/>
      <c r="V68" s="51"/>
      <c r="W68" s="51"/>
      <c r="X68" s="51"/>
      <c r="Y68" s="50"/>
    </row>
    <row r="69" spans="3:29">
      <c r="C69" s="30" t="s">
        <v>51</v>
      </c>
      <c r="D69" s="51"/>
      <c r="E69" s="51"/>
      <c r="F69" s="51"/>
      <c r="G69" s="51"/>
      <c r="H69" s="51"/>
      <c r="I69" s="51"/>
      <c r="J69" s="51"/>
      <c r="K69" s="51"/>
      <c r="L69" s="51"/>
      <c r="M69" s="51"/>
      <c r="N69" s="51"/>
      <c r="O69" s="51"/>
      <c r="P69" s="51"/>
      <c r="Q69" s="51"/>
      <c r="R69" s="51"/>
      <c r="S69" s="51"/>
      <c r="T69" s="51"/>
      <c r="U69" s="51"/>
      <c r="V69" s="51"/>
      <c r="W69" s="51"/>
      <c r="X69" s="51"/>
      <c r="Y69" s="50"/>
    </row>
    <row r="70" spans="3:29">
      <c r="C70" s="30" t="s">
        <v>52</v>
      </c>
      <c r="D70" s="51"/>
      <c r="E70" s="51"/>
      <c r="F70" s="51"/>
      <c r="G70" s="51"/>
      <c r="H70" s="51"/>
      <c r="I70" s="51"/>
      <c r="J70" s="51"/>
      <c r="K70" s="51"/>
      <c r="L70" s="51"/>
      <c r="M70" s="51"/>
      <c r="N70" s="51"/>
      <c r="O70" s="51"/>
      <c r="P70" s="51"/>
      <c r="Q70" s="51"/>
      <c r="R70" s="51"/>
      <c r="S70" s="51"/>
      <c r="T70" s="51"/>
      <c r="U70" s="51"/>
      <c r="V70" s="51"/>
      <c r="W70" s="51"/>
      <c r="X70" s="51"/>
      <c r="Y70" s="50"/>
    </row>
    <row r="71" spans="3:29">
      <c r="C71" s="50"/>
      <c r="D71" s="53"/>
      <c r="E71" s="53"/>
      <c r="F71" s="50"/>
      <c r="G71" s="50"/>
      <c r="H71" s="50"/>
      <c r="I71" s="50"/>
      <c r="J71" s="50"/>
      <c r="K71" s="50"/>
      <c r="L71" s="50"/>
      <c r="M71" s="50"/>
      <c r="N71" s="50"/>
      <c r="O71" s="50"/>
      <c r="P71" s="50"/>
      <c r="Q71" s="50"/>
      <c r="R71" s="50"/>
      <c r="S71" s="50"/>
      <c r="T71" s="50"/>
      <c r="U71" s="50"/>
      <c r="V71" s="50"/>
      <c r="W71" s="50"/>
      <c r="X71" s="50"/>
      <c r="Y71" s="50"/>
    </row>
    <row r="75" spans="3:29">
      <c r="AC75" t="s">
        <v>149</v>
      </c>
    </row>
    <row r="77" spans="3:29">
      <c r="AC77" t="s">
        <v>150</v>
      </c>
    </row>
    <row r="79" spans="3:29">
      <c r="AC79" t="s">
        <v>151</v>
      </c>
    </row>
    <row r="86" spans="29:29">
      <c r="AC86" t="s">
        <v>152</v>
      </c>
    </row>
    <row r="87" spans="29:29">
      <c r="AC87" t="s">
        <v>92</v>
      </c>
    </row>
    <row r="88" spans="29:29">
      <c r="AC88" t="s">
        <v>153</v>
      </c>
    </row>
    <row r="89" spans="29:29">
      <c r="AC89" t="s">
        <v>92</v>
      </c>
    </row>
    <row r="90" spans="29:29">
      <c r="AC90" t="s">
        <v>154</v>
      </c>
    </row>
    <row r="91" spans="29:29">
      <c r="AC91" t="s">
        <v>92</v>
      </c>
    </row>
    <row r="92" spans="29:29">
      <c r="AC92" t="s">
        <v>155</v>
      </c>
    </row>
    <row r="93" spans="29:29">
      <c r="AC93" t="s">
        <v>92</v>
      </c>
    </row>
    <row r="94" spans="29:29">
      <c r="AC94" t="s">
        <v>156</v>
      </c>
    </row>
    <row r="95" spans="29:29">
      <c r="AC95" t="s">
        <v>157</v>
      </c>
    </row>
    <row r="96" spans="29:29">
      <c r="AC96" t="s">
        <v>92</v>
      </c>
    </row>
    <row r="97" spans="29:29">
      <c r="AC97" t="s">
        <v>158</v>
      </c>
    </row>
    <row r="98" spans="29:29">
      <c r="AC98" t="s">
        <v>92</v>
      </c>
    </row>
    <row r="99" spans="29:29">
      <c r="AC99" t="s">
        <v>159</v>
      </c>
    </row>
    <row r="100" spans="29:29">
      <c r="AC100" t="s">
        <v>92</v>
      </c>
    </row>
    <row r="101" spans="29:29">
      <c r="AC101" t="s">
        <v>160</v>
      </c>
    </row>
    <row r="102" spans="29:29">
      <c r="AC102" t="s">
        <v>92</v>
      </c>
    </row>
    <row r="103" spans="29:29">
      <c r="AC103" t="s">
        <v>161</v>
      </c>
    </row>
    <row r="104" spans="29:29">
      <c r="AC104" t="s">
        <v>92</v>
      </c>
    </row>
    <row r="105" spans="29:29">
      <c r="AC105" t="s">
        <v>162</v>
      </c>
    </row>
    <row r="106" spans="29:29">
      <c r="AC106" t="s">
        <v>92</v>
      </c>
    </row>
    <row r="107" spans="29:29">
      <c r="AC107" t="s">
        <v>163</v>
      </c>
    </row>
    <row r="108" spans="29:29">
      <c r="AC108" t="s">
        <v>92</v>
      </c>
    </row>
    <row r="109" spans="29:29">
      <c r="AC109" t="s">
        <v>164</v>
      </c>
    </row>
    <row r="110" spans="29:29">
      <c r="AC110" t="s">
        <v>92</v>
      </c>
    </row>
    <row r="111" spans="29:29">
      <c r="AC111" t="s">
        <v>165</v>
      </c>
    </row>
    <row r="112" spans="29:29">
      <c r="AC112" t="s">
        <v>92</v>
      </c>
    </row>
    <row r="113" spans="29:29">
      <c r="AC113" t="s">
        <v>166</v>
      </c>
    </row>
    <row r="114" spans="29:29">
      <c r="AC114" t="s">
        <v>92</v>
      </c>
    </row>
    <row r="115" spans="29:29">
      <c r="AC115" t="s">
        <v>167</v>
      </c>
    </row>
    <row r="116" spans="29:29">
      <c r="AC116" t="s">
        <v>168</v>
      </c>
    </row>
    <row r="117" spans="29:29">
      <c r="AC117" t="s">
        <v>92</v>
      </c>
    </row>
    <row r="118" spans="29:29">
      <c r="AC118" t="s">
        <v>169</v>
      </c>
    </row>
    <row r="119" spans="29:29">
      <c r="AC119" t="s">
        <v>92</v>
      </c>
    </row>
    <row r="120" spans="29:29">
      <c r="AC120" t="s">
        <v>170</v>
      </c>
    </row>
    <row r="121" spans="29:29">
      <c r="AC121" t="s">
        <v>92</v>
      </c>
    </row>
    <row r="122" spans="29:29">
      <c r="AC122" t="s">
        <v>171</v>
      </c>
    </row>
    <row r="123" spans="29:29">
      <c r="AC123" t="s">
        <v>92</v>
      </c>
    </row>
    <row r="124" spans="29:29">
      <c r="AC124" t="s">
        <v>172</v>
      </c>
    </row>
    <row r="125" spans="29:29">
      <c r="AC125" t="s">
        <v>92</v>
      </c>
    </row>
    <row r="126" spans="29:29">
      <c r="AC126" t="s">
        <v>173</v>
      </c>
    </row>
    <row r="127" spans="29:29">
      <c r="AC127" t="s">
        <v>92</v>
      </c>
    </row>
    <row r="128" spans="29:29">
      <c r="AC128" t="s">
        <v>174</v>
      </c>
    </row>
    <row r="129" spans="29:29">
      <c r="AC129" t="s">
        <v>92</v>
      </c>
    </row>
    <row r="130" spans="29:29">
      <c r="AC130" t="s">
        <v>175</v>
      </c>
    </row>
    <row r="131" spans="29:29">
      <c r="AC131" t="s">
        <v>92</v>
      </c>
    </row>
    <row r="132" spans="29:29">
      <c r="AC132" t="s">
        <v>176</v>
      </c>
    </row>
    <row r="133" spans="29:29">
      <c r="AC133" t="s">
        <v>177</v>
      </c>
    </row>
    <row r="134" spans="29:29">
      <c r="AC134" t="s">
        <v>92</v>
      </c>
    </row>
    <row r="135" spans="29:29">
      <c r="AC135" t="s">
        <v>178</v>
      </c>
    </row>
    <row r="136" spans="29:29">
      <c r="AC136" t="s">
        <v>92</v>
      </c>
    </row>
    <row r="137" spans="29:29">
      <c r="AC137" t="s">
        <v>179</v>
      </c>
    </row>
    <row r="138" spans="29:29">
      <c r="AC138" t="s">
        <v>92</v>
      </c>
    </row>
    <row r="139" spans="29:29">
      <c r="AC139" t="s">
        <v>180</v>
      </c>
    </row>
    <row r="140" spans="29:29">
      <c r="AC140" t="s">
        <v>92</v>
      </c>
    </row>
    <row r="141" spans="29:29">
      <c r="AC141" t="s">
        <v>181</v>
      </c>
    </row>
    <row r="142" spans="29:29">
      <c r="AC142" t="s">
        <v>92</v>
      </c>
    </row>
    <row r="143" spans="29:29">
      <c r="AC143" t="s">
        <v>182</v>
      </c>
    </row>
    <row r="144" spans="29:29">
      <c r="AC144" t="s">
        <v>92</v>
      </c>
    </row>
    <row r="145" spans="29:29">
      <c r="AC145" t="s">
        <v>183</v>
      </c>
    </row>
    <row r="146" spans="29:29">
      <c r="AC146" t="s">
        <v>92</v>
      </c>
    </row>
    <row r="147" spans="29:29">
      <c r="AC147" t="s">
        <v>184</v>
      </c>
    </row>
    <row r="148" spans="29:29">
      <c r="AC148" t="s">
        <v>92</v>
      </c>
    </row>
    <row r="149" spans="29:29">
      <c r="AC149" t="s">
        <v>185</v>
      </c>
    </row>
    <row r="150" spans="29:29">
      <c r="AC150" t="s">
        <v>92</v>
      </c>
    </row>
    <row r="151" spans="29:29">
      <c r="AC151" t="s">
        <v>186</v>
      </c>
    </row>
    <row r="152" spans="29:29">
      <c r="AC152" t="s">
        <v>187</v>
      </c>
    </row>
    <row r="153" spans="29:29">
      <c r="AC153" t="s">
        <v>92</v>
      </c>
    </row>
    <row r="154" spans="29:29">
      <c r="AC154" t="s">
        <v>188</v>
      </c>
    </row>
    <row r="155" spans="29:29">
      <c r="AC155" t="s">
        <v>92</v>
      </c>
    </row>
    <row r="156" spans="29:29">
      <c r="AC156" t="s">
        <v>189</v>
      </c>
    </row>
    <row r="157" spans="29:29">
      <c r="AC157" t="s">
        <v>92</v>
      </c>
    </row>
    <row r="158" spans="29:29">
      <c r="AC158" t="s">
        <v>190</v>
      </c>
    </row>
    <row r="159" spans="29:29">
      <c r="AC159" t="s">
        <v>92</v>
      </c>
    </row>
    <row r="160" spans="29:29">
      <c r="AC160" t="s">
        <v>191</v>
      </c>
    </row>
    <row r="161" spans="29:29">
      <c r="AC161" t="s">
        <v>92</v>
      </c>
    </row>
    <row r="162" spans="29:29">
      <c r="AC162" t="s">
        <v>192</v>
      </c>
    </row>
    <row r="163" spans="29:29">
      <c r="AC163" t="s">
        <v>92</v>
      </c>
    </row>
    <row r="164" spans="29:29">
      <c r="AC164" t="s">
        <v>193</v>
      </c>
    </row>
    <row r="165" spans="29:29">
      <c r="AC165" t="s">
        <v>92</v>
      </c>
    </row>
    <row r="166" spans="29:29">
      <c r="AC166" t="s">
        <v>194</v>
      </c>
    </row>
    <row r="167" spans="29:29">
      <c r="AC167" t="s">
        <v>92</v>
      </c>
    </row>
    <row r="168" spans="29:29">
      <c r="AC168" t="s">
        <v>195</v>
      </c>
    </row>
    <row r="169" spans="29:29">
      <c r="AC169" t="s">
        <v>92</v>
      </c>
    </row>
    <row r="170" spans="29:29">
      <c r="AC170" t="s">
        <v>196</v>
      </c>
    </row>
    <row r="171" spans="29:29">
      <c r="AC171" t="s">
        <v>197</v>
      </c>
    </row>
    <row r="172" spans="29:29">
      <c r="AC172" t="s">
        <v>92</v>
      </c>
    </row>
    <row r="173" spans="29:29">
      <c r="AC173" t="s">
        <v>198</v>
      </c>
    </row>
    <row r="174" spans="29:29">
      <c r="AC174" t="s">
        <v>92</v>
      </c>
    </row>
    <row r="175" spans="29:29">
      <c r="AC175" t="s">
        <v>199</v>
      </c>
    </row>
    <row r="176" spans="29:29">
      <c r="AC176" t="s">
        <v>92</v>
      </c>
    </row>
    <row r="177" spans="29:29">
      <c r="AC177" t="s">
        <v>200</v>
      </c>
    </row>
    <row r="178" spans="29:29">
      <c r="AC178" t="s">
        <v>92</v>
      </c>
    </row>
    <row r="179" spans="29:29">
      <c r="AC179" t="s">
        <v>201</v>
      </c>
    </row>
    <row r="180" spans="29:29">
      <c r="AC180" t="s">
        <v>92</v>
      </c>
    </row>
    <row r="181" spans="29:29">
      <c r="AC181" t="s">
        <v>202</v>
      </c>
    </row>
    <row r="182" spans="29:29">
      <c r="AC182" t="s">
        <v>92</v>
      </c>
    </row>
    <row r="183" spans="29:29">
      <c r="AC183" t="s">
        <v>203</v>
      </c>
    </row>
    <row r="184" spans="29:29">
      <c r="AC184" t="s">
        <v>92</v>
      </c>
    </row>
    <row r="185" spans="29:29">
      <c r="AC185" t="s">
        <v>204</v>
      </c>
    </row>
    <row r="186" spans="29:29">
      <c r="AC186" t="s">
        <v>92</v>
      </c>
    </row>
    <row r="187" spans="29:29">
      <c r="AC187" t="s">
        <v>205</v>
      </c>
    </row>
    <row r="188" spans="29:29">
      <c r="AC188" t="s">
        <v>206</v>
      </c>
    </row>
    <row r="189" spans="29:29">
      <c r="AC189" t="s">
        <v>92</v>
      </c>
    </row>
    <row r="190" spans="29:29">
      <c r="AC190" t="s">
        <v>207</v>
      </c>
    </row>
    <row r="191" spans="29:29">
      <c r="AC191" t="s">
        <v>92</v>
      </c>
    </row>
    <row r="192" spans="29:29">
      <c r="AC192" t="s">
        <v>208</v>
      </c>
    </row>
    <row r="193" spans="29:29">
      <c r="AC193" t="s">
        <v>92</v>
      </c>
    </row>
    <row r="194" spans="29:29">
      <c r="AC194" t="s">
        <v>209</v>
      </c>
    </row>
    <row r="195" spans="29:29">
      <c r="AC195" t="s">
        <v>92</v>
      </c>
    </row>
    <row r="196" spans="29:29">
      <c r="AC196" t="s">
        <v>210</v>
      </c>
    </row>
    <row r="197" spans="29:29">
      <c r="AC197" t="s">
        <v>92</v>
      </c>
    </row>
    <row r="198" spans="29:29">
      <c r="AC198" t="s">
        <v>211</v>
      </c>
    </row>
    <row r="199" spans="29:29">
      <c r="AC199" t="s">
        <v>92</v>
      </c>
    </row>
    <row r="200" spans="29:29">
      <c r="AC200" t="s">
        <v>212</v>
      </c>
    </row>
    <row r="201" spans="29:29">
      <c r="AC201" t="s">
        <v>92</v>
      </c>
    </row>
    <row r="202" spans="29:29">
      <c r="AC202" t="s">
        <v>213</v>
      </c>
    </row>
    <row r="203" spans="29:29">
      <c r="AC203" t="s">
        <v>92</v>
      </c>
    </row>
    <row r="204" spans="29:29">
      <c r="AC204" t="s">
        <v>214</v>
      </c>
    </row>
    <row r="205" spans="29:29">
      <c r="AC205" t="s">
        <v>215</v>
      </c>
    </row>
    <row r="206" spans="29:29">
      <c r="AC206" t="s">
        <v>92</v>
      </c>
    </row>
    <row r="207" spans="29:29">
      <c r="AC207" t="s">
        <v>216</v>
      </c>
    </row>
    <row r="208" spans="29:29">
      <c r="AC208" t="s">
        <v>92</v>
      </c>
    </row>
    <row r="209" spans="29:29">
      <c r="AC209" t="s">
        <v>217</v>
      </c>
    </row>
    <row r="210" spans="29:29">
      <c r="AC210" t="s">
        <v>92</v>
      </c>
    </row>
    <row r="211" spans="29:29">
      <c r="AC211" t="s">
        <v>218</v>
      </c>
    </row>
    <row r="212" spans="29:29">
      <c r="AC212" t="s">
        <v>92</v>
      </c>
    </row>
    <row r="213" spans="29:29">
      <c r="AC213" t="s">
        <v>219</v>
      </c>
    </row>
    <row r="214" spans="29:29">
      <c r="AC214" t="s">
        <v>92</v>
      </c>
    </row>
    <row r="215" spans="29:29">
      <c r="AC215" t="s">
        <v>220</v>
      </c>
    </row>
    <row r="216" spans="29:29">
      <c r="AC216" t="s">
        <v>92</v>
      </c>
    </row>
    <row r="217" spans="29:29">
      <c r="AC217" t="s">
        <v>221</v>
      </c>
    </row>
    <row r="218" spans="29:29">
      <c r="AC218" t="s">
        <v>92</v>
      </c>
    </row>
    <row r="219" spans="29:29">
      <c r="AC219" t="s">
        <v>222</v>
      </c>
    </row>
    <row r="220" spans="29:29">
      <c r="AC220" t="s">
        <v>92</v>
      </c>
    </row>
    <row r="221" spans="29:29">
      <c r="AC221" t="s">
        <v>223</v>
      </c>
    </row>
    <row r="222" spans="29:29">
      <c r="AC222" t="s">
        <v>92</v>
      </c>
    </row>
    <row r="223" spans="29:29">
      <c r="AC223" t="s">
        <v>224</v>
      </c>
    </row>
    <row r="224" spans="29:29">
      <c r="AC224" t="s">
        <v>92</v>
      </c>
    </row>
    <row r="225" spans="29:29">
      <c r="AC225" t="s">
        <v>225</v>
      </c>
    </row>
    <row r="226" spans="29:29">
      <c r="AC226" t="s">
        <v>92</v>
      </c>
    </row>
    <row r="227" spans="29:29">
      <c r="AC227" t="s">
        <v>226</v>
      </c>
    </row>
    <row r="228" spans="29:29">
      <c r="AC228" t="s">
        <v>227</v>
      </c>
    </row>
    <row r="229" spans="29:29">
      <c r="AC229" t="s">
        <v>92</v>
      </c>
    </row>
    <row r="230" spans="29:29">
      <c r="AC230" t="s">
        <v>228</v>
      </c>
    </row>
    <row r="231" spans="29:29">
      <c r="AC231" t="s">
        <v>92</v>
      </c>
    </row>
    <row r="232" spans="29:29">
      <c r="AC232" t="s">
        <v>229</v>
      </c>
    </row>
    <row r="233" spans="29:29">
      <c r="AC233" t="s">
        <v>230</v>
      </c>
    </row>
    <row r="234" spans="29:29">
      <c r="AC234" t="s">
        <v>92</v>
      </c>
    </row>
    <row r="235" spans="29:29">
      <c r="AC235" t="s">
        <v>231</v>
      </c>
    </row>
    <row r="236" spans="29:29">
      <c r="AC236" t="s">
        <v>92</v>
      </c>
    </row>
    <row r="237" spans="29:29">
      <c r="AC237" t="s">
        <v>232</v>
      </c>
    </row>
    <row r="238" spans="29:29">
      <c r="AC238" t="s">
        <v>92</v>
      </c>
    </row>
    <row r="239" spans="29:29">
      <c r="AC239" t="s">
        <v>233</v>
      </c>
    </row>
    <row r="240" spans="29:29">
      <c r="AC240" t="s">
        <v>92</v>
      </c>
    </row>
    <row r="241" spans="29:29">
      <c r="AC241" t="s">
        <v>234</v>
      </c>
    </row>
    <row r="242" spans="29:29">
      <c r="AC242" t="s">
        <v>92</v>
      </c>
    </row>
    <row r="243" spans="29:29">
      <c r="AC243" t="s">
        <v>235</v>
      </c>
    </row>
    <row r="244" spans="29:29">
      <c r="AC244" t="s">
        <v>92</v>
      </c>
    </row>
    <row r="245" spans="29:29">
      <c r="AC245" t="s">
        <v>236</v>
      </c>
    </row>
    <row r="246" spans="29:29">
      <c r="AC246" t="s">
        <v>92</v>
      </c>
    </row>
    <row r="247" spans="29:29">
      <c r="AC247" t="s">
        <v>237</v>
      </c>
    </row>
    <row r="248" spans="29:29">
      <c r="AC248" t="s">
        <v>92</v>
      </c>
    </row>
    <row r="249" spans="29:29">
      <c r="AC249" t="s">
        <v>238</v>
      </c>
    </row>
  </sheetData>
  <phoneticPr fontId="4" type="noConversion"/>
  <conditionalFormatting sqref="R13 D54:X70">
    <cfRule type="cellIs" dxfId="19" priority="4" operator="equal">
      <formula>"Medium Correct"</formula>
    </cfRule>
    <cfRule type="cellIs" dxfId="18" priority="5" operator="equal">
      <formula>"Low Correct"</formula>
    </cfRule>
    <cfRule type="cellIs" dxfId="17" priority="6" operator="equal">
      <formula>"Medium Maybe"</formula>
    </cfRule>
    <cfRule type="cellIs" dxfId="16" priority="7" operator="equal">
      <formula>"Low Maybe"</formula>
    </cfRule>
    <cfRule type="cellIs" dxfId="15" priority="8" operator="equal">
      <formula>"Medium Incorrect"</formula>
    </cfRule>
    <cfRule type="cellIs" dxfId="14" priority="9" operator="equal">
      <formula>"Low Incorrect"</formula>
    </cfRule>
    <cfRule type="cellIs" dxfId="13" priority="10" operator="equal">
      <formula>"N/A"</formula>
    </cfRule>
  </conditionalFormatting>
  <conditionalFormatting sqref="R13 D55:X70">
    <cfRule type="cellIs" dxfId="12" priority="1" operator="equal">
      <formula>"High Correct"</formula>
    </cfRule>
    <cfRule type="cellIs" dxfId="11" priority="2" operator="equal">
      <formula>"High Incorrect"</formula>
    </cfRule>
    <cfRule type="cellIs" dxfId="10" priority="3" operator="equal">
      <formula>"High Maybe"</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FF09-48A1-44E8-9D07-58449254304A}">
  <dimension ref="C5:AA237"/>
  <sheetViews>
    <sheetView zoomScale="80" zoomScaleNormal="80" workbookViewId="0">
      <selection activeCell="B16" sqref="B16"/>
    </sheetView>
  </sheetViews>
  <sheetFormatPr defaultRowHeight="14.4"/>
  <cols>
    <col min="3" max="3" width="13.6640625" customWidth="1"/>
    <col min="4" max="4" width="14.6640625" bestFit="1" customWidth="1"/>
    <col min="5" max="5" width="15.5546875" bestFit="1" customWidth="1"/>
    <col min="6" max="6" width="14.6640625" bestFit="1" customWidth="1"/>
    <col min="7" max="7" width="16.33203125" bestFit="1" customWidth="1"/>
    <col min="8" max="8" width="15" bestFit="1" customWidth="1"/>
    <col min="9" max="10" width="16.33203125" bestFit="1" customWidth="1"/>
    <col min="11" max="11" width="16.6640625" bestFit="1" customWidth="1"/>
    <col min="12" max="12" width="14.6640625" bestFit="1" customWidth="1"/>
    <col min="13" max="13" width="16.33203125" bestFit="1" customWidth="1"/>
    <col min="14" max="15" width="14.6640625" bestFit="1" customWidth="1"/>
    <col min="16" max="16" width="11.33203125" bestFit="1" customWidth="1"/>
    <col min="17" max="17" width="27.5546875" customWidth="1"/>
    <col min="18" max="19" width="13" bestFit="1" customWidth="1"/>
    <col min="20" max="20" width="14.6640625" bestFit="1" customWidth="1"/>
    <col min="21" max="22" width="16.33203125" bestFit="1" customWidth="1"/>
    <col min="23" max="23" width="14.6640625" bestFit="1" customWidth="1"/>
    <col min="24" max="24" width="16.33203125" bestFit="1" customWidth="1"/>
  </cols>
  <sheetData>
    <row r="5" spans="3:27">
      <c r="C5" t="s">
        <v>0</v>
      </c>
    </row>
    <row r="6" spans="3:27">
      <c r="D6" s="7" t="s">
        <v>1</v>
      </c>
      <c r="E6" s="10" t="s">
        <v>2</v>
      </c>
      <c r="F6" s="12" t="s">
        <v>3</v>
      </c>
      <c r="G6" s="14" t="s">
        <v>4</v>
      </c>
      <c r="H6" s="16" t="s">
        <v>5</v>
      </c>
      <c r="I6" s="18" t="s">
        <v>6</v>
      </c>
      <c r="J6" s="20" t="s">
        <v>7</v>
      </c>
      <c r="K6" s="22" t="s">
        <v>8</v>
      </c>
      <c r="L6" s="24" t="s">
        <v>9</v>
      </c>
      <c r="M6" s="26" t="s">
        <v>10</v>
      </c>
      <c r="N6" s="28" t="s">
        <v>11</v>
      </c>
      <c r="O6" s="28" t="s">
        <v>12</v>
      </c>
    </row>
    <row r="7" spans="3:27">
      <c r="C7" s="5" t="s">
        <v>13</v>
      </c>
      <c r="D7" s="8">
        <f ca="1">COUNTIF(INDIRECT("["&amp;datatable!$C$4&amp;"]"&amp;datatable!$A2&amp;"!"&amp;"Q:Q"),"High Correct")</f>
        <v>9</v>
      </c>
      <c r="E7" s="11">
        <f ca="1">COUNTIF(INDIRECT("["&amp;datatable!$C$2&amp;"]"&amp;datatable!$A2&amp;"!"&amp;"Q:Q"),"Medium Correct")</f>
        <v>1</v>
      </c>
      <c r="F7" s="13">
        <f ca="1">COUNTIF(INDIRECT("["&amp;datatable!$C$2&amp;"]"&amp;datatable!$A2&amp;"!"&amp;"Q:Q"),"Low Correct")</f>
        <v>0</v>
      </c>
      <c r="G7" s="15">
        <f ca="1">COUNTIF(INDIRECT("["&amp;datatable!$C$2&amp;"]"&amp;datatable!$A2&amp;"!"&amp;"Q:Q"),"High Maybe")</f>
        <v>0</v>
      </c>
      <c r="H7" s="17">
        <f ca="1">COUNTIF(INDIRECT("["&amp;datatable!$C$2&amp;"]"&amp;datatable!$A2&amp;"!"&amp;"Q:Q"),"Medium Maybe")</f>
        <v>0</v>
      </c>
      <c r="I7" s="19">
        <f ca="1">COUNTIF(INDIRECT("["&amp;datatable!$C$2&amp;"]"&amp;datatable!$A2&amp;"!"&amp;"Q:Q"),"Low Maybe")</f>
        <v>1</v>
      </c>
      <c r="J7" s="21">
        <f ca="1">COUNTIF(INDIRECT("["&amp;datatable!$C$2&amp;"]"&amp;datatable!$A2&amp;"!"&amp;"Q:Q"),"Low Incorrect")</f>
        <v>0</v>
      </c>
      <c r="K7" s="23">
        <f ca="1">COUNTIF(INDIRECT("["&amp;datatable!$C$2&amp;"]"&amp;datatable!$A2&amp;"!"&amp;"Q:Q"),"Medium Incorrect")</f>
        <v>1</v>
      </c>
      <c r="L7" s="25">
        <f ca="1">COUNTIF(INDIRECT("["&amp;datatable!$C$2&amp;"]"&amp;datatable!$A2&amp;"!"&amp;"Q:Q"),"High Incorrect")</f>
        <v>1</v>
      </c>
      <c r="M7" s="27">
        <f ca="1">COUNTIF(INDIRECT("["&amp;datatable!$C$2&amp;"]"&amp;datatable!$A2&amp;"!"&amp;"Q:Q"),"N/A")</f>
        <v>1</v>
      </c>
      <c r="N7" s="29">
        <f t="shared" ref="N7:N28" ca="1" si="0">SUM(D7:M7)</f>
        <v>14</v>
      </c>
      <c r="O7" s="29">
        <f t="shared" ref="O7:O28" ca="1" si="1">SUM(D7:L7)</f>
        <v>13</v>
      </c>
      <c r="Q7" t="s">
        <v>74</v>
      </c>
    </row>
    <row r="8" spans="3:27">
      <c r="C8" s="5" t="s">
        <v>14</v>
      </c>
      <c r="D8" s="8"/>
      <c r="E8" s="11"/>
      <c r="F8" s="13"/>
      <c r="G8" s="15"/>
      <c r="H8" s="17"/>
      <c r="I8" s="19"/>
      <c r="J8" s="21"/>
      <c r="K8" s="23"/>
      <c r="L8" s="25"/>
      <c r="M8" s="27"/>
      <c r="N8" s="29">
        <f t="shared" si="0"/>
        <v>0</v>
      </c>
      <c r="O8" s="29">
        <f t="shared" si="1"/>
        <v>0</v>
      </c>
      <c r="R8" t="s">
        <v>239</v>
      </c>
      <c r="AA8" t="s">
        <v>92</v>
      </c>
    </row>
    <row r="9" spans="3:27">
      <c r="C9" s="5" t="s">
        <v>15</v>
      </c>
      <c r="D9" s="8"/>
      <c r="E9" s="11"/>
      <c r="F9" s="13"/>
      <c r="G9" s="15"/>
      <c r="H9" s="17"/>
      <c r="I9" s="19"/>
      <c r="J9" s="21"/>
      <c r="K9" s="23"/>
      <c r="L9" s="25"/>
      <c r="M9" s="27"/>
      <c r="N9" s="29">
        <f t="shared" si="0"/>
        <v>0</v>
      </c>
      <c r="O9" s="29">
        <f t="shared" si="1"/>
        <v>0</v>
      </c>
      <c r="R9" t="s">
        <v>240</v>
      </c>
      <c r="AA9" t="s">
        <v>101</v>
      </c>
    </row>
    <row r="10" spans="3:27">
      <c r="C10" s="5" t="s">
        <v>16</v>
      </c>
      <c r="D10" s="8"/>
      <c r="E10" s="11"/>
      <c r="F10" s="13"/>
      <c r="G10" s="15"/>
      <c r="H10" s="17"/>
      <c r="I10" s="19"/>
      <c r="J10" s="21"/>
      <c r="K10" s="23"/>
      <c r="L10" s="25"/>
      <c r="M10" s="27"/>
      <c r="N10" s="29">
        <f t="shared" si="0"/>
        <v>0</v>
      </c>
      <c r="O10" s="29">
        <f t="shared" si="1"/>
        <v>0</v>
      </c>
      <c r="R10" t="s">
        <v>92</v>
      </c>
      <c r="AA10" t="s">
        <v>92</v>
      </c>
    </row>
    <row r="11" spans="3:27">
      <c r="C11" s="5" t="s">
        <v>17</v>
      </c>
      <c r="D11" s="8"/>
      <c r="E11" s="11"/>
      <c r="F11" s="13"/>
      <c r="G11" s="15"/>
      <c r="H11" s="17"/>
      <c r="I11" s="19"/>
      <c r="J11" s="21"/>
      <c r="K11" s="23"/>
      <c r="L11" s="25"/>
      <c r="M11" s="27"/>
      <c r="N11" s="29">
        <f t="shared" si="0"/>
        <v>0</v>
      </c>
      <c r="O11" s="29">
        <f t="shared" si="1"/>
        <v>0</v>
      </c>
      <c r="R11" t="s">
        <v>108</v>
      </c>
      <c r="AA11" t="s">
        <v>102</v>
      </c>
    </row>
    <row r="12" spans="3:27">
      <c r="C12" s="5" t="s">
        <v>18</v>
      </c>
      <c r="D12" s="8"/>
      <c r="E12" s="11"/>
      <c r="F12" s="13"/>
      <c r="G12" s="15"/>
      <c r="H12" s="17"/>
      <c r="I12" s="19"/>
      <c r="J12" s="21"/>
      <c r="K12" s="23"/>
      <c r="L12" s="25"/>
      <c r="M12" s="27"/>
      <c r="N12" s="29">
        <f t="shared" si="0"/>
        <v>0</v>
      </c>
      <c r="O12" s="29">
        <f t="shared" si="1"/>
        <v>0</v>
      </c>
      <c r="R12" t="s">
        <v>92</v>
      </c>
      <c r="AA12" t="s">
        <v>92</v>
      </c>
    </row>
    <row r="13" spans="3:27">
      <c r="C13" s="5" t="s">
        <v>19</v>
      </c>
      <c r="D13" s="8"/>
      <c r="E13" s="11"/>
      <c r="F13" s="13"/>
      <c r="G13" s="15"/>
      <c r="H13" s="17"/>
      <c r="I13" s="19"/>
      <c r="J13" s="21"/>
      <c r="K13" s="23"/>
      <c r="L13" s="25"/>
      <c r="M13" s="27"/>
      <c r="N13" s="29">
        <f t="shared" si="0"/>
        <v>0</v>
      </c>
      <c r="O13" s="29">
        <f t="shared" si="1"/>
        <v>0</v>
      </c>
      <c r="R13" t="s">
        <v>109</v>
      </c>
      <c r="AA13" t="s">
        <v>103</v>
      </c>
    </row>
    <row r="14" spans="3:27">
      <c r="C14" s="5" t="s">
        <v>20</v>
      </c>
      <c r="D14" s="8"/>
      <c r="E14" s="11"/>
      <c r="F14" s="13"/>
      <c r="G14" s="15"/>
      <c r="H14" s="17"/>
      <c r="I14" s="19"/>
      <c r="J14" s="21"/>
      <c r="K14" s="23"/>
      <c r="L14" s="25"/>
      <c r="M14" s="27"/>
      <c r="N14" s="29">
        <f t="shared" si="0"/>
        <v>0</v>
      </c>
      <c r="O14" s="29">
        <f t="shared" si="1"/>
        <v>0</v>
      </c>
      <c r="R14" t="s">
        <v>92</v>
      </c>
      <c r="AA14" t="s">
        <v>92</v>
      </c>
    </row>
    <row r="15" spans="3:27">
      <c r="C15" s="5" t="s">
        <v>21</v>
      </c>
      <c r="D15" s="8"/>
      <c r="E15" s="11"/>
      <c r="F15" s="13"/>
      <c r="G15" s="15"/>
      <c r="H15" s="17"/>
      <c r="I15" s="19"/>
      <c r="J15" s="21"/>
      <c r="K15" s="23"/>
      <c r="L15" s="25"/>
      <c r="M15" s="27"/>
      <c r="N15" s="29">
        <f t="shared" si="0"/>
        <v>0</v>
      </c>
      <c r="O15" s="29">
        <f t="shared" si="1"/>
        <v>0</v>
      </c>
      <c r="R15" t="s">
        <v>110</v>
      </c>
      <c r="AA15" t="s">
        <v>105</v>
      </c>
    </row>
    <row r="16" spans="3:27">
      <c r="C16" s="5" t="s">
        <v>22</v>
      </c>
      <c r="D16" s="8"/>
      <c r="E16" s="11"/>
      <c r="F16" s="13"/>
      <c r="G16" s="15"/>
      <c r="H16" s="17"/>
      <c r="I16" s="19"/>
      <c r="J16" s="21"/>
      <c r="K16" s="23"/>
      <c r="L16" s="25"/>
      <c r="M16" s="27"/>
      <c r="N16" s="29">
        <f t="shared" si="0"/>
        <v>0</v>
      </c>
      <c r="O16" s="29">
        <f t="shared" si="1"/>
        <v>0</v>
      </c>
      <c r="R16" t="s">
        <v>112</v>
      </c>
      <c r="AA16" t="s">
        <v>92</v>
      </c>
    </row>
    <row r="17" spans="3:27">
      <c r="C17" s="5" t="s">
        <v>23</v>
      </c>
      <c r="D17" s="8"/>
      <c r="E17" s="11"/>
      <c r="F17" s="13"/>
      <c r="G17" s="15"/>
      <c r="H17" s="17"/>
      <c r="I17" s="19"/>
      <c r="J17" s="21"/>
      <c r="K17" s="23"/>
      <c r="L17" s="25"/>
      <c r="M17" s="27"/>
      <c r="N17" s="29">
        <f t="shared" si="0"/>
        <v>0</v>
      </c>
      <c r="O17" s="29">
        <f t="shared" si="1"/>
        <v>0</v>
      </c>
      <c r="R17" t="s">
        <v>92</v>
      </c>
      <c r="AA17" t="s">
        <v>106</v>
      </c>
    </row>
    <row r="18" spans="3:27">
      <c r="C18" s="5" t="s">
        <v>24</v>
      </c>
      <c r="D18" s="8"/>
      <c r="E18" s="11"/>
      <c r="F18" s="13"/>
      <c r="G18" s="15"/>
      <c r="H18" s="17"/>
      <c r="I18" s="19"/>
      <c r="J18" s="21"/>
      <c r="K18" s="23"/>
      <c r="L18" s="25"/>
      <c r="M18" s="27"/>
      <c r="N18" s="29">
        <f t="shared" si="0"/>
        <v>0</v>
      </c>
      <c r="O18" s="29">
        <f t="shared" si="1"/>
        <v>0</v>
      </c>
      <c r="R18" t="s">
        <v>114</v>
      </c>
      <c r="AA18" t="s">
        <v>92</v>
      </c>
    </row>
    <row r="19" spans="3:27">
      <c r="C19" s="5" t="s">
        <v>25</v>
      </c>
      <c r="D19" s="8"/>
      <c r="E19" s="11"/>
      <c r="F19" s="13"/>
      <c r="G19" s="15"/>
      <c r="H19" s="17"/>
      <c r="I19" s="19"/>
      <c r="J19" s="21"/>
      <c r="K19" s="23"/>
      <c r="L19" s="25"/>
      <c r="M19" s="27"/>
      <c r="N19" s="29">
        <f t="shared" si="0"/>
        <v>0</v>
      </c>
      <c r="O19" s="29">
        <f t="shared" si="1"/>
        <v>0</v>
      </c>
      <c r="R19" t="s">
        <v>112</v>
      </c>
      <c r="AA19" t="s">
        <v>107</v>
      </c>
    </row>
    <row r="20" spans="3:27">
      <c r="C20" s="5" t="s">
        <v>26</v>
      </c>
      <c r="D20" s="8"/>
      <c r="E20" s="11"/>
      <c r="F20" s="13"/>
      <c r="G20" s="15"/>
      <c r="H20" s="17"/>
      <c r="I20" s="19"/>
      <c r="J20" s="21"/>
      <c r="K20" s="23"/>
      <c r="L20" s="25"/>
      <c r="M20" s="27"/>
      <c r="N20" s="29">
        <f t="shared" si="0"/>
        <v>0</v>
      </c>
      <c r="O20" s="29">
        <f t="shared" si="1"/>
        <v>0</v>
      </c>
      <c r="R20" t="s">
        <v>116</v>
      </c>
      <c r="AA20" t="s">
        <v>92</v>
      </c>
    </row>
    <row r="21" spans="3:27">
      <c r="C21" s="5" t="s">
        <v>27</v>
      </c>
      <c r="D21" s="8"/>
      <c r="E21" s="11"/>
      <c r="F21" s="13"/>
      <c r="G21" s="15"/>
      <c r="H21" s="17"/>
      <c r="I21" s="19"/>
      <c r="J21" s="21"/>
      <c r="K21" s="23"/>
      <c r="L21" s="25"/>
      <c r="M21" s="27"/>
      <c r="N21" s="29">
        <f t="shared" si="0"/>
        <v>0</v>
      </c>
      <c r="O21" s="29">
        <f t="shared" si="1"/>
        <v>0</v>
      </c>
      <c r="R21" t="s">
        <v>92</v>
      </c>
      <c r="AA21" t="s">
        <v>241</v>
      </c>
    </row>
    <row r="22" spans="3:27">
      <c r="C22" s="5" t="s">
        <v>28</v>
      </c>
      <c r="D22" s="8"/>
      <c r="E22" s="11"/>
      <c r="F22" s="13"/>
      <c r="G22" s="15"/>
      <c r="H22" s="17"/>
      <c r="I22" s="19"/>
      <c r="J22" s="21"/>
      <c r="K22" s="23"/>
      <c r="L22" s="25"/>
      <c r="M22" s="27"/>
      <c r="N22" s="29">
        <f t="shared" si="0"/>
        <v>0</v>
      </c>
      <c r="O22" s="29">
        <f t="shared" si="1"/>
        <v>0</v>
      </c>
      <c r="R22" t="s">
        <v>118</v>
      </c>
      <c r="AA22" t="s">
        <v>242</v>
      </c>
    </row>
    <row r="23" spans="3:27">
      <c r="C23" s="5" t="s">
        <v>29</v>
      </c>
      <c r="D23" s="8"/>
      <c r="E23" s="11"/>
      <c r="F23" s="13"/>
      <c r="G23" s="15"/>
      <c r="H23" s="17"/>
      <c r="I23" s="19"/>
      <c r="J23" s="21"/>
      <c r="K23" s="23"/>
      <c r="L23" s="25"/>
      <c r="M23" s="27"/>
      <c r="N23" s="29">
        <f t="shared" si="0"/>
        <v>0</v>
      </c>
      <c r="O23" s="29">
        <f t="shared" si="1"/>
        <v>0</v>
      </c>
      <c r="R23" t="s">
        <v>92</v>
      </c>
      <c r="AA23" t="s">
        <v>92</v>
      </c>
    </row>
    <row r="24" spans="3:27">
      <c r="C24" s="5" t="s">
        <v>30</v>
      </c>
      <c r="D24" s="8"/>
      <c r="E24" s="11"/>
      <c r="F24" s="13"/>
      <c r="G24" s="15"/>
      <c r="H24" s="17"/>
      <c r="I24" s="19"/>
      <c r="J24" s="21"/>
      <c r="K24" s="23"/>
      <c r="L24" s="25"/>
      <c r="M24" s="27"/>
      <c r="N24" s="29">
        <f t="shared" si="0"/>
        <v>0</v>
      </c>
      <c r="O24" s="29">
        <f t="shared" si="1"/>
        <v>0</v>
      </c>
      <c r="R24" t="s">
        <v>120</v>
      </c>
      <c r="AA24" t="s">
        <v>113</v>
      </c>
    </row>
    <row r="25" spans="3:27">
      <c r="C25" s="5" t="s">
        <v>31</v>
      </c>
      <c r="D25" s="8"/>
      <c r="E25" s="11"/>
      <c r="F25" s="13"/>
      <c r="G25" s="15"/>
      <c r="H25" s="17"/>
      <c r="I25" s="19"/>
      <c r="J25" s="21"/>
      <c r="K25" s="23"/>
      <c r="L25" s="25"/>
      <c r="M25" s="27"/>
      <c r="N25" s="29">
        <f t="shared" si="0"/>
        <v>0</v>
      </c>
      <c r="O25" s="29">
        <f t="shared" si="1"/>
        <v>0</v>
      </c>
      <c r="R25" t="s">
        <v>92</v>
      </c>
      <c r="AA25" t="s">
        <v>92</v>
      </c>
    </row>
    <row r="26" spans="3:27">
      <c r="C26" s="5" t="s">
        <v>32</v>
      </c>
      <c r="D26" s="8"/>
      <c r="E26" s="11"/>
      <c r="F26" s="13"/>
      <c r="G26" s="15"/>
      <c r="H26" s="17"/>
      <c r="I26" s="19"/>
      <c r="J26" s="21"/>
      <c r="K26" s="23"/>
      <c r="L26" s="25"/>
      <c r="M26" s="27"/>
      <c r="N26" s="29">
        <f t="shared" si="0"/>
        <v>0</v>
      </c>
      <c r="O26" s="29">
        <f t="shared" si="1"/>
        <v>0</v>
      </c>
      <c r="R26" t="s">
        <v>122</v>
      </c>
      <c r="AA26" t="s">
        <v>115</v>
      </c>
    </row>
    <row r="27" spans="3:27">
      <c r="C27" s="5" t="s">
        <v>33</v>
      </c>
      <c r="D27" s="8"/>
      <c r="E27" s="11"/>
      <c r="F27" s="13"/>
      <c r="G27" s="15"/>
      <c r="H27" s="17"/>
      <c r="I27" s="19"/>
      <c r="J27" s="21"/>
      <c r="K27" s="23"/>
      <c r="L27" s="25"/>
      <c r="M27" s="27"/>
      <c r="N27" s="29">
        <f t="shared" si="0"/>
        <v>0</v>
      </c>
      <c r="O27" s="29">
        <f t="shared" si="1"/>
        <v>0</v>
      </c>
      <c r="R27" t="s">
        <v>92</v>
      </c>
      <c r="AA27" t="s">
        <v>92</v>
      </c>
    </row>
    <row r="28" spans="3:27">
      <c r="C28" s="6" t="s">
        <v>34</v>
      </c>
      <c r="D28" s="9">
        <f t="shared" ref="D28:M28" ca="1" si="2">SUM(D7:D27)</f>
        <v>9</v>
      </c>
      <c r="E28" s="9">
        <f t="shared" ca="1" si="2"/>
        <v>1</v>
      </c>
      <c r="F28" s="9">
        <f t="shared" ca="1" si="2"/>
        <v>0</v>
      </c>
      <c r="G28" s="9">
        <f t="shared" ca="1" si="2"/>
        <v>0</v>
      </c>
      <c r="H28" s="9">
        <f t="shared" ca="1" si="2"/>
        <v>0</v>
      </c>
      <c r="I28" s="9">
        <f t="shared" ca="1" si="2"/>
        <v>1</v>
      </c>
      <c r="J28" s="9">
        <f t="shared" ca="1" si="2"/>
        <v>0</v>
      </c>
      <c r="K28" s="9">
        <f t="shared" ca="1" si="2"/>
        <v>1</v>
      </c>
      <c r="L28" s="9">
        <f t="shared" ca="1" si="2"/>
        <v>1</v>
      </c>
      <c r="M28" s="9">
        <f t="shared" ca="1" si="2"/>
        <v>1</v>
      </c>
      <c r="N28" s="29">
        <f t="shared" ca="1" si="0"/>
        <v>14</v>
      </c>
      <c r="O28" s="29">
        <f t="shared" ca="1" si="1"/>
        <v>13</v>
      </c>
      <c r="R28" t="s">
        <v>124</v>
      </c>
      <c r="AA28" t="s">
        <v>117</v>
      </c>
    </row>
    <row r="29" spans="3:27">
      <c r="R29" t="s">
        <v>92</v>
      </c>
      <c r="AA29" t="s">
        <v>92</v>
      </c>
    </row>
    <row r="30" spans="3:27">
      <c r="C30" s="30" t="s">
        <v>35</v>
      </c>
      <c r="R30" t="s">
        <v>126</v>
      </c>
      <c r="AA30" t="s">
        <v>119</v>
      </c>
    </row>
    <row r="31" spans="3:27">
      <c r="C31" s="30"/>
      <c r="D31" s="31" t="s">
        <v>1</v>
      </c>
      <c r="E31" s="32" t="s">
        <v>2</v>
      </c>
      <c r="F31" s="33" t="s">
        <v>3</v>
      </c>
      <c r="G31" s="34" t="s">
        <v>4</v>
      </c>
      <c r="H31" s="35" t="s">
        <v>5</v>
      </c>
      <c r="I31" s="36" t="s">
        <v>6</v>
      </c>
      <c r="J31" s="37" t="s">
        <v>7</v>
      </c>
      <c r="K31" s="38" t="s">
        <v>8</v>
      </c>
      <c r="L31" s="39" t="s">
        <v>9</v>
      </c>
      <c r="M31" s="40" t="s">
        <v>10</v>
      </c>
      <c r="N31" s="41" t="s">
        <v>36</v>
      </c>
      <c r="O31" s="41" t="s">
        <v>12</v>
      </c>
      <c r="R31" t="s">
        <v>92</v>
      </c>
      <c r="AA31" t="s">
        <v>92</v>
      </c>
    </row>
    <row r="32" spans="3:27">
      <c r="C32" s="42" t="s">
        <v>37</v>
      </c>
      <c r="D32" s="8">
        <f ca="1">COUNTIF(INDIRECT("["&amp;datatable!$C$2&amp;"]"&amp;datatable!$B2&amp;"!"&amp;"Q:Q"),"High Correct")</f>
        <v>11</v>
      </c>
      <c r="E32" s="11">
        <f ca="1">COUNTIF(INDIRECT("["&amp;datatable!$C$2&amp;"]"&amp;datatable!$B2&amp;"!"&amp;"Q:Q"),"Medium Correct")</f>
        <v>2</v>
      </c>
      <c r="F32" s="13">
        <f ca="1">COUNTIF(INDIRECT("["&amp;datatable!$C$2&amp;"]"&amp;datatable!$B2&amp;"!"&amp;"Q:Q"),"Low Correct")</f>
        <v>1</v>
      </c>
      <c r="G32" s="15">
        <f ca="1">COUNTIF(INDIRECT("["&amp;datatable!$C$2&amp;"]"&amp;datatable!$B2&amp;"!"&amp;"Q:Q"),"High Maybe")</f>
        <v>1</v>
      </c>
      <c r="H32" s="17">
        <f ca="1">COUNTIF(INDIRECT("["&amp;datatable!$C$2&amp;"]"&amp;datatable!$B2&amp;"!"&amp;"Q:Q"),"Medium Maybe")</f>
        <v>0</v>
      </c>
      <c r="I32" s="19">
        <f ca="1">COUNTIF(INDIRECT("["&amp;datatable!$C$2&amp;"]"&amp;datatable!$B2&amp;"!"&amp;"Q:Q"),"Low Maybe")</f>
        <v>0</v>
      </c>
      <c r="J32" s="21">
        <f ca="1">COUNTIF(INDIRECT("["&amp;datatable!$C$2&amp;"]"&amp;datatable!$B2&amp;"!"&amp;"Q:Q"),"Low Incorrect")</f>
        <v>0</v>
      </c>
      <c r="K32" s="23">
        <f ca="1">COUNTIF(INDIRECT("["&amp;datatable!$C$2&amp;"]"&amp;datatable!$B2&amp;"!"&amp;"Q:Q"),"Medium Incorrect")</f>
        <v>3</v>
      </c>
      <c r="L32" s="25">
        <f ca="1">COUNTIF(INDIRECT("["&amp;datatable!$C$2&amp;"]"&amp;datatable!$B2&amp;"!"&amp;"Q:Q"),"High Incorrect")</f>
        <v>0</v>
      </c>
      <c r="M32" s="27">
        <f ca="1">COUNTIF(INDIRECT("["&amp;datatable!$C$2&amp;"]"&amp;datatable!$B2&amp;"!"&amp;"Q:Q"),"N/A")</f>
        <v>3</v>
      </c>
      <c r="N32" s="43">
        <f t="shared" ref="N32:N48" ca="1" si="3">SUM(D32:M32)</f>
        <v>21</v>
      </c>
      <c r="O32" s="43">
        <f t="shared" ref="O32:O48" ca="1" si="4">SUM(D32:L32)</f>
        <v>18</v>
      </c>
      <c r="R32" t="s">
        <v>128</v>
      </c>
      <c r="AA32" t="s">
        <v>123</v>
      </c>
    </row>
    <row r="33" spans="3:27">
      <c r="C33" s="44" t="s">
        <v>38</v>
      </c>
      <c r="D33" s="8"/>
      <c r="E33" s="11"/>
      <c r="F33" s="13"/>
      <c r="G33" s="15"/>
      <c r="H33" s="17"/>
      <c r="I33" s="19"/>
      <c r="J33" s="21"/>
      <c r="K33" s="23"/>
      <c r="L33" s="25"/>
      <c r="M33" s="27"/>
      <c r="N33" s="43">
        <f t="shared" si="3"/>
        <v>0</v>
      </c>
      <c r="O33" s="43">
        <f t="shared" si="4"/>
        <v>0</v>
      </c>
      <c r="R33" t="s">
        <v>92</v>
      </c>
      <c r="AA33" t="s">
        <v>92</v>
      </c>
    </row>
    <row r="34" spans="3:27">
      <c r="C34" s="44" t="s">
        <v>39</v>
      </c>
      <c r="D34" s="8"/>
      <c r="E34" s="11"/>
      <c r="F34" s="13"/>
      <c r="G34" s="15"/>
      <c r="H34" s="17"/>
      <c r="I34" s="19"/>
      <c r="J34" s="21"/>
      <c r="K34" s="23"/>
      <c r="L34" s="25"/>
      <c r="M34" s="27"/>
      <c r="N34" s="43">
        <f t="shared" si="3"/>
        <v>0</v>
      </c>
      <c r="O34" s="43">
        <f t="shared" si="4"/>
        <v>0</v>
      </c>
      <c r="R34" t="s">
        <v>130</v>
      </c>
      <c r="AA34" t="s">
        <v>125</v>
      </c>
    </row>
    <row r="35" spans="3:27">
      <c r="C35" s="44" t="s">
        <v>40</v>
      </c>
      <c r="D35" s="8"/>
      <c r="E35" s="11"/>
      <c r="F35" s="13"/>
      <c r="G35" s="15"/>
      <c r="H35" s="17"/>
      <c r="I35" s="19"/>
      <c r="J35" s="21"/>
      <c r="K35" s="23"/>
      <c r="L35" s="25"/>
      <c r="M35" s="27"/>
      <c r="N35" s="43">
        <f t="shared" si="3"/>
        <v>0</v>
      </c>
      <c r="O35" s="43">
        <f t="shared" si="4"/>
        <v>0</v>
      </c>
      <c r="AA35" t="s">
        <v>92</v>
      </c>
    </row>
    <row r="36" spans="3:27">
      <c r="C36" s="44" t="s">
        <v>41</v>
      </c>
      <c r="D36" s="8"/>
      <c r="E36" s="11"/>
      <c r="F36" s="13"/>
      <c r="G36" s="15"/>
      <c r="H36" s="17"/>
      <c r="I36" s="19"/>
      <c r="J36" s="21"/>
      <c r="K36" s="23"/>
      <c r="L36" s="25"/>
      <c r="M36" s="27"/>
      <c r="N36" s="43">
        <f t="shared" si="3"/>
        <v>0</v>
      </c>
      <c r="O36" s="43">
        <f t="shared" si="4"/>
        <v>0</v>
      </c>
      <c r="AA36" t="s">
        <v>127</v>
      </c>
    </row>
    <row r="37" spans="3:27">
      <c r="C37" s="44" t="s">
        <v>42</v>
      </c>
      <c r="D37" s="8"/>
      <c r="E37" s="11"/>
      <c r="F37" s="13"/>
      <c r="G37" s="15"/>
      <c r="H37" s="17"/>
      <c r="I37" s="19"/>
      <c r="J37" s="21"/>
      <c r="K37" s="23"/>
      <c r="L37" s="25"/>
      <c r="M37" s="27"/>
      <c r="N37" s="43">
        <f t="shared" si="3"/>
        <v>0</v>
      </c>
      <c r="O37" s="43">
        <f t="shared" si="4"/>
        <v>0</v>
      </c>
      <c r="AA37" t="s">
        <v>112</v>
      </c>
    </row>
    <row r="38" spans="3:27">
      <c r="C38" s="44" t="s">
        <v>43</v>
      </c>
      <c r="D38" s="8"/>
      <c r="E38" s="11"/>
      <c r="F38" s="13"/>
      <c r="G38" s="15"/>
      <c r="H38" s="17"/>
      <c r="I38" s="19"/>
      <c r="J38" s="21"/>
      <c r="K38" s="23"/>
      <c r="L38" s="25"/>
      <c r="M38" s="27"/>
      <c r="N38" s="43">
        <f t="shared" si="3"/>
        <v>0</v>
      </c>
      <c r="O38" s="43">
        <f t="shared" si="4"/>
        <v>0</v>
      </c>
      <c r="AA38" t="s">
        <v>92</v>
      </c>
    </row>
    <row r="39" spans="3:27">
      <c r="C39" s="44" t="s">
        <v>44</v>
      </c>
      <c r="D39" s="8"/>
      <c r="E39" s="11"/>
      <c r="F39" s="13"/>
      <c r="G39" s="15"/>
      <c r="H39" s="17"/>
      <c r="I39" s="19"/>
      <c r="J39" s="21"/>
      <c r="K39" s="23"/>
      <c r="L39" s="25"/>
      <c r="M39" s="27"/>
      <c r="N39" s="43">
        <f t="shared" si="3"/>
        <v>0</v>
      </c>
      <c r="O39" s="43">
        <f t="shared" si="4"/>
        <v>0</v>
      </c>
      <c r="AA39" t="s">
        <v>129</v>
      </c>
    </row>
    <row r="40" spans="3:27">
      <c r="C40" s="44" t="s">
        <v>45</v>
      </c>
      <c r="D40" s="8"/>
      <c r="E40" s="11"/>
      <c r="F40" s="13"/>
      <c r="G40" s="15"/>
      <c r="H40" s="17"/>
      <c r="I40" s="19"/>
      <c r="J40" s="21"/>
      <c r="K40" s="23"/>
      <c r="L40" s="25"/>
      <c r="M40" s="27"/>
      <c r="N40" s="43">
        <f t="shared" si="3"/>
        <v>0</v>
      </c>
      <c r="O40" s="43">
        <f t="shared" si="4"/>
        <v>0</v>
      </c>
      <c r="AA40" t="s">
        <v>243</v>
      </c>
    </row>
    <row r="41" spans="3:27">
      <c r="C41" s="44" t="s">
        <v>46</v>
      </c>
      <c r="D41" s="8"/>
      <c r="E41" s="11"/>
      <c r="F41" s="13"/>
      <c r="G41" s="15"/>
      <c r="H41" s="17"/>
      <c r="I41" s="19"/>
      <c r="J41" s="21"/>
      <c r="K41" s="23"/>
      <c r="L41" s="25"/>
      <c r="M41" s="27"/>
      <c r="N41" s="43">
        <f t="shared" si="3"/>
        <v>0</v>
      </c>
      <c r="O41" s="43">
        <f t="shared" si="4"/>
        <v>0</v>
      </c>
      <c r="AA41" t="s">
        <v>92</v>
      </c>
    </row>
    <row r="42" spans="3:27">
      <c r="C42" s="44" t="s">
        <v>47</v>
      </c>
      <c r="D42" s="8"/>
      <c r="E42" s="11"/>
      <c r="F42" s="13"/>
      <c r="G42" s="15"/>
      <c r="H42" s="17"/>
      <c r="I42" s="19"/>
      <c r="J42" s="21"/>
      <c r="K42" s="23"/>
      <c r="L42" s="25"/>
      <c r="M42" s="27"/>
      <c r="N42" s="43">
        <f t="shared" si="3"/>
        <v>0</v>
      </c>
      <c r="O42" s="43">
        <f t="shared" si="4"/>
        <v>0</v>
      </c>
      <c r="AA42" t="s">
        <v>131</v>
      </c>
    </row>
    <row r="43" spans="3:27">
      <c r="C43" s="44" t="s">
        <v>48</v>
      </c>
      <c r="D43" s="8"/>
      <c r="E43" s="11"/>
      <c r="F43" s="13"/>
      <c r="G43" s="15"/>
      <c r="H43" s="17"/>
      <c r="I43" s="19"/>
      <c r="J43" s="21"/>
      <c r="K43" s="23"/>
      <c r="L43" s="25"/>
      <c r="M43" s="27"/>
      <c r="N43" s="43">
        <f t="shared" si="3"/>
        <v>0</v>
      </c>
      <c r="O43" s="43">
        <f t="shared" si="4"/>
        <v>0</v>
      </c>
      <c r="AA43" t="s">
        <v>92</v>
      </c>
    </row>
    <row r="44" spans="3:27">
      <c r="C44" s="44" t="s">
        <v>49</v>
      </c>
      <c r="D44" s="8"/>
      <c r="E44" s="11"/>
      <c r="F44" s="13"/>
      <c r="G44" s="15"/>
      <c r="H44" s="17"/>
      <c r="I44" s="19"/>
      <c r="J44" s="21"/>
      <c r="K44" s="23"/>
      <c r="L44" s="25"/>
      <c r="M44" s="27"/>
      <c r="N44" s="43">
        <f t="shared" si="3"/>
        <v>0</v>
      </c>
      <c r="O44" s="43">
        <f t="shared" si="4"/>
        <v>0</v>
      </c>
      <c r="AA44" t="s">
        <v>132</v>
      </c>
    </row>
    <row r="45" spans="3:27">
      <c r="C45" s="44" t="s">
        <v>50</v>
      </c>
      <c r="D45" s="8"/>
      <c r="E45" s="11"/>
      <c r="F45" s="13"/>
      <c r="G45" s="15"/>
      <c r="H45" s="17"/>
      <c r="I45" s="19"/>
      <c r="J45" s="21"/>
      <c r="K45" s="23"/>
      <c r="L45" s="25"/>
      <c r="M45" s="27"/>
      <c r="N45" s="43">
        <f t="shared" si="3"/>
        <v>0</v>
      </c>
      <c r="O45" s="43">
        <f t="shared" si="4"/>
        <v>0</v>
      </c>
      <c r="AA45" t="s">
        <v>92</v>
      </c>
    </row>
    <row r="46" spans="3:27">
      <c r="C46" s="45" t="s">
        <v>51</v>
      </c>
      <c r="D46" s="8"/>
      <c r="E46" s="11"/>
      <c r="F46" s="13"/>
      <c r="G46" s="15"/>
      <c r="H46" s="17"/>
      <c r="I46" s="19"/>
      <c r="J46" s="21"/>
      <c r="K46" s="23"/>
      <c r="L46" s="25"/>
      <c r="M46" s="27"/>
      <c r="N46" s="43">
        <f t="shared" si="3"/>
        <v>0</v>
      </c>
      <c r="O46" s="43">
        <f t="shared" si="4"/>
        <v>0</v>
      </c>
      <c r="AA46" t="s">
        <v>133</v>
      </c>
    </row>
    <row r="47" spans="3:27">
      <c r="C47" s="44" t="s">
        <v>52</v>
      </c>
      <c r="D47" s="8"/>
      <c r="E47" s="11"/>
      <c r="F47" s="13"/>
      <c r="G47" s="15"/>
      <c r="H47" s="17"/>
      <c r="I47" s="19"/>
      <c r="J47" s="21"/>
      <c r="K47" s="23"/>
      <c r="L47" s="25"/>
      <c r="M47" s="27"/>
      <c r="N47" s="43">
        <f t="shared" si="3"/>
        <v>0</v>
      </c>
      <c r="O47" s="43">
        <f t="shared" si="4"/>
        <v>0</v>
      </c>
      <c r="AA47" t="s">
        <v>92</v>
      </c>
    </row>
    <row r="48" spans="3:27">
      <c r="C48" s="46" t="s">
        <v>36</v>
      </c>
      <c r="D48" s="47">
        <f t="shared" ref="D48:M48" ca="1" si="5">SUM(D32:D47)</f>
        <v>11</v>
      </c>
      <c r="E48" s="47">
        <f t="shared" ca="1" si="5"/>
        <v>2</v>
      </c>
      <c r="F48" s="47">
        <f t="shared" ca="1" si="5"/>
        <v>1</v>
      </c>
      <c r="G48" s="47">
        <f t="shared" ca="1" si="5"/>
        <v>1</v>
      </c>
      <c r="H48" s="47">
        <f t="shared" ca="1" si="5"/>
        <v>0</v>
      </c>
      <c r="I48" s="47">
        <f t="shared" ca="1" si="5"/>
        <v>0</v>
      </c>
      <c r="J48" s="47">
        <f t="shared" ca="1" si="5"/>
        <v>0</v>
      </c>
      <c r="K48" s="47">
        <f t="shared" ca="1" si="5"/>
        <v>3</v>
      </c>
      <c r="L48" s="47">
        <f t="shared" ca="1" si="5"/>
        <v>0</v>
      </c>
      <c r="M48" s="47">
        <f t="shared" ca="1" si="5"/>
        <v>3</v>
      </c>
      <c r="N48" s="43">
        <f t="shared" ca="1" si="3"/>
        <v>21</v>
      </c>
      <c r="O48" s="43">
        <f t="shared" ca="1" si="4"/>
        <v>18</v>
      </c>
      <c r="AA48" t="s">
        <v>135</v>
      </c>
    </row>
    <row r="49" spans="3:27">
      <c r="AA49" t="s">
        <v>92</v>
      </c>
    </row>
    <row r="50" spans="3:27">
      <c r="AA50" t="s">
        <v>136</v>
      </c>
    </row>
    <row r="51" spans="3:27">
      <c r="AA51" t="s">
        <v>92</v>
      </c>
    </row>
    <row r="52" spans="3:27">
      <c r="AA52" t="s">
        <v>137</v>
      </c>
    </row>
    <row r="53" spans="3:27">
      <c r="C53" s="48"/>
      <c r="D53" s="49" t="s">
        <v>13</v>
      </c>
      <c r="E53" s="49" t="s">
        <v>14</v>
      </c>
      <c r="F53" s="49" t="s">
        <v>15</v>
      </c>
      <c r="G53" s="49" t="s">
        <v>16</v>
      </c>
      <c r="H53" s="49" t="s">
        <v>17</v>
      </c>
      <c r="I53" s="49" t="s">
        <v>18</v>
      </c>
      <c r="J53" s="49" t="s">
        <v>19</v>
      </c>
      <c r="K53" s="49" t="s">
        <v>20</v>
      </c>
      <c r="L53" s="49" t="s">
        <v>21</v>
      </c>
      <c r="M53" s="49" t="s">
        <v>22</v>
      </c>
      <c r="N53" s="49" t="s">
        <v>23</v>
      </c>
      <c r="O53" s="49" t="s">
        <v>24</v>
      </c>
      <c r="P53" s="49" t="s">
        <v>25</v>
      </c>
      <c r="Q53" s="49" t="s">
        <v>26</v>
      </c>
      <c r="R53" s="49" t="s">
        <v>27</v>
      </c>
      <c r="S53" s="49" t="s">
        <v>28</v>
      </c>
      <c r="T53" s="49" t="s">
        <v>29</v>
      </c>
      <c r="U53" s="49" t="s">
        <v>30</v>
      </c>
      <c r="V53" s="49" t="s">
        <v>31</v>
      </c>
      <c r="W53" s="49" t="s">
        <v>32</v>
      </c>
      <c r="X53" s="49" t="s">
        <v>33</v>
      </c>
      <c r="Y53" s="50"/>
      <c r="AA53" t="s">
        <v>92</v>
      </c>
    </row>
    <row r="54" spans="3:27">
      <c r="C54" s="30"/>
      <c r="D54" s="51"/>
      <c r="E54" s="51"/>
      <c r="F54" s="51"/>
      <c r="G54" s="51"/>
      <c r="H54" s="51"/>
      <c r="I54" s="51"/>
      <c r="J54" s="51"/>
      <c r="K54" s="51"/>
      <c r="L54" s="51"/>
      <c r="M54" s="51"/>
      <c r="N54" s="51"/>
      <c r="O54" s="51"/>
      <c r="P54" s="51"/>
      <c r="Q54" s="51"/>
      <c r="R54" s="51"/>
      <c r="S54" s="51"/>
      <c r="T54" s="51"/>
      <c r="U54" s="51"/>
      <c r="V54" s="51"/>
      <c r="W54" s="51"/>
      <c r="X54" s="51"/>
      <c r="Y54" s="50"/>
      <c r="AA54" t="s">
        <v>138</v>
      </c>
    </row>
    <row r="55" spans="3:27">
      <c r="C55" s="52" t="s">
        <v>37</v>
      </c>
      <c r="D55" s="51" t="str" cm="1">
        <f t="array" aca="1" ref="D55" ca="1">INDIRECT("["&amp;datatable!$C$2&amp;"]"&amp;datatable!$B2&amp;"!"&amp;"Q2")</f>
        <v>N/A</v>
      </c>
      <c r="E55" s="51" t="str" cm="1">
        <f t="array" aca="1" ref="E55" ca="1">INDIRECT("["&amp;datatable!$C$2&amp;"]"&amp;datatable!$B2&amp;"!"&amp;"Q3")</f>
        <v>High Correct</v>
      </c>
      <c r="F55" s="51" t="str" cm="1">
        <f t="array" aca="1" ref="F55" ca="1">INDIRECT("["&amp;datatable!$C$2&amp;"]"&amp;datatable!$B2&amp;"!"&amp;"Q4")</f>
        <v>Medium Correct</v>
      </c>
      <c r="G55" s="51" t="str" cm="1">
        <f t="array" aca="1" ref="G55" ca="1">INDIRECT("["&amp;datatable!$C$2&amp;"]"&amp;datatable!$B2&amp;"!"&amp;"Q5")</f>
        <v>Medium Correct</v>
      </c>
      <c r="H55" s="51" t="str" cm="1">
        <f t="array" aca="1" ref="H55" ca="1">INDIRECT("["&amp;datatable!$C$2&amp;"]"&amp;datatable!$B2&amp;"!"&amp;"Q6")</f>
        <v>High Correct</v>
      </c>
      <c r="I55" s="51" t="str" cm="1">
        <f t="array" aca="1" ref="I55" ca="1">INDIRECT("["&amp;datatable!$C$2&amp;"]"&amp;datatable!$B2&amp;"!"&amp;"Q7")</f>
        <v>High Maybe</v>
      </c>
      <c r="J55" s="51" t="str" cm="1">
        <f t="array" aca="1" ref="J55" ca="1">INDIRECT("["&amp;datatable!$C$2&amp;"]"&amp;datatable!$B2&amp;"!"&amp;"Q8")</f>
        <v>High Correct</v>
      </c>
      <c r="K55" s="51" t="str" cm="1">
        <f t="array" aca="1" ref="K55" ca="1">INDIRECT("["&amp;datatable!$C$2&amp;"]"&amp;datatable!$B2&amp;"!"&amp;"Q9")</f>
        <v>High Correct</v>
      </c>
      <c r="L55" s="51" t="str" cm="1">
        <f t="array" aca="1" ref="L55" ca="1">INDIRECT("["&amp;datatable!$C$2&amp;"]"&amp;datatable!$B2&amp;"!"&amp;"Q10")</f>
        <v>High Correct</v>
      </c>
      <c r="M55" s="51" t="str" cm="1">
        <f t="array" aca="1" ref="M55" ca="1">INDIRECT("["&amp;datatable!$C$2&amp;"]"&amp;datatable!$B2&amp;"!"&amp;"Q11")</f>
        <v>Low Correct</v>
      </c>
      <c r="N55" s="51" t="str" cm="1">
        <f t="array" aca="1" ref="N55" ca="1">INDIRECT("["&amp;datatable!$C$2&amp;"]"&amp;datatable!$B2&amp;"!"&amp;"Q46")</f>
        <v>High Correct</v>
      </c>
      <c r="O55" s="51" t="str" cm="1">
        <f t="array" aca="1" ref="O55" ca="1">INDIRECT("["&amp;datatable!$C$2&amp;"]"&amp;datatable!$B2&amp;"!"&amp;"Q47")</f>
        <v>High Correct</v>
      </c>
      <c r="P55" s="51" t="str" cm="1">
        <f t="array" aca="1" ref="P55" ca="1">INDIRECT("["&amp;datatable!$C$2&amp;"]"&amp;datatable!$B2&amp;"!"&amp;"Q48")</f>
        <v>High Correct</v>
      </c>
      <c r="Q55" s="51" t="str" cm="1">
        <f t="array" aca="1" ref="Q55" ca="1">INDIRECT("["&amp;datatable!$C$2&amp;"]"&amp;datatable!$B2&amp;"!"&amp;"Q49")</f>
        <v>High Correct</v>
      </c>
      <c r="R55" s="51" t="str" cm="1">
        <f t="array" aca="1" ref="R55" ca="1">INDIRECT("["&amp;datatable!$C$2&amp;"]"&amp;datatable!$B2&amp;"!"&amp;"Q50")</f>
        <v>High Correct</v>
      </c>
      <c r="S55" s="51" t="str" cm="1">
        <f t="array" aca="1" ref="S55" ca="1">INDIRECT("["&amp;datatable!$C$2&amp;"]"&amp;datatable!$B2&amp;"!"&amp;"Q51")</f>
        <v>High Correct</v>
      </c>
      <c r="T55" s="51" t="str" cm="1">
        <f t="array" aca="1" ref="T55" ca="1">INDIRECT("["&amp;datatable!$C$2&amp;"]"&amp;datatable!$B2&amp;"!"&amp;"Q52")</f>
        <v>N/A</v>
      </c>
      <c r="U55" s="51" t="str" cm="1">
        <f t="array" aca="1" ref="U55" ca="1">INDIRECT("["&amp;datatable!$C$2&amp;"]"&amp;datatable!$B2&amp;"!"&amp;"Q53")</f>
        <v>Medium Incorrect</v>
      </c>
      <c r="V55" s="51" t="str" cm="1">
        <f t="array" aca="1" ref="V55" ca="1">INDIRECT("["&amp;datatable!$C$2&amp;"]"&amp;datatable!$B2&amp;"!"&amp;"Q54")</f>
        <v>Medium Incorrect</v>
      </c>
      <c r="W55" s="51" t="str" cm="1">
        <f t="array" aca="1" ref="W55" ca="1">INDIRECT("["&amp;datatable!$C$2&amp;"]"&amp;datatable!$B2&amp;"!"&amp;"Q55")</f>
        <v>Medium Incorrect</v>
      </c>
      <c r="X55" s="51" t="str" cm="1">
        <f t="array" aca="1" ref="X55" ca="1">INDIRECT("["&amp;datatable!$C$2&amp;"]"&amp;datatable!$B2&amp;"!"&amp;"Q56")</f>
        <v>N/A</v>
      </c>
      <c r="Y55" s="50"/>
      <c r="AA55" t="s">
        <v>92</v>
      </c>
    </row>
    <row r="56" spans="3:27">
      <c r="C56" s="30" t="s">
        <v>38</v>
      </c>
      <c r="D56" s="51"/>
      <c r="E56" s="51"/>
      <c r="F56" s="51"/>
      <c r="G56" s="51"/>
      <c r="H56" s="51"/>
      <c r="I56" s="51"/>
      <c r="J56" s="51"/>
      <c r="K56" s="51"/>
      <c r="L56" s="51"/>
      <c r="M56" s="51"/>
      <c r="N56" s="51"/>
      <c r="O56" s="51"/>
      <c r="P56" s="51"/>
      <c r="Q56" s="51"/>
      <c r="R56" s="51"/>
      <c r="S56" s="51"/>
      <c r="T56" s="51"/>
      <c r="U56" s="51"/>
      <c r="V56" s="51"/>
      <c r="W56" s="51"/>
      <c r="X56" s="51"/>
      <c r="Y56" s="50"/>
      <c r="AA56" t="s">
        <v>139</v>
      </c>
    </row>
    <row r="57" spans="3:27">
      <c r="C57" s="30" t="s">
        <v>39</v>
      </c>
      <c r="D57" s="51"/>
      <c r="E57" s="51"/>
      <c r="F57" s="51"/>
      <c r="G57" s="51"/>
      <c r="H57" s="51"/>
      <c r="I57" s="51"/>
      <c r="J57" s="51"/>
      <c r="K57" s="51"/>
      <c r="L57" s="51"/>
      <c r="M57" s="51"/>
      <c r="N57" s="51"/>
      <c r="O57" s="51"/>
      <c r="P57" s="51"/>
      <c r="Q57" s="51"/>
      <c r="R57" s="51"/>
      <c r="S57" s="51"/>
      <c r="T57" s="51"/>
      <c r="U57" s="51"/>
      <c r="V57" s="51"/>
      <c r="W57" s="51"/>
      <c r="X57" s="51"/>
      <c r="Y57" s="50"/>
      <c r="AA57" t="s">
        <v>244</v>
      </c>
    </row>
    <row r="58" spans="3:27">
      <c r="C58" s="30" t="s">
        <v>40</v>
      </c>
      <c r="D58" s="51"/>
      <c r="E58" s="51"/>
      <c r="F58" s="51"/>
      <c r="G58" s="51"/>
      <c r="H58" s="51"/>
      <c r="I58" s="51"/>
      <c r="J58" s="51"/>
      <c r="K58" s="51"/>
      <c r="L58" s="51"/>
      <c r="M58" s="51"/>
      <c r="N58" s="51"/>
      <c r="O58" s="51"/>
      <c r="P58" s="51"/>
      <c r="Q58" s="51"/>
      <c r="R58" s="51"/>
      <c r="S58" s="51"/>
      <c r="T58" s="51"/>
      <c r="U58" s="51"/>
      <c r="V58" s="51"/>
      <c r="W58" s="51"/>
      <c r="X58" s="51"/>
      <c r="Y58" s="50"/>
      <c r="AA58" t="s">
        <v>92</v>
      </c>
    </row>
    <row r="59" spans="3:27">
      <c r="C59" s="30" t="s">
        <v>41</v>
      </c>
      <c r="D59" s="51"/>
      <c r="E59" s="51"/>
      <c r="F59" s="51"/>
      <c r="G59" s="51"/>
      <c r="H59" s="51"/>
      <c r="I59" s="51"/>
      <c r="J59" s="51"/>
      <c r="K59" s="51"/>
      <c r="L59" s="51"/>
      <c r="M59" s="51"/>
      <c r="N59" s="51"/>
      <c r="O59" s="51"/>
      <c r="P59" s="51"/>
      <c r="Q59" s="51"/>
      <c r="R59" s="51"/>
      <c r="S59" s="51"/>
      <c r="T59" s="51"/>
      <c r="U59" s="51"/>
      <c r="V59" s="51"/>
      <c r="W59" s="51"/>
      <c r="X59" s="51"/>
      <c r="Y59" s="50"/>
      <c r="AA59" t="s">
        <v>140</v>
      </c>
    </row>
    <row r="60" spans="3:27">
      <c r="C60" s="30" t="s">
        <v>42</v>
      </c>
      <c r="D60" s="51"/>
      <c r="E60" s="51"/>
      <c r="F60" s="51"/>
      <c r="G60" s="51"/>
      <c r="H60" s="51"/>
      <c r="I60" s="51"/>
      <c r="J60" s="51"/>
      <c r="K60" s="51"/>
      <c r="L60" s="51"/>
      <c r="M60" s="51"/>
      <c r="N60" s="51"/>
      <c r="O60" s="51"/>
      <c r="P60" s="51"/>
      <c r="Q60" s="51"/>
      <c r="R60" s="51"/>
      <c r="S60" s="51"/>
      <c r="T60" s="51"/>
      <c r="U60" s="51"/>
      <c r="V60" s="51"/>
      <c r="W60" s="51"/>
      <c r="X60" s="51"/>
      <c r="Y60" s="50"/>
      <c r="AA60" t="s">
        <v>92</v>
      </c>
    </row>
    <row r="61" spans="3:27">
      <c r="C61" s="30" t="s">
        <v>43</v>
      </c>
      <c r="D61" s="51"/>
      <c r="E61" s="51"/>
      <c r="F61" s="51"/>
      <c r="G61" s="51"/>
      <c r="H61" s="51"/>
      <c r="I61" s="51"/>
      <c r="J61" s="51"/>
      <c r="K61" s="51"/>
      <c r="L61" s="51"/>
      <c r="M61" s="51"/>
      <c r="N61" s="51"/>
      <c r="O61" s="51"/>
      <c r="P61" s="51"/>
      <c r="Q61" s="51"/>
      <c r="R61" s="51"/>
      <c r="S61" s="51"/>
      <c r="T61" s="51"/>
      <c r="U61" s="51"/>
      <c r="V61" s="51"/>
      <c r="W61" s="51"/>
      <c r="X61" s="51"/>
      <c r="Y61" s="50"/>
      <c r="AA61" t="s">
        <v>141</v>
      </c>
    </row>
    <row r="62" spans="3:27">
      <c r="C62" s="30" t="s">
        <v>44</v>
      </c>
      <c r="D62" s="51"/>
      <c r="E62" s="51"/>
      <c r="F62" s="51"/>
      <c r="G62" s="51"/>
      <c r="H62" s="51"/>
      <c r="I62" s="51"/>
      <c r="J62" s="51"/>
      <c r="K62" s="51"/>
      <c r="L62" s="51"/>
      <c r="M62" s="51"/>
      <c r="N62" s="51"/>
      <c r="O62" s="51"/>
      <c r="P62" s="51"/>
      <c r="Q62" s="51"/>
      <c r="R62" s="51"/>
      <c r="S62" s="51"/>
      <c r="T62" s="51"/>
      <c r="U62" s="51"/>
      <c r="V62" s="51"/>
      <c r="W62" s="51"/>
      <c r="X62" s="51"/>
      <c r="Y62" s="50"/>
      <c r="AA62" t="s">
        <v>92</v>
      </c>
    </row>
    <row r="63" spans="3:27">
      <c r="C63" s="30" t="s">
        <v>45</v>
      </c>
      <c r="D63" s="51"/>
      <c r="E63" s="51"/>
      <c r="F63" s="51"/>
      <c r="G63" s="51"/>
      <c r="H63" s="51"/>
      <c r="I63" s="51"/>
      <c r="J63" s="51"/>
      <c r="K63" s="51"/>
      <c r="L63" s="51"/>
      <c r="M63" s="51"/>
      <c r="N63" s="51"/>
      <c r="O63" s="51"/>
      <c r="P63" s="51"/>
      <c r="Q63" s="51"/>
      <c r="R63" s="51"/>
      <c r="S63" s="51"/>
      <c r="T63" s="51"/>
      <c r="U63" s="51"/>
      <c r="V63" s="51"/>
      <c r="W63" s="51"/>
      <c r="X63" s="51"/>
      <c r="Y63" s="50"/>
      <c r="AA63" t="s">
        <v>142</v>
      </c>
    </row>
    <row r="64" spans="3:27">
      <c r="C64" s="30" t="s">
        <v>46</v>
      </c>
      <c r="D64" s="51"/>
      <c r="E64" s="51"/>
      <c r="F64" s="51"/>
      <c r="G64" s="51"/>
      <c r="H64" s="51"/>
      <c r="I64" s="51"/>
      <c r="J64" s="51"/>
      <c r="K64" s="51"/>
      <c r="L64" s="51"/>
      <c r="M64" s="51"/>
      <c r="N64" s="51"/>
      <c r="O64" s="51"/>
      <c r="P64" s="51"/>
      <c r="Q64" s="51"/>
      <c r="R64" s="51"/>
      <c r="S64" s="51"/>
      <c r="T64" s="51"/>
      <c r="U64" s="51"/>
      <c r="V64" s="51"/>
      <c r="W64" s="51"/>
      <c r="X64" s="51"/>
      <c r="Y64" s="50"/>
      <c r="AA64" t="s">
        <v>92</v>
      </c>
    </row>
    <row r="65" spans="3:27">
      <c r="C65" s="30" t="s">
        <v>47</v>
      </c>
      <c r="D65" s="51"/>
      <c r="E65" s="51"/>
      <c r="F65" s="51"/>
      <c r="G65" s="51"/>
      <c r="H65" s="51"/>
      <c r="I65" s="51"/>
      <c r="J65" s="51"/>
      <c r="K65" s="51"/>
      <c r="L65" s="51"/>
      <c r="M65" s="51"/>
      <c r="N65" s="51"/>
      <c r="O65" s="51"/>
      <c r="P65" s="51"/>
      <c r="Q65" s="51"/>
      <c r="R65" s="51"/>
      <c r="S65" s="51"/>
      <c r="T65" s="51"/>
      <c r="U65" s="51"/>
      <c r="V65" s="51"/>
      <c r="W65" s="51"/>
      <c r="X65" s="51"/>
      <c r="Y65" s="50"/>
      <c r="AA65" t="s">
        <v>144</v>
      </c>
    </row>
    <row r="66" spans="3:27">
      <c r="C66" s="30" t="s">
        <v>48</v>
      </c>
      <c r="D66" s="51"/>
      <c r="E66" s="51"/>
      <c r="F66" s="51"/>
      <c r="G66" s="51"/>
      <c r="H66" s="51"/>
      <c r="I66" s="51"/>
      <c r="J66" s="51"/>
      <c r="K66" s="51"/>
      <c r="L66" s="51"/>
      <c r="M66" s="51"/>
      <c r="N66" s="51"/>
      <c r="O66" s="51"/>
      <c r="P66" s="51"/>
      <c r="Q66" s="51"/>
      <c r="R66" s="51"/>
      <c r="S66" s="51"/>
      <c r="T66" s="51"/>
      <c r="U66" s="51"/>
      <c r="V66" s="51"/>
      <c r="W66" s="51"/>
      <c r="X66" s="51"/>
      <c r="Y66" s="50"/>
      <c r="AA66" t="s">
        <v>92</v>
      </c>
    </row>
    <row r="67" spans="3:27">
      <c r="C67" s="30" t="s">
        <v>49</v>
      </c>
      <c r="D67" s="51"/>
      <c r="E67" s="51"/>
      <c r="F67" s="51"/>
      <c r="G67" s="51"/>
      <c r="H67" s="51"/>
      <c r="I67" s="51"/>
      <c r="J67" s="51"/>
      <c r="K67" s="51"/>
      <c r="L67" s="51"/>
      <c r="M67" s="51"/>
      <c r="N67" s="51"/>
      <c r="O67" s="51"/>
      <c r="P67" s="51"/>
      <c r="Q67" s="51"/>
      <c r="R67" s="51"/>
      <c r="S67" s="51"/>
      <c r="T67" s="51"/>
      <c r="U67" s="51"/>
      <c r="V67" s="51"/>
      <c r="W67" s="51"/>
      <c r="X67" s="51"/>
      <c r="Y67" s="50"/>
      <c r="AA67" t="s">
        <v>145</v>
      </c>
    </row>
    <row r="68" spans="3:27">
      <c r="C68" s="30" t="s">
        <v>50</v>
      </c>
      <c r="D68" s="51"/>
      <c r="E68" s="51"/>
      <c r="F68" s="51"/>
      <c r="G68" s="51"/>
      <c r="H68" s="51"/>
      <c r="I68" s="51"/>
      <c r="J68" s="51"/>
      <c r="K68" s="51"/>
      <c r="L68" s="51"/>
      <c r="M68" s="51"/>
      <c r="N68" s="51"/>
      <c r="O68" s="51"/>
      <c r="P68" s="51"/>
      <c r="Q68" s="51"/>
      <c r="R68" s="51"/>
      <c r="S68" s="51"/>
      <c r="T68" s="51"/>
      <c r="U68" s="51"/>
      <c r="V68" s="51"/>
      <c r="W68" s="51"/>
      <c r="X68" s="51"/>
      <c r="Y68" s="50"/>
      <c r="AA68" t="s">
        <v>92</v>
      </c>
    </row>
    <row r="69" spans="3:27">
      <c r="C69" s="30" t="s">
        <v>51</v>
      </c>
      <c r="D69" s="51"/>
      <c r="E69" s="51"/>
      <c r="F69" s="51"/>
      <c r="G69" s="51"/>
      <c r="H69" s="51"/>
      <c r="I69" s="51"/>
      <c r="J69" s="51"/>
      <c r="K69" s="51"/>
      <c r="L69" s="51"/>
      <c r="M69" s="51"/>
      <c r="N69" s="51"/>
      <c r="O69" s="51"/>
      <c r="P69" s="51"/>
      <c r="Q69" s="51"/>
      <c r="R69" s="51"/>
      <c r="S69" s="51"/>
      <c r="T69" s="51"/>
      <c r="U69" s="51"/>
      <c r="V69" s="51"/>
      <c r="W69" s="51"/>
      <c r="X69" s="51"/>
      <c r="Y69" s="50"/>
      <c r="AA69" t="s">
        <v>146</v>
      </c>
    </row>
    <row r="70" spans="3:27">
      <c r="C70" s="30" t="s">
        <v>52</v>
      </c>
      <c r="D70" s="51"/>
      <c r="E70" s="51"/>
      <c r="F70" s="51"/>
      <c r="G70" s="51"/>
      <c r="H70" s="51"/>
      <c r="I70" s="51"/>
      <c r="J70" s="51"/>
      <c r="K70" s="51"/>
      <c r="L70" s="51"/>
      <c r="M70" s="51"/>
      <c r="N70" s="51"/>
      <c r="O70" s="51"/>
      <c r="P70" s="51"/>
      <c r="Q70" s="51"/>
      <c r="R70" s="51"/>
      <c r="S70" s="51"/>
      <c r="T70" s="51"/>
      <c r="U70" s="51"/>
      <c r="V70" s="51"/>
      <c r="W70" s="51"/>
      <c r="X70" s="51"/>
      <c r="Y70" s="50"/>
      <c r="AA70" t="s">
        <v>92</v>
      </c>
    </row>
    <row r="71" spans="3:27">
      <c r="C71" s="50"/>
      <c r="D71" s="53"/>
      <c r="E71" s="53"/>
      <c r="F71" s="50"/>
      <c r="G71" s="50"/>
      <c r="H71" s="50"/>
      <c r="I71" s="50"/>
      <c r="J71" s="50"/>
      <c r="K71" s="50"/>
      <c r="L71" s="50"/>
      <c r="M71" s="50"/>
      <c r="N71" s="50"/>
      <c r="O71" s="50"/>
      <c r="P71" s="50"/>
      <c r="Q71" s="50"/>
      <c r="R71" s="50"/>
      <c r="S71" s="50"/>
      <c r="T71" s="50"/>
      <c r="U71" s="50"/>
      <c r="V71" s="50"/>
      <c r="W71" s="50"/>
      <c r="X71" s="50"/>
      <c r="Y71" s="50"/>
      <c r="AA71" t="s">
        <v>147</v>
      </c>
    </row>
    <row r="72" spans="3:27">
      <c r="AA72" t="s">
        <v>92</v>
      </c>
    </row>
    <row r="73" spans="3:27">
      <c r="AA73" t="s">
        <v>148</v>
      </c>
    </row>
    <row r="74" spans="3:27">
      <c r="AA74" t="s">
        <v>245</v>
      </c>
    </row>
    <row r="75" spans="3:27">
      <c r="AA75" t="s">
        <v>92</v>
      </c>
    </row>
    <row r="76" spans="3:27">
      <c r="AA76" t="s">
        <v>246</v>
      </c>
    </row>
    <row r="77" spans="3:27">
      <c r="AA77" t="s">
        <v>92</v>
      </c>
    </row>
    <row r="78" spans="3:27">
      <c r="AA78" t="s">
        <v>150</v>
      </c>
    </row>
    <row r="79" spans="3:27">
      <c r="AA79" t="s">
        <v>92</v>
      </c>
    </row>
    <row r="80" spans="3:27">
      <c r="AA80" t="s">
        <v>151</v>
      </c>
    </row>
    <row r="81" spans="27:27">
      <c r="AA81" t="s">
        <v>92</v>
      </c>
    </row>
    <row r="82" spans="27:27">
      <c r="AA82" t="s">
        <v>152</v>
      </c>
    </row>
    <row r="83" spans="27:27">
      <c r="AA83" t="s">
        <v>92</v>
      </c>
    </row>
    <row r="84" spans="27:27">
      <c r="AA84" t="s">
        <v>154</v>
      </c>
    </row>
    <row r="85" spans="27:27">
      <c r="AA85" t="s">
        <v>92</v>
      </c>
    </row>
    <row r="86" spans="27:27">
      <c r="AA86" t="s">
        <v>155</v>
      </c>
    </row>
    <row r="87" spans="27:27">
      <c r="AA87" t="s">
        <v>92</v>
      </c>
    </row>
    <row r="88" spans="27:27">
      <c r="AA88" t="s">
        <v>156</v>
      </c>
    </row>
    <row r="89" spans="27:27">
      <c r="AA89" t="s">
        <v>157</v>
      </c>
    </row>
    <row r="90" spans="27:27">
      <c r="AA90" t="s">
        <v>92</v>
      </c>
    </row>
    <row r="91" spans="27:27">
      <c r="AA91" t="s">
        <v>158</v>
      </c>
    </row>
    <row r="92" spans="27:27">
      <c r="AA92" t="s">
        <v>92</v>
      </c>
    </row>
    <row r="93" spans="27:27">
      <c r="AA93" t="s">
        <v>159</v>
      </c>
    </row>
    <row r="94" spans="27:27">
      <c r="AA94" t="s">
        <v>92</v>
      </c>
    </row>
    <row r="95" spans="27:27">
      <c r="AA95" t="s">
        <v>160</v>
      </c>
    </row>
    <row r="96" spans="27:27">
      <c r="AA96" t="s">
        <v>92</v>
      </c>
    </row>
    <row r="97" spans="27:27">
      <c r="AA97" t="s">
        <v>161</v>
      </c>
    </row>
    <row r="98" spans="27:27">
      <c r="AA98" t="s">
        <v>92</v>
      </c>
    </row>
    <row r="99" spans="27:27">
      <c r="AA99" t="s">
        <v>162</v>
      </c>
    </row>
    <row r="100" spans="27:27">
      <c r="AA100" t="s">
        <v>92</v>
      </c>
    </row>
    <row r="101" spans="27:27">
      <c r="AA101" t="s">
        <v>163</v>
      </c>
    </row>
    <row r="102" spans="27:27">
      <c r="AA102" t="s">
        <v>92</v>
      </c>
    </row>
    <row r="103" spans="27:27">
      <c r="AA103" t="s">
        <v>164</v>
      </c>
    </row>
    <row r="104" spans="27:27">
      <c r="AA104" t="s">
        <v>92</v>
      </c>
    </row>
    <row r="105" spans="27:27">
      <c r="AA105" t="s">
        <v>165</v>
      </c>
    </row>
    <row r="106" spans="27:27">
      <c r="AA106" t="s">
        <v>92</v>
      </c>
    </row>
    <row r="107" spans="27:27">
      <c r="AA107" t="s">
        <v>166</v>
      </c>
    </row>
    <row r="108" spans="27:27">
      <c r="AA108" t="s">
        <v>92</v>
      </c>
    </row>
    <row r="109" spans="27:27">
      <c r="AA109" t="s">
        <v>167</v>
      </c>
    </row>
    <row r="110" spans="27:27">
      <c r="AA110" t="s">
        <v>168</v>
      </c>
    </row>
    <row r="111" spans="27:27">
      <c r="AA111" t="s">
        <v>92</v>
      </c>
    </row>
    <row r="112" spans="27:27">
      <c r="AA112" t="s">
        <v>247</v>
      </c>
    </row>
    <row r="113" spans="27:27">
      <c r="AA113" t="s">
        <v>92</v>
      </c>
    </row>
    <row r="114" spans="27:27">
      <c r="AA114" t="s">
        <v>170</v>
      </c>
    </row>
    <row r="115" spans="27:27">
      <c r="AA115" t="s">
        <v>92</v>
      </c>
    </row>
    <row r="116" spans="27:27">
      <c r="AA116" t="s">
        <v>171</v>
      </c>
    </row>
    <row r="117" spans="27:27">
      <c r="AA117" t="s">
        <v>92</v>
      </c>
    </row>
    <row r="118" spans="27:27">
      <c r="AA118" t="s">
        <v>172</v>
      </c>
    </row>
    <row r="119" spans="27:27">
      <c r="AA119" t="s">
        <v>92</v>
      </c>
    </row>
    <row r="120" spans="27:27">
      <c r="AA120" t="s">
        <v>173</v>
      </c>
    </row>
    <row r="121" spans="27:27">
      <c r="AA121" t="s">
        <v>92</v>
      </c>
    </row>
    <row r="122" spans="27:27">
      <c r="AA122" t="s">
        <v>174</v>
      </c>
    </row>
    <row r="123" spans="27:27">
      <c r="AA123" t="s">
        <v>92</v>
      </c>
    </row>
    <row r="124" spans="27:27">
      <c r="AA124" t="s">
        <v>175</v>
      </c>
    </row>
    <row r="125" spans="27:27">
      <c r="AA125" t="s">
        <v>92</v>
      </c>
    </row>
    <row r="126" spans="27:27">
      <c r="AA126" t="s">
        <v>176</v>
      </c>
    </row>
    <row r="127" spans="27:27">
      <c r="AA127" t="s">
        <v>177</v>
      </c>
    </row>
    <row r="128" spans="27:27">
      <c r="AA128" t="s">
        <v>92</v>
      </c>
    </row>
    <row r="129" spans="27:27">
      <c r="AA129" t="s">
        <v>248</v>
      </c>
    </row>
    <row r="130" spans="27:27">
      <c r="AA130" t="s">
        <v>92</v>
      </c>
    </row>
    <row r="131" spans="27:27">
      <c r="AA131" t="s">
        <v>179</v>
      </c>
    </row>
    <row r="132" spans="27:27">
      <c r="AA132" t="s">
        <v>92</v>
      </c>
    </row>
    <row r="133" spans="27:27">
      <c r="AA133" t="s">
        <v>180</v>
      </c>
    </row>
    <row r="134" spans="27:27">
      <c r="AA134" t="s">
        <v>92</v>
      </c>
    </row>
    <row r="135" spans="27:27">
      <c r="AA135" t="s">
        <v>181</v>
      </c>
    </row>
    <row r="136" spans="27:27">
      <c r="AA136" t="s">
        <v>92</v>
      </c>
    </row>
    <row r="137" spans="27:27">
      <c r="AA137" t="s">
        <v>182</v>
      </c>
    </row>
    <row r="138" spans="27:27">
      <c r="AA138" t="s">
        <v>92</v>
      </c>
    </row>
    <row r="139" spans="27:27">
      <c r="AA139" t="s">
        <v>183</v>
      </c>
    </row>
    <row r="140" spans="27:27">
      <c r="AA140" t="s">
        <v>92</v>
      </c>
    </row>
    <row r="141" spans="27:27">
      <c r="AA141" t="s">
        <v>184</v>
      </c>
    </row>
    <row r="142" spans="27:27">
      <c r="AA142" t="s">
        <v>92</v>
      </c>
    </row>
    <row r="143" spans="27:27">
      <c r="AA143" t="s">
        <v>185</v>
      </c>
    </row>
    <row r="144" spans="27:27">
      <c r="AA144" t="s">
        <v>92</v>
      </c>
    </row>
    <row r="145" spans="27:27">
      <c r="AA145" t="s">
        <v>186</v>
      </c>
    </row>
    <row r="146" spans="27:27">
      <c r="AA146" t="s">
        <v>187</v>
      </c>
    </row>
    <row r="147" spans="27:27">
      <c r="AA147" t="s">
        <v>92</v>
      </c>
    </row>
    <row r="148" spans="27:27">
      <c r="AA148" t="s">
        <v>188</v>
      </c>
    </row>
    <row r="149" spans="27:27">
      <c r="AA149" t="s">
        <v>92</v>
      </c>
    </row>
    <row r="150" spans="27:27">
      <c r="AA150" t="s">
        <v>189</v>
      </c>
    </row>
    <row r="151" spans="27:27">
      <c r="AA151" t="s">
        <v>92</v>
      </c>
    </row>
    <row r="152" spans="27:27">
      <c r="AA152" t="s">
        <v>190</v>
      </c>
    </row>
    <row r="153" spans="27:27">
      <c r="AA153" t="s">
        <v>92</v>
      </c>
    </row>
    <row r="154" spans="27:27">
      <c r="AA154" t="s">
        <v>192</v>
      </c>
    </row>
    <row r="155" spans="27:27">
      <c r="AA155" t="s">
        <v>92</v>
      </c>
    </row>
    <row r="156" spans="27:27">
      <c r="AA156" t="s">
        <v>193</v>
      </c>
    </row>
    <row r="157" spans="27:27">
      <c r="AA157" t="s">
        <v>92</v>
      </c>
    </row>
    <row r="158" spans="27:27">
      <c r="AA158" t="s">
        <v>194</v>
      </c>
    </row>
    <row r="159" spans="27:27">
      <c r="AA159" t="s">
        <v>92</v>
      </c>
    </row>
    <row r="160" spans="27:27">
      <c r="AA160" t="s">
        <v>195</v>
      </c>
    </row>
    <row r="161" spans="27:27">
      <c r="AA161" t="s">
        <v>92</v>
      </c>
    </row>
    <row r="162" spans="27:27">
      <c r="AA162" t="s">
        <v>196</v>
      </c>
    </row>
    <row r="163" spans="27:27">
      <c r="AA163" t="s">
        <v>197</v>
      </c>
    </row>
    <row r="164" spans="27:27">
      <c r="AA164" t="s">
        <v>92</v>
      </c>
    </row>
    <row r="165" spans="27:27">
      <c r="AA165" t="s">
        <v>198</v>
      </c>
    </row>
    <row r="166" spans="27:27">
      <c r="AA166" t="s">
        <v>92</v>
      </c>
    </row>
    <row r="167" spans="27:27">
      <c r="AA167" t="s">
        <v>199</v>
      </c>
    </row>
    <row r="168" spans="27:27">
      <c r="AA168" t="s">
        <v>92</v>
      </c>
    </row>
    <row r="169" spans="27:27">
      <c r="AA169" t="s">
        <v>200</v>
      </c>
    </row>
    <row r="170" spans="27:27">
      <c r="AA170" t="s">
        <v>92</v>
      </c>
    </row>
    <row r="171" spans="27:27">
      <c r="AA171" t="s">
        <v>202</v>
      </c>
    </row>
    <row r="172" spans="27:27">
      <c r="AA172" t="s">
        <v>92</v>
      </c>
    </row>
    <row r="173" spans="27:27">
      <c r="AA173" t="s">
        <v>203</v>
      </c>
    </row>
    <row r="174" spans="27:27">
      <c r="AA174" t="s">
        <v>92</v>
      </c>
    </row>
    <row r="175" spans="27:27">
      <c r="AA175" t="s">
        <v>204</v>
      </c>
    </row>
    <row r="176" spans="27:27">
      <c r="AA176" t="s">
        <v>92</v>
      </c>
    </row>
    <row r="177" spans="27:27">
      <c r="AA177" t="s">
        <v>205</v>
      </c>
    </row>
    <row r="178" spans="27:27">
      <c r="AA178" t="s">
        <v>206</v>
      </c>
    </row>
    <row r="179" spans="27:27">
      <c r="AA179" t="s">
        <v>92</v>
      </c>
    </row>
    <row r="180" spans="27:27">
      <c r="AA180" t="s">
        <v>249</v>
      </c>
    </row>
    <row r="181" spans="27:27">
      <c r="AA181" t="s">
        <v>92</v>
      </c>
    </row>
    <row r="182" spans="27:27">
      <c r="AA182" t="s">
        <v>207</v>
      </c>
    </row>
    <row r="183" spans="27:27">
      <c r="AA183" t="s">
        <v>92</v>
      </c>
    </row>
    <row r="184" spans="27:27">
      <c r="AA184" t="s">
        <v>208</v>
      </c>
    </row>
    <row r="185" spans="27:27">
      <c r="AA185" t="s">
        <v>92</v>
      </c>
    </row>
    <row r="186" spans="27:27">
      <c r="AA186" t="s">
        <v>209</v>
      </c>
    </row>
    <row r="187" spans="27:27">
      <c r="AA187" t="s">
        <v>92</v>
      </c>
    </row>
    <row r="188" spans="27:27">
      <c r="AA188" t="s">
        <v>211</v>
      </c>
    </row>
    <row r="189" spans="27:27">
      <c r="AA189" t="s">
        <v>92</v>
      </c>
    </row>
    <row r="190" spans="27:27">
      <c r="AA190" t="s">
        <v>213</v>
      </c>
    </row>
    <row r="191" spans="27:27">
      <c r="AA191" t="s">
        <v>92</v>
      </c>
    </row>
    <row r="192" spans="27:27">
      <c r="AA192" t="s">
        <v>214</v>
      </c>
    </row>
    <row r="193" spans="27:27">
      <c r="AA193" t="s">
        <v>215</v>
      </c>
    </row>
    <row r="194" spans="27:27">
      <c r="AA194" t="s">
        <v>92</v>
      </c>
    </row>
    <row r="195" spans="27:27">
      <c r="AA195" t="s">
        <v>216</v>
      </c>
    </row>
    <row r="196" spans="27:27">
      <c r="AA196" t="s">
        <v>92</v>
      </c>
    </row>
    <row r="197" spans="27:27">
      <c r="AA197" t="s">
        <v>250</v>
      </c>
    </row>
    <row r="198" spans="27:27">
      <c r="AA198" t="s">
        <v>92</v>
      </c>
    </row>
    <row r="199" spans="27:27">
      <c r="AA199" t="s">
        <v>217</v>
      </c>
    </row>
    <row r="200" spans="27:27">
      <c r="AA200" t="s">
        <v>92</v>
      </c>
    </row>
    <row r="201" spans="27:27">
      <c r="AA201" t="s">
        <v>218</v>
      </c>
    </row>
    <row r="202" spans="27:27">
      <c r="AA202" t="s">
        <v>92</v>
      </c>
    </row>
    <row r="203" spans="27:27">
      <c r="AA203" t="s">
        <v>219</v>
      </c>
    </row>
    <row r="204" spans="27:27">
      <c r="AA204" t="s">
        <v>92</v>
      </c>
    </row>
    <row r="205" spans="27:27">
      <c r="AA205" t="s">
        <v>220</v>
      </c>
    </row>
    <row r="206" spans="27:27">
      <c r="AA206" t="s">
        <v>92</v>
      </c>
    </row>
    <row r="207" spans="27:27">
      <c r="AA207" t="s">
        <v>221</v>
      </c>
    </row>
    <row r="208" spans="27:27">
      <c r="AA208" t="s">
        <v>92</v>
      </c>
    </row>
    <row r="209" spans="27:27">
      <c r="AA209" t="s">
        <v>222</v>
      </c>
    </row>
    <row r="210" spans="27:27">
      <c r="AA210" t="s">
        <v>92</v>
      </c>
    </row>
    <row r="211" spans="27:27">
      <c r="AA211" t="s">
        <v>223</v>
      </c>
    </row>
    <row r="212" spans="27:27">
      <c r="AA212" t="s">
        <v>92</v>
      </c>
    </row>
    <row r="213" spans="27:27">
      <c r="AA213" t="s">
        <v>224</v>
      </c>
    </row>
    <row r="214" spans="27:27">
      <c r="AA214" t="s">
        <v>92</v>
      </c>
    </row>
    <row r="215" spans="27:27">
      <c r="AA215" t="s">
        <v>225</v>
      </c>
    </row>
    <row r="216" spans="27:27">
      <c r="AA216" t="s">
        <v>92</v>
      </c>
    </row>
    <row r="217" spans="27:27">
      <c r="AA217" t="s">
        <v>226</v>
      </c>
    </row>
    <row r="218" spans="27:27">
      <c r="AA218" t="s">
        <v>227</v>
      </c>
    </row>
    <row r="219" spans="27:27">
      <c r="AA219" t="s">
        <v>92</v>
      </c>
    </row>
    <row r="220" spans="27:27">
      <c r="AA220" t="s">
        <v>228</v>
      </c>
    </row>
    <row r="221" spans="27:27">
      <c r="AA221" t="s">
        <v>92</v>
      </c>
    </row>
    <row r="222" spans="27:27">
      <c r="AA222" t="s">
        <v>229</v>
      </c>
    </row>
    <row r="223" spans="27:27">
      <c r="AA223" t="s">
        <v>230</v>
      </c>
    </row>
    <row r="224" spans="27:27">
      <c r="AA224" t="s">
        <v>92</v>
      </c>
    </row>
    <row r="225" spans="27:27">
      <c r="AA225" t="s">
        <v>231</v>
      </c>
    </row>
    <row r="226" spans="27:27">
      <c r="AA226" t="s">
        <v>92</v>
      </c>
    </row>
    <row r="227" spans="27:27">
      <c r="AA227" t="s">
        <v>232</v>
      </c>
    </row>
    <row r="228" spans="27:27">
      <c r="AA228" t="s">
        <v>92</v>
      </c>
    </row>
    <row r="229" spans="27:27">
      <c r="AA229" t="s">
        <v>233</v>
      </c>
    </row>
    <row r="230" spans="27:27">
      <c r="AA230" t="s">
        <v>92</v>
      </c>
    </row>
    <row r="231" spans="27:27">
      <c r="AA231" t="s">
        <v>235</v>
      </c>
    </row>
    <row r="232" spans="27:27">
      <c r="AA232" t="s">
        <v>92</v>
      </c>
    </row>
    <row r="233" spans="27:27">
      <c r="AA233" t="s">
        <v>236</v>
      </c>
    </row>
    <row r="234" spans="27:27">
      <c r="AA234" t="s">
        <v>92</v>
      </c>
    </row>
    <row r="235" spans="27:27">
      <c r="AA235" t="s">
        <v>237</v>
      </c>
    </row>
    <row r="236" spans="27:27">
      <c r="AA236" t="s">
        <v>92</v>
      </c>
    </row>
    <row r="237" spans="27:27">
      <c r="AA237" t="s">
        <v>238</v>
      </c>
    </row>
  </sheetData>
  <conditionalFormatting sqref="D54:X70">
    <cfRule type="cellIs" dxfId="9" priority="4" operator="equal">
      <formula>"Medium Correct"</formula>
    </cfRule>
    <cfRule type="cellIs" dxfId="8" priority="5" operator="equal">
      <formula>"Low Correct"</formula>
    </cfRule>
    <cfRule type="cellIs" dxfId="7" priority="6" operator="equal">
      <formula>"Medium Maybe"</formula>
    </cfRule>
    <cfRule type="cellIs" dxfId="6" priority="7" operator="equal">
      <formula>"Low Maybe"</formula>
    </cfRule>
    <cfRule type="cellIs" dxfId="5" priority="8" operator="equal">
      <formula>"Medium Incorrect"</formula>
    </cfRule>
    <cfRule type="cellIs" dxfId="4" priority="9" operator="equal">
      <formula>"Low Incorrect"</formula>
    </cfRule>
    <cfRule type="cellIs" dxfId="3" priority="10" operator="equal">
      <formula>"N/A"</formula>
    </cfRule>
  </conditionalFormatting>
  <conditionalFormatting sqref="D55:X70">
    <cfRule type="cellIs" dxfId="2" priority="1" operator="equal">
      <formula>"High Correct"</formula>
    </cfRule>
    <cfRule type="cellIs" dxfId="1" priority="2" operator="equal">
      <formula>"High Incorrect"</formula>
    </cfRule>
    <cfRule type="cellIs" dxfId="0" priority="3" operator="equal">
      <formula>"High Maybe"</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8970B-25BA-4922-88A4-DFEFDB3DD4A9}">
  <dimension ref="C5:O50"/>
  <sheetViews>
    <sheetView topLeftCell="A26" workbookViewId="0">
      <selection activeCell="D28" sqref="D28"/>
    </sheetView>
  </sheetViews>
  <sheetFormatPr defaultRowHeight="14.4"/>
  <cols>
    <col min="4" max="4" width="12.6640625" customWidth="1"/>
    <col min="5" max="5" width="15.109375" customWidth="1"/>
    <col min="6" max="6" width="11.44140625" bestFit="1" customWidth="1"/>
    <col min="7" max="7" width="11.33203125" bestFit="1" customWidth="1"/>
    <col min="8" max="8" width="14" bestFit="1" customWidth="1"/>
    <col min="9" max="9" width="10.6640625" bestFit="1" customWidth="1"/>
    <col min="10" max="10" width="12.6640625" bestFit="1" customWidth="1"/>
    <col min="11" max="11" width="15.88671875" bestFit="1" customWidth="1"/>
    <col min="12" max="12" width="13.33203125" bestFit="1"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SUM(INDIRECT("'"&amp;datatable!$H$2:$H4&amp;"'!D"&amp;7))</f>
        <v>27</v>
      </c>
      <c r="E7" s="54" cm="1">
        <f t="array" aca="1" ref="E7" ca="1">SUM(INDIRECT("'"&amp;datatable!$H$2:$H$4&amp;"'!E"&amp;7))</f>
        <v>3</v>
      </c>
      <c r="F7" s="55" cm="1">
        <f t="array" aca="1" ref="F7" ca="1">SUM(INDIRECT("'"&amp;datatable!$H$2:$H$4&amp;"'!F"&amp;7))</f>
        <v>1</v>
      </c>
      <c r="G7" s="56" cm="1">
        <f t="array" aca="1" ref="G7" ca="1">SUM(INDIRECT("'"&amp;datatable!$H$2:$H$4&amp;"'!G"&amp;7))</f>
        <v>1</v>
      </c>
      <c r="H7" s="57" cm="1">
        <f t="array" aca="1" ref="H7" ca="1">SUM(INDIRECT("'"&amp;datatable!$H$2:$H$4&amp;"'!H"&amp;7))</f>
        <v>1</v>
      </c>
      <c r="I7" s="58" cm="1">
        <f t="array" aca="1" ref="I7" ca="1">SUM(INDIRECT("'"&amp;datatable!$H$2:$H$4&amp;"'!I"&amp;7))</f>
        <v>1</v>
      </c>
      <c r="J7" s="59" cm="1">
        <f t="array" aca="1" ref="J7" ca="1">SUM(INDIRECT("'"&amp;datatable!$H$2:$H$4&amp;"'!J"&amp;7))</f>
        <v>3</v>
      </c>
      <c r="K7" s="60" cm="1">
        <f t="array" aca="1" ref="K7" ca="1">SUM(INDIRECT("'"&amp;datatable!$H$2:$H$4&amp;"'!K"&amp;7))</f>
        <v>4</v>
      </c>
      <c r="L7" s="61" cm="1">
        <f t="array" aca="1" ref="L7" ca="1">SUM(INDIRECT("'"&amp;datatable!$H$2:$H$4&amp;"'!L"&amp;7))</f>
        <v>9</v>
      </c>
      <c r="M7" s="62" cm="1">
        <f t="array" aca="1" ref="M7" ca="1">SUM(INDIRECT("'"&amp;datatable!$H$2:$H$4&amp;"'!M"&amp;7))</f>
        <v>4</v>
      </c>
      <c r="N7" s="29">
        <f t="shared" ref="N7:N28" ca="1" si="0">SUM(D7:M7)</f>
        <v>54</v>
      </c>
      <c r="O7" s="29">
        <f t="shared" ref="O7:O28" ca="1" si="1">SUM(D7:L7)</f>
        <v>50</v>
      </c>
    </row>
    <row r="8" spans="3:15">
      <c r="C8" s="5" t="s">
        <v>14</v>
      </c>
      <c r="D8" s="8" cm="1">
        <f t="array" aca="1" ref="D8" ca="1">SUM(INDIRECT("'"&amp;datatable!$H$2:$H$4&amp;"'!D"&amp;8))</f>
        <v>33</v>
      </c>
      <c r="E8" s="54" cm="1">
        <f t="array" aca="1" ref="E8" ca="1">SUM(INDIRECT("'"&amp;datatable!$H$2:$H$4&amp;"'!E"&amp;8))</f>
        <v>0</v>
      </c>
      <c r="F8" s="55" cm="1">
        <f t="array" aca="1" ref="F8" ca="1">SUM(INDIRECT("'"&amp;datatable!$H$2:$H$4&amp;"'!F"&amp;8))</f>
        <v>1</v>
      </c>
      <c r="G8" s="56" cm="1">
        <f t="array" aca="1" ref="G8" ca="1">SUM(INDIRECT("'"&amp;datatable!$H$2:$H$4&amp;"'!G"&amp;8))</f>
        <v>7</v>
      </c>
      <c r="H8" s="57" cm="1">
        <f t="array" aca="1" ref="H8" ca="1">SUM(INDIRECT("'"&amp;datatable!$H$2:$H$4&amp;"'!H"&amp;8))</f>
        <v>0</v>
      </c>
      <c r="I8" s="58" cm="1">
        <f t="array" aca="1" ref="I8" ca="1">SUM(INDIRECT("'"&amp;datatable!$H$2:$H$4&amp;"'!I"&amp;8))</f>
        <v>1</v>
      </c>
      <c r="J8" s="59" cm="1">
        <f t="array" aca="1" ref="J8" ca="1">SUM(INDIRECT("'"&amp;datatable!$H$2:$H$4&amp;"'!J"&amp;8))</f>
        <v>3</v>
      </c>
      <c r="K8" s="60" cm="1">
        <f t="array" aca="1" ref="K8" ca="1">SUM(INDIRECT("'"&amp;datatable!$H$2:$H$4&amp;"'!K"&amp;8))</f>
        <v>2</v>
      </c>
      <c r="L8" s="61" cm="1">
        <f t="array" aca="1" ref="L8" ca="1">SUM(INDIRECT("'"&amp;datatable!$H$2:$H$4&amp;"'!L"&amp;8))</f>
        <v>7</v>
      </c>
      <c r="M8" s="62" cm="1">
        <f t="array" aca="1" ref="M8" ca="1">SUM(INDIRECT("'"&amp;datatable!$H$2:$H$4&amp;"'!M"&amp;8))</f>
        <v>0</v>
      </c>
      <c r="N8" s="29">
        <f t="shared" ca="1" si="0"/>
        <v>54</v>
      </c>
      <c r="O8" s="29">
        <f t="shared" ca="1" si="1"/>
        <v>54</v>
      </c>
    </row>
    <row r="9" spans="3:15">
      <c r="C9" s="5" t="s">
        <v>15</v>
      </c>
      <c r="D9" s="8" cm="1">
        <f t="array" aca="1" ref="D9" ca="1">SUM(INDIRECT("'"&amp;datatable!$H$2:$H$4&amp;"'!D"&amp;9))</f>
        <v>13</v>
      </c>
      <c r="E9" s="54" cm="1">
        <f t="array" aca="1" ref="E9" ca="1">SUM(INDIRECT("'"&amp;datatable!$H$2:$H$4&amp;"'!E"&amp;9))</f>
        <v>1</v>
      </c>
      <c r="F9" s="55" cm="1">
        <f t="array" aca="1" ref="F9" ca="1">SUM(INDIRECT("'"&amp;datatable!$H$2:$H$4&amp;"'!F"&amp;9))</f>
        <v>2</v>
      </c>
      <c r="G9" s="56" cm="1">
        <f t="array" aca="1" ref="G9" ca="1">SUM(INDIRECT("'"&amp;datatable!$H$2:$H$4&amp;"'!G"&amp;9))</f>
        <v>10</v>
      </c>
      <c r="H9" s="57" cm="1">
        <f t="array" aca="1" ref="H9" ca="1">SUM(INDIRECT("'"&amp;datatable!$H$2:$H$4&amp;"'!H"&amp;9))</f>
        <v>5</v>
      </c>
      <c r="I9" s="58" cm="1">
        <f t="array" aca="1" ref="I9" ca="1">SUM(INDIRECT("'"&amp;datatable!$H$2:$H$4&amp;"'!I"&amp;9))</f>
        <v>4</v>
      </c>
      <c r="J9" s="59" cm="1">
        <f t="array" aca="1" ref="J9" ca="1">SUM(INDIRECT("'"&amp;datatable!$H$2:$H$4&amp;"'!J"&amp;9))</f>
        <v>1</v>
      </c>
      <c r="K9" s="60" cm="1">
        <f t="array" aca="1" ref="K9" ca="1">SUM(INDIRECT("'"&amp;datatable!$H$2:$H$4&amp;"'!K"&amp;9))</f>
        <v>3</v>
      </c>
      <c r="L9" s="61" cm="1">
        <f t="array" aca="1" ref="L9" ca="1">SUM(INDIRECT("'"&amp;datatable!$H$2:$H$4&amp;"'!L"&amp;9))</f>
        <v>15</v>
      </c>
      <c r="M9" s="62" cm="1">
        <f t="array" aca="1" ref="M9" ca="1">SUM(INDIRECT("'"&amp;datatable!$H$2:$H$4&amp;"'!M"&amp;9))</f>
        <v>0</v>
      </c>
      <c r="N9" s="29">
        <f t="shared" ca="1" si="0"/>
        <v>54</v>
      </c>
      <c r="O9" s="29">
        <f t="shared" ca="1" si="1"/>
        <v>54</v>
      </c>
    </row>
    <row r="10" spans="3:15">
      <c r="C10" s="5" t="s">
        <v>16</v>
      </c>
      <c r="D10" s="8" cm="1">
        <f t="array" aca="1" ref="D10" ca="1">SUM(INDIRECT("'"&amp;datatable!$H$2:$H$4&amp;"'!D"&amp;10))</f>
        <v>27</v>
      </c>
      <c r="E10" s="54" cm="1">
        <f t="array" aca="1" ref="E10" ca="1">SUM(INDIRECT("'"&amp;datatable!$H$2:$H$4&amp;"'!E"&amp;10))</f>
        <v>0</v>
      </c>
      <c r="F10" s="55" cm="1">
        <f t="array" aca="1" ref="F10" ca="1">SUM(INDIRECT("'"&amp;datatable!$H$2:$H$4&amp;"'!F"&amp;10))</f>
        <v>1</v>
      </c>
      <c r="G10" s="56" cm="1">
        <f t="array" aca="1" ref="G10" ca="1">SUM(INDIRECT("'"&amp;datatable!$H$2:$H$4&amp;"'!G"&amp;10))</f>
        <v>7</v>
      </c>
      <c r="H10" s="57" cm="1">
        <f t="array" aca="1" ref="H10" ca="1">SUM(INDIRECT("'"&amp;datatable!$H$2:$H$4&amp;"'!H"&amp;10))</f>
        <v>3</v>
      </c>
      <c r="I10" s="58" cm="1">
        <f t="array" aca="1" ref="I10" ca="1">SUM(INDIRECT("'"&amp;datatable!$H$2:$H$4&amp;"'!I"&amp;10))</f>
        <v>1</v>
      </c>
      <c r="J10" s="59" cm="1">
        <f t="array" aca="1" ref="J10" ca="1">SUM(INDIRECT("'"&amp;datatable!$H$2:$H$4&amp;"'!J"&amp;10))</f>
        <v>0</v>
      </c>
      <c r="K10" s="60" cm="1">
        <f t="array" aca="1" ref="K10" ca="1">SUM(INDIRECT("'"&amp;datatable!$H$2:$H$4&amp;"'!K"&amp;10))</f>
        <v>5</v>
      </c>
      <c r="L10" s="61" cm="1">
        <f t="array" aca="1" ref="L10" ca="1">SUM(INDIRECT("'"&amp;datatable!$H$2:$H$4&amp;"'!L"&amp;10))</f>
        <v>10</v>
      </c>
      <c r="M10" s="62" cm="1">
        <f t="array" aca="1" ref="M10" ca="1">SUM(INDIRECT("'"&amp;datatable!$H$2:$H$4&amp;"'!M"&amp;10))</f>
        <v>0</v>
      </c>
      <c r="N10" s="29">
        <f t="shared" ca="1" si="0"/>
        <v>54</v>
      </c>
      <c r="O10" s="29">
        <f t="shared" ca="1" si="1"/>
        <v>54</v>
      </c>
    </row>
    <row r="11" spans="3:15">
      <c r="C11" s="5" t="s">
        <v>17</v>
      </c>
      <c r="D11" s="8" cm="1">
        <f t="array" aca="1" ref="D11" ca="1">SUM(INDIRECT("'"&amp;datatable!$H$2:$H$4&amp;"'!D"&amp;11))</f>
        <v>18</v>
      </c>
      <c r="E11" s="54" cm="1">
        <f t="array" aca="1" ref="E11" ca="1">SUM(INDIRECT("'"&amp;datatable!$H$2:$H$4&amp;"'!E"&amp;11))</f>
        <v>11</v>
      </c>
      <c r="F11" s="55" cm="1">
        <f t="array" aca="1" ref="F11" ca="1">SUM(INDIRECT("'"&amp;datatable!$H$2:$H$4&amp;"'!F"&amp;11))</f>
        <v>4</v>
      </c>
      <c r="G11" s="56" cm="1">
        <f t="array" aca="1" ref="G11" ca="1">SUM(INDIRECT("'"&amp;datatable!$H$2:$H$4&amp;"'!G"&amp;11))</f>
        <v>4</v>
      </c>
      <c r="H11" s="57" cm="1">
        <f t="array" aca="1" ref="H11" ca="1">SUM(INDIRECT("'"&amp;datatable!$H$2:$H$4&amp;"'!H"&amp;11))</f>
        <v>3</v>
      </c>
      <c r="I11" s="58" cm="1">
        <f t="array" aca="1" ref="I11" ca="1">SUM(INDIRECT("'"&amp;datatable!$H$2:$H$4&amp;"'!I"&amp;11))</f>
        <v>3</v>
      </c>
      <c r="J11" s="59" cm="1">
        <f t="array" aca="1" ref="J11" ca="1">SUM(INDIRECT("'"&amp;datatable!$H$2:$H$4&amp;"'!J"&amp;11))</f>
        <v>1</v>
      </c>
      <c r="K11" s="60" cm="1">
        <f t="array" aca="1" ref="K11" ca="1">SUM(INDIRECT("'"&amp;datatable!$H$2:$H$4&amp;"'!K"&amp;11))</f>
        <v>1</v>
      </c>
      <c r="L11" s="61" cm="1">
        <f t="array" aca="1" ref="L11" ca="1">SUM(INDIRECT("'"&amp;datatable!$H$2:$H$4&amp;"'!L"&amp;11))</f>
        <v>5</v>
      </c>
      <c r="M11" s="62" cm="1">
        <f t="array" aca="1" ref="M11" ca="1">SUM(INDIRECT("'"&amp;datatable!$H$2:$H$4&amp;"'!M"&amp;11))</f>
        <v>4</v>
      </c>
      <c r="N11" s="29">
        <f t="shared" ca="1" si="0"/>
        <v>54</v>
      </c>
      <c r="O11" s="29">
        <f t="shared" ca="1" si="1"/>
        <v>50</v>
      </c>
    </row>
    <row r="12" spans="3:15">
      <c r="C12" s="5" t="s">
        <v>18</v>
      </c>
      <c r="D12" s="8" cm="1">
        <f t="array" aca="1" ref="D12" ca="1">SUM(INDIRECT("'"&amp;datatable!$H$2:$H$4&amp;"'!D"&amp;12))</f>
        <v>26</v>
      </c>
      <c r="E12" s="54" cm="1">
        <f t="array" aca="1" ref="E12" ca="1">SUM(INDIRECT("'"&amp;datatable!$H$2:$H$4&amp;"'!E"&amp;12))</f>
        <v>1</v>
      </c>
      <c r="F12" s="55" cm="1">
        <f t="array" aca="1" ref="F12" ca="1">SUM(INDIRECT("'"&amp;datatable!$H$2:$H$4&amp;"'!F"&amp;12))</f>
        <v>5</v>
      </c>
      <c r="G12" s="56" cm="1">
        <f t="array" aca="1" ref="G12" ca="1">SUM(INDIRECT("'"&amp;datatable!$H$2:$H$4&amp;"'!G"&amp;12))</f>
        <v>1</v>
      </c>
      <c r="H12" s="57" cm="1">
        <f t="array" aca="1" ref="H12" ca="1">SUM(INDIRECT("'"&amp;datatable!$H$2:$H$4&amp;"'!H"&amp;12))</f>
        <v>1</v>
      </c>
      <c r="I12" s="58" cm="1">
        <f t="array" aca="1" ref="I12" ca="1">SUM(INDIRECT("'"&amp;datatable!$H$2:$H$4&amp;"'!I"&amp;12))</f>
        <v>0</v>
      </c>
      <c r="J12" s="59" cm="1">
        <f t="array" aca="1" ref="J12" ca="1">SUM(INDIRECT("'"&amp;datatable!$H$2:$H$4&amp;"'!J"&amp;12))</f>
        <v>1</v>
      </c>
      <c r="K12" s="60" cm="1">
        <f t="array" aca="1" ref="K12" ca="1">SUM(INDIRECT("'"&amp;datatable!$H$2:$H$4&amp;"'!K"&amp;12))</f>
        <v>6</v>
      </c>
      <c r="L12" s="61" cm="1">
        <f t="array" aca="1" ref="L12" ca="1">SUM(INDIRECT("'"&amp;datatable!$H$2:$H$4&amp;"'!L"&amp;12))</f>
        <v>11</v>
      </c>
      <c r="M12" s="62" cm="1">
        <f t="array" aca="1" ref="M12" ca="1">SUM(INDIRECT("'"&amp;datatable!$H$2:$H$4&amp;"'!M"&amp;12))</f>
        <v>2</v>
      </c>
      <c r="N12" s="29">
        <f t="shared" ca="1" si="0"/>
        <v>54</v>
      </c>
      <c r="O12" s="29">
        <f t="shared" ca="1" si="1"/>
        <v>52</v>
      </c>
    </row>
    <row r="13" spans="3:15">
      <c r="C13" s="5" t="s">
        <v>19</v>
      </c>
      <c r="D13" s="8" cm="1">
        <f t="array" aca="1" ref="D13" ca="1">SUM(INDIRECT("'"&amp;datatable!$H$2:$H$4&amp;"'!D"&amp;13))</f>
        <v>14</v>
      </c>
      <c r="E13" s="54" cm="1">
        <f t="array" aca="1" ref="E13" ca="1">SUM(INDIRECT("'"&amp;datatable!$H$2:$H$4&amp;"'!E"&amp;13))</f>
        <v>2</v>
      </c>
      <c r="F13" s="55" cm="1">
        <f t="array" aca="1" ref="F13" ca="1">SUM(INDIRECT("'"&amp;datatable!$H$2:$H$4&amp;"'!F"&amp;13))</f>
        <v>5</v>
      </c>
      <c r="G13" s="56" cm="1">
        <f t="array" aca="1" ref="G13" ca="1">SUM(INDIRECT("'"&amp;datatable!$H$2:$H$4&amp;"'!G"&amp;13))</f>
        <v>2</v>
      </c>
      <c r="H13" s="57" cm="1">
        <f t="array" aca="1" ref="H13" ca="1">SUM(INDIRECT("'"&amp;datatable!$H$2:$H$4&amp;"'!H"&amp;13))</f>
        <v>3</v>
      </c>
      <c r="I13" s="58" cm="1">
        <f t="array" aca="1" ref="I13" ca="1">SUM(INDIRECT("'"&amp;datatable!$H$2:$H$4&amp;"'!I"&amp;13))</f>
        <v>6</v>
      </c>
      <c r="J13" s="59" cm="1">
        <f t="array" aca="1" ref="J13" ca="1">SUM(INDIRECT("'"&amp;datatable!$H$2:$H$4&amp;"'!J"&amp;13))</f>
        <v>8</v>
      </c>
      <c r="K13" s="60" cm="1">
        <f t="array" aca="1" ref="K13" ca="1">SUM(INDIRECT("'"&amp;datatable!$H$2:$H$4&amp;"'!K"&amp;13))</f>
        <v>11</v>
      </c>
      <c r="L13" s="61" cm="1">
        <f t="array" aca="1" ref="L13" ca="1">SUM(INDIRECT("'"&amp;datatable!$H$2:$H$4&amp;"'!L"&amp;13))</f>
        <v>2</v>
      </c>
      <c r="M13" s="62" cm="1">
        <f t="array" aca="1" ref="M13" ca="1">SUM(INDIRECT("'"&amp;datatable!$H$2:$H$4&amp;"'!M"&amp;13))</f>
        <v>1</v>
      </c>
      <c r="N13" s="29">
        <f t="shared" ca="1" si="0"/>
        <v>54</v>
      </c>
      <c r="O13" s="29">
        <f t="shared" ca="1" si="1"/>
        <v>53</v>
      </c>
    </row>
    <row r="14" spans="3:15">
      <c r="C14" s="5" t="s">
        <v>20</v>
      </c>
      <c r="D14" s="8" cm="1">
        <f t="array" aca="1" ref="D14" ca="1">SUM(INDIRECT("'"&amp;datatable!$H$2:$H$4&amp;"'!D"&amp;14))</f>
        <v>27</v>
      </c>
      <c r="E14" s="54" cm="1">
        <f t="array" aca="1" ref="E14" ca="1">SUM(INDIRECT("'"&amp;datatable!$H$2:$H$4&amp;"'!E"&amp;14))</f>
        <v>5</v>
      </c>
      <c r="F14" s="55" cm="1">
        <f t="array" aca="1" ref="F14" ca="1">SUM(INDIRECT("'"&amp;datatable!$H$2:$H$4&amp;"'!F"&amp;14))</f>
        <v>2</v>
      </c>
      <c r="G14" s="56" cm="1">
        <f t="array" aca="1" ref="G14" ca="1">SUM(INDIRECT("'"&amp;datatable!$H$2:$H$4&amp;"'!G"&amp;14))</f>
        <v>0</v>
      </c>
      <c r="H14" s="57" cm="1">
        <f t="array" aca="1" ref="H14" ca="1">SUM(INDIRECT("'"&amp;datatable!$H$2:$H$4&amp;"'!H"&amp;14))</f>
        <v>2</v>
      </c>
      <c r="I14" s="58" cm="1">
        <f t="array" aca="1" ref="I14" ca="1">SUM(INDIRECT("'"&amp;datatable!$H$2:$H$4&amp;"'!I"&amp;14))</f>
        <v>0</v>
      </c>
      <c r="J14" s="59" cm="1">
        <f t="array" aca="1" ref="J14" ca="1">SUM(INDIRECT("'"&amp;datatable!$H$2:$H$4&amp;"'!J"&amp;14))</f>
        <v>1</v>
      </c>
      <c r="K14" s="60" cm="1">
        <f t="array" aca="1" ref="K14" ca="1">SUM(INDIRECT("'"&amp;datatable!$H$2:$H$4&amp;"'!K"&amp;14))</f>
        <v>6</v>
      </c>
      <c r="L14" s="61" cm="1">
        <f t="array" aca="1" ref="L14" ca="1">SUM(INDIRECT("'"&amp;datatable!$H$2:$H$4&amp;"'!L"&amp;14))</f>
        <v>8</v>
      </c>
      <c r="M14" s="62" cm="1">
        <f t="array" aca="1" ref="M14" ca="1">SUM(INDIRECT("'"&amp;datatable!$H$2:$H$4&amp;"'!M"&amp;14))</f>
        <v>3</v>
      </c>
      <c r="N14" s="29">
        <f t="shared" ca="1" si="0"/>
        <v>54</v>
      </c>
      <c r="O14" s="29">
        <f t="shared" ca="1" si="1"/>
        <v>51</v>
      </c>
    </row>
    <row r="15" spans="3:15">
      <c r="C15" s="5" t="s">
        <v>21</v>
      </c>
      <c r="D15" s="8" cm="1">
        <f t="array" aca="1" ref="D15" ca="1">SUM(INDIRECT("'"&amp;datatable!$H$2:$H$4&amp;"'!D"&amp;15))</f>
        <v>19</v>
      </c>
      <c r="E15" s="54" cm="1">
        <f t="array" aca="1" ref="E15" ca="1">SUM(INDIRECT("'"&amp;datatable!$H$2:$H$4&amp;"'!E"&amp;15))</f>
        <v>13</v>
      </c>
      <c r="F15" s="55" cm="1">
        <f t="array" aca="1" ref="F15" ca="1">SUM(INDIRECT("'"&amp;datatable!$H$2:$H$4&amp;"'!F"&amp;15))</f>
        <v>1</v>
      </c>
      <c r="G15" s="56" cm="1">
        <f t="array" aca="1" ref="G15" ca="1">SUM(INDIRECT("'"&amp;datatable!$H$2:$H$4&amp;"'!G"&amp;15))</f>
        <v>0</v>
      </c>
      <c r="H15" s="57" cm="1">
        <f t="array" aca="1" ref="H15" ca="1">SUM(INDIRECT("'"&amp;datatable!$H$2:$H$4&amp;"'!H"&amp;15))</f>
        <v>1</v>
      </c>
      <c r="I15" s="58" cm="1">
        <f t="array" aca="1" ref="I15" ca="1">SUM(INDIRECT("'"&amp;datatable!$H$2:$H$4&amp;"'!I"&amp;15))</f>
        <v>2</v>
      </c>
      <c r="J15" s="59" cm="1">
        <f t="array" aca="1" ref="J15" ca="1">SUM(INDIRECT("'"&amp;datatable!$H$2:$H$4&amp;"'!J"&amp;15))</f>
        <v>3</v>
      </c>
      <c r="K15" s="60" cm="1">
        <f t="array" aca="1" ref="K15" ca="1">SUM(INDIRECT("'"&amp;datatable!$H$2:$H$4&amp;"'!K"&amp;15))</f>
        <v>6</v>
      </c>
      <c r="L15" s="61" cm="1">
        <f t="array" aca="1" ref="L15" ca="1">SUM(INDIRECT("'"&amp;datatable!$H$2:$H$4&amp;"'!L"&amp;15))</f>
        <v>7</v>
      </c>
      <c r="M15" s="62" cm="1">
        <f t="array" aca="1" ref="M15" ca="1">SUM(INDIRECT("'"&amp;datatable!$H$2:$H$4&amp;"'!M"&amp;15))</f>
        <v>2</v>
      </c>
      <c r="N15" s="29">
        <f t="shared" ca="1" si="0"/>
        <v>54</v>
      </c>
      <c r="O15" s="29">
        <f t="shared" ca="1" si="1"/>
        <v>52</v>
      </c>
    </row>
    <row r="16" spans="3:15">
      <c r="C16" s="5" t="s">
        <v>22</v>
      </c>
      <c r="D16" s="8" cm="1">
        <f t="array" aca="1" ref="D16" ca="1">SUM(INDIRECT("'"&amp;datatable!$H$2:$H$4&amp;"'!D"&amp;16))</f>
        <v>25</v>
      </c>
      <c r="E16" s="54" cm="1">
        <f t="array" aca="1" ref="E16" ca="1">SUM(INDIRECT("'"&amp;datatable!$H$2:$H$4&amp;"'!E"&amp;16))</f>
        <v>4</v>
      </c>
      <c r="F16" s="55" cm="1">
        <f t="array" aca="1" ref="F16" ca="1">SUM(INDIRECT("'"&amp;datatable!$H$2:$H$4&amp;"'!F"&amp;16))</f>
        <v>5</v>
      </c>
      <c r="G16" s="56" cm="1">
        <f t="array" aca="1" ref="G16" ca="1">SUM(INDIRECT("'"&amp;datatable!$H$2:$H$4&amp;"'!G"&amp;16))</f>
        <v>4</v>
      </c>
      <c r="H16" s="57" cm="1">
        <f t="array" aca="1" ref="H16" ca="1">SUM(INDIRECT("'"&amp;datatable!$H$2:$H$4&amp;"'!H"&amp;16))</f>
        <v>1</v>
      </c>
      <c r="I16" s="58" cm="1">
        <f t="array" aca="1" ref="I16" ca="1">SUM(INDIRECT("'"&amp;datatable!$H$2:$H$4&amp;"'!I"&amp;16))</f>
        <v>1</v>
      </c>
      <c r="J16" s="59" cm="1">
        <f t="array" aca="1" ref="J16" ca="1">SUM(INDIRECT("'"&amp;datatable!$H$2:$H$4&amp;"'!J"&amp;16))</f>
        <v>2</v>
      </c>
      <c r="K16" s="60" cm="1">
        <f t="array" aca="1" ref="K16" ca="1">SUM(INDIRECT("'"&amp;datatable!$H$2:$H$4&amp;"'!K"&amp;16))</f>
        <v>6</v>
      </c>
      <c r="L16" s="61" cm="1">
        <f t="array" aca="1" ref="L16" ca="1">SUM(INDIRECT("'"&amp;datatable!$H$2:$H$4&amp;"'!L"&amp;16))</f>
        <v>6</v>
      </c>
      <c r="M16" s="62" cm="1">
        <f t="array" aca="1" ref="M16" ca="1">SUM(INDIRECT("'"&amp;datatable!$H$2:$H$4&amp;"'!M"&amp;16))</f>
        <v>0</v>
      </c>
      <c r="N16" s="29">
        <f t="shared" ca="1" si="0"/>
        <v>54</v>
      </c>
      <c r="O16" s="29">
        <f t="shared" ca="1" si="1"/>
        <v>54</v>
      </c>
    </row>
    <row r="17" spans="3:15">
      <c r="C17" s="5" t="s">
        <v>23</v>
      </c>
      <c r="D17" s="8" cm="1">
        <f t="array" aca="1" ref="D17" ca="1">SUM(INDIRECT("'"&amp;datatable!$H$2:$H$4&amp;"'!D"&amp;17))</f>
        <v>31</v>
      </c>
      <c r="E17" s="54" cm="1">
        <f t="array" aca="1" ref="E17" ca="1">SUM(INDIRECT("'"&amp;datatable!$H$2:$H$4&amp;"'!E"&amp;17))</f>
        <v>5</v>
      </c>
      <c r="F17" s="55" cm="1">
        <f t="array" aca="1" ref="F17" ca="1">SUM(INDIRECT("'"&amp;datatable!$H$2:$H$4&amp;"'!F"&amp;17))</f>
        <v>4</v>
      </c>
      <c r="G17" s="56" cm="1">
        <f t="array" aca="1" ref="G17" ca="1">SUM(INDIRECT("'"&amp;datatable!$H$2:$H$4&amp;"'!G"&amp;17))</f>
        <v>2</v>
      </c>
      <c r="H17" s="57" cm="1">
        <f t="array" aca="1" ref="H17" ca="1">SUM(INDIRECT("'"&amp;datatable!$H$2:$H$4&amp;"'!H"&amp;17))</f>
        <v>2</v>
      </c>
      <c r="I17" s="58" cm="1">
        <f t="array" aca="1" ref="I17" ca="1">SUM(INDIRECT("'"&amp;datatable!$H$2:$H$4&amp;"'!I"&amp;17))</f>
        <v>1</v>
      </c>
      <c r="J17" s="59" cm="1">
        <f t="array" aca="1" ref="J17" ca="1">SUM(INDIRECT("'"&amp;datatable!$H$2:$H$4&amp;"'!J"&amp;17))</f>
        <v>2</v>
      </c>
      <c r="K17" s="60" cm="1">
        <f t="array" aca="1" ref="K17" ca="1">SUM(INDIRECT("'"&amp;datatable!$H$2:$H$4&amp;"'!K"&amp;17))</f>
        <v>4</v>
      </c>
      <c r="L17" s="61" cm="1">
        <f t="array" aca="1" ref="L17" ca="1">SUM(INDIRECT("'"&amp;datatable!$H$2:$H$4&amp;"'!L"&amp;17))</f>
        <v>0</v>
      </c>
      <c r="M17" s="62" cm="1">
        <f t="array" aca="1" ref="M17" ca="1">SUM(INDIRECT("'"&amp;datatable!$H$2:$H$4&amp;"'!M"&amp;17))</f>
        <v>3</v>
      </c>
      <c r="N17" s="29">
        <f t="shared" ca="1" si="0"/>
        <v>54</v>
      </c>
      <c r="O17" s="29">
        <f t="shared" ca="1" si="1"/>
        <v>51</v>
      </c>
    </row>
    <row r="18" spans="3:15">
      <c r="C18" s="5" t="s">
        <v>24</v>
      </c>
      <c r="D18" s="8" cm="1">
        <f t="array" aca="1" ref="D18" ca="1">SUM(INDIRECT("'"&amp;datatable!$H$2:$H$4&amp;"'!D"&amp;18))</f>
        <v>23</v>
      </c>
      <c r="E18" s="54" cm="1">
        <f t="array" aca="1" ref="E18" ca="1">SUM(INDIRECT("'"&amp;datatable!$H$2:$H$4&amp;"'!E"&amp;18))</f>
        <v>3</v>
      </c>
      <c r="F18" s="55" cm="1">
        <f t="array" aca="1" ref="F18" ca="1">SUM(INDIRECT("'"&amp;datatable!$H$2:$H$4&amp;"'!F"&amp;18))</f>
        <v>2</v>
      </c>
      <c r="G18" s="56" cm="1">
        <f t="array" aca="1" ref="G18" ca="1">SUM(INDIRECT("'"&amp;datatable!$H$2:$H$4&amp;"'!G"&amp;18))</f>
        <v>2</v>
      </c>
      <c r="H18" s="57" cm="1">
        <f t="array" aca="1" ref="H18" ca="1">SUM(INDIRECT("'"&amp;datatable!$H$2:$H$4&amp;"'!H"&amp;18))</f>
        <v>5</v>
      </c>
      <c r="I18" s="58" cm="1">
        <f t="array" aca="1" ref="I18" ca="1">SUM(INDIRECT("'"&amp;datatable!$H$2:$H$4&amp;"'!I"&amp;18))</f>
        <v>3</v>
      </c>
      <c r="J18" s="59" cm="1">
        <f t="array" aca="1" ref="J18" ca="1">SUM(INDIRECT("'"&amp;datatable!$H$2:$H$4&amp;"'!J"&amp;18))</f>
        <v>4</v>
      </c>
      <c r="K18" s="60" cm="1">
        <f t="array" aca="1" ref="K18" ca="1">SUM(INDIRECT("'"&amp;datatable!$H$2:$H$4&amp;"'!K"&amp;18))</f>
        <v>2</v>
      </c>
      <c r="L18" s="61" cm="1">
        <f t="array" aca="1" ref="L18" ca="1">SUM(INDIRECT("'"&amp;datatable!$H$2:$H$4&amp;"'!L"&amp;18))</f>
        <v>4</v>
      </c>
      <c r="M18" s="62" cm="1">
        <f t="array" aca="1" ref="M18" ca="1">SUM(INDIRECT("'"&amp;datatable!$H$2:$H$4&amp;"'!M"&amp;18))</f>
        <v>6</v>
      </c>
      <c r="N18" s="29">
        <f t="shared" ca="1" si="0"/>
        <v>54</v>
      </c>
      <c r="O18" s="29">
        <f t="shared" ca="1" si="1"/>
        <v>48</v>
      </c>
    </row>
    <row r="19" spans="3:15">
      <c r="C19" s="5" t="s">
        <v>25</v>
      </c>
      <c r="D19" s="8" cm="1">
        <f t="array" aca="1" ref="D19" ca="1">SUM(INDIRECT("'"&amp;datatable!$H$2:$H$4&amp;"'!D"&amp;19))</f>
        <v>33</v>
      </c>
      <c r="E19" s="54" cm="1">
        <f t="array" aca="1" ref="E19" ca="1">SUM(INDIRECT("'"&amp;datatable!$H$2:$H$4&amp;"'!E"&amp;19))</f>
        <v>0</v>
      </c>
      <c r="F19" s="55" cm="1">
        <f t="array" aca="1" ref="F19" ca="1">SUM(INDIRECT("'"&amp;datatable!$H$2:$H$4&amp;"'!F"&amp;19))</f>
        <v>3</v>
      </c>
      <c r="G19" s="56" cm="1">
        <f t="array" aca="1" ref="G19" ca="1">SUM(INDIRECT("'"&amp;datatable!$H$2:$H$4&amp;"'!G"&amp;19))</f>
        <v>0</v>
      </c>
      <c r="H19" s="57" cm="1">
        <f t="array" aca="1" ref="H19" ca="1">SUM(INDIRECT("'"&amp;datatable!$H$2:$H$4&amp;"'!H"&amp;19))</f>
        <v>0</v>
      </c>
      <c r="I19" s="58" cm="1">
        <f t="array" aca="1" ref="I19" ca="1">SUM(INDIRECT("'"&amp;datatable!$H$2:$H$4&amp;"'!I"&amp;19))</f>
        <v>3</v>
      </c>
      <c r="J19" s="59" cm="1">
        <f t="array" aca="1" ref="J19" ca="1">SUM(INDIRECT("'"&amp;datatable!$H$2:$H$4&amp;"'!J"&amp;19))</f>
        <v>6</v>
      </c>
      <c r="K19" s="60" cm="1">
        <f t="array" aca="1" ref="K19" ca="1">SUM(INDIRECT("'"&amp;datatable!$H$2:$H$4&amp;"'!K"&amp;19))</f>
        <v>3</v>
      </c>
      <c r="L19" s="61" cm="1">
        <f t="array" aca="1" ref="L19" ca="1">SUM(INDIRECT("'"&amp;datatable!$H$2:$H$4&amp;"'!L"&amp;19))</f>
        <v>2</v>
      </c>
      <c r="M19" s="62" cm="1">
        <f t="array" aca="1" ref="M19" ca="1">SUM(INDIRECT("'"&amp;datatable!$H$2:$H$4&amp;"'!M"&amp;19))</f>
        <v>4</v>
      </c>
      <c r="N19" s="29">
        <f t="shared" ca="1" si="0"/>
        <v>54</v>
      </c>
      <c r="O19" s="29">
        <f t="shared" ca="1" si="1"/>
        <v>50</v>
      </c>
    </row>
    <row r="20" spans="3:15">
      <c r="C20" s="5" t="s">
        <v>26</v>
      </c>
      <c r="D20" s="8" cm="1">
        <f t="array" aca="1" ref="D20" ca="1">SUM(INDIRECT("'"&amp;datatable!$H$2:$H$4&amp;"'!D"&amp;20))</f>
        <v>26</v>
      </c>
      <c r="E20" s="54" cm="1">
        <f t="array" aca="1" ref="E20" ca="1">SUM(INDIRECT("'"&amp;datatable!$H$2:$H$4&amp;"'!E"&amp;20))</f>
        <v>1</v>
      </c>
      <c r="F20" s="55" cm="1">
        <f t="array" aca="1" ref="F20" ca="1">SUM(INDIRECT("'"&amp;datatable!$H$2:$H$4&amp;"'!F"&amp;20))</f>
        <v>1</v>
      </c>
      <c r="G20" s="56" cm="1">
        <f t="array" aca="1" ref="G20" ca="1">SUM(INDIRECT("'"&amp;datatable!$H$2:$H$4&amp;"'!G"&amp;20))</f>
        <v>2</v>
      </c>
      <c r="H20" s="57" cm="1">
        <f t="array" aca="1" ref="H20" ca="1">SUM(INDIRECT("'"&amp;datatable!$H$2:$H$4&amp;"'!H"&amp;20))</f>
        <v>4</v>
      </c>
      <c r="I20" s="58" cm="1">
        <f t="array" aca="1" ref="I20" ca="1">SUM(INDIRECT("'"&amp;datatable!$H$2:$H$4&amp;"'!I"&amp;20))</f>
        <v>3</v>
      </c>
      <c r="J20" s="59" cm="1">
        <f t="array" aca="1" ref="J20" ca="1">SUM(INDIRECT("'"&amp;datatable!$H$2:$H$4&amp;"'!J"&amp;20))</f>
        <v>4</v>
      </c>
      <c r="K20" s="60" cm="1">
        <f t="array" aca="1" ref="K20" ca="1">SUM(INDIRECT("'"&amp;datatable!$H$2:$H$4&amp;"'!K"&amp;20))</f>
        <v>3</v>
      </c>
      <c r="L20" s="61" cm="1">
        <f t="array" aca="1" ref="L20" ca="1">SUM(INDIRECT("'"&amp;datatable!$H$2:$H$4&amp;"'!L"&amp;20))</f>
        <v>7</v>
      </c>
      <c r="M20" s="62" cm="1">
        <f t="array" aca="1" ref="M20" ca="1">SUM(INDIRECT("'"&amp;datatable!$H$2:$H$4&amp;"'!M"&amp;20))</f>
        <v>3</v>
      </c>
      <c r="N20" s="29">
        <f t="shared" ca="1" si="0"/>
        <v>54</v>
      </c>
      <c r="O20" s="29">
        <f t="shared" ca="1" si="1"/>
        <v>51</v>
      </c>
    </row>
    <row r="21" spans="3:15">
      <c r="C21" s="5" t="s">
        <v>27</v>
      </c>
      <c r="D21" s="8" cm="1">
        <f t="array" aca="1" ref="D21" ca="1">SUM(INDIRECT("'"&amp;datatable!$H$2:$H$4&amp;"'!D"&amp;21))</f>
        <v>31</v>
      </c>
      <c r="E21" s="54" cm="1">
        <f t="array" aca="1" ref="E21" ca="1">SUM(INDIRECT("'"&amp;datatable!$H$2:$H$4&amp;"'!E"&amp;21))</f>
        <v>1</v>
      </c>
      <c r="F21" s="55" cm="1">
        <f t="array" aca="1" ref="F21" ca="1">SUM(INDIRECT("'"&amp;datatable!$H$2:$H$4&amp;"'!F"&amp;21))</f>
        <v>2</v>
      </c>
      <c r="G21" s="56" cm="1">
        <f t="array" aca="1" ref="G21" ca="1">SUM(INDIRECT("'"&amp;datatable!$H$2:$H$4&amp;"'!G"&amp;21))</f>
        <v>3</v>
      </c>
      <c r="H21" s="57" cm="1">
        <f t="array" aca="1" ref="H21" ca="1">SUM(INDIRECT("'"&amp;datatable!$H$2:$H$4&amp;"'!H"&amp;21))</f>
        <v>2</v>
      </c>
      <c r="I21" s="58" cm="1">
        <f t="array" aca="1" ref="I21" ca="1">SUM(INDIRECT("'"&amp;datatable!$H$2:$H$4&amp;"'!I"&amp;21))</f>
        <v>1</v>
      </c>
      <c r="J21" s="59" cm="1">
        <f t="array" aca="1" ref="J21" ca="1">SUM(INDIRECT("'"&amp;datatable!$H$2:$H$4&amp;"'!J"&amp;21))</f>
        <v>1</v>
      </c>
      <c r="K21" s="60" cm="1">
        <f t="array" aca="1" ref="K21" ca="1">SUM(INDIRECT("'"&amp;datatable!$H$2:$H$4&amp;"'!K"&amp;21))</f>
        <v>3</v>
      </c>
      <c r="L21" s="61" cm="1">
        <f t="array" aca="1" ref="L21" ca="1">SUM(INDIRECT("'"&amp;datatable!$H$2:$H$4&amp;"'!L"&amp;21))</f>
        <v>7</v>
      </c>
      <c r="M21" s="62" cm="1">
        <f t="array" aca="1" ref="M21" ca="1">SUM(INDIRECT("'"&amp;datatable!$H$2:$H$4&amp;"'!M"&amp;21))</f>
        <v>3</v>
      </c>
      <c r="N21" s="29">
        <f t="shared" ca="1" si="0"/>
        <v>54</v>
      </c>
      <c r="O21" s="29">
        <f t="shared" ca="1" si="1"/>
        <v>51</v>
      </c>
    </row>
    <row r="22" spans="3:15">
      <c r="C22" s="5" t="s">
        <v>28</v>
      </c>
      <c r="D22" s="8" cm="1">
        <f t="array" aca="1" ref="D22" ca="1">SUM(INDIRECT("'"&amp;datatable!$H$2:$H$4&amp;"'!D"&amp;22))</f>
        <v>31</v>
      </c>
      <c r="E22" s="54" cm="1">
        <f t="array" aca="1" ref="E22" ca="1">SUM(INDIRECT("'"&amp;datatable!$H$2:$H$4&amp;"'!E"&amp;22))</f>
        <v>1</v>
      </c>
      <c r="F22" s="55" cm="1">
        <f t="array" aca="1" ref="F22" ca="1">SUM(INDIRECT("'"&amp;datatable!$H$2:$H$4&amp;"'!F"&amp;22))</f>
        <v>0</v>
      </c>
      <c r="G22" s="56" cm="1">
        <f t="array" aca="1" ref="G22" ca="1">SUM(INDIRECT("'"&amp;datatable!$H$2:$H$4&amp;"'!G"&amp;22))</f>
        <v>1</v>
      </c>
      <c r="H22" s="57" cm="1">
        <f t="array" aca="1" ref="H22" ca="1">SUM(INDIRECT("'"&amp;datatable!$H$2:$H$4&amp;"'!H"&amp;22))</f>
        <v>1</v>
      </c>
      <c r="I22" s="58" cm="1">
        <f t="array" aca="1" ref="I22" ca="1">SUM(INDIRECT("'"&amp;datatable!$H$2:$H$4&amp;"'!I"&amp;22))</f>
        <v>2</v>
      </c>
      <c r="J22" s="59" cm="1">
        <f t="array" aca="1" ref="J22" ca="1">SUM(INDIRECT("'"&amp;datatable!$H$2:$H$4&amp;"'!J"&amp;22))</f>
        <v>2</v>
      </c>
      <c r="K22" s="60" cm="1">
        <f t="array" aca="1" ref="K22" ca="1">SUM(INDIRECT("'"&amp;datatable!$H$2:$H$4&amp;"'!K"&amp;22))</f>
        <v>3</v>
      </c>
      <c r="L22" s="61" cm="1">
        <f t="array" aca="1" ref="L22" ca="1">SUM(INDIRECT("'"&amp;datatable!$H$2:$H$4&amp;"'!L"&amp;22))</f>
        <v>10</v>
      </c>
      <c r="M22" s="62" cm="1">
        <f t="array" aca="1" ref="M22" ca="1">SUM(INDIRECT("'"&amp;datatable!$H$2:$H$4&amp;"'!M"&amp;22))</f>
        <v>3</v>
      </c>
      <c r="N22" s="29">
        <f t="shared" ca="1" si="0"/>
        <v>54</v>
      </c>
      <c r="O22" s="29">
        <f t="shared" ca="1" si="1"/>
        <v>51</v>
      </c>
    </row>
    <row r="23" spans="3:15">
      <c r="C23" s="5" t="s">
        <v>29</v>
      </c>
      <c r="D23" s="8" cm="1">
        <f t="array" aca="1" ref="D23" ca="1">SUM(INDIRECT("'"&amp;datatable!$H$2:$H$4&amp;"'!D"&amp;23))</f>
        <v>7</v>
      </c>
      <c r="E23" s="54" cm="1">
        <f t="array" aca="1" ref="E23" ca="1">SUM(INDIRECT("'"&amp;datatable!$H$2:$H$4&amp;"'!E"&amp;23))</f>
        <v>15</v>
      </c>
      <c r="F23" s="55" cm="1">
        <f t="array" aca="1" ref="F23" ca="1">SUM(INDIRECT("'"&amp;datatable!$H$2:$H$4&amp;"'!F"&amp;23))</f>
        <v>2</v>
      </c>
      <c r="G23" s="56" cm="1">
        <f t="array" aca="1" ref="G23" ca="1">SUM(INDIRECT("'"&amp;datatable!$H$2:$H$4&amp;"'!G"&amp;23))</f>
        <v>0</v>
      </c>
      <c r="H23" s="57" cm="1">
        <f t="array" aca="1" ref="H23" ca="1">SUM(INDIRECT("'"&amp;datatable!$H$2:$H$4&amp;"'!H"&amp;23))</f>
        <v>3</v>
      </c>
      <c r="I23" s="58" cm="1">
        <f t="array" aca="1" ref="I23" ca="1">SUM(INDIRECT("'"&amp;datatable!$H$2:$H$4&amp;"'!I"&amp;23))</f>
        <v>0</v>
      </c>
      <c r="J23" s="59" cm="1">
        <f t="array" aca="1" ref="J23" ca="1">SUM(INDIRECT("'"&amp;datatable!$H$2:$H$4&amp;"'!J"&amp;23))</f>
        <v>1</v>
      </c>
      <c r="K23" s="60" cm="1">
        <f t="array" aca="1" ref="K23" ca="1">SUM(INDIRECT("'"&amp;datatable!$H$2:$H$4&amp;"'!K"&amp;23))</f>
        <v>3</v>
      </c>
      <c r="L23" s="61" cm="1">
        <f t="array" aca="1" ref="L23" ca="1">SUM(INDIRECT("'"&amp;datatable!$H$2:$H$4&amp;"'!L"&amp;23))</f>
        <v>4</v>
      </c>
      <c r="M23" s="62" cm="1">
        <f t="array" aca="1" ref="M23" ca="1">SUM(INDIRECT("'"&amp;datatable!$H$2:$H$4&amp;"'!M"&amp;23))</f>
        <v>19</v>
      </c>
      <c r="N23" s="29">
        <f t="shared" ca="1" si="0"/>
        <v>54</v>
      </c>
      <c r="O23" s="29">
        <f t="shared" ca="1" si="1"/>
        <v>35</v>
      </c>
    </row>
    <row r="24" spans="3:15">
      <c r="C24" s="5" t="s">
        <v>30</v>
      </c>
      <c r="D24" s="8" cm="1">
        <f t="array" aca="1" ref="D24" ca="1">SUM(INDIRECT("'"&amp;datatable!$H$2:$H$4&amp;"'!D"&amp;24))</f>
        <v>13</v>
      </c>
      <c r="E24" s="54" cm="1">
        <f t="array" aca="1" ref="E24" ca="1">SUM(INDIRECT("'"&amp;datatable!$H$2:$H$4&amp;"'!E"&amp;24))</f>
        <v>11</v>
      </c>
      <c r="F24" s="55" cm="1">
        <f t="array" aca="1" ref="F24" ca="1">SUM(INDIRECT("'"&amp;datatable!$H$2:$H$4&amp;"'!F"&amp;24))</f>
        <v>4</v>
      </c>
      <c r="G24" s="56" cm="1">
        <f t="array" aca="1" ref="G24" ca="1">SUM(INDIRECT("'"&amp;datatable!$H$2:$H$4&amp;"'!G"&amp;24))</f>
        <v>3</v>
      </c>
      <c r="H24" s="57" cm="1">
        <f t="array" aca="1" ref="H24" ca="1">SUM(INDIRECT("'"&amp;datatable!$H$2:$H$4&amp;"'!H"&amp;24))</f>
        <v>3</v>
      </c>
      <c r="I24" s="58" cm="1">
        <f t="array" aca="1" ref="I24" ca="1">SUM(INDIRECT("'"&amp;datatable!$H$2:$H$4&amp;"'!I"&amp;24))</f>
        <v>2</v>
      </c>
      <c r="J24" s="59" cm="1">
        <f t="array" aca="1" ref="J24" ca="1">SUM(INDIRECT("'"&amp;datatable!$H$2:$H$4&amp;"'!J"&amp;24))</f>
        <v>2</v>
      </c>
      <c r="K24" s="60" cm="1">
        <f t="array" aca="1" ref="K24" ca="1">SUM(INDIRECT("'"&amp;datatable!$H$2:$H$4&amp;"'!K"&amp;24))</f>
        <v>9</v>
      </c>
      <c r="L24" s="61" cm="1">
        <f t="array" aca="1" ref="L24" ca="1">SUM(INDIRECT("'"&amp;datatable!$H$2:$H$4&amp;"'!L"&amp;24))</f>
        <v>7</v>
      </c>
      <c r="M24" s="62" cm="1">
        <f t="array" aca="1" ref="M24" ca="1">SUM(INDIRECT("'"&amp;datatable!$H$2:$H$4&amp;"'!M"&amp;24))</f>
        <v>0</v>
      </c>
      <c r="N24" s="29">
        <f t="shared" ca="1" si="0"/>
        <v>54</v>
      </c>
      <c r="O24" s="29">
        <f t="shared" ca="1" si="1"/>
        <v>54</v>
      </c>
    </row>
    <row r="25" spans="3:15">
      <c r="C25" s="5" t="s">
        <v>31</v>
      </c>
      <c r="D25" s="8" cm="1">
        <f t="array" aca="1" ref="D25" ca="1">SUM(INDIRECT("'"&amp;datatable!$H$2:$H$4&amp;"'!D"&amp;25))</f>
        <v>18</v>
      </c>
      <c r="E25" s="54" cm="1">
        <f t="array" aca="1" ref="E25" ca="1">SUM(INDIRECT("'"&amp;datatable!$H$2:$H$4&amp;"'!E"&amp;25))</f>
        <v>8</v>
      </c>
      <c r="F25" s="55" cm="1">
        <f t="array" aca="1" ref="F25" ca="1">SUM(INDIRECT("'"&amp;datatable!$H$2:$H$4&amp;"'!F"&amp;25))</f>
        <v>3</v>
      </c>
      <c r="G25" s="56" cm="1">
        <f t="array" aca="1" ref="G25" ca="1">SUM(INDIRECT("'"&amp;datatable!$H$2:$H$4&amp;"'!G"&amp;25))</f>
        <v>0</v>
      </c>
      <c r="H25" s="57" cm="1">
        <f t="array" aca="1" ref="H25" ca="1">SUM(INDIRECT("'"&amp;datatable!$H$2:$H$4&amp;"'!H"&amp;25))</f>
        <v>3</v>
      </c>
      <c r="I25" s="58" cm="1">
        <f t="array" aca="1" ref="I25" ca="1">SUM(INDIRECT("'"&amp;datatable!$H$2:$H$4&amp;"'!I"&amp;25))</f>
        <v>2</v>
      </c>
      <c r="J25" s="59" cm="1">
        <f t="array" aca="1" ref="J25" ca="1">SUM(INDIRECT("'"&amp;datatable!$H$2:$H$4&amp;"'!J"&amp;25))</f>
        <v>4</v>
      </c>
      <c r="K25" s="60" cm="1">
        <f t="array" aca="1" ref="K25" ca="1">SUM(INDIRECT("'"&amp;datatable!$H$2:$H$4&amp;"'!K"&amp;25))</f>
        <v>3</v>
      </c>
      <c r="L25" s="61" cm="1">
        <f t="array" aca="1" ref="L25" ca="1">SUM(INDIRECT("'"&amp;datatable!$H$2:$H$4&amp;"'!L"&amp;25))</f>
        <v>5</v>
      </c>
      <c r="M25" s="62" cm="1">
        <f t="array" aca="1" ref="M25" ca="1">SUM(INDIRECT("'"&amp;datatable!$H$2:$H$4&amp;"'!M"&amp;25))</f>
        <v>8</v>
      </c>
      <c r="N25" s="29">
        <f t="shared" ca="1" si="0"/>
        <v>54</v>
      </c>
      <c r="O25" s="29">
        <f t="shared" ca="1" si="1"/>
        <v>46</v>
      </c>
    </row>
    <row r="26" spans="3:15">
      <c r="C26" s="5" t="s">
        <v>32</v>
      </c>
      <c r="D26" s="8" cm="1">
        <f t="array" aca="1" ref="D26" ca="1">SUM(INDIRECT("'"&amp;datatable!$H$2:$H$4&amp;"'!D"&amp;26))</f>
        <v>12</v>
      </c>
      <c r="E26" s="54" cm="1">
        <f t="array" aca="1" ref="E26" ca="1">SUM(INDIRECT("'"&amp;datatable!$H$2:$H$4&amp;"'!E"&amp;26))</f>
        <v>2</v>
      </c>
      <c r="F26" s="55" cm="1">
        <f t="array" aca="1" ref="F26" ca="1">SUM(INDIRECT("'"&amp;datatable!$H$2:$H$4&amp;"'!F"&amp;26))</f>
        <v>4</v>
      </c>
      <c r="G26" s="56" cm="1">
        <f t="array" aca="1" ref="G26" ca="1">SUM(INDIRECT("'"&amp;datatable!$H$2:$H$4&amp;"'!G"&amp;26))</f>
        <v>2</v>
      </c>
      <c r="H26" s="57" cm="1">
        <f t="array" aca="1" ref="H26" ca="1">SUM(INDIRECT("'"&amp;datatable!$H$2:$H$4&amp;"'!H"&amp;26))</f>
        <v>7</v>
      </c>
      <c r="I26" s="58" cm="1">
        <f t="array" aca="1" ref="I26" ca="1">SUM(INDIRECT("'"&amp;datatable!$H$2:$H$4&amp;"'!I"&amp;26))</f>
        <v>3</v>
      </c>
      <c r="J26" s="59" cm="1">
        <f t="array" aca="1" ref="J26" ca="1">SUM(INDIRECT("'"&amp;datatable!$H$2:$H$4&amp;"'!J"&amp;26))</f>
        <v>5</v>
      </c>
      <c r="K26" s="60" cm="1">
        <f t="array" aca="1" ref="K26" ca="1">SUM(INDIRECT("'"&amp;datatable!$H$2:$H$4&amp;"'!K"&amp;26))</f>
        <v>7</v>
      </c>
      <c r="L26" s="61" cm="1">
        <f t="array" aca="1" ref="L26" ca="1">SUM(INDIRECT("'"&amp;datatable!$H$2:$H$4&amp;"'!L"&amp;26))</f>
        <v>9</v>
      </c>
      <c r="M26" s="62" cm="1">
        <f t="array" aca="1" ref="M26" ca="1">SUM(INDIRECT("'"&amp;datatable!$H$2:$H$4&amp;"'!M"&amp;26))</f>
        <v>3</v>
      </c>
      <c r="N26" s="29">
        <f t="shared" ca="1" si="0"/>
        <v>54</v>
      </c>
      <c r="O26" s="29">
        <f t="shared" ca="1" si="1"/>
        <v>51</v>
      </c>
    </row>
    <row r="27" spans="3:15">
      <c r="C27" s="5" t="s">
        <v>33</v>
      </c>
      <c r="D27" s="8" cm="1">
        <f t="array" aca="1" ref="D27" ca="1">SUM(INDIRECT("'"&amp;datatable!$H$2:$H$4&amp;"'!D"&amp;27))</f>
        <v>6</v>
      </c>
      <c r="E27" s="54" cm="1">
        <f t="array" aca="1" ref="E27" ca="1">SUM(INDIRECT("'"&amp;datatable!$H$2:$H$4&amp;"'!E"&amp;27))</f>
        <v>2</v>
      </c>
      <c r="F27" s="55" cm="1">
        <f t="array" aca="1" ref="F27" ca="1">SUM(INDIRECT("'"&amp;datatable!$H$2:$H$4&amp;"'!F"&amp;27))</f>
        <v>0</v>
      </c>
      <c r="G27" s="56" cm="1">
        <f t="array" aca="1" ref="G27" ca="1">SUM(INDIRECT("'"&amp;datatable!$H$2:$H$4&amp;"'!G"&amp;27))</f>
        <v>1</v>
      </c>
      <c r="H27" s="57" cm="1">
        <f t="array" aca="1" ref="H27" ca="1">SUM(INDIRECT("'"&amp;datatable!$H$2:$H$4&amp;"'!H"&amp;27))</f>
        <v>2</v>
      </c>
      <c r="I27" s="58" cm="1">
        <f t="array" aca="1" ref="I27" ca="1">SUM(INDIRECT("'"&amp;datatable!$H$2:$H$4&amp;"'!I"&amp;27))</f>
        <v>1</v>
      </c>
      <c r="J27" s="59" cm="1">
        <f t="array" aca="1" ref="J27" ca="1">SUM(INDIRECT("'"&amp;datatable!$H$2:$H$4&amp;"'!J"&amp;27))</f>
        <v>2</v>
      </c>
      <c r="K27" s="60" cm="1">
        <f t="array" aca="1" ref="K27" ca="1">SUM(INDIRECT("'"&amp;datatable!$H$2:$H$4&amp;"'!K"&amp;27))</f>
        <v>3</v>
      </c>
      <c r="L27" s="61" cm="1">
        <f t="array" aca="1" ref="L27" ca="1">SUM(INDIRECT("'"&amp;datatable!$H$2:$H$4&amp;"'!L"&amp;27))</f>
        <v>11</v>
      </c>
      <c r="M27" s="62" cm="1">
        <f t="array" aca="1" ref="M27" ca="1">SUM(INDIRECT("'"&amp;datatable!$H$2:$H$4&amp;"'!M"&amp;27))</f>
        <v>26</v>
      </c>
      <c r="N27" s="29">
        <f t="shared" ca="1" si="0"/>
        <v>54</v>
      </c>
      <c r="O27" s="29">
        <f t="shared" ca="1" si="1"/>
        <v>28</v>
      </c>
    </row>
    <row r="28" spans="3:15">
      <c r="C28" s="6" t="s">
        <v>34</v>
      </c>
      <c r="D28" s="9">
        <f t="shared" ref="D28:M28" ca="1" si="2">SUM(D7:D27)</f>
        <v>460</v>
      </c>
      <c r="E28" s="9">
        <f t="shared" ca="1" si="2"/>
        <v>89</v>
      </c>
      <c r="F28" s="9">
        <f t="shared" ca="1" si="2"/>
        <v>52</v>
      </c>
      <c r="G28" s="9">
        <f t="shared" ca="1" si="2"/>
        <v>52</v>
      </c>
      <c r="H28" s="9">
        <f t="shared" ca="1" si="2"/>
        <v>52</v>
      </c>
      <c r="I28" s="9">
        <f t="shared" ca="1" si="2"/>
        <v>40</v>
      </c>
      <c r="J28" s="9">
        <f t="shared" ca="1" si="2"/>
        <v>56</v>
      </c>
      <c r="K28" s="9">
        <f t="shared" ca="1" si="2"/>
        <v>93</v>
      </c>
      <c r="L28" s="9">
        <f t="shared" ca="1" si="2"/>
        <v>146</v>
      </c>
      <c r="M28" s="9">
        <f t="shared" ca="1" si="2"/>
        <v>94</v>
      </c>
      <c r="N28" s="29">
        <f t="shared" ca="1" si="0"/>
        <v>1134</v>
      </c>
      <c r="O28" s="29">
        <f t="shared" ca="1" si="1"/>
        <v>1040</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SUM(INDIRECT("'"&amp;datatable!$H$2:$H$4&amp;"'!D"&amp;32))</f>
        <v>32</v>
      </c>
      <c r="E32" s="11" cm="1">
        <f t="array" aca="1" ref="E32" ca="1">SUM(INDIRECT("'"&amp;datatable!$H$2:$H$4&amp;"'!E"&amp;32))</f>
        <v>3</v>
      </c>
      <c r="F32" s="13" cm="1">
        <f t="array" aca="1" ref="F32" ca="1">SUM(INDIRECT("'"&amp;datatable!$H$2:$H$4&amp;"'!F"&amp;32))</f>
        <v>2</v>
      </c>
      <c r="G32" s="15" cm="1">
        <f t="array" aca="1" ref="G32" ca="1">SUM(INDIRECT("'"&amp;datatable!$H$2:$H$4&amp;"'!G"&amp;32))</f>
        <v>3</v>
      </c>
      <c r="H32" s="17" cm="1">
        <f t="array" aca="1" ref="H32" ca="1">SUM(INDIRECT("'"&amp;datatable!$H$2:$H$4&amp;"'!H"&amp;32))</f>
        <v>4</v>
      </c>
      <c r="I32" s="19" cm="1">
        <f t="array" aca="1" ref="I32" ca="1">SUM(INDIRECT("'"&amp;datatable!$H$2:$H$4&amp;"'!I"&amp;32))</f>
        <v>3</v>
      </c>
      <c r="J32" s="21" cm="1">
        <f t="array" aca="1" ref="J32" ca="1">SUM(INDIRECT("'"&amp;datatable!$H$2:$H$4&amp;"'!J"&amp;32))</f>
        <v>2</v>
      </c>
      <c r="K32" s="23" cm="1">
        <f t="array" aca="1" ref="K32" ca="1">SUM(INDIRECT("'"&amp;datatable!$H$2:$H$4&amp;"'!K"&amp;32))</f>
        <v>4</v>
      </c>
      <c r="L32" s="25" cm="1">
        <f t="array" aca="1" ref="L32" ca="1">SUM(INDIRECT("'"&amp;datatable!$H$2:$H$4&amp;"'!L"&amp;32))</f>
        <v>0</v>
      </c>
      <c r="M32" s="27" cm="1">
        <f t="array" aca="1" ref="M32" ca="1">SUM(INDIRECT("'"&amp;datatable!$H$2:$H$4&amp;"'!M"&amp;32))</f>
        <v>10</v>
      </c>
      <c r="N32" s="43">
        <f t="shared" ref="N32:N49" ca="1" si="3">SUM(D32:M32)</f>
        <v>63</v>
      </c>
      <c r="O32" s="43">
        <f t="shared" ref="O32:O49" ca="1" si="4">SUM(D32:L32)</f>
        <v>53</v>
      </c>
    </row>
    <row r="33" spans="3:15">
      <c r="C33" s="44" t="s">
        <v>38</v>
      </c>
      <c r="D33" s="8" cm="1">
        <f t="array" aca="1" ref="D33" ca="1">SUM(INDIRECT("'"&amp;datatable!$H$2:$H$4&amp;"'!D"&amp;33))</f>
        <v>27</v>
      </c>
      <c r="E33" s="11" cm="1">
        <f t="array" aca="1" ref="E33" ca="1">SUM(INDIRECT("'"&amp;datatable!$H$2:$H$4&amp;"'!E"&amp;33))</f>
        <v>9</v>
      </c>
      <c r="F33" s="13" cm="1">
        <f t="array" aca="1" ref="F33" ca="1">SUM(INDIRECT("'"&amp;datatable!$H$2:$H$4&amp;"'!F"&amp;33))</f>
        <v>2</v>
      </c>
      <c r="G33" s="15" cm="1">
        <f t="array" aca="1" ref="G33" ca="1">SUM(INDIRECT("'"&amp;datatable!$H$2:$H$4&amp;"'!G"&amp;33))</f>
        <v>2</v>
      </c>
      <c r="H33" s="17" cm="1">
        <f t="array" aca="1" ref="H33" ca="1">SUM(INDIRECT("'"&amp;datatable!$H$2:$H$4&amp;"'!H"&amp;33))</f>
        <v>2</v>
      </c>
      <c r="I33" s="19" cm="1">
        <f t="array" aca="1" ref="I33" ca="1">SUM(INDIRECT("'"&amp;datatable!$H$2:$H$4&amp;"'!I"&amp;33))</f>
        <v>1</v>
      </c>
      <c r="J33" s="21" cm="1">
        <f t="array" aca="1" ref="J33" ca="1">SUM(INDIRECT("'"&amp;datatable!$H$2:$H$4&amp;"'!J"&amp;33))</f>
        <v>2</v>
      </c>
      <c r="K33" s="23" cm="1">
        <f t="array" aca="1" ref="K33" ca="1">SUM(INDIRECT("'"&amp;datatable!$H$2:$H$4&amp;"'!K"&amp;33))</f>
        <v>6</v>
      </c>
      <c r="L33" s="25" cm="1">
        <f t="array" aca="1" ref="L33" ca="1">SUM(INDIRECT("'"&amp;datatable!$H$2:$H$4&amp;"'!L"&amp;33))</f>
        <v>11</v>
      </c>
      <c r="M33" s="27" cm="1">
        <f t="array" aca="1" ref="M33" ca="1">SUM(INDIRECT("'"&amp;datatable!$H$2:$H$4&amp;"'!M"&amp;33))</f>
        <v>1</v>
      </c>
      <c r="N33" s="43">
        <f t="shared" ca="1" si="3"/>
        <v>63</v>
      </c>
      <c r="O33" s="43">
        <f t="shared" ca="1" si="4"/>
        <v>62</v>
      </c>
    </row>
    <row r="34" spans="3:15">
      <c r="C34" s="44" t="s">
        <v>39</v>
      </c>
      <c r="D34" s="8" cm="1">
        <f t="array" aca="1" ref="D34" ca="1">SUM(INDIRECT("'"&amp;datatable!$H$2:$H$4&amp;"'!D"&amp;34))</f>
        <v>37</v>
      </c>
      <c r="E34" s="11" cm="1">
        <f t="array" aca="1" ref="E34" ca="1">SUM(INDIRECT("'"&amp;datatable!$H$2:$H$4&amp;"'!E"&amp;34))</f>
        <v>2</v>
      </c>
      <c r="F34" s="13" cm="1">
        <f t="array" aca="1" ref="F34" ca="1">SUM(INDIRECT("'"&amp;datatable!$H$2:$H$4&amp;"'!F"&amp;34))</f>
        <v>2</v>
      </c>
      <c r="G34" s="15" cm="1">
        <f t="array" aca="1" ref="G34" ca="1">SUM(INDIRECT("'"&amp;datatable!$H$2:$H$4&amp;"'!G"&amp;34))</f>
        <v>2</v>
      </c>
      <c r="H34" s="17" cm="1">
        <f t="array" aca="1" ref="H34" ca="1">SUM(INDIRECT("'"&amp;datatable!$H$2:$H$4&amp;"'!H"&amp;34))</f>
        <v>3</v>
      </c>
      <c r="I34" s="19" cm="1">
        <f t="array" aca="1" ref="I34" ca="1">SUM(INDIRECT("'"&amp;datatable!$H$2:$H$4&amp;"'!I"&amp;34))</f>
        <v>1</v>
      </c>
      <c r="J34" s="21" cm="1">
        <f t="array" aca="1" ref="J34" ca="1">SUM(INDIRECT("'"&amp;datatable!$H$2:$H$4&amp;"'!J"&amp;34))</f>
        <v>1</v>
      </c>
      <c r="K34" s="23" cm="1">
        <f t="array" aca="1" ref="K34" ca="1">SUM(INDIRECT("'"&amp;datatable!$H$2:$H$4&amp;"'!K"&amp;34))</f>
        <v>3</v>
      </c>
      <c r="L34" s="25" cm="1">
        <f t="array" aca="1" ref="L34" ca="1">SUM(INDIRECT("'"&amp;datatable!$H$2:$H$4&amp;"'!L"&amp;34))</f>
        <v>6</v>
      </c>
      <c r="M34" s="27" cm="1">
        <f t="array" aca="1" ref="M34" ca="1">SUM(INDIRECT("'"&amp;datatable!$H$2:$H$4&amp;"'!M"&amp;34))</f>
        <v>6</v>
      </c>
      <c r="N34" s="43">
        <f t="shared" ca="1" si="3"/>
        <v>63</v>
      </c>
      <c r="O34" s="43">
        <f t="shared" ca="1" si="4"/>
        <v>57</v>
      </c>
    </row>
    <row r="35" spans="3:15">
      <c r="C35" s="44" t="s">
        <v>40</v>
      </c>
      <c r="D35" s="8" cm="1">
        <f t="array" aca="1" ref="D35" ca="1">SUM(INDIRECT("'"&amp;datatable!$H$2:$H$4&amp;"'!D"&amp;35))</f>
        <v>30</v>
      </c>
      <c r="E35" s="11" cm="1">
        <f t="array" aca="1" ref="E35" ca="1">SUM(INDIRECT("'"&amp;datatable!$H$2:$H$4&amp;"'!E"&amp;35))</f>
        <v>7</v>
      </c>
      <c r="F35" s="13" cm="1">
        <f t="array" aca="1" ref="F35" ca="1">SUM(INDIRECT("'"&amp;datatable!$H$2:$H$4&amp;"'!F"&amp;35))</f>
        <v>2</v>
      </c>
      <c r="G35" s="15" cm="1">
        <f t="array" aca="1" ref="G35" ca="1">SUM(INDIRECT("'"&amp;datatable!$H$2:$H$4&amp;"'!G"&amp;35))</f>
        <v>5</v>
      </c>
      <c r="H35" s="17" cm="1">
        <f t="array" aca="1" ref="H35" ca="1">SUM(INDIRECT("'"&amp;datatable!$H$2:$H$4&amp;"'!H"&amp;35))</f>
        <v>3</v>
      </c>
      <c r="I35" s="19" cm="1">
        <f t="array" aca="1" ref="I35" ca="1">SUM(INDIRECT("'"&amp;datatable!$H$2:$H$4&amp;"'!I"&amp;35))</f>
        <v>0</v>
      </c>
      <c r="J35" s="21" cm="1">
        <f t="array" aca="1" ref="J35" ca="1">SUM(INDIRECT("'"&amp;datatable!$H$2:$H$4&amp;"'!J"&amp;35))</f>
        <v>5</v>
      </c>
      <c r="K35" s="23" cm="1">
        <f t="array" aca="1" ref="K35" ca="1">SUM(INDIRECT("'"&amp;datatable!$H$2:$H$4&amp;"'!K"&amp;35))</f>
        <v>7</v>
      </c>
      <c r="L35" s="25" cm="1">
        <f t="array" aca="1" ref="L35" ca="1">SUM(INDIRECT("'"&amp;datatable!$H$2:$H$4&amp;"'!L"&amp;35))</f>
        <v>3</v>
      </c>
      <c r="M35" s="27" cm="1">
        <f t="array" aca="1" ref="M35" ca="1">SUM(INDIRECT("'"&amp;datatable!$H$2:$H$4&amp;"'!M"&amp;35))</f>
        <v>1</v>
      </c>
      <c r="N35" s="43">
        <f t="shared" ca="1" si="3"/>
        <v>63</v>
      </c>
      <c r="O35" s="43">
        <f t="shared" ca="1" si="4"/>
        <v>62</v>
      </c>
    </row>
    <row r="36" spans="3:15">
      <c r="C36" s="44" t="s">
        <v>41</v>
      </c>
      <c r="D36" s="8" cm="1">
        <f t="array" aca="1" ref="D36" ca="1">SUM(INDIRECT("'"&amp;datatable!$H$2:$H$4&amp;"'!D"&amp;36))</f>
        <v>19</v>
      </c>
      <c r="E36" s="11" cm="1">
        <f t="array" aca="1" ref="E36" ca="1">SUM(INDIRECT("'"&amp;datatable!$H$2:$H$4&amp;"'!E"&amp;36))</f>
        <v>8</v>
      </c>
      <c r="F36" s="13" cm="1">
        <f t="array" aca="1" ref="F36" ca="1">SUM(INDIRECT("'"&amp;datatable!$H$2:$H$4&amp;"'!F"&amp;36))</f>
        <v>0</v>
      </c>
      <c r="G36" s="15" cm="1">
        <f t="array" aca="1" ref="G36" ca="1">SUM(INDIRECT("'"&amp;datatable!$H$2:$H$4&amp;"'!G"&amp;36))</f>
        <v>6</v>
      </c>
      <c r="H36" s="17" cm="1">
        <f t="array" aca="1" ref="H36" ca="1">SUM(INDIRECT("'"&amp;datatable!$H$2:$H$4&amp;"'!H"&amp;36))</f>
        <v>2</v>
      </c>
      <c r="I36" s="19" cm="1">
        <f t="array" aca="1" ref="I36" ca="1">SUM(INDIRECT("'"&amp;datatable!$H$2:$H$4&amp;"'!I"&amp;36))</f>
        <v>2</v>
      </c>
      <c r="J36" s="21" cm="1">
        <f t="array" aca="1" ref="J36" ca="1">SUM(INDIRECT("'"&amp;datatable!$H$2:$H$4&amp;"'!J"&amp;36))</f>
        <v>7</v>
      </c>
      <c r="K36" s="23" cm="1">
        <f t="array" aca="1" ref="K36" ca="1">SUM(INDIRECT("'"&amp;datatable!$H$2:$H$4&amp;"'!K"&amp;36))</f>
        <v>6</v>
      </c>
      <c r="L36" s="25" cm="1">
        <f t="array" aca="1" ref="L36" ca="1">SUM(INDIRECT("'"&amp;datatable!$H$2:$H$4&amp;"'!L"&amp;36))</f>
        <v>10</v>
      </c>
      <c r="M36" s="27" cm="1">
        <f t="array" aca="1" ref="M36" ca="1">SUM(INDIRECT("'"&amp;datatable!$H$2:$H$4&amp;"'!M"&amp;36))</f>
        <v>3</v>
      </c>
      <c r="N36" s="43">
        <f t="shared" ca="1" si="3"/>
        <v>63</v>
      </c>
      <c r="O36" s="43">
        <f t="shared" ca="1" si="4"/>
        <v>60</v>
      </c>
    </row>
    <row r="37" spans="3:15">
      <c r="C37" s="44" t="s">
        <v>42</v>
      </c>
      <c r="D37" s="8" cm="1">
        <f t="array" aca="1" ref="D37" ca="1">SUM(INDIRECT("'"&amp;datatable!$H$2:$H$4&amp;"'!D"&amp;37))</f>
        <v>21</v>
      </c>
      <c r="E37" s="11" cm="1">
        <f t="array" aca="1" ref="E37" ca="1">SUM(INDIRECT("'"&amp;datatable!$H$2:$H$4&amp;"'!E"&amp;37))</f>
        <v>7</v>
      </c>
      <c r="F37" s="13" cm="1">
        <f t="array" aca="1" ref="F37" ca="1">SUM(INDIRECT("'"&amp;datatable!$H$2:$H$4&amp;"'!F"&amp;37))</f>
        <v>2</v>
      </c>
      <c r="G37" s="15" cm="1">
        <f t="array" aca="1" ref="G37" ca="1">SUM(INDIRECT("'"&amp;datatable!$H$2:$H$4&amp;"'!G"&amp;37))</f>
        <v>0</v>
      </c>
      <c r="H37" s="17" cm="1">
        <f t="array" aca="1" ref="H37" ca="1">SUM(INDIRECT("'"&amp;datatable!$H$2:$H$4&amp;"'!H"&amp;37))</f>
        <v>0</v>
      </c>
      <c r="I37" s="19" cm="1">
        <f t="array" aca="1" ref="I37" ca="1">SUM(INDIRECT("'"&amp;datatable!$H$2:$H$4&amp;"'!I"&amp;37))</f>
        <v>2</v>
      </c>
      <c r="J37" s="21" cm="1">
        <f t="array" aca="1" ref="J37" ca="1">SUM(INDIRECT("'"&amp;datatable!$H$2:$H$4&amp;"'!J"&amp;37))</f>
        <v>1</v>
      </c>
      <c r="K37" s="23" cm="1">
        <f t="array" aca="1" ref="K37" ca="1">SUM(INDIRECT("'"&amp;datatable!$H$2:$H$4&amp;"'!K"&amp;37))</f>
        <v>0</v>
      </c>
      <c r="L37" s="25" cm="1">
        <f t="array" aca="1" ref="L37" ca="1">SUM(INDIRECT("'"&amp;datatable!$H$2:$H$4&amp;"'!L"&amp;37))</f>
        <v>0</v>
      </c>
      <c r="M37" s="27" cm="1">
        <f t="array" aca="1" ref="M37" ca="1">SUM(INDIRECT("'"&amp;datatable!$H$2:$H$4&amp;"'!M"&amp;37))</f>
        <v>30</v>
      </c>
      <c r="N37" s="43">
        <f t="shared" ca="1" si="3"/>
        <v>63</v>
      </c>
      <c r="O37" s="43">
        <f t="shared" ca="1" si="4"/>
        <v>33</v>
      </c>
    </row>
    <row r="38" spans="3:15">
      <c r="C38" s="44" t="s">
        <v>43</v>
      </c>
      <c r="D38" s="8" cm="1">
        <f t="array" aca="1" ref="D38" ca="1">SUM(INDIRECT("'"&amp;datatable!$H$2:$H$4&amp;"'!D"&amp;38))</f>
        <v>36</v>
      </c>
      <c r="E38" s="11" cm="1">
        <f t="array" aca="1" ref="E38" ca="1">SUM(INDIRECT("'"&amp;datatable!$H$2:$H$4&amp;"'!E"&amp;38))</f>
        <v>3</v>
      </c>
      <c r="F38" s="13" cm="1">
        <f t="array" aca="1" ref="F38" ca="1">SUM(INDIRECT("'"&amp;datatable!$H$2:$H$4&amp;"'!F"&amp;38))</f>
        <v>5</v>
      </c>
      <c r="G38" s="15" cm="1">
        <f t="array" aca="1" ref="G38" ca="1">SUM(INDIRECT("'"&amp;datatable!$H$2:$H$4&amp;"'!G"&amp;38))</f>
        <v>2</v>
      </c>
      <c r="H38" s="17" cm="1">
        <f t="array" aca="1" ref="H38" ca="1">SUM(INDIRECT("'"&amp;datatable!$H$2:$H$4&amp;"'!H"&amp;38))</f>
        <v>1</v>
      </c>
      <c r="I38" s="19" cm="1">
        <f t="array" aca="1" ref="I38" ca="1">SUM(INDIRECT("'"&amp;datatable!$H$2:$H$4&amp;"'!I"&amp;38))</f>
        <v>1</v>
      </c>
      <c r="J38" s="21" cm="1">
        <f t="array" aca="1" ref="J38" ca="1">SUM(INDIRECT("'"&amp;datatable!$H$2:$H$4&amp;"'!J"&amp;38))</f>
        <v>2</v>
      </c>
      <c r="K38" s="23" cm="1">
        <f t="array" aca="1" ref="K38" ca="1">SUM(INDIRECT("'"&amp;datatable!$H$2:$H$4&amp;"'!K"&amp;38))</f>
        <v>3</v>
      </c>
      <c r="L38" s="25" cm="1">
        <f t="array" aca="1" ref="L38" ca="1">SUM(INDIRECT("'"&amp;datatable!$H$2:$H$4&amp;"'!L"&amp;38))</f>
        <v>4</v>
      </c>
      <c r="M38" s="27" cm="1">
        <f t="array" aca="1" ref="M38" ca="1">SUM(INDIRECT("'"&amp;datatable!$H$2:$H$4&amp;"'!M"&amp;38))</f>
        <v>6</v>
      </c>
      <c r="N38" s="43">
        <f t="shared" ca="1" si="3"/>
        <v>63</v>
      </c>
      <c r="O38" s="43">
        <f t="shared" ca="1" si="4"/>
        <v>57</v>
      </c>
    </row>
    <row r="39" spans="3:15">
      <c r="C39" s="44" t="s">
        <v>44</v>
      </c>
      <c r="D39" s="8" cm="1">
        <f t="array" aca="1" ref="D39" ca="1">SUM(INDIRECT("'"&amp;datatable!$H$2:$H$4&amp;"'!D"&amp;39))</f>
        <v>42</v>
      </c>
      <c r="E39" s="11" cm="1">
        <f t="array" aca="1" ref="E39" ca="1">SUM(INDIRECT("'"&amp;datatable!$H$2:$H$4&amp;"'!E"&amp;39))</f>
        <v>6</v>
      </c>
      <c r="F39" s="13" cm="1">
        <f t="array" aca="1" ref="F39" ca="1">SUM(INDIRECT("'"&amp;datatable!$H$2:$H$4&amp;"'!F"&amp;39))</f>
        <v>4</v>
      </c>
      <c r="G39" s="15" cm="1">
        <f t="array" aca="1" ref="G39" ca="1">SUM(INDIRECT("'"&amp;datatable!$H$2:$H$4&amp;"'!G"&amp;39))</f>
        <v>3</v>
      </c>
      <c r="H39" s="17" cm="1">
        <f t="array" aca="1" ref="H39" ca="1">SUM(INDIRECT("'"&amp;datatable!$H$2:$H$4&amp;"'!H"&amp;39))</f>
        <v>2</v>
      </c>
      <c r="I39" s="19" cm="1">
        <f t="array" aca="1" ref="I39" ca="1">SUM(INDIRECT("'"&amp;datatable!$H$2:$H$4&amp;"'!I"&amp;39))</f>
        <v>0</v>
      </c>
      <c r="J39" s="21" cm="1">
        <f t="array" aca="1" ref="J39" ca="1">SUM(INDIRECT("'"&amp;datatable!$H$2:$H$4&amp;"'!J"&amp;39))</f>
        <v>2</v>
      </c>
      <c r="K39" s="23" cm="1">
        <f t="array" aca="1" ref="K39" ca="1">SUM(INDIRECT("'"&amp;datatable!$H$2:$H$4&amp;"'!K"&amp;39))</f>
        <v>0</v>
      </c>
      <c r="L39" s="25" cm="1">
        <f t="array" aca="1" ref="L39" ca="1">SUM(INDIRECT("'"&amp;datatable!$H$2:$H$4&amp;"'!L"&amp;39))</f>
        <v>1</v>
      </c>
      <c r="M39" s="27" cm="1">
        <f t="array" aca="1" ref="M39" ca="1">SUM(INDIRECT("'"&amp;datatable!$H$2:$H$4&amp;"'!M"&amp;39))</f>
        <v>3</v>
      </c>
      <c r="N39" s="43">
        <f t="shared" ca="1" si="3"/>
        <v>63</v>
      </c>
      <c r="O39" s="43">
        <f t="shared" ca="1" si="4"/>
        <v>60</v>
      </c>
    </row>
    <row r="40" spans="3:15">
      <c r="C40" s="44" t="s">
        <v>45</v>
      </c>
      <c r="D40" s="8" cm="1">
        <f t="array" aca="1" ref="D40" ca="1">SUM(INDIRECT("'"&amp;datatable!$H$2:$H$4&amp;"'!D"&amp;40))</f>
        <v>16</v>
      </c>
      <c r="E40" s="11" cm="1">
        <f t="array" aca="1" ref="E40" ca="1">SUM(INDIRECT("'"&amp;datatable!$H$2:$H$4&amp;"'!E"&amp;40))</f>
        <v>3</v>
      </c>
      <c r="F40" s="13" cm="1">
        <f t="array" aca="1" ref="F40" ca="1">SUM(INDIRECT("'"&amp;datatable!$H$2:$H$4&amp;"'!F"&amp;40))</f>
        <v>2</v>
      </c>
      <c r="G40" s="15" cm="1">
        <f t="array" aca="1" ref="G40" ca="1">SUM(INDIRECT("'"&amp;datatable!$H$2:$H$4&amp;"'!G"&amp;40))</f>
        <v>4</v>
      </c>
      <c r="H40" s="17" cm="1">
        <f t="array" aca="1" ref="H40" ca="1">SUM(INDIRECT("'"&amp;datatable!$H$2:$H$4&amp;"'!H"&amp;40))</f>
        <v>5</v>
      </c>
      <c r="I40" s="19" cm="1">
        <f t="array" aca="1" ref="I40" ca="1">SUM(INDIRECT("'"&amp;datatable!$H$2:$H$4&amp;"'!I"&amp;40))</f>
        <v>5</v>
      </c>
      <c r="J40" s="21" cm="1">
        <f t="array" aca="1" ref="J40" ca="1">SUM(INDIRECT("'"&amp;datatable!$H$2:$H$4&amp;"'!J"&amp;40))</f>
        <v>3</v>
      </c>
      <c r="K40" s="23" cm="1">
        <f t="array" aca="1" ref="K40" ca="1">SUM(INDIRECT("'"&amp;datatable!$H$2:$H$4&amp;"'!K"&amp;40))</f>
        <v>12</v>
      </c>
      <c r="L40" s="25" cm="1">
        <f t="array" aca="1" ref="L40" ca="1">SUM(INDIRECT("'"&amp;datatable!$H$2:$H$4&amp;"'!L"&amp;40))</f>
        <v>4</v>
      </c>
      <c r="M40" s="27" cm="1">
        <f t="array" aca="1" ref="M40" ca="1">SUM(INDIRECT("'"&amp;datatable!$H$2:$H$4&amp;"'!M"&amp;40))</f>
        <v>9</v>
      </c>
      <c r="N40" s="43">
        <f t="shared" ca="1" si="3"/>
        <v>63</v>
      </c>
      <c r="O40" s="43">
        <f t="shared" ca="1" si="4"/>
        <v>54</v>
      </c>
    </row>
    <row r="41" spans="3:15">
      <c r="C41" s="44" t="s">
        <v>46</v>
      </c>
      <c r="D41" s="8" cm="1">
        <f t="array" aca="1" ref="D41" ca="1">SUM(INDIRECT("'"&amp;datatable!$H$2:$H$4&amp;"'!D"&amp;41))</f>
        <v>25</v>
      </c>
      <c r="E41" s="11" cm="1">
        <f t="array" aca="1" ref="E41" ca="1">SUM(INDIRECT("'"&amp;datatable!$H$2:$H$4&amp;"'!E"&amp;41))</f>
        <v>5</v>
      </c>
      <c r="F41" s="13" cm="1">
        <f t="array" aca="1" ref="F41" ca="1">SUM(INDIRECT("'"&amp;datatable!$H$2:$H$4&amp;"'!F"&amp;41))</f>
        <v>1</v>
      </c>
      <c r="G41" s="15" cm="1">
        <f t="array" aca="1" ref="G41" ca="1">SUM(INDIRECT("'"&amp;datatable!$H$2:$H$4&amp;"'!G"&amp;41))</f>
        <v>4</v>
      </c>
      <c r="H41" s="17" cm="1">
        <f t="array" aca="1" ref="H41" ca="1">SUM(INDIRECT("'"&amp;datatable!$H$2:$H$4&amp;"'!H"&amp;41))</f>
        <v>3</v>
      </c>
      <c r="I41" s="19" cm="1">
        <f t="array" aca="1" ref="I41" ca="1">SUM(INDIRECT("'"&amp;datatable!$H$2:$H$4&amp;"'!I"&amp;41))</f>
        <v>4</v>
      </c>
      <c r="J41" s="21" cm="1">
        <f t="array" aca="1" ref="J41" ca="1">SUM(INDIRECT("'"&amp;datatable!$H$2:$H$4&amp;"'!J"&amp;41))</f>
        <v>4</v>
      </c>
      <c r="K41" s="23" cm="1">
        <f t="array" aca="1" ref="K41" ca="1">SUM(INDIRECT("'"&amp;datatable!$H$2:$H$4&amp;"'!K"&amp;41))</f>
        <v>10</v>
      </c>
      <c r="L41" s="25" cm="1">
        <f t="array" aca="1" ref="L41" ca="1">SUM(INDIRECT("'"&amp;datatable!$H$2:$H$4&amp;"'!L"&amp;41))</f>
        <v>6</v>
      </c>
      <c r="M41" s="27" cm="1">
        <f t="array" aca="1" ref="M41" ca="1">SUM(INDIRECT("'"&amp;datatable!$H$2:$H$4&amp;"'!M"&amp;41))</f>
        <v>1</v>
      </c>
      <c r="N41" s="43">
        <f t="shared" ca="1" si="3"/>
        <v>63</v>
      </c>
      <c r="O41" s="43">
        <f t="shared" ca="1" si="4"/>
        <v>62</v>
      </c>
    </row>
    <row r="42" spans="3:15">
      <c r="C42" s="44" t="s">
        <v>47</v>
      </c>
      <c r="D42" s="8" cm="1">
        <f t="array" aca="1" ref="D42" ca="1">SUM(INDIRECT("'"&amp;datatable!$H$2:$H$4&amp;"'!D"&amp;42))</f>
        <v>24</v>
      </c>
      <c r="E42" s="11" cm="1">
        <f t="array" aca="1" ref="E42" ca="1">SUM(INDIRECT("'"&amp;datatable!$H$2:$H$4&amp;"'!E"&amp;42))</f>
        <v>4</v>
      </c>
      <c r="F42" s="13" cm="1">
        <f t="array" aca="1" ref="F42" ca="1">SUM(INDIRECT("'"&amp;datatable!$H$2:$H$4&amp;"'!F"&amp;42))</f>
        <v>1</v>
      </c>
      <c r="G42" s="15" cm="1">
        <f t="array" aca="1" ref="G42" ca="1">SUM(INDIRECT("'"&amp;datatable!$H$2:$H$4&amp;"'!G"&amp;42))</f>
        <v>4</v>
      </c>
      <c r="H42" s="17" cm="1">
        <f t="array" aca="1" ref="H42" ca="1">SUM(INDIRECT("'"&amp;datatable!$H$2:$H$4&amp;"'!H"&amp;42))</f>
        <v>7</v>
      </c>
      <c r="I42" s="19" cm="1">
        <f t="array" aca="1" ref="I42" ca="1">SUM(INDIRECT("'"&amp;datatable!$H$2:$H$4&amp;"'!I"&amp;42))</f>
        <v>1</v>
      </c>
      <c r="J42" s="21" cm="1">
        <f t="array" aca="1" ref="J42" ca="1">SUM(INDIRECT("'"&amp;datatable!$H$2:$H$4&amp;"'!J"&amp;42))</f>
        <v>5</v>
      </c>
      <c r="K42" s="23" cm="1">
        <f t="array" aca="1" ref="K42" ca="1">SUM(INDIRECT("'"&amp;datatable!$H$2:$H$4&amp;"'!K"&amp;42))</f>
        <v>11</v>
      </c>
      <c r="L42" s="25" cm="1">
        <f t="array" aca="1" ref="L42" ca="1">SUM(INDIRECT("'"&amp;datatable!$H$2:$H$4&amp;"'!L"&amp;42))</f>
        <v>6</v>
      </c>
      <c r="M42" s="27" cm="1">
        <f t="array" aca="1" ref="M42" ca="1">SUM(INDIRECT("'"&amp;datatable!$H$2:$H$4&amp;"'!M"&amp;42))</f>
        <v>0</v>
      </c>
      <c r="N42" s="43">
        <f t="shared" ca="1" si="3"/>
        <v>63</v>
      </c>
      <c r="O42" s="43">
        <f t="shared" ca="1" si="4"/>
        <v>63</v>
      </c>
    </row>
    <row r="43" spans="3:15">
      <c r="C43" s="44" t="s">
        <v>48</v>
      </c>
      <c r="D43" s="8" cm="1">
        <f t="array" aca="1" ref="D43" ca="1">SUM(INDIRECT("'"&amp;datatable!$H$2:$H$4&amp;"'!D"&amp;43))</f>
        <v>41</v>
      </c>
      <c r="E43" s="11" cm="1">
        <f t="array" aca="1" ref="E43" ca="1">SUM(INDIRECT("'"&amp;datatable!$H$2:$H$4&amp;"'!E"&amp;43))</f>
        <v>10</v>
      </c>
      <c r="F43" s="13" cm="1">
        <f t="array" aca="1" ref="F43" ca="1">SUM(INDIRECT("'"&amp;datatable!$H$2:$H$4&amp;"'!F"&amp;43))</f>
        <v>4</v>
      </c>
      <c r="G43" s="15" cm="1">
        <f t="array" aca="1" ref="G43" ca="1">SUM(INDIRECT("'"&amp;datatable!$H$2:$H$4&amp;"'!G"&amp;43))</f>
        <v>0</v>
      </c>
      <c r="H43" s="17" cm="1">
        <f t="array" aca="1" ref="H43" ca="1">SUM(INDIRECT("'"&amp;datatable!$H$2:$H$4&amp;"'!H"&amp;43))</f>
        <v>1</v>
      </c>
      <c r="I43" s="19" cm="1">
        <f t="array" aca="1" ref="I43" ca="1">SUM(INDIRECT("'"&amp;datatable!$H$2:$H$4&amp;"'!I"&amp;43))</f>
        <v>1</v>
      </c>
      <c r="J43" s="21" cm="1">
        <f t="array" aca="1" ref="J43" ca="1">SUM(INDIRECT("'"&amp;datatable!$H$2:$H$4&amp;"'!J"&amp;43))</f>
        <v>1</v>
      </c>
      <c r="K43" s="23" cm="1">
        <f t="array" aca="1" ref="K43" ca="1">SUM(INDIRECT("'"&amp;datatable!$H$2:$H$4&amp;"'!K"&amp;43))</f>
        <v>0</v>
      </c>
      <c r="L43" s="25" cm="1">
        <f t="array" aca="1" ref="L43" ca="1">SUM(INDIRECT("'"&amp;datatable!$H$2:$H$4&amp;"'!L"&amp;43))</f>
        <v>5</v>
      </c>
      <c r="M43" s="27" cm="1">
        <f t="array" aca="1" ref="M43" ca="1">SUM(INDIRECT("'"&amp;datatable!$H$2:$H$4&amp;"'!M"&amp;43))</f>
        <v>0</v>
      </c>
      <c r="N43" s="43">
        <f t="shared" ca="1" si="3"/>
        <v>63</v>
      </c>
      <c r="O43" s="43">
        <f t="shared" ca="1" si="4"/>
        <v>63</v>
      </c>
    </row>
    <row r="44" spans="3:15">
      <c r="C44" s="44" t="s">
        <v>49</v>
      </c>
      <c r="D44" s="8" cm="1">
        <f t="array" aca="1" ref="D44" ca="1">SUM(INDIRECT("'"&amp;datatable!$H$2:$H$4&amp;"'!D"&amp;44))</f>
        <v>10</v>
      </c>
      <c r="E44" s="11" cm="1">
        <f t="array" aca="1" ref="E44" ca="1">SUM(INDIRECT("'"&amp;datatable!$H$2:$H$4&amp;"'!E"&amp;44))</f>
        <v>2</v>
      </c>
      <c r="F44" s="13" cm="1">
        <f t="array" aca="1" ref="F44" ca="1">SUM(INDIRECT("'"&amp;datatable!$H$2:$H$4&amp;"'!F"&amp;44))</f>
        <v>4</v>
      </c>
      <c r="G44" s="15" cm="1">
        <f t="array" aca="1" ref="G44" ca="1">SUM(INDIRECT("'"&amp;datatable!$H$2:$H$4&amp;"'!G"&amp;44))</f>
        <v>1</v>
      </c>
      <c r="H44" s="17" cm="1">
        <f t="array" aca="1" ref="H44" ca="1">SUM(INDIRECT("'"&amp;datatable!$H$2:$H$4&amp;"'!H"&amp;44))</f>
        <v>5</v>
      </c>
      <c r="I44" s="19" cm="1">
        <f t="array" aca="1" ref="I44" ca="1">SUM(INDIRECT("'"&amp;datatable!$H$2:$H$4&amp;"'!I"&amp;44))</f>
        <v>5</v>
      </c>
      <c r="J44" s="21" cm="1">
        <f t="array" aca="1" ref="J44" ca="1">SUM(INDIRECT("'"&amp;datatable!$H$2:$H$4&amp;"'!J"&amp;44))</f>
        <v>7</v>
      </c>
      <c r="K44" s="23" cm="1">
        <f t="array" aca="1" ref="K44" ca="1">SUM(INDIRECT("'"&amp;datatable!$H$2:$H$4&amp;"'!K"&amp;44))</f>
        <v>8</v>
      </c>
      <c r="L44" s="25" cm="1">
        <f t="array" aca="1" ref="L44" ca="1">SUM(INDIRECT("'"&amp;datatable!$H$2:$H$4&amp;"'!L"&amp;44))</f>
        <v>12</v>
      </c>
      <c r="M44" s="27" cm="1">
        <f t="array" aca="1" ref="M44" ca="1">SUM(INDIRECT("'"&amp;datatable!$H$2:$H$4&amp;"'!M"&amp;44))</f>
        <v>9</v>
      </c>
      <c r="N44" s="43">
        <f t="shared" ca="1" si="3"/>
        <v>63</v>
      </c>
      <c r="O44" s="43">
        <f t="shared" ca="1" si="4"/>
        <v>54</v>
      </c>
    </row>
    <row r="45" spans="3:15">
      <c r="C45" s="44" t="s">
        <v>50</v>
      </c>
      <c r="D45" s="8" cm="1">
        <f t="array" aca="1" ref="D45" ca="1">SUM(INDIRECT("'"&amp;datatable!$H$2:$H$4&amp;"'!D"&amp;45))</f>
        <v>24</v>
      </c>
      <c r="E45" s="11" cm="1">
        <f t="array" aca="1" ref="E45" ca="1">SUM(INDIRECT("'"&amp;datatable!$H$2:$H$4&amp;"'!E"&amp;45))</f>
        <v>6</v>
      </c>
      <c r="F45" s="13" cm="1">
        <f t="array" aca="1" ref="F45" ca="1">SUM(INDIRECT("'"&amp;datatable!$H$2:$H$4&amp;"'!F"&amp;45))</f>
        <v>1</v>
      </c>
      <c r="G45" s="15" cm="1">
        <f t="array" aca="1" ref="G45" ca="1">SUM(INDIRECT("'"&amp;datatable!$H$2:$H$4&amp;"'!G"&amp;45))</f>
        <v>5</v>
      </c>
      <c r="H45" s="17" cm="1">
        <f t="array" aca="1" ref="H45" ca="1">SUM(INDIRECT("'"&amp;datatable!$H$2:$H$4&amp;"'!H"&amp;45))</f>
        <v>4</v>
      </c>
      <c r="I45" s="19" cm="1">
        <f t="array" aca="1" ref="I45" ca="1">SUM(INDIRECT("'"&amp;datatable!$H$2:$H$4&amp;"'!I"&amp;45))</f>
        <v>2</v>
      </c>
      <c r="J45" s="21" cm="1">
        <f t="array" aca="1" ref="J45" ca="1">SUM(INDIRECT("'"&amp;datatable!$H$2:$H$4&amp;"'!J"&amp;45))</f>
        <v>5</v>
      </c>
      <c r="K45" s="23" cm="1">
        <f t="array" aca="1" ref="K45" ca="1">SUM(INDIRECT("'"&amp;datatable!$H$2:$H$4&amp;"'!K"&amp;45))</f>
        <v>10</v>
      </c>
      <c r="L45" s="25" cm="1">
        <f t="array" aca="1" ref="L45" ca="1">SUM(INDIRECT("'"&amp;datatable!$H$2:$H$4&amp;"'!L"&amp;45))</f>
        <v>6</v>
      </c>
      <c r="M45" s="27" cm="1">
        <f t="array" aca="1" ref="M45" ca="1">SUM(INDIRECT("'"&amp;datatable!$H$2:$H$4&amp;"'!M"&amp;45))</f>
        <v>0</v>
      </c>
      <c r="N45" s="43">
        <f t="shared" ca="1" si="3"/>
        <v>63</v>
      </c>
      <c r="O45" s="43">
        <f t="shared" ca="1" si="4"/>
        <v>63</v>
      </c>
    </row>
    <row r="46" spans="3:15">
      <c r="C46" s="45" t="s">
        <v>51</v>
      </c>
      <c r="D46" s="8" cm="1">
        <f t="array" aca="1" ref="D46" ca="1">SUM(INDIRECT("'"&amp;datatable!$H$2:$H$4&amp;"'!D"&amp;46))</f>
        <v>7</v>
      </c>
      <c r="E46" s="11" cm="1">
        <f t="array" aca="1" ref="E46" ca="1">SUM(INDIRECT("'"&amp;datatable!$H$2:$H$4&amp;"'!E"&amp;46))</f>
        <v>4</v>
      </c>
      <c r="F46" s="13" cm="1">
        <f t="array" aca="1" ref="F46" ca="1">SUM(INDIRECT("'"&amp;datatable!$H$2:$H$4&amp;"'!F"&amp;46))</f>
        <v>2</v>
      </c>
      <c r="G46" s="15" cm="1">
        <f t="array" aca="1" ref="G46" ca="1">SUM(INDIRECT("'"&amp;datatable!$H$2:$H$4&amp;"'!G"&amp;46))</f>
        <v>3</v>
      </c>
      <c r="H46" s="17" cm="1">
        <f t="array" aca="1" ref="H46" ca="1">SUM(INDIRECT("'"&amp;datatable!$H$2:$H$4&amp;"'!H"&amp;46))</f>
        <v>1</v>
      </c>
      <c r="I46" s="19" cm="1">
        <f t="array" aca="1" ref="I46" ca="1">SUM(INDIRECT("'"&amp;datatable!$H$2:$H$4&amp;"'!I"&amp;46))</f>
        <v>3</v>
      </c>
      <c r="J46" s="21" cm="1">
        <f t="array" aca="1" ref="J46" ca="1">SUM(INDIRECT("'"&amp;datatable!$H$2:$H$4&amp;"'!J"&amp;46))</f>
        <v>2</v>
      </c>
      <c r="K46" s="23" cm="1">
        <f t="array" aca="1" ref="K46" ca="1">SUM(INDIRECT("'"&amp;datatable!$H$2:$H$4&amp;"'!K"&amp;46))</f>
        <v>5</v>
      </c>
      <c r="L46" s="25" cm="1">
        <f t="array" aca="1" ref="L46" ca="1">SUM(INDIRECT("'"&amp;datatable!$H$2:$H$4&amp;"'!L"&amp;46))</f>
        <v>34</v>
      </c>
      <c r="M46" s="27" cm="1">
        <f t="array" aca="1" ref="M46" ca="1">SUM(INDIRECT("'"&amp;datatable!$H$2:$H$4&amp;"'!M"&amp;46))</f>
        <v>2</v>
      </c>
      <c r="N46" s="43">
        <f t="shared" ca="1" si="3"/>
        <v>63</v>
      </c>
      <c r="O46" s="43">
        <f t="shared" ca="1" si="4"/>
        <v>61</v>
      </c>
    </row>
    <row r="47" spans="3:15">
      <c r="C47" s="44" t="s">
        <v>52</v>
      </c>
      <c r="D47" s="8" cm="1">
        <f t="array" aca="1" ref="D47" ca="1">SUM(INDIRECT("'"&amp;datatable!$H$2:$H$4&amp;"'!D"&amp;47))</f>
        <v>31</v>
      </c>
      <c r="E47" s="11" cm="1">
        <f t="array" aca="1" ref="E47" ca="1">SUM(INDIRECT("'"&amp;datatable!$H$2:$H$4&amp;"'!E"&amp;47))</f>
        <v>6</v>
      </c>
      <c r="F47" s="13" cm="1">
        <f t="array" aca="1" ref="F47" ca="1">SUM(INDIRECT("'"&amp;datatable!$H$2:$H$4&amp;"'!F"&amp;47))</f>
        <v>2</v>
      </c>
      <c r="G47" s="15" cm="1">
        <f t="array" aca="1" ref="G47" ca="1">SUM(INDIRECT("'"&amp;datatable!$H$2:$H$4&amp;"'!G"&amp;47))</f>
        <v>4</v>
      </c>
      <c r="H47" s="17" cm="1">
        <f t="array" aca="1" ref="H47" ca="1">SUM(INDIRECT("'"&amp;datatable!$H$2:$H$4&amp;"'!H"&amp;47))</f>
        <v>4</v>
      </c>
      <c r="I47" s="19" cm="1">
        <f t="array" aca="1" ref="I47" ca="1">SUM(INDIRECT("'"&amp;datatable!$H$2:$H$4&amp;"'!I"&amp;47))</f>
        <v>3</v>
      </c>
      <c r="J47" s="21" cm="1">
        <f t="array" aca="1" ref="J47" ca="1">SUM(INDIRECT("'"&amp;datatable!$H$2:$H$4&amp;"'!J"&amp;47))</f>
        <v>2</v>
      </c>
      <c r="K47" s="23" cm="1">
        <f t="array" aca="1" ref="K47" ca="1">SUM(INDIRECT("'"&amp;datatable!$H$2:$H$4&amp;"'!K"&amp;47))</f>
        <v>3</v>
      </c>
      <c r="L47" s="25" cm="1">
        <f t="array" aca="1" ref="L47" ca="1">SUM(INDIRECT("'"&amp;datatable!$H$2:$H$4&amp;"'!L"&amp;47))</f>
        <v>3</v>
      </c>
      <c r="M47" s="27" cm="1">
        <f t="array" aca="1" ref="M47" ca="1">SUM(INDIRECT("'"&amp;datatable!$H$2:$H$4&amp;"'!M"&amp;47))</f>
        <v>5</v>
      </c>
      <c r="N47" s="43">
        <f t="shared" ca="1" si="3"/>
        <v>63</v>
      </c>
      <c r="O47" s="43">
        <f t="shared" ca="1" si="4"/>
        <v>58</v>
      </c>
    </row>
    <row r="48" spans="3:15">
      <c r="C48" s="44" t="s">
        <v>53</v>
      </c>
      <c r="D48" s="8" cm="1">
        <f t="array" aca="1" ref="D48" ca="1">SUM(INDIRECT("'"&amp;datatable!$H$2:$H$4&amp;"'!D"&amp;48))</f>
        <v>7</v>
      </c>
      <c r="E48" s="11" cm="1">
        <f t="array" aca="1" ref="E48" ca="1">SUM(INDIRECT("'"&amp;datatable!$H$2:$H$4&amp;"'!E"&amp;48))</f>
        <v>0</v>
      </c>
      <c r="F48" s="13" cm="1">
        <f t="array" aca="1" ref="F48" ca="1">SUM(INDIRECT("'"&amp;datatable!$H$2:$H$4&amp;"'!F"&amp;48))</f>
        <v>1</v>
      </c>
      <c r="G48" s="15" cm="1">
        <f t="array" aca="1" ref="G48" ca="1">SUM(INDIRECT("'"&amp;datatable!$H$2:$H$4&amp;"'!G"&amp;48))</f>
        <v>1</v>
      </c>
      <c r="H48" s="17" cm="1">
        <f t="array" aca="1" ref="H48" ca="1">SUM(INDIRECT("'"&amp;datatable!$H$2:$H$4&amp;"'!H"&amp;48))</f>
        <v>4</v>
      </c>
      <c r="I48" s="19" cm="1">
        <f t="array" aca="1" ref="I48" ca="1">SUM(INDIRECT("'"&amp;datatable!$H$2:$H$4&amp;"'!I"&amp;48))</f>
        <v>4</v>
      </c>
      <c r="J48" s="21" cm="1">
        <f t="array" aca="1" ref="J48" ca="1">SUM(INDIRECT("'"&amp;datatable!$H$2:$H$4&amp;"'!J"&amp;48))</f>
        <v>5</v>
      </c>
      <c r="K48" s="23" cm="1">
        <f t="array" aca="1" ref="K48" ca="1">SUM(INDIRECT("'"&amp;datatable!$H$2:$H$4&amp;"'!K"&amp;48))</f>
        <v>4</v>
      </c>
      <c r="L48" s="25" cm="1">
        <f t="array" aca="1" ref="L48" ca="1">SUM(INDIRECT("'"&amp;datatable!$H$2:$H$4&amp;"'!L"&amp;48))</f>
        <v>31</v>
      </c>
      <c r="M48" s="27" cm="1">
        <f t="array" aca="1" ref="M48" ca="1">SUM(INDIRECT("'"&amp;datatable!$H$2:$H$4&amp;"'!M"&amp;48))</f>
        <v>6</v>
      </c>
      <c r="N48" s="43">
        <f t="shared" ca="1" si="3"/>
        <v>63</v>
      </c>
      <c r="O48" s="43">
        <f t="shared" ca="1" si="4"/>
        <v>57</v>
      </c>
    </row>
    <row r="49" spans="3:15">
      <c r="C49" s="44" t="s">
        <v>54</v>
      </c>
      <c r="D49" s="8" cm="1">
        <f t="array" aca="1" ref="D49" ca="1">SUM(INDIRECT("'"&amp;datatable!$H$2:$H$4&amp;"'!D"&amp;49))</f>
        <v>31</v>
      </c>
      <c r="E49" s="11" cm="1">
        <f t="array" aca="1" ref="E49" ca="1">SUM(INDIRECT("'"&amp;datatable!$H$2:$H$4&amp;"'!E"&amp;49))</f>
        <v>4</v>
      </c>
      <c r="F49" s="13" cm="1">
        <f t="array" aca="1" ref="F49" ca="1">SUM(INDIRECT("'"&amp;datatable!$H$2:$H$4&amp;"'!F"&amp;49))</f>
        <v>15</v>
      </c>
      <c r="G49" s="15" cm="1">
        <f t="array" aca="1" ref="G49" ca="1">SUM(INDIRECT("'"&amp;datatable!$H$2:$H$4&amp;"'!G"&amp;49))</f>
        <v>3</v>
      </c>
      <c r="H49" s="17" cm="1">
        <f t="array" aca="1" ref="H49" ca="1">SUM(INDIRECT("'"&amp;datatable!$H$2:$H$4&amp;"'!H"&amp;49))</f>
        <v>1</v>
      </c>
      <c r="I49" s="19" cm="1">
        <f t="array" aca="1" ref="I49" ca="1">SUM(INDIRECT("'"&amp;datatable!$H$2:$H$4&amp;"'!I"&amp;49))</f>
        <v>2</v>
      </c>
      <c r="J49" s="21" cm="1">
        <f t="array" aca="1" ref="J49" ca="1">SUM(INDIRECT("'"&amp;datatable!$H$2:$H$4&amp;"'!J"&amp;49))</f>
        <v>0</v>
      </c>
      <c r="K49" s="23" cm="1">
        <f t="array" aca="1" ref="K49" ca="1">SUM(INDIRECT("'"&amp;datatable!$H$2:$H$4&amp;"'!K"&amp;49))</f>
        <v>1</v>
      </c>
      <c r="L49" s="25" cm="1">
        <f t="array" aca="1" ref="L49" ca="1">SUM(INDIRECT("'"&amp;datatable!$H$2:$H$4&amp;"'!L"&amp;49))</f>
        <v>4</v>
      </c>
      <c r="M49" s="27" cm="1">
        <f t="array" aca="1" ref="M49" ca="1">SUM(INDIRECT("'"&amp;datatable!$H$2:$H$4&amp;"'!M"&amp;49))</f>
        <v>2</v>
      </c>
      <c r="N49" s="43">
        <f t="shared" ca="1" si="3"/>
        <v>63</v>
      </c>
      <c r="O49" s="43">
        <f t="shared" ca="1" si="4"/>
        <v>61</v>
      </c>
    </row>
    <row r="50" spans="3:15">
      <c r="C50" s="46" t="s">
        <v>36</v>
      </c>
      <c r="D50" s="47">
        <f ca="1">SUM(D32:D49)</f>
        <v>460</v>
      </c>
      <c r="E50" s="47">
        <f t="shared" ref="E50:M50" ca="1" si="5">SUM(E32:E49)</f>
        <v>89</v>
      </c>
      <c r="F50" s="47">
        <f t="shared" ca="1" si="5"/>
        <v>52</v>
      </c>
      <c r="G50" s="47">
        <f t="shared" ca="1" si="5"/>
        <v>52</v>
      </c>
      <c r="H50" s="47">
        <f t="shared" ca="1" si="5"/>
        <v>52</v>
      </c>
      <c r="I50" s="47">
        <f t="shared" ca="1" si="5"/>
        <v>40</v>
      </c>
      <c r="J50" s="47">
        <f t="shared" ca="1" si="5"/>
        <v>56</v>
      </c>
      <c r="K50" s="47">
        <f t="shared" ca="1" si="5"/>
        <v>93</v>
      </c>
      <c r="L50" s="47">
        <f t="shared" ca="1" si="5"/>
        <v>146</v>
      </c>
      <c r="M50" s="47">
        <f t="shared" ca="1" si="5"/>
        <v>94</v>
      </c>
      <c r="N50" s="43">
        <f ca="1">SUM(D50:M50)</f>
        <v>1134</v>
      </c>
      <c r="O50" s="43">
        <f ca="1">SUM(D50:L50)</f>
        <v>1040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F76CE-1AEF-47CC-B2B7-26E46695F73E}">
  <dimension ref="C5:O50"/>
  <sheetViews>
    <sheetView topLeftCell="A18" workbookViewId="0">
      <selection activeCell="D11" sqref="D11"/>
    </sheetView>
  </sheetViews>
  <sheetFormatPr defaultRowHeight="14.4"/>
  <cols>
    <col min="4" max="4" width="12.6640625" customWidth="1"/>
    <col min="5" max="5" width="15.109375" customWidth="1"/>
    <col min="6" max="6" width="11.44140625" bestFit="1" customWidth="1"/>
    <col min="7" max="7" width="11.33203125" bestFit="1" customWidth="1"/>
    <col min="8" max="8" width="14" bestFit="1" customWidth="1"/>
    <col min="9" max="9" width="10.6640625" bestFit="1" customWidth="1"/>
    <col min="10" max="10" width="12.6640625" bestFit="1" customWidth="1"/>
    <col min="11" max="11" width="15.88671875" bestFit="1" customWidth="1"/>
    <col min="12" max="12" width="13.33203125" bestFit="1"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SUM(INDIRECT("'"&amp;datatable!$H$5:$H$7&amp;"'!D"&amp;7))</f>
        <v>26</v>
      </c>
      <c r="E7" s="54" cm="1">
        <f t="array" aca="1" ref="E7" ca="1">SUM(INDIRECT("'"&amp;datatable!$H$5:$H$7&amp;"'!E"&amp;7))</f>
        <v>2</v>
      </c>
      <c r="F7" s="55" cm="1">
        <f t="array" aca="1" ref="F7" ca="1">SUM(INDIRECT("'"&amp;datatable!$H$5:$H$7&amp;"'!F"&amp;7))</f>
        <v>1</v>
      </c>
      <c r="G7" s="56" cm="1">
        <f t="array" aca="1" ref="G7" ca="1">SUM(INDIRECT("'"&amp;datatable!$H$5:$H$7&amp;"'!G"&amp;7))</f>
        <v>2</v>
      </c>
      <c r="H7" s="57" cm="1">
        <f t="array" aca="1" ref="H7" ca="1">SUM(INDIRECT("'"&amp;datatable!$H$5:$H$7&amp;"'!H"&amp;7))</f>
        <v>0</v>
      </c>
      <c r="I7" s="58" cm="1">
        <f t="array" aca="1" ref="I7" ca="1">SUM(INDIRECT("'"&amp;datatable!$H$5:$H$7&amp;"'!I"&amp;7))</f>
        <v>3</v>
      </c>
      <c r="J7" s="59" cm="1">
        <f t="array" aca="1" ref="J7" ca="1">SUM(INDIRECT("'"&amp;datatable!$H$5:$H$7&amp;"'!J"&amp;7))</f>
        <v>3</v>
      </c>
      <c r="K7" s="60" cm="1">
        <f t="array" aca="1" ref="K7" ca="1">SUM(INDIRECT("'"&amp;datatable!$H$5:$H$7&amp;"'!K"&amp;7))</f>
        <v>9</v>
      </c>
      <c r="L7" s="61" cm="1">
        <f t="array" aca="1" ref="L7" ca="1">SUM(INDIRECT("'"&amp;datatable!$H$5:$H$7&amp;"'!L"&amp;7))</f>
        <v>5</v>
      </c>
      <c r="M7" s="62" cm="1">
        <f t="array" aca="1" ref="M7" ca="1">SUM(INDIRECT("'"&amp;datatable!$H$5:$H$7&amp;"'!M"&amp;7))</f>
        <v>3</v>
      </c>
      <c r="N7" s="29">
        <f t="shared" ref="N7:N28" ca="1" si="0">SUM(D7:M7)</f>
        <v>54</v>
      </c>
      <c r="O7" s="29">
        <f t="shared" ref="O7:O28" ca="1" si="1">SUM(D7:L7)</f>
        <v>51</v>
      </c>
    </row>
    <row r="8" spans="3:15">
      <c r="C8" s="5" t="s">
        <v>14</v>
      </c>
      <c r="D8" s="8" cm="1">
        <f t="array" aca="1" ref="D8" ca="1">SUM(INDIRECT("'"&amp;datatable!$H$5:$H$7&amp;"'!D"&amp;8))</f>
        <v>19</v>
      </c>
      <c r="E8" s="54" cm="1">
        <f t="array" aca="1" ref="E8" ca="1">SUM(INDIRECT("'"&amp;datatable!$H$5:$H$7&amp;"'!E"&amp;8))</f>
        <v>4</v>
      </c>
      <c r="F8" s="55" cm="1">
        <f t="array" aca="1" ref="F8" ca="1">SUM(INDIRECT("'"&amp;datatable!$H$5:$H$7&amp;"'!F"&amp;8))</f>
        <v>0</v>
      </c>
      <c r="G8" s="56" cm="1">
        <f t="array" aca="1" ref="G8" ca="1">SUM(INDIRECT("'"&amp;datatable!$H$5:$H$7&amp;"'!G"&amp;8))</f>
        <v>3</v>
      </c>
      <c r="H8" s="57" cm="1">
        <f t="array" aca="1" ref="H8" ca="1">SUM(INDIRECT("'"&amp;datatable!$H$5:$H$7&amp;"'!H"&amp;8))</f>
        <v>1</v>
      </c>
      <c r="I8" s="58" cm="1">
        <f t="array" aca="1" ref="I8" ca="1">SUM(INDIRECT("'"&amp;datatable!$H$5:$H$7&amp;"'!I"&amp;8))</f>
        <v>6</v>
      </c>
      <c r="J8" s="59" cm="1">
        <f t="array" aca="1" ref="J8" ca="1">SUM(INDIRECT("'"&amp;datatable!$H$5:$H$7&amp;"'!J"&amp;8))</f>
        <v>8</v>
      </c>
      <c r="K8" s="60" cm="1">
        <f t="array" aca="1" ref="K8" ca="1">SUM(INDIRECT("'"&amp;datatable!$H$5:$H$7&amp;"'!K"&amp;8))</f>
        <v>5</v>
      </c>
      <c r="L8" s="61" cm="1">
        <f t="array" aca="1" ref="L8" ca="1">SUM(INDIRECT("'"&amp;datatable!$H$5:$H$7&amp;"'!L"&amp;8))</f>
        <v>8</v>
      </c>
      <c r="M8" s="62" cm="1">
        <f t="array" aca="1" ref="M8" ca="1">SUM(INDIRECT("'"&amp;datatable!$H$5:$H$7&amp;"'!M"&amp;8))</f>
        <v>0</v>
      </c>
      <c r="N8" s="29">
        <f t="shared" ca="1" si="0"/>
        <v>54</v>
      </c>
      <c r="O8" s="29">
        <f t="shared" ca="1" si="1"/>
        <v>54</v>
      </c>
    </row>
    <row r="9" spans="3:15">
      <c r="C9" s="5" t="s">
        <v>15</v>
      </c>
      <c r="D9" s="8" cm="1">
        <f t="array" aca="1" ref="D9" ca="1">SUM(INDIRECT("'"&amp;datatable!$H$5:$H$7&amp;"'!D"&amp;9))</f>
        <v>13</v>
      </c>
      <c r="E9" s="54" cm="1">
        <f t="array" aca="1" ref="E9" ca="1">SUM(INDIRECT("'"&amp;datatable!$H$5:$H$7&amp;"'!E"&amp;9))</f>
        <v>1</v>
      </c>
      <c r="F9" s="55" cm="1">
        <f t="array" aca="1" ref="F9" ca="1">SUM(INDIRECT("'"&amp;datatable!$H$5:$H$7&amp;"'!F"&amp;9))</f>
        <v>1</v>
      </c>
      <c r="G9" s="56" cm="1">
        <f t="array" aca="1" ref="G9" ca="1">SUM(INDIRECT("'"&amp;datatable!$H$5:$H$7&amp;"'!G"&amp;9))</f>
        <v>3</v>
      </c>
      <c r="H9" s="57" cm="1">
        <f t="array" aca="1" ref="H9" ca="1">SUM(INDIRECT("'"&amp;datatable!$H$5:$H$7&amp;"'!H"&amp;9))</f>
        <v>3</v>
      </c>
      <c r="I9" s="58" cm="1">
        <f t="array" aca="1" ref="I9" ca="1">SUM(INDIRECT("'"&amp;datatable!$H$5:$H$7&amp;"'!I"&amp;9))</f>
        <v>3</v>
      </c>
      <c r="J9" s="59" cm="1">
        <f t="array" aca="1" ref="J9" ca="1">SUM(INDIRECT("'"&amp;datatable!$H$5:$H$7&amp;"'!J"&amp;9))</f>
        <v>8</v>
      </c>
      <c r="K9" s="60" cm="1">
        <f t="array" aca="1" ref="K9" ca="1">SUM(INDIRECT("'"&amp;datatable!$H$5:$H$7&amp;"'!K"&amp;9))</f>
        <v>2</v>
      </c>
      <c r="L9" s="61" cm="1">
        <f t="array" aca="1" ref="L9" ca="1">SUM(INDIRECT("'"&amp;datatable!$H$5:$H$7&amp;"'!L"&amp;9))</f>
        <v>19</v>
      </c>
      <c r="M9" s="62" cm="1">
        <f t="array" aca="1" ref="M9" ca="1">SUM(INDIRECT("'"&amp;datatable!$H$5:$H$7&amp;"'!M"&amp;9))</f>
        <v>1</v>
      </c>
      <c r="N9" s="29">
        <f t="shared" ca="1" si="0"/>
        <v>54</v>
      </c>
      <c r="O9" s="29">
        <f t="shared" ca="1" si="1"/>
        <v>53</v>
      </c>
    </row>
    <row r="10" spans="3:15">
      <c r="C10" s="5" t="s">
        <v>16</v>
      </c>
      <c r="D10" s="8" cm="1">
        <f t="array" aca="1" ref="D10" ca="1">SUM(INDIRECT("'"&amp;datatable!$H$5:$H$7&amp;"'!D"&amp;10))</f>
        <v>19</v>
      </c>
      <c r="E10" s="54" cm="1">
        <f t="array" aca="1" ref="E10" ca="1">SUM(INDIRECT("'"&amp;datatable!$H$5:$H$7&amp;"'!E"&amp;10))</f>
        <v>3</v>
      </c>
      <c r="F10" s="55" cm="1">
        <f t="array" aca="1" ref="F10" ca="1">SUM(INDIRECT("'"&amp;datatable!$H$5:$H$7&amp;"'!F"&amp;10))</f>
        <v>4</v>
      </c>
      <c r="G10" s="56" cm="1">
        <f t="array" aca="1" ref="G10" ca="1">SUM(INDIRECT("'"&amp;datatable!$H$5:$H$7&amp;"'!G"&amp;10))</f>
        <v>4</v>
      </c>
      <c r="H10" s="57" cm="1">
        <f t="array" aca="1" ref="H10" ca="1">SUM(INDIRECT("'"&amp;datatable!$H$5:$H$7&amp;"'!H"&amp;10))</f>
        <v>8</v>
      </c>
      <c r="I10" s="58" cm="1">
        <f t="array" aca="1" ref="I10" ca="1">SUM(INDIRECT("'"&amp;datatable!$H$5:$H$7&amp;"'!I"&amp;10))</f>
        <v>0</v>
      </c>
      <c r="J10" s="59" cm="1">
        <f t="array" aca="1" ref="J10" ca="1">SUM(INDIRECT("'"&amp;datatable!$H$5:$H$7&amp;"'!J"&amp;10))</f>
        <v>4</v>
      </c>
      <c r="K10" s="60" cm="1">
        <f t="array" aca="1" ref="K10" ca="1">SUM(INDIRECT("'"&amp;datatable!$H$5:$H$7&amp;"'!K"&amp;10))</f>
        <v>5</v>
      </c>
      <c r="L10" s="61" cm="1">
        <f t="array" aca="1" ref="L10" ca="1">SUM(INDIRECT("'"&amp;datatable!$H$5:$H$7&amp;"'!L"&amp;10))</f>
        <v>7</v>
      </c>
      <c r="M10" s="62" cm="1">
        <f t="array" aca="1" ref="M10" ca="1">SUM(INDIRECT("'"&amp;datatable!$H$5:$H$7&amp;"'!M"&amp;10))</f>
        <v>0</v>
      </c>
      <c r="N10" s="29">
        <f t="shared" ca="1" si="0"/>
        <v>54</v>
      </c>
      <c r="O10" s="29">
        <f t="shared" ca="1" si="1"/>
        <v>54</v>
      </c>
    </row>
    <row r="11" spans="3:15">
      <c r="C11" s="5" t="s">
        <v>17</v>
      </c>
      <c r="D11" s="8" cm="1">
        <f t="array" aca="1" ref="D11" ca="1">SUM(INDIRECT("'"&amp;datatable!$H$5:$H$7&amp;"'!D"&amp;11))</f>
        <v>18</v>
      </c>
      <c r="E11" s="54" cm="1">
        <f t="array" aca="1" ref="E11" ca="1">SUM(INDIRECT("'"&amp;datatable!$H$5:$H$7&amp;"'!E"&amp;11))</f>
        <v>6</v>
      </c>
      <c r="F11" s="55" cm="1">
        <f t="array" aca="1" ref="F11" ca="1">SUM(INDIRECT("'"&amp;datatable!$H$5:$H$7&amp;"'!F"&amp;11))</f>
        <v>4</v>
      </c>
      <c r="G11" s="56" cm="1">
        <f t="array" aca="1" ref="G11" ca="1">SUM(INDIRECT("'"&amp;datatable!$H$5:$H$7&amp;"'!G"&amp;11))</f>
        <v>2</v>
      </c>
      <c r="H11" s="57" cm="1">
        <f t="array" aca="1" ref="H11" ca="1">SUM(INDIRECT("'"&amp;datatable!$H$5:$H$7&amp;"'!H"&amp;11))</f>
        <v>0</v>
      </c>
      <c r="I11" s="58" cm="1">
        <f t="array" aca="1" ref="I11" ca="1">SUM(INDIRECT("'"&amp;datatable!$H$5:$H$7&amp;"'!I"&amp;11))</f>
        <v>2</v>
      </c>
      <c r="J11" s="59" cm="1">
        <f t="array" aca="1" ref="J11" ca="1">SUM(INDIRECT("'"&amp;datatable!$H$5:$H$7&amp;"'!J"&amp;11))</f>
        <v>6</v>
      </c>
      <c r="K11" s="60" cm="1">
        <f t="array" aca="1" ref="K11" ca="1">SUM(INDIRECT("'"&amp;datatable!$H$5:$H$7&amp;"'!K"&amp;11))</f>
        <v>2</v>
      </c>
      <c r="L11" s="61" cm="1">
        <f t="array" aca="1" ref="L11" ca="1">SUM(INDIRECT("'"&amp;datatable!$H$5:$H$7&amp;"'!L"&amp;11))</f>
        <v>10</v>
      </c>
      <c r="M11" s="62" cm="1">
        <f t="array" aca="1" ref="M11" ca="1">SUM(INDIRECT("'"&amp;datatable!$H$5:$H$7&amp;"'!M"&amp;11))</f>
        <v>4</v>
      </c>
      <c r="N11" s="29">
        <f t="shared" ca="1" si="0"/>
        <v>54</v>
      </c>
      <c r="O11" s="29">
        <f t="shared" ca="1" si="1"/>
        <v>50</v>
      </c>
    </row>
    <row r="12" spans="3:15">
      <c r="C12" s="5" t="s">
        <v>18</v>
      </c>
      <c r="D12" s="8" cm="1">
        <f t="array" aca="1" ref="D12" ca="1">SUM(INDIRECT("'"&amp;datatable!$H$5:$H$7&amp;"'!D"&amp;12))</f>
        <v>26</v>
      </c>
      <c r="E12" s="54" cm="1">
        <f t="array" aca="1" ref="E12" ca="1">SUM(INDIRECT("'"&amp;datatable!$H$5:$H$7&amp;"'!E"&amp;12))</f>
        <v>1</v>
      </c>
      <c r="F12" s="55" cm="1">
        <f t="array" aca="1" ref="F12" ca="1">SUM(INDIRECT("'"&amp;datatable!$H$5:$H$7&amp;"'!F"&amp;12))</f>
        <v>1</v>
      </c>
      <c r="G12" s="56" cm="1">
        <f t="array" aca="1" ref="G12" ca="1">SUM(INDIRECT("'"&amp;datatable!$H$5:$H$7&amp;"'!G"&amp;12))</f>
        <v>3</v>
      </c>
      <c r="H12" s="57" cm="1">
        <f t="array" aca="1" ref="H12" ca="1">SUM(INDIRECT("'"&amp;datatable!$H$5:$H$7&amp;"'!H"&amp;12))</f>
        <v>5</v>
      </c>
      <c r="I12" s="58" cm="1">
        <f t="array" aca="1" ref="I12" ca="1">SUM(INDIRECT("'"&amp;datatable!$H$5:$H$7&amp;"'!I"&amp;12))</f>
        <v>2</v>
      </c>
      <c r="J12" s="59" cm="1">
        <f t="array" aca="1" ref="J12" ca="1">SUM(INDIRECT("'"&amp;datatable!$H$5:$H$7&amp;"'!J"&amp;12))</f>
        <v>5</v>
      </c>
      <c r="K12" s="60" cm="1">
        <f t="array" aca="1" ref="K12" ca="1">SUM(INDIRECT("'"&amp;datatable!$H$5:$H$7&amp;"'!K"&amp;12))</f>
        <v>3</v>
      </c>
      <c r="L12" s="61" cm="1">
        <f t="array" aca="1" ref="L12" ca="1">SUM(INDIRECT("'"&amp;datatable!$H$5:$H$7&amp;"'!L"&amp;12))</f>
        <v>8</v>
      </c>
      <c r="M12" s="62" cm="1">
        <f t="array" aca="1" ref="M12" ca="1">SUM(INDIRECT("'"&amp;datatable!$H$5:$H$7&amp;"'!M"&amp;12))</f>
        <v>0</v>
      </c>
      <c r="N12" s="29">
        <f t="shared" ca="1" si="0"/>
        <v>54</v>
      </c>
      <c r="O12" s="29">
        <f t="shared" ca="1" si="1"/>
        <v>54</v>
      </c>
    </row>
    <row r="13" spans="3:15">
      <c r="C13" s="5" t="s">
        <v>19</v>
      </c>
      <c r="D13" s="8" cm="1">
        <f t="array" aca="1" ref="D13" ca="1">SUM(INDIRECT("'"&amp;datatable!$H$5:$H$7&amp;"'!D"&amp;13))</f>
        <v>13</v>
      </c>
      <c r="E13" s="54" cm="1">
        <f t="array" aca="1" ref="E13" ca="1">SUM(INDIRECT("'"&amp;datatable!$H$5:$H$7&amp;"'!E"&amp;13))</f>
        <v>6</v>
      </c>
      <c r="F13" s="55" cm="1">
        <f t="array" aca="1" ref="F13" ca="1">SUM(INDIRECT("'"&amp;datatable!$H$5:$H$7&amp;"'!F"&amp;13))</f>
        <v>2</v>
      </c>
      <c r="G13" s="56" cm="1">
        <f t="array" aca="1" ref="G13" ca="1">SUM(INDIRECT("'"&amp;datatable!$H$5:$H$7&amp;"'!G"&amp;13))</f>
        <v>5</v>
      </c>
      <c r="H13" s="57" cm="1">
        <f t="array" aca="1" ref="H13" ca="1">SUM(INDIRECT("'"&amp;datatable!$H$5:$H$7&amp;"'!H"&amp;13))</f>
        <v>4</v>
      </c>
      <c r="I13" s="58" cm="1">
        <f t="array" aca="1" ref="I13" ca="1">SUM(INDIRECT("'"&amp;datatable!$H$5:$H$7&amp;"'!I"&amp;13))</f>
        <v>2</v>
      </c>
      <c r="J13" s="59" cm="1">
        <f t="array" aca="1" ref="J13" ca="1">SUM(INDIRECT("'"&amp;datatable!$H$5:$H$7&amp;"'!J"&amp;13))</f>
        <v>4</v>
      </c>
      <c r="K13" s="60" cm="1">
        <f t="array" aca="1" ref="K13" ca="1">SUM(INDIRECT("'"&amp;datatable!$H$5:$H$7&amp;"'!K"&amp;13))</f>
        <v>4</v>
      </c>
      <c r="L13" s="61" cm="1">
        <f t="array" aca="1" ref="L13" ca="1">SUM(INDIRECT("'"&amp;datatable!$H$5:$H$7&amp;"'!L"&amp;13))</f>
        <v>14</v>
      </c>
      <c r="M13" s="62" cm="1">
        <f t="array" aca="1" ref="M13" ca="1">SUM(INDIRECT("'"&amp;datatable!$H$5:$H$7&amp;"'!M"&amp;13))</f>
        <v>0</v>
      </c>
      <c r="N13" s="29">
        <f t="shared" ca="1" si="0"/>
        <v>54</v>
      </c>
      <c r="O13" s="29">
        <f t="shared" ca="1" si="1"/>
        <v>54</v>
      </c>
    </row>
    <row r="14" spans="3:15">
      <c r="C14" s="5" t="s">
        <v>20</v>
      </c>
      <c r="D14" s="8" cm="1">
        <f t="array" aca="1" ref="D14" ca="1">SUM(INDIRECT("'"&amp;datatable!$H$5:$H$7&amp;"'!D"&amp;14))</f>
        <v>22</v>
      </c>
      <c r="E14" s="54" cm="1">
        <f t="array" aca="1" ref="E14" ca="1">SUM(INDIRECT("'"&amp;datatable!$H$5:$H$7&amp;"'!E"&amp;14))</f>
        <v>3</v>
      </c>
      <c r="F14" s="55" cm="1">
        <f t="array" aca="1" ref="F14" ca="1">SUM(INDIRECT("'"&amp;datatable!$H$5:$H$7&amp;"'!F"&amp;14))</f>
        <v>3</v>
      </c>
      <c r="G14" s="56" cm="1">
        <f t="array" aca="1" ref="G14" ca="1">SUM(INDIRECT("'"&amp;datatable!$H$5:$H$7&amp;"'!G"&amp;14))</f>
        <v>1</v>
      </c>
      <c r="H14" s="57" cm="1">
        <f t="array" aca="1" ref="H14" ca="1">SUM(INDIRECT("'"&amp;datatable!$H$5:$H$7&amp;"'!H"&amp;14))</f>
        <v>1</v>
      </c>
      <c r="I14" s="58" cm="1">
        <f t="array" aca="1" ref="I14" ca="1">SUM(INDIRECT("'"&amp;datatable!$H$5:$H$7&amp;"'!I"&amp;14))</f>
        <v>0</v>
      </c>
      <c r="J14" s="59" cm="1">
        <f t="array" aca="1" ref="J14" ca="1">SUM(INDIRECT("'"&amp;datatable!$H$5:$H$7&amp;"'!J"&amp;14))</f>
        <v>4</v>
      </c>
      <c r="K14" s="60" cm="1">
        <f t="array" aca="1" ref="K14" ca="1">SUM(INDIRECT("'"&amp;datatable!$H$5:$H$7&amp;"'!K"&amp;14))</f>
        <v>6</v>
      </c>
      <c r="L14" s="61" cm="1">
        <f t="array" aca="1" ref="L14" ca="1">SUM(INDIRECT("'"&amp;datatable!$H$5:$H$7&amp;"'!L"&amp;14))</f>
        <v>11</v>
      </c>
      <c r="M14" s="62" cm="1">
        <f t="array" aca="1" ref="M14" ca="1">SUM(INDIRECT("'"&amp;datatable!$H$5:$H$7&amp;"'!M"&amp;14))</f>
        <v>3</v>
      </c>
      <c r="N14" s="29">
        <f t="shared" ca="1" si="0"/>
        <v>54</v>
      </c>
      <c r="O14" s="29">
        <f t="shared" ca="1" si="1"/>
        <v>51</v>
      </c>
    </row>
    <row r="15" spans="3:15">
      <c r="C15" s="5" t="s">
        <v>21</v>
      </c>
      <c r="D15" s="8" cm="1">
        <f t="array" aca="1" ref="D15" ca="1">SUM(INDIRECT("'"&amp;datatable!$H$5:$H$7&amp;"'!D"&amp;15))</f>
        <v>25</v>
      </c>
      <c r="E15" s="54" cm="1">
        <f t="array" aca="1" ref="E15" ca="1">SUM(INDIRECT("'"&amp;datatable!$H$5:$H$7&amp;"'!E"&amp;15))</f>
        <v>5</v>
      </c>
      <c r="F15" s="55" cm="1">
        <f t="array" aca="1" ref="F15" ca="1">SUM(INDIRECT("'"&amp;datatable!$H$5:$H$7&amp;"'!F"&amp;15))</f>
        <v>1</v>
      </c>
      <c r="G15" s="56" cm="1">
        <f t="array" aca="1" ref="G15" ca="1">SUM(INDIRECT("'"&amp;datatable!$H$5:$H$7&amp;"'!G"&amp;15))</f>
        <v>5</v>
      </c>
      <c r="H15" s="57" cm="1">
        <f t="array" aca="1" ref="H15" ca="1">SUM(INDIRECT("'"&amp;datatable!$H$5:$H$7&amp;"'!H"&amp;15))</f>
        <v>1</v>
      </c>
      <c r="I15" s="58" cm="1">
        <f t="array" aca="1" ref="I15" ca="1">SUM(INDIRECT("'"&amp;datatable!$H$5:$H$7&amp;"'!I"&amp;15))</f>
        <v>1</v>
      </c>
      <c r="J15" s="59" cm="1">
        <f t="array" aca="1" ref="J15" ca="1">SUM(INDIRECT("'"&amp;datatable!$H$5:$H$7&amp;"'!J"&amp;15))</f>
        <v>2</v>
      </c>
      <c r="K15" s="60" cm="1">
        <f t="array" aca="1" ref="K15" ca="1">SUM(INDIRECT("'"&amp;datatable!$H$5:$H$7&amp;"'!K"&amp;15))</f>
        <v>6</v>
      </c>
      <c r="L15" s="61" cm="1">
        <f t="array" aca="1" ref="L15" ca="1">SUM(INDIRECT("'"&amp;datatable!$H$5:$H$7&amp;"'!L"&amp;15))</f>
        <v>4</v>
      </c>
      <c r="M15" s="62" cm="1">
        <f t="array" aca="1" ref="M15" ca="1">SUM(INDIRECT("'"&amp;datatable!$H$5:$H$7&amp;"'!M"&amp;15))</f>
        <v>4</v>
      </c>
      <c r="N15" s="29">
        <f t="shared" ca="1" si="0"/>
        <v>54</v>
      </c>
      <c r="O15" s="29">
        <f t="shared" ca="1" si="1"/>
        <v>50</v>
      </c>
    </row>
    <row r="16" spans="3:15">
      <c r="C16" s="5" t="s">
        <v>22</v>
      </c>
      <c r="D16" s="8" cm="1">
        <f t="array" aca="1" ref="D16" ca="1">SUM(INDIRECT("'"&amp;datatable!$H$5:$H$7&amp;"'!D"&amp;16))</f>
        <v>26</v>
      </c>
      <c r="E16" s="54" cm="1">
        <f t="array" aca="1" ref="E16" ca="1">SUM(INDIRECT("'"&amp;datatable!$H$5:$H$7&amp;"'!E"&amp;16))</f>
        <v>4</v>
      </c>
      <c r="F16" s="55" cm="1">
        <f t="array" aca="1" ref="F16" ca="1">SUM(INDIRECT("'"&amp;datatable!$H$5:$H$7&amp;"'!F"&amp;16))</f>
        <v>3</v>
      </c>
      <c r="G16" s="56" cm="1">
        <f t="array" aca="1" ref="G16" ca="1">SUM(INDIRECT("'"&amp;datatable!$H$5:$H$7&amp;"'!G"&amp;16))</f>
        <v>5</v>
      </c>
      <c r="H16" s="57" cm="1">
        <f t="array" aca="1" ref="H16" ca="1">SUM(INDIRECT("'"&amp;datatable!$H$5:$H$7&amp;"'!H"&amp;16))</f>
        <v>0</v>
      </c>
      <c r="I16" s="58" cm="1">
        <f t="array" aca="1" ref="I16" ca="1">SUM(INDIRECT("'"&amp;datatable!$H$5:$H$7&amp;"'!I"&amp;16))</f>
        <v>0</v>
      </c>
      <c r="J16" s="59" cm="1">
        <f t="array" aca="1" ref="J16" ca="1">SUM(INDIRECT("'"&amp;datatable!$H$5:$H$7&amp;"'!J"&amp;16))</f>
        <v>4</v>
      </c>
      <c r="K16" s="60" cm="1">
        <f t="array" aca="1" ref="K16" ca="1">SUM(INDIRECT("'"&amp;datatable!$H$5:$H$7&amp;"'!K"&amp;16))</f>
        <v>6</v>
      </c>
      <c r="L16" s="61" cm="1">
        <f t="array" aca="1" ref="L16" ca="1">SUM(INDIRECT("'"&amp;datatable!$H$5:$H$7&amp;"'!L"&amp;16))</f>
        <v>6</v>
      </c>
      <c r="M16" s="62" cm="1">
        <f t="array" aca="1" ref="M16" ca="1">SUM(INDIRECT("'"&amp;datatable!$H$5:$H$7&amp;"'!M"&amp;16))</f>
        <v>0</v>
      </c>
      <c r="N16" s="29">
        <f t="shared" ca="1" si="0"/>
        <v>54</v>
      </c>
      <c r="O16" s="29">
        <f t="shared" ca="1" si="1"/>
        <v>54</v>
      </c>
    </row>
    <row r="17" spans="3:15">
      <c r="C17" s="5" t="s">
        <v>23</v>
      </c>
      <c r="D17" s="8" cm="1">
        <f t="array" aca="1" ref="D17" ca="1">SUM(INDIRECT("'"&amp;datatable!$H$5:$H$7&amp;"'!D"&amp;17))</f>
        <v>36</v>
      </c>
      <c r="E17" s="54" cm="1">
        <f t="array" aca="1" ref="E17" ca="1">SUM(INDIRECT("'"&amp;datatable!$H$5:$H$7&amp;"'!E"&amp;17))</f>
        <v>2</v>
      </c>
      <c r="F17" s="55" cm="1">
        <f t="array" aca="1" ref="F17" ca="1">SUM(INDIRECT("'"&amp;datatable!$H$5:$H$7&amp;"'!F"&amp;17))</f>
        <v>1</v>
      </c>
      <c r="G17" s="56" cm="1">
        <f t="array" aca="1" ref="G17" ca="1">SUM(INDIRECT("'"&amp;datatable!$H$5:$H$7&amp;"'!G"&amp;17))</f>
        <v>1</v>
      </c>
      <c r="H17" s="57" cm="1">
        <f t="array" aca="1" ref="H17" ca="1">SUM(INDIRECT("'"&amp;datatable!$H$5:$H$7&amp;"'!H"&amp;17))</f>
        <v>0</v>
      </c>
      <c r="I17" s="58" cm="1">
        <f t="array" aca="1" ref="I17" ca="1">SUM(INDIRECT("'"&amp;datatable!$H$5:$H$7&amp;"'!I"&amp;17))</f>
        <v>0</v>
      </c>
      <c r="J17" s="59" cm="1">
        <f t="array" aca="1" ref="J17" ca="1">SUM(INDIRECT("'"&amp;datatable!$H$5:$H$7&amp;"'!J"&amp;17))</f>
        <v>3</v>
      </c>
      <c r="K17" s="60" cm="1">
        <f t="array" aca="1" ref="K17" ca="1">SUM(INDIRECT("'"&amp;datatable!$H$5:$H$7&amp;"'!K"&amp;17))</f>
        <v>6</v>
      </c>
      <c r="L17" s="61" cm="1">
        <f t="array" aca="1" ref="L17" ca="1">SUM(INDIRECT("'"&amp;datatable!$H$5:$H$7&amp;"'!L"&amp;17))</f>
        <v>2</v>
      </c>
      <c r="M17" s="62" cm="1">
        <f t="array" aca="1" ref="M17" ca="1">SUM(INDIRECT("'"&amp;datatable!$H$5:$H$7&amp;"'!M"&amp;17))</f>
        <v>3</v>
      </c>
      <c r="N17" s="29">
        <f t="shared" ca="1" si="0"/>
        <v>54</v>
      </c>
      <c r="O17" s="29">
        <f t="shared" ca="1" si="1"/>
        <v>51</v>
      </c>
    </row>
    <row r="18" spans="3:15">
      <c r="C18" s="5" t="s">
        <v>24</v>
      </c>
      <c r="D18" s="8" cm="1">
        <f t="array" aca="1" ref="D18" ca="1">SUM(INDIRECT("'"&amp;datatable!$H$5:$H$7&amp;"'!D"&amp;18))</f>
        <v>22</v>
      </c>
      <c r="E18" s="54" cm="1">
        <f t="array" aca="1" ref="E18" ca="1">SUM(INDIRECT("'"&amp;datatable!$H$5:$H$7&amp;"'!E"&amp;18))</f>
        <v>3</v>
      </c>
      <c r="F18" s="55" cm="1">
        <f t="array" aca="1" ref="F18" ca="1">SUM(INDIRECT("'"&amp;datatable!$H$5:$H$7&amp;"'!F"&amp;18))</f>
        <v>2</v>
      </c>
      <c r="G18" s="56" cm="1">
        <f t="array" aca="1" ref="G18" ca="1">SUM(INDIRECT("'"&amp;datatable!$H$5:$H$7&amp;"'!G"&amp;18))</f>
        <v>2</v>
      </c>
      <c r="H18" s="57" cm="1">
        <f t="array" aca="1" ref="H18" ca="1">SUM(INDIRECT("'"&amp;datatable!$H$5:$H$7&amp;"'!H"&amp;18))</f>
        <v>3</v>
      </c>
      <c r="I18" s="58" cm="1">
        <f t="array" aca="1" ref="I18" ca="1">SUM(INDIRECT("'"&amp;datatable!$H$5:$H$7&amp;"'!I"&amp;18))</f>
        <v>0</v>
      </c>
      <c r="J18" s="59" cm="1">
        <f t="array" aca="1" ref="J18" ca="1">SUM(INDIRECT("'"&amp;datatable!$H$5:$H$7&amp;"'!J"&amp;18))</f>
        <v>5</v>
      </c>
      <c r="K18" s="60" cm="1">
        <f t="array" aca="1" ref="K18" ca="1">SUM(INDIRECT("'"&amp;datatable!$H$5:$H$7&amp;"'!K"&amp;18))</f>
        <v>4</v>
      </c>
      <c r="L18" s="61" cm="1">
        <f t="array" aca="1" ref="L18" ca="1">SUM(INDIRECT("'"&amp;datatable!$H$5:$H$7&amp;"'!L"&amp;18))</f>
        <v>7</v>
      </c>
      <c r="M18" s="62" cm="1">
        <f t="array" aca="1" ref="M18" ca="1">SUM(INDIRECT("'"&amp;datatable!$H$5:$H$7&amp;"'!M"&amp;18))</f>
        <v>6</v>
      </c>
      <c r="N18" s="29">
        <f t="shared" ca="1" si="0"/>
        <v>54</v>
      </c>
      <c r="O18" s="29">
        <f t="shared" ca="1" si="1"/>
        <v>48</v>
      </c>
    </row>
    <row r="19" spans="3:15">
      <c r="C19" s="5" t="s">
        <v>25</v>
      </c>
      <c r="D19" s="8" cm="1">
        <f t="array" aca="1" ref="D19" ca="1">SUM(INDIRECT("'"&amp;datatable!$H$5:$H$7&amp;"'!D"&amp;19))</f>
        <v>27</v>
      </c>
      <c r="E19" s="54" cm="1">
        <f t="array" aca="1" ref="E19" ca="1">SUM(INDIRECT("'"&amp;datatable!$H$5:$H$7&amp;"'!E"&amp;19))</f>
        <v>2</v>
      </c>
      <c r="F19" s="55" cm="1">
        <f t="array" aca="1" ref="F19" ca="1">SUM(INDIRECT("'"&amp;datatable!$H$5:$H$7&amp;"'!F"&amp;19))</f>
        <v>4</v>
      </c>
      <c r="G19" s="56" cm="1">
        <f t="array" aca="1" ref="G19" ca="1">SUM(INDIRECT("'"&amp;datatable!$H$5:$H$7&amp;"'!G"&amp;19))</f>
        <v>2</v>
      </c>
      <c r="H19" s="57" cm="1">
        <f t="array" aca="1" ref="H19" ca="1">SUM(INDIRECT("'"&amp;datatable!$H$5:$H$7&amp;"'!H"&amp;19))</f>
        <v>0</v>
      </c>
      <c r="I19" s="58" cm="1">
        <f t="array" aca="1" ref="I19" ca="1">SUM(INDIRECT("'"&amp;datatable!$H$5:$H$7&amp;"'!I"&amp;19))</f>
        <v>1</v>
      </c>
      <c r="J19" s="59" cm="1">
        <f t="array" aca="1" ref="J19" ca="1">SUM(INDIRECT("'"&amp;datatable!$H$5:$H$7&amp;"'!J"&amp;19))</f>
        <v>6</v>
      </c>
      <c r="K19" s="60" cm="1">
        <f t="array" aca="1" ref="K19" ca="1">SUM(INDIRECT("'"&amp;datatable!$H$5:$H$7&amp;"'!K"&amp;19))</f>
        <v>2</v>
      </c>
      <c r="L19" s="61" cm="1">
        <f t="array" aca="1" ref="L19" ca="1">SUM(INDIRECT("'"&amp;datatable!$H$5:$H$7&amp;"'!L"&amp;19))</f>
        <v>6</v>
      </c>
      <c r="M19" s="62" cm="1">
        <f t="array" aca="1" ref="M19" ca="1">SUM(INDIRECT("'"&amp;datatable!$H$5:$H$7&amp;"'!M"&amp;19))</f>
        <v>4</v>
      </c>
      <c r="N19" s="29">
        <f t="shared" ca="1" si="0"/>
        <v>54</v>
      </c>
      <c r="O19" s="29">
        <f t="shared" ca="1" si="1"/>
        <v>50</v>
      </c>
    </row>
    <row r="20" spans="3:15">
      <c r="C20" s="5" t="s">
        <v>26</v>
      </c>
      <c r="D20" s="8" cm="1">
        <f t="array" aca="1" ref="D20" ca="1">SUM(INDIRECT("'"&amp;datatable!$H$5:$H$7&amp;"'!D"&amp;20))</f>
        <v>20</v>
      </c>
      <c r="E20" s="54" cm="1">
        <f t="array" aca="1" ref="E20" ca="1">SUM(INDIRECT("'"&amp;datatable!$H$5:$H$7&amp;"'!E"&amp;20))</f>
        <v>3</v>
      </c>
      <c r="F20" s="55" cm="1">
        <f t="array" aca="1" ref="F20" ca="1">SUM(INDIRECT("'"&amp;datatable!$H$5:$H$7&amp;"'!F"&amp;20))</f>
        <v>0</v>
      </c>
      <c r="G20" s="56" cm="1">
        <f t="array" aca="1" ref="G20" ca="1">SUM(INDIRECT("'"&amp;datatable!$H$5:$H$7&amp;"'!G"&amp;20))</f>
        <v>3</v>
      </c>
      <c r="H20" s="57" cm="1">
        <f t="array" aca="1" ref="H20" ca="1">SUM(INDIRECT("'"&amp;datatable!$H$5:$H$7&amp;"'!H"&amp;20))</f>
        <v>3</v>
      </c>
      <c r="I20" s="58" cm="1">
        <f t="array" aca="1" ref="I20" ca="1">SUM(INDIRECT("'"&amp;datatable!$H$5:$H$7&amp;"'!I"&amp;20))</f>
        <v>3</v>
      </c>
      <c r="J20" s="59" cm="1">
        <f t="array" aca="1" ref="J20" ca="1">SUM(INDIRECT("'"&amp;datatable!$H$5:$H$7&amp;"'!J"&amp;20))</f>
        <v>8</v>
      </c>
      <c r="K20" s="60" cm="1">
        <f t="array" aca="1" ref="K20" ca="1">SUM(INDIRECT("'"&amp;datatable!$H$5:$H$7&amp;"'!K"&amp;20))</f>
        <v>4</v>
      </c>
      <c r="L20" s="61" cm="1">
        <f t="array" aca="1" ref="L20" ca="1">SUM(INDIRECT("'"&amp;datatable!$H$5:$H$7&amp;"'!L"&amp;20))</f>
        <v>7</v>
      </c>
      <c r="M20" s="62" cm="1">
        <f t="array" aca="1" ref="M20" ca="1">SUM(INDIRECT("'"&amp;datatable!$H$5:$H$7&amp;"'!M"&amp;20))</f>
        <v>3</v>
      </c>
      <c r="N20" s="29">
        <f t="shared" ca="1" si="0"/>
        <v>54</v>
      </c>
      <c r="O20" s="29">
        <f t="shared" ca="1" si="1"/>
        <v>51</v>
      </c>
    </row>
    <row r="21" spans="3:15">
      <c r="C21" s="5" t="s">
        <v>27</v>
      </c>
      <c r="D21" s="8" cm="1">
        <f t="array" aca="1" ref="D21" ca="1">SUM(INDIRECT("'"&amp;datatable!$H$5:$H$7&amp;"'!D"&amp;21))</f>
        <v>27</v>
      </c>
      <c r="E21" s="54" cm="1">
        <f t="array" aca="1" ref="E21" ca="1">SUM(INDIRECT("'"&amp;datatable!$H$5:$H$7&amp;"'!E"&amp;21))</f>
        <v>2</v>
      </c>
      <c r="F21" s="55" cm="1">
        <f t="array" aca="1" ref="F21" ca="1">SUM(INDIRECT("'"&amp;datatable!$H$5:$H$7&amp;"'!F"&amp;21))</f>
        <v>1</v>
      </c>
      <c r="G21" s="56" cm="1">
        <f t="array" aca="1" ref="G21" ca="1">SUM(INDIRECT("'"&amp;datatable!$H$5:$H$7&amp;"'!G"&amp;21))</f>
        <v>2</v>
      </c>
      <c r="H21" s="57" cm="1">
        <f t="array" aca="1" ref="H21" ca="1">SUM(INDIRECT("'"&amp;datatable!$H$5:$H$7&amp;"'!H"&amp;21))</f>
        <v>2</v>
      </c>
      <c r="I21" s="58" cm="1">
        <f t="array" aca="1" ref="I21" ca="1">SUM(INDIRECT("'"&amp;datatable!$H$5:$H$7&amp;"'!I"&amp;21))</f>
        <v>3</v>
      </c>
      <c r="J21" s="59" cm="1">
        <f t="array" aca="1" ref="J21" ca="1">SUM(INDIRECT("'"&amp;datatable!$H$5:$H$7&amp;"'!J"&amp;21))</f>
        <v>5</v>
      </c>
      <c r="K21" s="60" cm="1">
        <f t="array" aca="1" ref="K21" ca="1">SUM(INDIRECT("'"&amp;datatable!$H$5:$H$7&amp;"'!K"&amp;21))</f>
        <v>2</v>
      </c>
      <c r="L21" s="61" cm="1">
        <f t="array" aca="1" ref="L21" ca="1">SUM(INDIRECT("'"&amp;datatable!$H$5:$H$7&amp;"'!L"&amp;21))</f>
        <v>7</v>
      </c>
      <c r="M21" s="62" cm="1">
        <f t="array" aca="1" ref="M21" ca="1">SUM(INDIRECT("'"&amp;datatable!$H$5:$H$7&amp;"'!M"&amp;21))</f>
        <v>3</v>
      </c>
      <c r="N21" s="29">
        <f t="shared" ca="1" si="0"/>
        <v>54</v>
      </c>
      <c r="O21" s="29">
        <f t="shared" ca="1" si="1"/>
        <v>51</v>
      </c>
    </row>
    <row r="22" spans="3:15">
      <c r="C22" s="5" t="s">
        <v>28</v>
      </c>
      <c r="D22" s="8" cm="1">
        <f t="array" aca="1" ref="D22" ca="1">SUM(INDIRECT("'"&amp;datatable!$H$5:$H$7&amp;"'!D"&amp;22))</f>
        <v>28</v>
      </c>
      <c r="E22" s="54" cm="1">
        <f t="array" aca="1" ref="E22" ca="1">SUM(INDIRECT("'"&amp;datatable!$H$5:$H$7&amp;"'!E"&amp;22))</f>
        <v>2</v>
      </c>
      <c r="F22" s="55" cm="1">
        <f t="array" aca="1" ref="F22" ca="1">SUM(INDIRECT("'"&amp;datatable!$H$5:$H$7&amp;"'!F"&amp;22))</f>
        <v>1</v>
      </c>
      <c r="G22" s="56" cm="1">
        <f t="array" aca="1" ref="G22" ca="1">SUM(INDIRECT("'"&amp;datatable!$H$5:$H$7&amp;"'!G"&amp;22))</f>
        <v>1</v>
      </c>
      <c r="H22" s="57" cm="1">
        <f t="array" aca="1" ref="H22" ca="1">SUM(INDIRECT("'"&amp;datatable!$H$5:$H$7&amp;"'!H"&amp;22))</f>
        <v>1</v>
      </c>
      <c r="I22" s="58" cm="1">
        <f t="array" aca="1" ref="I22" ca="1">SUM(INDIRECT("'"&amp;datatable!$H$5:$H$7&amp;"'!I"&amp;22))</f>
        <v>0</v>
      </c>
      <c r="J22" s="59" cm="1">
        <f t="array" aca="1" ref="J22" ca="1">SUM(INDIRECT("'"&amp;datatable!$H$5:$H$7&amp;"'!J"&amp;22))</f>
        <v>7</v>
      </c>
      <c r="K22" s="60" cm="1">
        <f t="array" aca="1" ref="K22" ca="1">SUM(INDIRECT("'"&amp;datatable!$H$5:$H$7&amp;"'!K"&amp;22))</f>
        <v>2</v>
      </c>
      <c r="L22" s="61" cm="1">
        <f t="array" aca="1" ref="L22" ca="1">SUM(INDIRECT("'"&amp;datatable!$H$5:$H$7&amp;"'!L"&amp;22))</f>
        <v>9</v>
      </c>
      <c r="M22" s="62" cm="1">
        <f t="array" aca="1" ref="M22" ca="1">SUM(INDIRECT("'"&amp;datatable!$H$5:$H$7&amp;"'!M"&amp;22))</f>
        <v>3</v>
      </c>
      <c r="N22" s="29">
        <f t="shared" ca="1" si="0"/>
        <v>54</v>
      </c>
      <c r="O22" s="29">
        <f t="shared" ca="1" si="1"/>
        <v>51</v>
      </c>
    </row>
    <row r="23" spans="3:15">
      <c r="C23" s="5" t="s">
        <v>29</v>
      </c>
      <c r="D23" s="8" cm="1">
        <f t="array" aca="1" ref="D23" ca="1">SUM(INDIRECT("'"&amp;datatable!$H$5:$H$7&amp;"'!D"&amp;23))</f>
        <v>6</v>
      </c>
      <c r="E23" s="54" cm="1">
        <f t="array" aca="1" ref="E23" ca="1">SUM(INDIRECT("'"&amp;datatable!$H$5:$H$7&amp;"'!E"&amp;23))</f>
        <v>13</v>
      </c>
      <c r="F23" s="55" cm="1">
        <f t="array" aca="1" ref="F23" ca="1">SUM(INDIRECT("'"&amp;datatable!$H$5:$H$7&amp;"'!F"&amp;23))</f>
        <v>2</v>
      </c>
      <c r="G23" s="56" cm="1">
        <f t="array" aca="1" ref="G23" ca="1">SUM(INDIRECT("'"&amp;datatable!$H$5:$H$7&amp;"'!G"&amp;23))</f>
        <v>1</v>
      </c>
      <c r="H23" s="57" cm="1">
        <f t="array" aca="1" ref="H23" ca="1">SUM(INDIRECT("'"&amp;datatable!$H$5:$H$7&amp;"'!H"&amp;23))</f>
        <v>1</v>
      </c>
      <c r="I23" s="58" cm="1">
        <f t="array" aca="1" ref="I23" ca="1">SUM(INDIRECT("'"&amp;datatable!$H$5:$H$7&amp;"'!I"&amp;23))</f>
        <v>1</v>
      </c>
      <c r="J23" s="59" cm="1">
        <f t="array" aca="1" ref="J23" ca="1">SUM(INDIRECT("'"&amp;datatable!$H$5:$H$7&amp;"'!J"&amp;23))</f>
        <v>6</v>
      </c>
      <c r="K23" s="60" cm="1">
        <f t="array" aca="1" ref="K23" ca="1">SUM(INDIRECT("'"&amp;datatable!$H$5:$H$7&amp;"'!K"&amp;23))</f>
        <v>1</v>
      </c>
      <c r="L23" s="61" cm="1">
        <f t="array" aca="1" ref="L23" ca="1">SUM(INDIRECT("'"&amp;datatable!$H$5:$H$7&amp;"'!L"&amp;23))</f>
        <v>4</v>
      </c>
      <c r="M23" s="62" cm="1">
        <f t="array" aca="1" ref="M23" ca="1">SUM(INDIRECT("'"&amp;datatable!$H$5:$H$7&amp;"'!M"&amp;23))</f>
        <v>19</v>
      </c>
      <c r="N23" s="29">
        <f t="shared" ca="1" si="0"/>
        <v>54</v>
      </c>
      <c r="O23" s="29">
        <f t="shared" ca="1" si="1"/>
        <v>35</v>
      </c>
    </row>
    <row r="24" spans="3:15">
      <c r="C24" s="5" t="s">
        <v>30</v>
      </c>
      <c r="D24" s="8" cm="1">
        <f t="array" aca="1" ref="D24" ca="1">SUM(INDIRECT("'"&amp;datatable!$H$5:$H$7&amp;"'!D"&amp;24))</f>
        <v>8</v>
      </c>
      <c r="E24" s="54" cm="1">
        <f t="array" aca="1" ref="E24" ca="1">SUM(INDIRECT("'"&amp;datatable!$H$5:$H$7&amp;"'!E"&amp;24))</f>
        <v>11</v>
      </c>
      <c r="F24" s="55" cm="1">
        <f t="array" aca="1" ref="F24" ca="1">SUM(INDIRECT("'"&amp;datatable!$H$5:$H$7&amp;"'!F"&amp;24))</f>
        <v>4</v>
      </c>
      <c r="G24" s="56" cm="1">
        <f t="array" aca="1" ref="G24" ca="1">SUM(INDIRECT("'"&amp;datatable!$H$5:$H$7&amp;"'!G"&amp;24))</f>
        <v>3</v>
      </c>
      <c r="H24" s="57" cm="1">
        <f t="array" aca="1" ref="H24" ca="1">SUM(INDIRECT("'"&amp;datatable!$H$5:$H$7&amp;"'!H"&amp;24))</f>
        <v>4</v>
      </c>
      <c r="I24" s="58" cm="1">
        <f t="array" aca="1" ref="I24" ca="1">SUM(INDIRECT("'"&amp;datatable!$H$5:$H$7&amp;"'!I"&amp;24))</f>
        <v>4</v>
      </c>
      <c r="J24" s="59" cm="1">
        <f t="array" aca="1" ref="J24" ca="1">SUM(INDIRECT("'"&amp;datatable!$H$5:$H$7&amp;"'!J"&amp;24))</f>
        <v>7</v>
      </c>
      <c r="K24" s="60" cm="1">
        <f t="array" aca="1" ref="K24" ca="1">SUM(INDIRECT("'"&amp;datatable!$H$5:$H$7&amp;"'!K"&amp;24))</f>
        <v>7</v>
      </c>
      <c r="L24" s="61" cm="1">
        <f t="array" aca="1" ref="L24" ca="1">SUM(INDIRECT("'"&amp;datatable!$H$5:$H$7&amp;"'!L"&amp;24))</f>
        <v>6</v>
      </c>
      <c r="M24" s="62" cm="1">
        <f t="array" aca="1" ref="M24" ca="1">SUM(INDIRECT("'"&amp;datatable!$H$5:$H$7&amp;"'!M"&amp;24))</f>
        <v>0</v>
      </c>
      <c r="N24" s="29">
        <f t="shared" ca="1" si="0"/>
        <v>54</v>
      </c>
      <c r="O24" s="29">
        <f t="shared" ca="1" si="1"/>
        <v>54</v>
      </c>
    </row>
    <row r="25" spans="3:15">
      <c r="C25" s="5" t="s">
        <v>31</v>
      </c>
      <c r="D25" s="8" cm="1">
        <f t="array" aca="1" ref="D25" ca="1">SUM(INDIRECT("'"&amp;datatable!$H$5:$H$7&amp;"'!D"&amp;25))</f>
        <v>12</v>
      </c>
      <c r="E25" s="54" cm="1">
        <f t="array" aca="1" ref="E25" ca="1">SUM(INDIRECT("'"&amp;datatable!$H$5:$H$7&amp;"'!E"&amp;25))</f>
        <v>12</v>
      </c>
      <c r="F25" s="55" cm="1">
        <f t="array" aca="1" ref="F25" ca="1">SUM(INDIRECT("'"&amp;datatable!$H$5:$H$7&amp;"'!F"&amp;25))</f>
        <v>3</v>
      </c>
      <c r="G25" s="56" cm="1">
        <f t="array" aca="1" ref="G25" ca="1">SUM(INDIRECT("'"&amp;datatable!$H$5:$H$7&amp;"'!G"&amp;25))</f>
        <v>3</v>
      </c>
      <c r="H25" s="57" cm="1">
        <f t="array" aca="1" ref="H25" ca="1">SUM(INDIRECT("'"&amp;datatable!$H$5:$H$7&amp;"'!H"&amp;25))</f>
        <v>4</v>
      </c>
      <c r="I25" s="58" cm="1">
        <f t="array" aca="1" ref="I25" ca="1">SUM(INDIRECT("'"&amp;datatable!$H$5:$H$7&amp;"'!I"&amp;25))</f>
        <v>2</v>
      </c>
      <c r="J25" s="59" cm="1">
        <f t="array" aca="1" ref="J25" ca="1">SUM(INDIRECT("'"&amp;datatable!$H$5:$H$7&amp;"'!J"&amp;25))</f>
        <v>7</v>
      </c>
      <c r="K25" s="60" cm="1">
        <f t="array" aca="1" ref="K25" ca="1">SUM(INDIRECT("'"&amp;datatable!$H$5:$H$7&amp;"'!K"&amp;25))</f>
        <v>3</v>
      </c>
      <c r="L25" s="61" cm="1">
        <f t="array" aca="1" ref="L25" ca="1">SUM(INDIRECT("'"&amp;datatable!$H$5:$H$7&amp;"'!L"&amp;25))</f>
        <v>5</v>
      </c>
      <c r="M25" s="62" cm="1">
        <f t="array" aca="1" ref="M25" ca="1">SUM(INDIRECT("'"&amp;datatable!$H$5:$H$7&amp;"'!M"&amp;25))</f>
        <v>3</v>
      </c>
      <c r="N25" s="29">
        <f t="shared" ca="1" si="0"/>
        <v>54</v>
      </c>
      <c r="O25" s="29">
        <f t="shared" ca="1" si="1"/>
        <v>51</v>
      </c>
    </row>
    <row r="26" spans="3:15">
      <c r="C26" s="5" t="s">
        <v>32</v>
      </c>
      <c r="D26" s="8" cm="1">
        <f t="array" aca="1" ref="D26" ca="1">SUM(INDIRECT("'"&amp;datatable!$H$5:$H$7&amp;"'!D"&amp;26))</f>
        <v>7</v>
      </c>
      <c r="E26" s="54" cm="1">
        <f t="array" aca="1" ref="E26" ca="1">SUM(INDIRECT("'"&amp;datatable!$H$5:$H$7&amp;"'!E"&amp;26))</f>
        <v>3</v>
      </c>
      <c r="F26" s="55" cm="1">
        <f t="array" aca="1" ref="F26" ca="1">SUM(INDIRECT("'"&amp;datatable!$H$5:$H$7&amp;"'!F"&amp;26))</f>
        <v>2</v>
      </c>
      <c r="G26" s="56" cm="1">
        <f t="array" aca="1" ref="G26" ca="1">SUM(INDIRECT("'"&amp;datatable!$H$5:$H$7&amp;"'!G"&amp;26))</f>
        <v>7</v>
      </c>
      <c r="H26" s="57" cm="1">
        <f t="array" aca="1" ref="H26" ca="1">SUM(INDIRECT("'"&amp;datatable!$H$5:$H$7&amp;"'!H"&amp;26))</f>
        <v>10</v>
      </c>
      <c r="I26" s="58" cm="1">
        <f t="array" aca="1" ref="I26" ca="1">SUM(INDIRECT("'"&amp;datatable!$H$5:$H$7&amp;"'!I"&amp;26))</f>
        <v>3</v>
      </c>
      <c r="J26" s="59" cm="1">
        <f t="array" aca="1" ref="J26" ca="1">SUM(INDIRECT("'"&amp;datatable!$H$5:$H$7&amp;"'!J"&amp;26))</f>
        <v>8</v>
      </c>
      <c r="K26" s="60" cm="1">
        <f t="array" aca="1" ref="K26" ca="1">SUM(INDIRECT("'"&amp;datatable!$H$5:$H$7&amp;"'!K"&amp;26))</f>
        <v>3</v>
      </c>
      <c r="L26" s="61" cm="1">
        <f t="array" aca="1" ref="L26" ca="1">SUM(INDIRECT("'"&amp;datatable!$H$5:$H$7&amp;"'!L"&amp;26))</f>
        <v>8</v>
      </c>
      <c r="M26" s="62" cm="1">
        <f t="array" aca="1" ref="M26" ca="1">SUM(INDIRECT("'"&amp;datatable!$H$5:$H$7&amp;"'!M"&amp;26))</f>
        <v>3</v>
      </c>
      <c r="N26" s="29">
        <f t="shared" ca="1" si="0"/>
        <v>54</v>
      </c>
      <c r="O26" s="29">
        <f t="shared" ca="1" si="1"/>
        <v>51</v>
      </c>
    </row>
    <row r="27" spans="3:15">
      <c r="C27" s="5" t="s">
        <v>33</v>
      </c>
      <c r="D27" s="8" cm="1">
        <f t="array" aca="1" ref="D27" ca="1">SUM(INDIRECT("'"&amp;datatable!$H$5:$H$7&amp;"'!D"&amp;27))</f>
        <v>6</v>
      </c>
      <c r="E27" s="54" cm="1">
        <f t="array" aca="1" ref="E27" ca="1">SUM(INDIRECT("'"&amp;datatable!$H$5:$H$7&amp;"'!E"&amp;27))</f>
        <v>1</v>
      </c>
      <c r="F27" s="55" cm="1">
        <f t="array" aca="1" ref="F27" ca="1">SUM(INDIRECT("'"&amp;datatable!$H$5:$H$7&amp;"'!F"&amp;27))</f>
        <v>2</v>
      </c>
      <c r="G27" s="56" cm="1">
        <f t="array" aca="1" ref="G27" ca="1">SUM(INDIRECT("'"&amp;datatable!$H$5:$H$7&amp;"'!G"&amp;27))</f>
        <v>2</v>
      </c>
      <c r="H27" s="57" cm="1">
        <f t="array" aca="1" ref="H27" ca="1">SUM(INDIRECT("'"&amp;datatable!$H$5:$H$7&amp;"'!H"&amp;27))</f>
        <v>0</v>
      </c>
      <c r="I27" s="58" cm="1">
        <f t="array" aca="1" ref="I27" ca="1">SUM(INDIRECT("'"&amp;datatable!$H$5:$H$7&amp;"'!I"&amp;27))</f>
        <v>0</v>
      </c>
      <c r="J27" s="59" cm="1">
        <f t="array" aca="1" ref="J27" ca="1">SUM(INDIRECT("'"&amp;datatable!$H$5:$H$7&amp;"'!J"&amp;27))</f>
        <v>3</v>
      </c>
      <c r="K27" s="60" cm="1">
        <f t="array" aca="1" ref="K27" ca="1">SUM(INDIRECT("'"&amp;datatable!$H$5:$H$7&amp;"'!K"&amp;27))</f>
        <v>2</v>
      </c>
      <c r="L27" s="61" cm="1">
        <f t="array" aca="1" ref="L27" ca="1">SUM(INDIRECT("'"&amp;datatable!$H$5:$H$7&amp;"'!L"&amp;27))</f>
        <v>11</v>
      </c>
      <c r="M27" s="62" cm="1">
        <f t="array" aca="1" ref="M27" ca="1">SUM(INDIRECT("'"&amp;datatable!$H$5:$H$7&amp;"'!M"&amp;27))</f>
        <v>27</v>
      </c>
      <c r="N27" s="29">
        <f t="shared" ca="1" si="0"/>
        <v>54</v>
      </c>
      <c r="O27" s="29">
        <f t="shared" ca="1" si="1"/>
        <v>27</v>
      </c>
    </row>
    <row r="28" spans="3:15">
      <c r="C28" s="6" t="s">
        <v>34</v>
      </c>
      <c r="D28" s="9">
        <f t="shared" ref="D28:M28" ca="1" si="2">SUM(D7:D27)</f>
        <v>406</v>
      </c>
      <c r="E28" s="9">
        <f t="shared" ca="1" si="2"/>
        <v>89</v>
      </c>
      <c r="F28" s="9">
        <f t="shared" ca="1" si="2"/>
        <v>42</v>
      </c>
      <c r="G28" s="9">
        <f t="shared" ca="1" si="2"/>
        <v>60</v>
      </c>
      <c r="H28" s="9">
        <f t="shared" ca="1" si="2"/>
        <v>51</v>
      </c>
      <c r="I28" s="9">
        <f t="shared" ca="1" si="2"/>
        <v>36</v>
      </c>
      <c r="J28" s="9">
        <f t="shared" ca="1" si="2"/>
        <v>113</v>
      </c>
      <c r="K28" s="9">
        <f t="shared" ca="1" si="2"/>
        <v>84</v>
      </c>
      <c r="L28" s="9">
        <f t="shared" ca="1" si="2"/>
        <v>164</v>
      </c>
      <c r="M28" s="9">
        <f t="shared" ca="1" si="2"/>
        <v>89</v>
      </c>
      <c r="N28" s="29">
        <f t="shared" ca="1" si="0"/>
        <v>1134</v>
      </c>
      <c r="O28" s="29">
        <f t="shared" ca="1" si="1"/>
        <v>1045</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SUM(INDIRECT("'"&amp;datatable!$H$5:$H$7&amp;"'!D"&amp;32))</f>
        <v>29</v>
      </c>
      <c r="E32" s="11" cm="1">
        <f t="array" aca="1" ref="E32" ca="1">SUM(INDIRECT("'"&amp;datatable!$H$5:$H$7&amp;"'!E"&amp;32))</f>
        <v>4</v>
      </c>
      <c r="F32" s="13" cm="1">
        <f t="array" aca="1" ref="F32" ca="1">SUM(INDIRECT("'"&amp;datatable!$H$5:$H$7&amp;"'!F"&amp;32))</f>
        <v>1</v>
      </c>
      <c r="G32" s="15" cm="1">
        <f t="array" aca="1" ref="G32" ca="1">SUM(INDIRECT("'"&amp;datatable!$H$5:$H$7&amp;"'!G"&amp;32))</f>
        <v>2</v>
      </c>
      <c r="H32" s="17" cm="1">
        <f t="array" aca="1" ref="H32" ca="1">SUM(INDIRECT("'"&amp;datatable!$H$5:$H$7&amp;"'!H"&amp;32))</f>
        <v>1</v>
      </c>
      <c r="I32" s="19" cm="1">
        <f t="array" aca="1" ref="I32" ca="1">SUM(INDIRECT("'"&amp;datatable!$H$5:$H$7&amp;"'!I"&amp;32))</f>
        <v>1</v>
      </c>
      <c r="J32" s="21" cm="1">
        <f t="array" aca="1" ref="J32" ca="1">SUM(INDIRECT("'"&amp;datatable!$H$5:$H$7&amp;"'!J"&amp;32))</f>
        <v>6</v>
      </c>
      <c r="K32" s="23" cm="1">
        <f t="array" aca="1" ref="K32" ca="1">SUM(INDIRECT("'"&amp;datatable!$H$5:$H$7&amp;"'!K"&amp;32))</f>
        <v>5</v>
      </c>
      <c r="L32" s="25" cm="1">
        <f t="array" aca="1" ref="L32" ca="1">SUM(INDIRECT("'"&amp;datatable!$H$5:$H$7&amp;"'!L"&amp;32))</f>
        <v>4</v>
      </c>
      <c r="M32" s="27" cm="1">
        <f t="array" aca="1" ref="M32" ca="1">SUM(INDIRECT("'"&amp;datatable!$H$5:$H$7&amp;"'!M"&amp;32))</f>
        <v>10</v>
      </c>
      <c r="N32" s="43">
        <f t="shared" ref="N32:N49" ca="1" si="3">SUM(D32:M32)</f>
        <v>63</v>
      </c>
      <c r="O32" s="43">
        <f t="shared" ref="O32:O49" ca="1" si="4">SUM(D32:L32)</f>
        <v>53</v>
      </c>
    </row>
    <row r="33" spans="3:15">
      <c r="C33" s="44" t="s">
        <v>38</v>
      </c>
      <c r="D33" s="8" cm="1">
        <f t="array" aca="1" ref="D33" ca="1">SUM(INDIRECT("'"&amp;datatable!$H$5:$H$7&amp;"'!D"&amp;33))</f>
        <v>25</v>
      </c>
      <c r="E33" s="11" cm="1">
        <f t="array" aca="1" ref="E33" ca="1">SUM(INDIRECT("'"&amp;datatable!$H$5:$H$7&amp;"'!E"&amp;33))</f>
        <v>5</v>
      </c>
      <c r="F33" s="13" cm="1">
        <f t="array" aca="1" ref="F33" ca="1">SUM(INDIRECT("'"&amp;datatable!$H$5:$H$7&amp;"'!F"&amp;33))</f>
        <v>2</v>
      </c>
      <c r="G33" s="15" cm="1">
        <f t="array" aca="1" ref="G33" ca="1">SUM(INDIRECT("'"&amp;datatable!$H$5:$H$7&amp;"'!G"&amp;33))</f>
        <v>3</v>
      </c>
      <c r="H33" s="17" cm="1">
        <f t="array" aca="1" ref="H33" ca="1">SUM(INDIRECT("'"&amp;datatable!$H$5:$H$7&amp;"'!H"&amp;33))</f>
        <v>4</v>
      </c>
      <c r="I33" s="19" cm="1">
        <f t="array" aca="1" ref="I33" ca="1">SUM(INDIRECT("'"&amp;datatable!$H$5:$H$7&amp;"'!I"&amp;33))</f>
        <v>0</v>
      </c>
      <c r="J33" s="21" cm="1">
        <f t="array" aca="1" ref="J33" ca="1">SUM(INDIRECT("'"&amp;datatable!$H$5:$H$7&amp;"'!J"&amp;33))</f>
        <v>4</v>
      </c>
      <c r="K33" s="23" cm="1">
        <f t="array" aca="1" ref="K33" ca="1">SUM(INDIRECT("'"&amp;datatable!$H$5:$H$7&amp;"'!K"&amp;33))</f>
        <v>6</v>
      </c>
      <c r="L33" s="25" cm="1">
        <f t="array" aca="1" ref="L33" ca="1">SUM(INDIRECT("'"&amp;datatable!$H$5:$H$7&amp;"'!L"&amp;33))</f>
        <v>13</v>
      </c>
      <c r="M33" s="27" cm="1">
        <f t="array" aca="1" ref="M33" ca="1">SUM(INDIRECT("'"&amp;datatable!$H$5:$H$7&amp;"'!M"&amp;33))</f>
        <v>1</v>
      </c>
      <c r="N33" s="43">
        <f t="shared" ca="1" si="3"/>
        <v>63</v>
      </c>
      <c r="O33" s="43">
        <f t="shared" ca="1" si="4"/>
        <v>62</v>
      </c>
    </row>
    <row r="34" spans="3:15">
      <c r="C34" s="44" t="s">
        <v>39</v>
      </c>
      <c r="D34" s="8" cm="1">
        <f t="array" aca="1" ref="D34" ca="1">SUM(INDIRECT("'"&amp;datatable!$H$5:$H$7&amp;"'!D"&amp;34))</f>
        <v>29</v>
      </c>
      <c r="E34" s="11" cm="1">
        <f t="array" aca="1" ref="E34" ca="1">SUM(INDIRECT("'"&amp;datatable!$H$5:$H$7&amp;"'!E"&amp;34))</f>
        <v>5</v>
      </c>
      <c r="F34" s="13" cm="1">
        <f t="array" aca="1" ref="F34" ca="1">SUM(INDIRECT("'"&amp;datatable!$H$5:$H$7&amp;"'!F"&amp;34))</f>
        <v>3</v>
      </c>
      <c r="G34" s="15" cm="1">
        <f t="array" aca="1" ref="G34" ca="1">SUM(INDIRECT("'"&amp;datatable!$H$5:$H$7&amp;"'!G"&amp;34))</f>
        <v>2</v>
      </c>
      <c r="H34" s="17" cm="1">
        <f t="array" aca="1" ref="H34" ca="1">SUM(INDIRECT("'"&amp;datatable!$H$5:$H$7&amp;"'!H"&amp;34))</f>
        <v>4</v>
      </c>
      <c r="I34" s="19" cm="1">
        <f t="array" aca="1" ref="I34" ca="1">SUM(INDIRECT("'"&amp;datatable!$H$5:$H$7&amp;"'!I"&amp;34))</f>
        <v>1</v>
      </c>
      <c r="J34" s="21" cm="1">
        <f t="array" aca="1" ref="J34" ca="1">SUM(INDIRECT("'"&amp;datatable!$H$5:$H$7&amp;"'!J"&amp;34))</f>
        <v>4</v>
      </c>
      <c r="K34" s="23" cm="1">
        <f t="array" aca="1" ref="K34" ca="1">SUM(INDIRECT("'"&amp;datatable!$H$5:$H$7&amp;"'!K"&amp;34))</f>
        <v>2</v>
      </c>
      <c r="L34" s="25" cm="1">
        <f t="array" aca="1" ref="L34" ca="1">SUM(INDIRECT("'"&amp;datatable!$H$5:$H$7&amp;"'!L"&amp;34))</f>
        <v>7</v>
      </c>
      <c r="M34" s="27" cm="1">
        <f t="array" aca="1" ref="M34" ca="1">SUM(INDIRECT("'"&amp;datatable!$H$5:$H$7&amp;"'!M"&amp;34))</f>
        <v>6</v>
      </c>
      <c r="N34" s="43">
        <f t="shared" ca="1" si="3"/>
        <v>63</v>
      </c>
      <c r="O34" s="43">
        <f t="shared" ca="1" si="4"/>
        <v>57</v>
      </c>
    </row>
    <row r="35" spans="3:15">
      <c r="C35" s="44" t="s">
        <v>40</v>
      </c>
      <c r="D35" s="8" cm="1">
        <f t="array" aca="1" ref="D35" ca="1">SUM(INDIRECT("'"&amp;datatable!$H$5:$H$7&amp;"'!D"&amp;35))</f>
        <v>26</v>
      </c>
      <c r="E35" s="11" cm="1">
        <f t="array" aca="1" ref="E35" ca="1">SUM(INDIRECT("'"&amp;datatable!$H$5:$H$7&amp;"'!E"&amp;35))</f>
        <v>9</v>
      </c>
      <c r="F35" s="13" cm="1">
        <f t="array" aca="1" ref="F35" ca="1">SUM(INDIRECT("'"&amp;datatable!$H$5:$H$7&amp;"'!F"&amp;35))</f>
        <v>2</v>
      </c>
      <c r="G35" s="15" cm="1">
        <f t="array" aca="1" ref="G35" ca="1">SUM(INDIRECT("'"&amp;datatable!$H$5:$H$7&amp;"'!G"&amp;35))</f>
        <v>3</v>
      </c>
      <c r="H35" s="17" cm="1">
        <f t="array" aca="1" ref="H35" ca="1">SUM(INDIRECT("'"&amp;datatable!$H$5:$H$7&amp;"'!H"&amp;35))</f>
        <v>1</v>
      </c>
      <c r="I35" s="19" cm="1">
        <f t="array" aca="1" ref="I35" ca="1">SUM(INDIRECT("'"&amp;datatable!$H$5:$H$7&amp;"'!I"&amp;35))</f>
        <v>7</v>
      </c>
      <c r="J35" s="21" cm="1">
        <f t="array" aca="1" ref="J35" ca="1">SUM(INDIRECT("'"&amp;datatable!$H$5:$H$7&amp;"'!J"&amp;35))</f>
        <v>5</v>
      </c>
      <c r="K35" s="23" cm="1">
        <f t="array" aca="1" ref="K35" ca="1">SUM(INDIRECT("'"&amp;datatable!$H$5:$H$7&amp;"'!K"&amp;35))</f>
        <v>4</v>
      </c>
      <c r="L35" s="25" cm="1">
        <f t="array" aca="1" ref="L35" ca="1">SUM(INDIRECT("'"&amp;datatable!$H$5:$H$7&amp;"'!L"&amp;35))</f>
        <v>6</v>
      </c>
      <c r="M35" s="27" cm="1">
        <f t="array" aca="1" ref="M35" ca="1">SUM(INDIRECT("'"&amp;datatable!$H$5:$H$7&amp;"'!M"&amp;35))</f>
        <v>0</v>
      </c>
      <c r="N35" s="43">
        <f t="shared" ca="1" si="3"/>
        <v>63</v>
      </c>
      <c r="O35" s="43">
        <f t="shared" ca="1" si="4"/>
        <v>63</v>
      </c>
    </row>
    <row r="36" spans="3:15">
      <c r="C36" s="44" t="s">
        <v>41</v>
      </c>
      <c r="D36" s="8" cm="1">
        <f t="array" aca="1" ref="D36" ca="1">SUM(INDIRECT("'"&amp;datatable!$H$5:$H$7&amp;"'!D"&amp;36))</f>
        <v>19</v>
      </c>
      <c r="E36" s="11" cm="1">
        <f t="array" aca="1" ref="E36" ca="1">SUM(INDIRECT("'"&amp;datatable!$H$5:$H$7&amp;"'!E"&amp;36))</f>
        <v>5</v>
      </c>
      <c r="F36" s="13" cm="1">
        <f t="array" aca="1" ref="F36" ca="1">SUM(INDIRECT("'"&amp;datatable!$H$5:$H$7&amp;"'!F"&amp;36))</f>
        <v>1</v>
      </c>
      <c r="G36" s="15" cm="1">
        <f t="array" aca="1" ref="G36" ca="1">SUM(INDIRECT("'"&amp;datatable!$H$5:$H$7&amp;"'!G"&amp;36))</f>
        <v>3</v>
      </c>
      <c r="H36" s="17" cm="1">
        <f t="array" aca="1" ref="H36" ca="1">SUM(INDIRECT("'"&amp;datatable!$H$5:$H$7&amp;"'!H"&amp;36))</f>
        <v>5</v>
      </c>
      <c r="I36" s="19" cm="1">
        <f t="array" aca="1" ref="I36" ca="1">SUM(INDIRECT("'"&amp;datatable!$H$5:$H$7&amp;"'!I"&amp;36))</f>
        <v>2</v>
      </c>
      <c r="J36" s="21" cm="1">
        <f t="array" aca="1" ref="J36" ca="1">SUM(INDIRECT("'"&amp;datatable!$H$5:$H$7&amp;"'!J"&amp;36))</f>
        <v>9</v>
      </c>
      <c r="K36" s="23" cm="1">
        <f t="array" aca="1" ref="K36" ca="1">SUM(INDIRECT("'"&amp;datatable!$H$5:$H$7&amp;"'!K"&amp;36))</f>
        <v>11</v>
      </c>
      <c r="L36" s="25" cm="1">
        <f t="array" aca="1" ref="L36" ca="1">SUM(INDIRECT("'"&amp;datatable!$H$5:$H$7&amp;"'!L"&amp;36))</f>
        <v>5</v>
      </c>
      <c r="M36" s="27" cm="1">
        <f t="array" aca="1" ref="M36" ca="1">SUM(INDIRECT("'"&amp;datatable!$H$5:$H$7&amp;"'!M"&amp;36))</f>
        <v>3</v>
      </c>
      <c r="N36" s="43">
        <f t="shared" ca="1" si="3"/>
        <v>63</v>
      </c>
      <c r="O36" s="43">
        <f t="shared" ca="1" si="4"/>
        <v>60</v>
      </c>
    </row>
    <row r="37" spans="3:15">
      <c r="C37" s="44" t="s">
        <v>42</v>
      </c>
      <c r="D37" s="8" cm="1">
        <f t="array" aca="1" ref="D37" ca="1">SUM(INDIRECT("'"&amp;datatable!$H$5:$H$7&amp;"'!D"&amp;37))</f>
        <v>21</v>
      </c>
      <c r="E37" s="11" cm="1">
        <f t="array" aca="1" ref="E37" ca="1">SUM(INDIRECT("'"&amp;datatable!$H$5:$H$7&amp;"'!E"&amp;37))</f>
        <v>3</v>
      </c>
      <c r="F37" s="13" cm="1">
        <f t="array" aca="1" ref="F37" ca="1">SUM(INDIRECT("'"&amp;datatable!$H$5:$H$7&amp;"'!F"&amp;37))</f>
        <v>0</v>
      </c>
      <c r="G37" s="15" cm="1">
        <f t="array" aca="1" ref="G37" ca="1">SUM(INDIRECT("'"&amp;datatable!$H$5:$H$7&amp;"'!G"&amp;37))</f>
        <v>3</v>
      </c>
      <c r="H37" s="17" cm="1">
        <f t="array" aca="1" ref="H37" ca="1">SUM(INDIRECT("'"&amp;datatable!$H$5:$H$7&amp;"'!H"&amp;37))</f>
        <v>1</v>
      </c>
      <c r="I37" s="19" cm="1">
        <f t="array" aca="1" ref="I37" ca="1">SUM(INDIRECT("'"&amp;datatable!$H$5:$H$7&amp;"'!I"&amp;37))</f>
        <v>2</v>
      </c>
      <c r="J37" s="21" cm="1">
        <f t="array" aca="1" ref="J37" ca="1">SUM(INDIRECT("'"&amp;datatable!$H$5:$H$7&amp;"'!J"&amp;37))</f>
        <v>1</v>
      </c>
      <c r="K37" s="23" cm="1">
        <f t="array" aca="1" ref="K37" ca="1">SUM(INDIRECT("'"&amp;datatable!$H$5:$H$7&amp;"'!K"&amp;37))</f>
        <v>1</v>
      </c>
      <c r="L37" s="25" cm="1">
        <f t="array" aca="1" ref="L37" ca="1">SUM(INDIRECT("'"&amp;datatable!$H$5:$H$7&amp;"'!L"&amp;37))</f>
        <v>1</v>
      </c>
      <c r="M37" s="27" cm="1">
        <f t="array" aca="1" ref="M37" ca="1">SUM(INDIRECT("'"&amp;datatable!$H$5:$H$7&amp;"'!M"&amp;37))</f>
        <v>30</v>
      </c>
      <c r="N37" s="43">
        <f t="shared" ca="1" si="3"/>
        <v>63</v>
      </c>
      <c r="O37" s="43">
        <f t="shared" ca="1" si="4"/>
        <v>33</v>
      </c>
    </row>
    <row r="38" spans="3:15">
      <c r="C38" s="44" t="s">
        <v>43</v>
      </c>
      <c r="D38" s="8" cm="1">
        <f t="array" aca="1" ref="D38" ca="1">SUM(INDIRECT("'"&amp;datatable!$H$5:$H$7&amp;"'!D"&amp;38))</f>
        <v>33</v>
      </c>
      <c r="E38" s="11" cm="1">
        <f t="array" aca="1" ref="E38" ca="1">SUM(INDIRECT("'"&amp;datatable!$H$5:$H$7&amp;"'!E"&amp;38))</f>
        <v>7</v>
      </c>
      <c r="F38" s="13" cm="1">
        <f t="array" aca="1" ref="F38" ca="1">SUM(INDIRECT("'"&amp;datatable!$H$5:$H$7&amp;"'!F"&amp;38))</f>
        <v>2</v>
      </c>
      <c r="G38" s="15" cm="1">
        <f t="array" aca="1" ref="G38" ca="1">SUM(INDIRECT("'"&amp;datatable!$H$5:$H$7&amp;"'!G"&amp;38))</f>
        <v>2</v>
      </c>
      <c r="H38" s="17" cm="1">
        <f t="array" aca="1" ref="H38" ca="1">SUM(INDIRECT("'"&amp;datatable!$H$5:$H$7&amp;"'!H"&amp;38))</f>
        <v>3</v>
      </c>
      <c r="I38" s="19" cm="1">
        <f t="array" aca="1" ref="I38" ca="1">SUM(INDIRECT("'"&amp;datatable!$H$5:$H$7&amp;"'!I"&amp;38))</f>
        <v>3</v>
      </c>
      <c r="J38" s="21" cm="1">
        <f t="array" aca="1" ref="J38" ca="1">SUM(INDIRECT("'"&amp;datatable!$H$5:$H$7&amp;"'!J"&amp;38))</f>
        <v>2</v>
      </c>
      <c r="K38" s="23" cm="1">
        <f t="array" aca="1" ref="K38" ca="1">SUM(INDIRECT("'"&amp;datatable!$H$5:$H$7&amp;"'!K"&amp;38))</f>
        <v>1</v>
      </c>
      <c r="L38" s="25" cm="1">
        <f t="array" aca="1" ref="L38" ca="1">SUM(INDIRECT("'"&amp;datatable!$H$5:$H$7&amp;"'!L"&amp;38))</f>
        <v>4</v>
      </c>
      <c r="M38" s="27" cm="1">
        <f t="array" aca="1" ref="M38" ca="1">SUM(INDIRECT("'"&amp;datatable!$H$5:$H$7&amp;"'!M"&amp;38))</f>
        <v>6</v>
      </c>
      <c r="N38" s="43">
        <f t="shared" ca="1" si="3"/>
        <v>63</v>
      </c>
      <c r="O38" s="43">
        <f t="shared" ca="1" si="4"/>
        <v>57</v>
      </c>
    </row>
    <row r="39" spans="3:15">
      <c r="C39" s="44" t="s">
        <v>44</v>
      </c>
      <c r="D39" s="8" cm="1">
        <f t="array" aca="1" ref="D39" ca="1">SUM(INDIRECT("'"&amp;datatable!$H$5:$H$7&amp;"'!D"&amp;39))</f>
        <v>34</v>
      </c>
      <c r="E39" s="11" cm="1">
        <f t="array" aca="1" ref="E39" ca="1">SUM(INDIRECT("'"&amp;datatable!$H$5:$H$7&amp;"'!E"&amp;39))</f>
        <v>9</v>
      </c>
      <c r="F39" s="13" cm="1">
        <f t="array" aca="1" ref="F39" ca="1">SUM(INDIRECT("'"&amp;datatable!$H$5:$H$7&amp;"'!F"&amp;39))</f>
        <v>0</v>
      </c>
      <c r="G39" s="15" cm="1">
        <f t="array" aca="1" ref="G39" ca="1">SUM(INDIRECT("'"&amp;datatable!$H$5:$H$7&amp;"'!G"&amp;39))</f>
        <v>2</v>
      </c>
      <c r="H39" s="17" cm="1">
        <f t="array" aca="1" ref="H39" ca="1">SUM(INDIRECT("'"&amp;datatable!$H$5:$H$7&amp;"'!H"&amp;39))</f>
        <v>3</v>
      </c>
      <c r="I39" s="19" cm="1">
        <f t="array" aca="1" ref="I39" ca="1">SUM(INDIRECT("'"&amp;datatable!$H$5:$H$7&amp;"'!I"&amp;39))</f>
        <v>0</v>
      </c>
      <c r="J39" s="21" cm="1">
        <f t="array" aca="1" ref="J39" ca="1">SUM(INDIRECT("'"&amp;datatable!$H$5:$H$7&amp;"'!J"&amp;39))</f>
        <v>5</v>
      </c>
      <c r="K39" s="23" cm="1">
        <f t="array" aca="1" ref="K39" ca="1">SUM(INDIRECT("'"&amp;datatable!$H$5:$H$7&amp;"'!K"&amp;39))</f>
        <v>3</v>
      </c>
      <c r="L39" s="25" cm="1">
        <f t="array" aca="1" ref="L39" ca="1">SUM(INDIRECT("'"&amp;datatable!$H$5:$H$7&amp;"'!L"&amp;39))</f>
        <v>4</v>
      </c>
      <c r="M39" s="27" cm="1">
        <f t="array" aca="1" ref="M39" ca="1">SUM(INDIRECT("'"&amp;datatable!$H$5:$H$7&amp;"'!M"&amp;39))</f>
        <v>3</v>
      </c>
      <c r="N39" s="43">
        <f t="shared" ca="1" si="3"/>
        <v>63</v>
      </c>
      <c r="O39" s="43">
        <f t="shared" ca="1" si="4"/>
        <v>60</v>
      </c>
    </row>
    <row r="40" spans="3:15">
      <c r="C40" s="44" t="s">
        <v>45</v>
      </c>
      <c r="D40" s="8" cm="1">
        <f t="array" aca="1" ref="D40" ca="1">SUM(INDIRECT("'"&amp;datatable!$H$5:$H$7&amp;"'!D"&amp;40))</f>
        <v>14</v>
      </c>
      <c r="E40" s="11" cm="1">
        <f t="array" aca="1" ref="E40" ca="1">SUM(INDIRECT("'"&amp;datatable!$H$5:$H$7&amp;"'!E"&amp;40))</f>
        <v>4</v>
      </c>
      <c r="F40" s="13" cm="1">
        <f t="array" aca="1" ref="F40" ca="1">SUM(INDIRECT("'"&amp;datatable!$H$5:$H$7&amp;"'!F"&amp;40))</f>
        <v>1</v>
      </c>
      <c r="G40" s="15" cm="1">
        <f t="array" aca="1" ref="G40" ca="1">SUM(INDIRECT("'"&amp;datatable!$H$5:$H$7&amp;"'!G"&amp;40))</f>
        <v>3</v>
      </c>
      <c r="H40" s="17" cm="1">
        <f t="array" aca="1" ref="H40" ca="1">SUM(INDIRECT("'"&amp;datatable!$H$5:$H$7&amp;"'!H"&amp;40))</f>
        <v>4</v>
      </c>
      <c r="I40" s="19" cm="1">
        <f t="array" aca="1" ref="I40" ca="1">SUM(INDIRECT("'"&amp;datatable!$H$5:$H$7&amp;"'!I"&amp;40))</f>
        <v>1</v>
      </c>
      <c r="J40" s="21" cm="1">
        <f t="array" aca="1" ref="J40" ca="1">SUM(INDIRECT("'"&amp;datatable!$H$5:$H$7&amp;"'!J"&amp;40))</f>
        <v>10</v>
      </c>
      <c r="K40" s="23" cm="1">
        <f t="array" aca="1" ref="K40" ca="1">SUM(INDIRECT("'"&amp;datatable!$H$5:$H$7&amp;"'!K"&amp;40))</f>
        <v>9</v>
      </c>
      <c r="L40" s="25" cm="1">
        <f t="array" aca="1" ref="L40" ca="1">SUM(INDIRECT("'"&amp;datatable!$H$5:$H$7&amp;"'!L"&amp;40))</f>
        <v>9</v>
      </c>
      <c r="M40" s="27" cm="1">
        <f t="array" aca="1" ref="M40" ca="1">SUM(INDIRECT("'"&amp;datatable!$H$5:$H$7&amp;"'!M"&amp;40))</f>
        <v>8</v>
      </c>
      <c r="N40" s="43">
        <f t="shared" ca="1" si="3"/>
        <v>63</v>
      </c>
      <c r="O40" s="43">
        <f t="shared" ca="1" si="4"/>
        <v>55</v>
      </c>
    </row>
    <row r="41" spans="3:15">
      <c r="C41" s="44" t="s">
        <v>46</v>
      </c>
      <c r="D41" s="8" cm="1">
        <f t="array" aca="1" ref="D41" ca="1">SUM(INDIRECT("'"&amp;datatable!$H$5:$H$7&amp;"'!D"&amp;41))</f>
        <v>22</v>
      </c>
      <c r="E41" s="11" cm="1">
        <f t="array" aca="1" ref="E41" ca="1">SUM(INDIRECT("'"&amp;datatable!$H$5:$H$7&amp;"'!E"&amp;41))</f>
        <v>6</v>
      </c>
      <c r="F41" s="13" cm="1">
        <f t="array" aca="1" ref="F41" ca="1">SUM(INDIRECT("'"&amp;datatable!$H$5:$H$7&amp;"'!F"&amp;41))</f>
        <v>1</v>
      </c>
      <c r="G41" s="15" cm="1">
        <f t="array" aca="1" ref="G41" ca="1">SUM(INDIRECT("'"&amp;datatable!$H$5:$H$7&amp;"'!G"&amp;41))</f>
        <v>4</v>
      </c>
      <c r="H41" s="17" cm="1">
        <f t="array" aca="1" ref="H41" ca="1">SUM(INDIRECT("'"&amp;datatable!$H$5:$H$7&amp;"'!H"&amp;41))</f>
        <v>4</v>
      </c>
      <c r="I41" s="19" cm="1">
        <f t="array" aca="1" ref="I41" ca="1">SUM(INDIRECT("'"&amp;datatable!$H$5:$H$7&amp;"'!I"&amp;41))</f>
        <v>3</v>
      </c>
      <c r="J41" s="21" cm="1">
        <f t="array" aca="1" ref="J41" ca="1">SUM(INDIRECT("'"&amp;datatable!$H$5:$H$7&amp;"'!J"&amp;41))</f>
        <v>8</v>
      </c>
      <c r="K41" s="23" cm="1">
        <f t="array" aca="1" ref="K41" ca="1">SUM(INDIRECT("'"&amp;datatable!$H$5:$H$7&amp;"'!K"&amp;41))</f>
        <v>10</v>
      </c>
      <c r="L41" s="25" cm="1">
        <f t="array" aca="1" ref="L41" ca="1">SUM(INDIRECT("'"&amp;datatable!$H$5:$H$7&amp;"'!L"&amp;41))</f>
        <v>5</v>
      </c>
      <c r="M41" s="27" cm="1">
        <f t="array" aca="1" ref="M41" ca="1">SUM(INDIRECT("'"&amp;datatable!$H$5:$H$7&amp;"'!M"&amp;41))</f>
        <v>0</v>
      </c>
      <c r="N41" s="43">
        <f t="shared" ca="1" si="3"/>
        <v>63</v>
      </c>
      <c r="O41" s="43">
        <f t="shared" ca="1" si="4"/>
        <v>63</v>
      </c>
    </row>
    <row r="42" spans="3:15">
      <c r="C42" s="44" t="s">
        <v>47</v>
      </c>
      <c r="D42" s="8" cm="1">
        <f t="array" aca="1" ref="D42" ca="1">SUM(INDIRECT("'"&amp;datatable!$H$5:$H$7&amp;"'!D"&amp;42))</f>
        <v>14</v>
      </c>
      <c r="E42" s="11" cm="1">
        <f t="array" aca="1" ref="E42" ca="1">SUM(INDIRECT("'"&amp;datatable!$H$5:$H$7&amp;"'!E"&amp;42))</f>
        <v>7</v>
      </c>
      <c r="F42" s="13" cm="1">
        <f t="array" aca="1" ref="F42" ca="1">SUM(INDIRECT("'"&amp;datatable!$H$5:$H$7&amp;"'!F"&amp;42))</f>
        <v>2</v>
      </c>
      <c r="G42" s="15" cm="1">
        <f t="array" aca="1" ref="G42" ca="1">SUM(INDIRECT("'"&amp;datatable!$H$5:$H$7&amp;"'!G"&amp;42))</f>
        <v>7</v>
      </c>
      <c r="H42" s="17" cm="1">
        <f t="array" aca="1" ref="H42" ca="1">SUM(INDIRECT("'"&amp;datatable!$H$5:$H$7&amp;"'!H"&amp;42))</f>
        <v>5</v>
      </c>
      <c r="I42" s="19" cm="1">
        <f t="array" aca="1" ref="I42" ca="1">SUM(INDIRECT("'"&amp;datatable!$H$5:$H$7&amp;"'!I"&amp;42))</f>
        <v>2</v>
      </c>
      <c r="J42" s="21" cm="1">
        <f t="array" aca="1" ref="J42" ca="1">SUM(INDIRECT("'"&amp;datatable!$H$5:$H$7&amp;"'!J"&amp;42))</f>
        <v>11</v>
      </c>
      <c r="K42" s="23" cm="1">
        <f t="array" aca="1" ref="K42" ca="1">SUM(INDIRECT("'"&amp;datatable!$H$5:$H$7&amp;"'!K"&amp;42))</f>
        <v>7</v>
      </c>
      <c r="L42" s="25" cm="1">
        <f t="array" aca="1" ref="L42" ca="1">SUM(INDIRECT("'"&amp;datatable!$H$5:$H$7&amp;"'!L"&amp;42))</f>
        <v>8</v>
      </c>
      <c r="M42" s="27" cm="1">
        <f t="array" aca="1" ref="M42" ca="1">SUM(INDIRECT("'"&amp;datatable!$H$5:$H$7&amp;"'!M"&amp;42))</f>
        <v>0</v>
      </c>
      <c r="N42" s="43">
        <f t="shared" ca="1" si="3"/>
        <v>63</v>
      </c>
      <c r="O42" s="43">
        <f t="shared" ca="1" si="4"/>
        <v>63</v>
      </c>
    </row>
    <row r="43" spans="3:15">
      <c r="C43" s="44" t="s">
        <v>48</v>
      </c>
      <c r="D43" s="8" cm="1">
        <f t="array" aca="1" ref="D43" ca="1">SUM(INDIRECT("'"&amp;datatable!$H$5:$H$7&amp;"'!D"&amp;43))</f>
        <v>44</v>
      </c>
      <c r="E43" s="11" cm="1">
        <f t="array" aca="1" ref="E43" ca="1">SUM(INDIRECT("'"&amp;datatable!$H$5:$H$7&amp;"'!E"&amp;43))</f>
        <v>5</v>
      </c>
      <c r="F43" s="13" cm="1">
        <f t="array" aca="1" ref="F43" ca="1">SUM(INDIRECT("'"&amp;datatable!$H$5:$H$7&amp;"'!F"&amp;43))</f>
        <v>2</v>
      </c>
      <c r="G43" s="15" cm="1">
        <f t="array" aca="1" ref="G43" ca="1">SUM(INDIRECT("'"&amp;datatable!$H$5:$H$7&amp;"'!G"&amp;43))</f>
        <v>2</v>
      </c>
      <c r="H43" s="17" cm="1">
        <f t="array" aca="1" ref="H43" ca="1">SUM(INDIRECT("'"&amp;datatable!$H$5:$H$7&amp;"'!H"&amp;43))</f>
        <v>2</v>
      </c>
      <c r="I43" s="19" cm="1">
        <f t="array" aca="1" ref="I43" ca="1">SUM(INDIRECT("'"&amp;datatable!$H$5:$H$7&amp;"'!I"&amp;43))</f>
        <v>0</v>
      </c>
      <c r="J43" s="21" cm="1">
        <f t="array" aca="1" ref="J43" ca="1">SUM(INDIRECT("'"&amp;datatable!$H$5:$H$7&amp;"'!J"&amp;43))</f>
        <v>3</v>
      </c>
      <c r="K43" s="23" cm="1">
        <f t="array" aca="1" ref="K43" ca="1">SUM(INDIRECT("'"&amp;datatable!$H$5:$H$7&amp;"'!K"&amp;43))</f>
        <v>1</v>
      </c>
      <c r="L43" s="25" cm="1">
        <f t="array" aca="1" ref="L43" ca="1">SUM(INDIRECT("'"&amp;datatable!$H$5:$H$7&amp;"'!L"&amp;43))</f>
        <v>4</v>
      </c>
      <c r="M43" s="27" cm="1">
        <f t="array" aca="1" ref="M43" ca="1">SUM(INDIRECT("'"&amp;datatable!$H$5:$H$7&amp;"'!M"&amp;43))</f>
        <v>0</v>
      </c>
      <c r="N43" s="43">
        <f t="shared" ca="1" si="3"/>
        <v>63</v>
      </c>
      <c r="O43" s="43">
        <f t="shared" ca="1" si="4"/>
        <v>63</v>
      </c>
    </row>
    <row r="44" spans="3:15">
      <c r="C44" s="44" t="s">
        <v>49</v>
      </c>
      <c r="D44" s="8" cm="1">
        <f t="array" aca="1" ref="D44" ca="1">SUM(INDIRECT("'"&amp;datatable!$H$5:$H$7&amp;"'!D"&amp;44))</f>
        <v>9</v>
      </c>
      <c r="E44" s="11" cm="1">
        <f t="array" aca="1" ref="E44" ca="1">SUM(INDIRECT("'"&amp;datatable!$H$5:$H$7&amp;"'!E"&amp;44))</f>
        <v>2</v>
      </c>
      <c r="F44" s="13" cm="1">
        <f t="array" aca="1" ref="F44" ca="1">SUM(INDIRECT("'"&amp;datatable!$H$5:$H$7&amp;"'!F"&amp;44))</f>
        <v>2</v>
      </c>
      <c r="G44" s="15" cm="1">
        <f t="array" aca="1" ref="G44" ca="1">SUM(INDIRECT("'"&amp;datatable!$H$5:$H$7&amp;"'!G"&amp;44))</f>
        <v>5</v>
      </c>
      <c r="H44" s="17" cm="1">
        <f t="array" aca="1" ref="H44" ca="1">SUM(INDIRECT("'"&amp;datatable!$H$5:$H$7&amp;"'!H"&amp;44))</f>
        <v>5</v>
      </c>
      <c r="I44" s="19" cm="1">
        <f t="array" aca="1" ref="I44" ca="1">SUM(INDIRECT("'"&amp;datatable!$H$5:$H$7&amp;"'!I"&amp;44))</f>
        <v>2</v>
      </c>
      <c r="J44" s="21" cm="1">
        <f t="array" aca="1" ref="J44" ca="1">SUM(INDIRECT("'"&amp;datatable!$H$5:$H$7&amp;"'!J"&amp;44))</f>
        <v>14</v>
      </c>
      <c r="K44" s="23" cm="1">
        <f t="array" aca="1" ref="K44" ca="1">SUM(INDIRECT("'"&amp;datatable!$H$5:$H$7&amp;"'!K"&amp;44))</f>
        <v>2</v>
      </c>
      <c r="L44" s="25" cm="1">
        <f t="array" aca="1" ref="L44" ca="1">SUM(INDIRECT("'"&amp;datatable!$H$5:$H$7&amp;"'!L"&amp;44))</f>
        <v>13</v>
      </c>
      <c r="M44" s="27" cm="1">
        <f t="array" aca="1" ref="M44" ca="1">SUM(INDIRECT("'"&amp;datatable!$H$5:$H$7&amp;"'!M"&amp;44))</f>
        <v>9</v>
      </c>
      <c r="N44" s="43">
        <f t="shared" ca="1" si="3"/>
        <v>63</v>
      </c>
      <c r="O44" s="43">
        <f t="shared" ca="1" si="4"/>
        <v>54</v>
      </c>
    </row>
    <row r="45" spans="3:15">
      <c r="C45" s="44" t="s">
        <v>50</v>
      </c>
      <c r="D45" s="8" cm="1">
        <f t="array" aca="1" ref="D45" ca="1">SUM(INDIRECT("'"&amp;datatable!$H$5:$H$7&amp;"'!D"&amp;45))</f>
        <v>13</v>
      </c>
      <c r="E45" s="11" cm="1">
        <f t="array" aca="1" ref="E45" ca="1">SUM(INDIRECT("'"&amp;datatable!$H$5:$H$7&amp;"'!E"&amp;45))</f>
        <v>4</v>
      </c>
      <c r="F45" s="13" cm="1">
        <f t="array" aca="1" ref="F45" ca="1">SUM(INDIRECT("'"&amp;datatable!$H$5:$H$7&amp;"'!F"&amp;45))</f>
        <v>0</v>
      </c>
      <c r="G45" s="15" cm="1">
        <f t="array" aca="1" ref="G45" ca="1">SUM(INDIRECT("'"&amp;datatable!$H$5:$H$7&amp;"'!G"&amp;45))</f>
        <v>9</v>
      </c>
      <c r="H45" s="17" cm="1">
        <f t="array" aca="1" ref="H45" ca="1">SUM(INDIRECT("'"&amp;datatable!$H$5:$H$7&amp;"'!H"&amp;45))</f>
        <v>3</v>
      </c>
      <c r="I45" s="19" cm="1">
        <f t="array" aca="1" ref="I45" ca="1">SUM(INDIRECT("'"&amp;datatable!$H$5:$H$7&amp;"'!I"&amp;45))</f>
        <v>6</v>
      </c>
      <c r="J45" s="21" cm="1">
        <f t="array" aca="1" ref="J45" ca="1">SUM(INDIRECT("'"&amp;datatable!$H$5:$H$7&amp;"'!J"&amp;45))</f>
        <v>5</v>
      </c>
      <c r="K45" s="23" cm="1">
        <f t="array" aca="1" ref="K45" ca="1">SUM(INDIRECT("'"&amp;datatable!$H$5:$H$7&amp;"'!K"&amp;45))</f>
        <v>10</v>
      </c>
      <c r="L45" s="25" cm="1">
        <f t="array" aca="1" ref="L45" ca="1">SUM(INDIRECT("'"&amp;datatable!$H$5:$H$7&amp;"'!L"&amp;45))</f>
        <v>13</v>
      </c>
      <c r="M45" s="27" cm="1">
        <f t="array" aca="1" ref="M45" ca="1">SUM(INDIRECT("'"&amp;datatable!$H$5:$H$7&amp;"'!M"&amp;45))</f>
        <v>0</v>
      </c>
      <c r="N45" s="43">
        <f t="shared" ca="1" si="3"/>
        <v>63</v>
      </c>
      <c r="O45" s="43">
        <f t="shared" ca="1" si="4"/>
        <v>63</v>
      </c>
    </row>
    <row r="46" spans="3:15">
      <c r="C46" s="45" t="s">
        <v>51</v>
      </c>
      <c r="D46" s="8" cm="1">
        <f t="array" aca="1" ref="D46" ca="1">SUM(INDIRECT("'"&amp;datatable!$H$5:$H$7&amp;"'!D"&amp;46))</f>
        <v>6</v>
      </c>
      <c r="E46" s="11" cm="1">
        <f t="array" aca="1" ref="E46" ca="1">SUM(INDIRECT("'"&amp;datatable!$H$5:$H$7&amp;"'!E"&amp;46))</f>
        <v>1</v>
      </c>
      <c r="F46" s="13" cm="1">
        <f t="array" aca="1" ref="F46" ca="1">SUM(INDIRECT("'"&amp;datatable!$H$5:$H$7&amp;"'!F"&amp;46))</f>
        <v>1</v>
      </c>
      <c r="G46" s="15" cm="1">
        <f t="array" aca="1" ref="G46" ca="1">SUM(INDIRECT("'"&amp;datatable!$H$5:$H$7&amp;"'!G"&amp;46))</f>
        <v>2</v>
      </c>
      <c r="H46" s="17" cm="1">
        <f t="array" aca="1" ref="H46" ca="1">SUM(INDIRECT("'"&amp;datatable!$H$5:$H$7&amp;"'!H"&amp;46))</f>
        <v>0</v>
      </c>
      <c r="I46" s="19" cm="1">
        <f t="array" aca="1" ref="I46" ca="1">SUM(INDIRECT("'"&amp;datatable!$H$5:$H$7&amp;"'!I"&amp;46))</f>
        <v>0</v>
      </c>
      <c r="J46" s="21" cm="1">
        <f t="array" aca="1" ref="J46" ca="1">SUM(INDIRECT("'"&amp;datatable!$H$5:$H$7&amp;"'!J"&amp;46))</f>
        <v>12</v>
      </c>
      <c r="K46" s="23" cm="1">
        <f t="array" aca="1" ref="K46" ca="1">SUM(INDIRECT("'"&amp;datatable!$H$5:$H$7&amp;"'!K"&amp;46))</f>
        <v>7</v>
      </c>
      <c r="L46" s="25" cm="1">
        <f t="array" aca="1" ref="L46" ca="1">SUM(INDIRECT("'"&amp;datatable!$H$5:$H$7&amp;"'!L"&amp;46))</f>
        <v>32</v>
      </c>
      <c r="M46" s="27" cm="1">
        <f t="array" aca="1" ref="M46" ca="1">SUM(INDIRECT("'"&amp;datatable!$H$5:$H$7&amp;"'!M"&amp;46))</f>
        <v>2</v>
      </c>
      <c r="N46" s="43">
        <f t="shared" ca="1" si="3"/>
        <v>63</v>
      </c>
      <c r="O46" s="43">
        <f t="shared" ca="1" si="4"/>
        <v>61</v>
      </c>
    </row>
    <row r="47" spans="3:15">
      <c r="C47" s="44" t="s">
        <v>52</v>
      </c>
      <c r="D47" s="8" cm="1">
        <f t="array" aca="1" ref="D47" ca="1">SUM(INDIRECT("'"&amp;datatable!$H$5:$H$7&amp;"'!D"&amp;47))</f>
        <v>34</v>
      </c>
      <c r="E47" s="11" cm="1">
        <f t="array" aca="1" ref="E47" ca="1">SUM(INDIRECT("'"&amp;datatable!$H$5:$H$7&amp;"'!E"&amp;47))</f>
        <v>4</v>
      </c>
      <c r="F47" s="13" cm="1">
        <f t="array" aca="1" ref="F47" ca="1">SUM(INDIRECT("'"&amp;datatable!$H$5:$H$7&amp;"'!F"&amp;47))</f>
        <v>2</v>
      </c>
      <c r="G47" s="15" cm="1">
        <f t="array" aca="1" ref="G47" ca="1">SUM(INDIRECT("'"&amp;datatable!$H$5:$H$7&amp;"'!G"&amp;47))</f>
        <v>4</v>
      </c>
      <c r="H47" s="17" cm="1">
        <f t="array" aca="1" ref="H47" ca="1">SUM(INDIRECT("'"&amp;datatable!$H$5:$H$7&amp;"'!H"&amp;47))</f>
        <v>1</v>
      </c>
      <c r="I47" s="19" cm="1">
        <f t="array" aca="1" ref="I47" ca="1">SUM(INDIRECT("'"&amp;datatable!$H$5:$H$7&amp;"'!I"&amp;47))</f>
        <v>1</v>
      </c>
      <c r="J47" s="21" cm="1">
        <f t="array" aca="1" ref="J47" ca="1">SUM(INDIRECT("'"&amp;datatable!$H$5:$H$7&amp;"'!J"&amp;47))</f>
        <v>6</v>
      </c>
      <c r="K47" s="23" cm="1">
        <f t="array" aca="1" ref="K47" ca="1">SUM(INDIRECT("'"&amp;datatable!$H$5:$H$7&amp;"'!K"&amp;47))</f>
        <v>3</v>
      </c>
      <c r="L47" s="25" cm="1">
        <f t="array" aca="1" ref="L47" ca="1">SUM(INDIRECT("'"&amp;datatable!$H$5:$H$7&amp;"'!L"&amp;47))</f>
        <v>5</v>
      </c>
      <c r="M47" s="27" cm="1">
        <f t="array" aca="1" ref="M47" ca="1">SUM(INDIRECT("'"&amp;datatable!$H$5:$H$7&amp;"'!M"&amp;47))</f>
        <v>3</v>
      </c>
      <c r="N47" s="43">
        <f t="shared" ca="1" si="3"/>
        <v>63</v>
      </c>
      <c r="O47" s="43">
        <f t="shared" ca="1" si="4"/>
        <v>60</v>
      </c>
    </row>
    <row r="48" spans="3:15">
      <c r="C48" s="44" t="s">
        <v>53</v>
      </c>
      <c r="D48" s="8" cm="1">
        <f t="array" aca="1" ref="D48" ca="1">SUM(INDIRECT("'"&amp;datatable!$H$5:$H$7&amp;"'!D"&amp;48))</f>
        <v>6</v>
      </c>
      <c r="E48" s="11" cm="1">
        <f t="array" aca="1" ref="E48" ca="1">SUM(INDIRECT("'"&amp;datatable!$H$5:$H$7&amp;"'!E"&amp;48))</f>
        <v>3</v>
      </c>
      <c r="F48" s="13" cm="1">
        <f t="array" aca="1" ref="F48" ca="1">SUM(INDIRECT("'"&amp;datatable!$H$5:$H$7&amp;"'!F"&amp;48))</f>
        <v>1</v>
      </c>
      <c r="G48" s="15" cm="1">
        <f t="array" aca="1" ref="G48" ca="1">SUM(INDIRECT("'"&amp;datatable!$H$5:$H$7&amp;"'!G"&amp;48))</f>
        <v>3</v>
      </c>
      <c r="H48" s="17" cm="1">
        <f t="array" aca="1" ref="H48" ca="1">SUM(INDIRECT("'"&amp;datatable!$H$5:$H$7&amp;"'!H"&amp;48))</f>
        <v>5</v>
      </c>
      <c r="I48" s="19" cm="1">
        <f t="array" aca="1" ref="I48" ca="1">SUM(INDIRECT("'"&amp;datatable!$H$5:$H$7&amp;"'!I"&amp;48))</f>
        <v>3</v>
      </c>
      <c r="J48" s="21" cm="1">
        <f t="array" aca="1" ref="J48" ca="1">SUM(INDIRECT("'"&amp;datatable!$H$5:$H$7&amp;"'!J"&amp;48))</f>
        <v>5</v>
      </c>
      <c r="K48" s="23" cm="1">
        <f t="array" aca="1" ref="K48" ca="1">SUM(INDIRECT("'"&amp;datatable!$H$5:$H$7&amp;"'!K"&amp;48))</f>
        <v>1</v>
      </c>
      <c r="L48" s="25" cm="1">
        <f t="array" aca="1" ref="L48" ca="1">SUM(INDIRECT("'"&amp;datatable!$H$5:$H$7&amp;"'!L"&amp;48))</f>
        <v>30</v>
      </c>
      <c r="M48" s="27" cm="1">
        <f t="array" aca="1" ref="M48" ca="1">SUM(INDIRECT("'"&amp;datatable!$H$5:$H$7&amp;"'!M"&amp;48))</f>
        <v>6</v>
      </c>
      <c r="N48" s="43">
        <f t="shared" ca="1" si="3"/>
        <v>63</v>
      </c>
      <c r="O48" s="43">
        <f t="shared" ca="1" si="4"/>
        <v>57</v>
      </c>
    </row>
    <row r="49" spans="3:15">
      <c r="C49" s="44" t="s">
        <v>54</v>
      </c>
      <c r="D49" s="8" cm="1">
        <f t="array" aca="1" ref="D49" ca="1">SUM(INDIRECT("'"&amp;datatable!$H$5:$H$7&amp;"'!D"&amp;49))</f>
        <v>28</v>
      </c>
      <c r="E49" s="11" cm="1">
        <f t="array" aca="1" ref="E49" ca="1">SUM(INDIRECT("'"&amp;datatable!$H$5:$H$7&amp;"'!E"&amp;49))</f>
        <v>6</v>
      </c>
      <c r="F49" s="13" cm="1">
        <f t="array" aca="1" ref="F49" ca="1">SUM(INDIRECT("'"&amp;datatable!$H$5:$H$7&amp;"'!F"&amp;49))</f>
        <v>19</v>
      </c>
      <c r="G49" s="15" cm="1">
        <f t="array" aca="1" ref="G49" ca="1">SUM(INDIRECT("'"&amp;datatable!$H$5:$H$7&amp;"'!G"&amp;49))</f>
        <v>1</v>
      </c>
      <c r="H49" s="17" cm="1">
        <f t="array" aca="1" ref="H49" ca="1">SUM(INDIRECT("'"&amp;datatable!$H$5:$H$7&amp;"'!H"&amp;49))</f>
        <v>0</v>
      </c>
      <c r="I49" s="19" cm="1">
        <f t="array" aca="1" ref="I49" ca="1">SUM(INDIRECT("'"&amp;datatable!$H$5:$H$7&amp;"'!I"&amp;49))</f>
        <v>2</v>
      </c>
      <c r="J49" s="21" cm="1">
        <f t="array" aca="1" ref="J49" ca="1">SUM(INDIRECT("'"&amp;datatable!$H$5:$H$7&amp;"'!J"&amp;49))</f>
        <v>3</v>
      </c>
      <c r="K49" s="23" cm="1">
        <f t="array" aca="1" ref="K49" ca="1">SUM(INDIRECT("'"&amp;datatable!$H$5:$H$7&amp;"'!K"&amp;49))</f>
        <v>1</v>
      </c>
      <c r="L49" s="25" cm="1">
        <f t="array" aca="1" ref="L49" ca="1">SUM(INDIRECT("'"&amp;datatable!$H$5:$H$7&amp;"'!L"&amp;49))</f>
        <v>1</v>
      </c>
      <c r="M49" s="27" cm="1">
        <f t="array" aca="1" ref="M49" ca="1">SUM(INDIRECT("'"&amp;datatable!$H$5:$H$7&amp;"'!M"&amp;49))</f>
        <v>2</v>
      </c>
      <c r="N49" s="43">
        <f t="shared" ca="1" si="3"/>
        <v>63</v>
      </c>
      <c r="O49" s="43">
        <f t="shared" ca="1" si="4"/>
        <v>61</v>
      </c>
    </row>
    <row r="50" spans="3:15">
      <c r="C50" s="46" t="s">
        <v>36</v>
      </c>
      <c r="D50" s="47">
        <f ca="1">SUM(D32:D49)</f>
        <v>406</v>
      </c>
      <c r="E50" s="47">
        <f t="shared" ref="E50:M50" ca="1" si="5">SUM(E32:E49)</f>
        <v>89</v>
      </c>
      <c r="F50" s="47">
        <f t="shared" ca="1" si="5"/>
        <v>42</v>
      </c>
      <c r="G50" s="47">
        <f t="shared" ca="1" si="5"/>
        <v>60</v>
      </c>
      <c r="H50" s="47">
        <f t="shared" ca="1" si="5"/>
        <v>51</v>
      </c>
      <c r="I50" s="47">
        <f t="shared" ca="1" si="5"/>
        <v>36</v>
      </c>
      <c r="J50" s="47">
        <f t="shared" ca="1" si="5"/>
        <v>113</v>
      </c>
      <c r="K50" s="47">
        <f t="shared" ca="1" si="5"/>
        <v>84</v>
      </c>
      <c r="L50" s="47">
        <f t="shared" ca="1" si="5"/>
        <v>164</v>
      </c>
      <c r="M50" s="47">
        <f t="shared" ca="1" si="5"/>
        <v>89</v>
      </c>
      <c r="N50" s="43">
        <f ca="1">SUM(D50:M50)</f>
        <v>1134</v>
      </c>
      <c r="O50" s="43">
        <f ca="1">SUM(D50:L50)</f>
        <v>1045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409-4186-40D1-861D-D338AB27CC16}">
  <dimension ref="C5:O50"/>
  <sheetViews>
    <sheetView topLeftCell="A15" zoomScale="89" workbookViewId="0">
      <selection activeCell="Z32" sqref="Z32"/>
    </sheetView>
  </sheetViews>
  <sheetFormatPr defaultRowHeight="14.4"/>
  <cols>
    <col min="4" max="4" width="12.6640625" customWidth="1"/>
    <col min="5" max="5" width="15.109375" customWidth="1"/>
    <col min="6" max="6" width="11.44140625" bestFit="1" customWidth="1"/>
    <col min="7" max="7" width="11.33203125" bestFit="1" customWidth="1"/>
    <col min="8" max="8" width="14" bestFit="1" customWidth="1"/>
    <col min="9" max="9" width="10.6640625" bestFit="1" customWidth="1"/>
    <col min="10" max="10" width="12.6640625" bestFit="1" customWidth="1"/>
    <col min="11" max="11" width="15.88671875" bestFit="1" customWidth="1"/>
    <col min="12" max="12" width="13.33203125" bestFit="1"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SUM(INDIRECT("'"&amp;datatable!$H$8:$H$10&amp;"'!D"&amp;7))</f>
        <v>21</v>
      </c>
      <c r="E7" s="54" cm="1">
        <f t="array" aca="1" ref="E7" ca="1">SUM(INDIRECT("'"&amp;datatable!$H$8:$H$10&amp;"'!E"&amp;7))</f>
        <v>11</v>
      </c>
      <c r="F7" s="55" cm="1">
        <f t="array" aca="1" ref="F7" ca="1">SUM(INDIRECT("'"&amp;datatable!$H$8:$H$10&amp;"'!F"&amp;7))</f>
        <v>3</v>
      </c>
      <c r="G7" s="56" cm="1">
        <f t="array" aca="1" ref="G7" ca="1">SUM(INDIRECT("'"&amp;datatable!$H$8:$H$10&amp;"'!G"&amp;7))</f>
        <v>3</v>
      </c>
      <c r="H7" s="57" cm="1">
        <f t="array" aca="1" ref="H7" ca="1">SUM(INDIRECT("'"&amp;datatable!$H$8:$H$10&amp;"'!H"&amp;7))</f>
        <v>2</v>
      </c>
      <c r="I7" s="58" cm="1">
        <f t="array" aca="1" ref="I7" ca="1">SUM(INDIRECT("'"&amp;datatable!$H$8:$H$10&amp;"'!I"&amp;7))</f>
        <v>0</v>
      </c>
      <c r="J7" s="59" cm="1">
        <f t="array" aca="1" ref="J7" ca="1">SUM(INDIRECT("'"&amp;datatable!$H$8:$H$10&amp;"'!J"&amp;7))</f>
        <v>0</v>
      </c>
      <c r="K7" s="60" cm="1">
        <f t="array" aca="1" ref="K7" ca="1">SUM(INDIRECT("'"&amp;datatable!$H$8:$H$10&amp;"'!K"&amp;7))</f>
        <v>4</v>
      </c>
      <c r="L7" s="61" cm="1">
        <f t="array" aca="1" ref="L7" ca="1">SUM(INDIRECT("'"&amp;datatable!$H$8:$H$10&amp;"'!L"&amp;7))</f>
        <v>6</v>
      </c>
      <c r="M7" s="62" cm="1">
        <f t="array" aca="1" ref="M7" ca="1">SUM(INDIRECT("'"&amp;datatable!$H$8:$H$10&amp;"'!M"&amp;7))</f>
        <v>4</v>
      </c>
      <c r="N7" s="29">
        <f t="shared" ref="N7:N28" ca="1" si="0">SUM(D7:M7)</f>
        <v>54</v>
      </c>
      <c r="O7" s="29">
        <f t="shared" ref="O7:O28" ca="1" si="1">SUM(D7:L7)</f>
        <v>50</v>
      </c>
    </row>
    <row r="8" spans="3:15">
      <c r="C8" s="5" t="s">
        <v>14</v>
      </c>
      <c r="D8" s="8" cm="1">
        <f t="array" aca="1" ref="D8" ca="1">SUM(INDIRECT("'"&amp;datatable!$H$8:$H$10&amp;"'!D"&amp;8))</f>
        <v>16</v>
      </c>
      <c r="E8" s="54" cm="1">
        <f t="array" aca="1" ref="E8" ca="1">SUM(INDIRECT("'"&amp;datatable!$H$8:$H$10&amp;"'!E"&amp;8))</f>
        <v>9</v>
      </c>
      <c r="F8" s="55" cm="1">
        <f t="array" aca="1" ref="F8" ca="1">SUM(INDIRECT("'"&amp;datatable!$H$8:$H$10&amp;"'!F"&amp;8))</f>
        <v>5</v>
      </c>
      <c r="G8" s="56" cm="1">
        <f t="array" aca="1" ref="G8" ca="1">SUM(INDIRECT("'"&amp;datatable!$H$8:$H$10&amp;"'!G"&amp;8))</f>
        <v>6</v>
      </c>
      <c r="H8" s="57" cm="1">
        <f t="array" aca="1" ref="H8" ca="1">SUM(INDIRECT("'"&amp;datatable!$H$8:$H$10&amp;"'!H"&amp;8))</f>
        <v>3</v>
      </c>
      <c r="I8" s="58" cm="1">
        <f t="array" aca="1" ref="I8" ca="1">SUM(INDIRECT("'"&amp;datatable!$H$8:$H$10&amp;"'!I"&amp;8))</f>
        <v>1</v>
      </c>
      <c r="J8" s="59" cm="1">
        <f t="array" aca="1" ref="J8" ca="1">SUM(INDIRECT("'"&amp;datatable!$H$8:$H$10&amp;"'!J"&amp;8))</f>
        <v>5</v>
      </c>
      <c r="K8" s="60" cm="1">
        <f t="array" aca="1" ref="K8" ca="1">SUM(INDIRECT("'"&amp;datatable!$H$8:$H$10&amp;"'!K"&amp;8))</f>
        <v>2</v>
      </c>
      <c r="L8" s="61" cm="1">
        <f t="array" aca="1" ref="L8" ca="1">SUM(INDIRECT("'"&amp;datatable!$H$8:$H$10&amp;"'!L"&amp;8))</f>
        <v>7</v>
      </c>
      <c r="M8" s="62" cm="1">
        <f t="array" aca="1" ref="M8" ca="1">SUM(INDIRECT("'"&amp;datatable!$H$8:$H$10&amp;"'!M"&amp;8))</f>
        <v>0</v>
      </c>
      <c r="N8" s="29">
        <f t="shared" ca="1" si="0"/>
        <v>54</v>
      </c>
      <c r="O8" s="29">
        <f t="shared" ca="1" si="1"/>
        <v>54</v>
      </c>
    </row>
    <row r="9" spans="3:15">
      <c r="C9" s="5" t="s">
        <v>15</v>
      </c>
      <c r="D9" s="8" cm="1">
        <f t="array" aca="1" ref="D9" ca="1">SUM(INDIRECT("'"&amp;datatable!$H$8:$H$10&amp;"'!D"&amp;9))</f>
        <v>19</v>
      </c>
      <c r="E9" s="54" cm="1">
        <f t="array" aca="1" ref="E9" ca="1">SUM(INDIRECT("'"&amp;datatable!$H$8:$H$10&amp;"'!E"&amp;9))</f>
        <v>1</v>
      </c>
      <c r="F9" s="55" cm="1">
        <f t="array" aca="1" ref="F9" ca="1">SUM(INDIRECT("'"&amp;datatable!$H$8:$H$10&amp;"'!F"&amp;9))</f>
        <v>5</v>
      </c>
      <c r="G9" s="56" cm="1">
        <f t="array" aca="1" ref="G9" ca="1">SUM(INDIRECT("'"&amp;datatable!$H$8:$H$10&amp;"'!G"&amp;9))</f>
        <v>4</v>
      </c>
      <c r="H9" s="57" cm="1">
        <f t="array" aca="1" ref="H9" ca="1">SUM(INDIRECT("'"&amp;datatable!$H$8:$H$10&amp;"'!H"&amp;9))</f>
        <v>4</v>
      </c>
      <c r="I9" s="58" cm="1">
        <f t="array" aca="1" ref="I9" ca="1">SUM(INDIRECT("'"&amp;datatable!$H$8:$H$10&amp;"'!I"&amp;9))</f>
        <v>0</v>
      </c>
      <c r="J9" s="59" cm="1">
        <f t="array" aca="1" ref="J9" ca="1">SUM(INDIRECT("'"&amp;datatable!$H$8:$H$10&amp;"'!J"&amp;9))</f>
        <v>3</v>
      </c>
      <c r="K9" s="60" cm="1">
        <f t="array" aca="1" ref="K9" ca="1">SUM(INDIRECT("'"&amp;datatable!$H$8:$H$10&amp;"'!K"&amp;9))</f>
        <v>1</v>
      </c>
      <c r="L9" s="61" cm="1">
        <f t="array" aca="1" ref="L9" ca="1">SUM(INDIRECT("'"&amp;datatable!$H$8:$H$10&amp;"'!L"&amp;9))</f>
        <v>16</v>
      </c>
      <c r="M9" s="62" cm="1">
        <f t="array" aca="1" ref="M9" ca="1">SUM(INDIRECT("'"&amp;datatable!$H$8:$H$10&amp;"'!M"&amp;9))</f>
        <v>1</v>
      </c>
      <c r="N9" s="29">
        <f t="shared" ca="1" si="0"/>
        <v>54</v>
      </c>
      <c r="O9" s="29">
        <f t="shared" ca="1" si="1"/>
        <v>53</v>
      </c>
    </row>
    <row r="10" spans="3:15">
      <c r="C10" s="5" t="s">
        <v>16</v>
      </c>
      <c r="D10" s="8" cm="1">
        <f t="array" aca="1" ref="D10" ca="1">SUM(INDIRECT("'"&amp;datatable!$H$8:$H$10&amp;"'!D"&amp;10))</f>
        <v>21</v>
      </c>
      <c r="E10" s="54" cm="1">
        <f t="array" aca="1" ref="E10" ca="1">SUM(INDIRECT("'"&amp;datatable!$H$8:$H$10&amp;"'!E"&amp;10))</f>
        <v>3</v>
      </c>
      <c r="F10" s="55" cm="1">
        <f t="array" aca="1" ref="F10" ca="1">SUM(INDIRECT("'"&amp;datatable!$H$8:$H$10&amp;"'!F"&amp;10))</f>
        <v>5</v>
      </c>
      <c r="G10" s="56" cm="1">
        <f t="array" aca="1" ref="G10" ca="1">SUM(INDIRECT("'"&amp;datatable!$H$8:$H$10&amp;"'!G"&amp;10))</f>
        <v>8</v>
      </c>
      <c r="H10" s="57" cm="1">
        <f t="array" aca="1" ref="H10" ca="1">SUM(INDIRECT("'"&amp;datatable!$H$8:$H$10&amp;"'!H"&amp;10))</f>
        <v>2</v>
      </c>
      <c r="I10" s="58" cm="1">
        <f t="array" aca="1" ref="I10" ca="1">SUM(INDIRECT("'"&amp;datatable!$H$8:$H$10&amp;"'!I"&amp;10))</f>
        <v>1</v>
      </c>
      <c r="J10" s="59" cm="1">
        <f t="array" aca="1" ref="J10" ca="1">SUM(INDIRECT("'"&amp;datatable!$H$8:$H$10&amp;"'!J"&amp;10))</f>
        <v>1</v>
      </c>
      <c r="K10" s="60" cm="1">
        <f t="array" aca="1" ref="K10" ca="1">SUM(INDIRECT("'"&amp;datatable!$H$8:$H$10&amp;"'!K"&amp;10))</f>
        <v>0</v>
      </c>
      <c r="L10" s="61" cm="1">
        <f t="array" aca="1" ref="L10" ca="1">SUM(INDIRECT("'"&amp;datatable!$H$8:$H$10&amp;"'!L"&amp;10))</f>
        <v>8</v>
      </c>
      <c r="M10" s="62" cm="1">
        <f t="array" aca="1" ref="M10" ca="1">SUM(INDIRECT("'"&amp;datatable!$H$8:$H$10&amp;"'!M"&amp;10))</f>
        <v>5</v>
      </c>
      <c r="N10" s="29">
        <f t="shared" ca="1" si="0"/>
        <v>54</v>
      </c>
      <c r="O10" s="29">
        <f t="shared" ca="1" si="1"/>
        <v>49</v>
      </c>
    </row>
    <row r="11" spans="3:15">
      <c r="C11" s="5" t="s">
        <v>17</v>
      </c>
      <c r="D11" s="8" cm="1">
        <f t="array" aca="1" ref="D11" ca="1">SUM(INDIRECT("'"&amp;datatable!$H$8:$H$10&amp;"'!D"&amp;11))</f>
        <v>19</v>
      </c>
      <c r="E11" s="54" cm="1">
        <f t="array" aca="1" ref="E11" ca="1">SUM(INDIRECT("'"&amp;datatable!$H$8:$H$10&amp;"'!E"&amp;11))</f>
        <v>4</v>
      </c>
      <c r="F11" s="55" cm="1">
        <f t="array" aca="1" ref="F11" ca="1">SUM(INDIRECT("'"&amp;datatable!$H$8:$H$10&amp;"'!F"&amp;11))</f>
        <v>5</v>
      </c>
      <c r="G11" s="56" cm="1">
        <f t="array" aca="1" ref="G11" ca="1">SUM(INDIRECT("'"&amp;datatable!$H$8:$H$10&amp;"'!G"&amp;11))</f>
        <v>2</v>
      </c>
      <c r="H11" s="57" cm="1">
        <f t="array" aca="1" ref="H11" ca="1">SUM(INDIRECT("'"&amp;datatable!$H$8:$H$10&amp;"'!H"&amp;11))</f>
        <v>6</v>
      </c>
      <c r="I11" s="58" cm="1">
        <f t="array" aca="1" ref="I11" ca="1">SUM(INDIRECT("'"&amp;datatable!$H$8:$H$10&amp;"'!I"&amp;11))</f>
        <v>0</v>
      </c>
      <c r="J11" s="59" cm="1">
        <f t="array" aca="1" ref="J11" ca="1">SUM(INDIRECT("'"&amp;datatable!$H$8:$H$10&amp;"'!J"&amp;11))</f>
        <v>3</v>
      </c>
      <c r="K11" s="60" cm="1">
        <f t="array" aca="1" ref="K11" ca="1">SUM(INDIRECT("'"&amp;datatable!$H$8:$H$10&amp;"'!K"&amp;11))</f>
        <v>1</v>
      </c>
      <c r="L11" s="61" cm="1">
        <f t="array" aca="1" ref="L11" ca="1">SUM(INDIRECT("'"&amp;datatable!$H$8:$H$10&amp;"'!L"&amp;11))</f>
        <v>9</v>
      </c>
      <c r="M11" s="62" cm="1">
        <f t="array" aca="1" ref="M11" ca="1">SUM(INDIRECT("'"&amp;datatable!$H$8:$H$10&amp;"'!M"&amp;11))</f>
        <v>5</v>
      </c>
      <c r="N11" s="29">
        <f t="shared" ca="1" si="0"/>
        <v>54</v>
      </c>
      <c r="O11" s="29">
        <f t="shared" ca="1" si="1"/>
        <v>49</v>
      </c>
    </row>
    <row r="12" spans="3:15">
      <c r="C12" s="5" t="s">
        <v>18</v>
      </c>
      <c r="D12" s="8" cm="1">
        <f t="array" aca="1" ref="D12" ca="1">SUM(INDIRECT("'"&amp;datatable!$H$8:$H$10&amp;"'!D"&amp;12))</f>
        <v>27</v>
      </c>
      <c r="E12" s="54" cm="1">
        <f t="array" aca="1" ref="E12" ca="1">SUM(INDIRECT("'"&amp;datatable!$H$8:$H$10&amp;"'!E"&amp;12))</f>
        <v>4</v>
      </c>
      <c r="F12" s="55" cm="1">
        <f t="array" aca="1" ref="F12" ca="1">SUM(INDIRECT("'"&amp;datatable!$H$8:$H$10&amp;"'!F"&amp;12))</f>
        <v>2</v>
      </c>
      <c r="G12" s="56" cm="1">
        <f t="array" aca="1" ref="G12" ca="1">SUM(INDIRECT("'"&amp;datatable!$H$8:$H$10&amp;"'!G"&amp;12))</f>
        <v>2</v>
      </c>
      <c r="H12" s="57" cm="1">
        <f t="array" aca="1" ref="H12" ca="1">SUM(INDIRECT("'"&amp;datatable!$H$8:$H$10&amp;"'!H"&amp;12))</f>
        <v>6</v>
      </c>
      <c r="I12" s="58" cm="1">
        <f t="array" aca="1" ref="I12" ca="1">SUM(INDIRECT("'"&amp;datatable!$H$8:$H$10&amp;"'!I"&amp;12))</f>
        <v>1</v>
      </c>
      <c r="J12" s="59" cm="1">
        <f t="array" aca="1" ref="J12" ca="1">SUM(INDIRECT("'"&amp;datatable!$H$8:$H$10&amp;"'!J"&amp;12))</f>
        <v>3</v>
      </c>
      <c r="K12" s="60" cm="1">
        <f t="array" aca="1" ref="K12" ca="1">SUM(INDIRECT("'"&amp;datatable!$H$8:$H$10&amp;"'!K"&amp;12))</f>
        <v>2</v>
      </c>
      <c r="L12" s="61" cm="1">
        <f t="array" aca="1" ref="L12" ca="1">SUM(INDIRECT("'"&amp;datatable!$H$8:$H$10&amp;"'!L"&amp;12))</f>
        <v>6</v>
      </c>
      <c r="M12" s="62" cm="1">
        <f t="array" aca="1" ref="M12" ca="1">SUM(INDIRECT("'"&amp;datatable!$H$8:$H$10&amp;"'!M"&amp;12))</f>
        <v>1</v>
      </c>
      <c r="N12" s="29">
        <f t="shared" ca="1" si="0"/>
        <v>54</v>
      </c>
      <c r="O12" s="29">
        <f t="shared" ca="1" si="1"/>
        <v>53</v>
      </c>
    </row>
    <row r="13" spans="3:15">
      <c r="C13" s="5" t="s">
        <v>19</v>
      </c>
      <c r="D13" s="8" cm="1">
        <f t="array" aca="1" ref="D13" ca="1">SUM(INDIRECT("'"&amp;datatable!$H$8:$H$10&amp;"'!D"&amp;13))</f>
        <v>5</v>
      </c>
      <c r="E13" s="54" cm="1">
        <f t="array" aca="1" ref="E13" ca="1">SUM(INDIRECT("'"&amp;datatable!$H$8:$H$10&amp;"'!E"&amp;13))</f>
        <v>7</v>
      </c>
      <c r="F13" s="55" cm="1">
        <f t="array" aca="1" ref="F13" ca="1">SUM(INDIRECT("'"&amp;datatable!$H$8:$H$10&amp;"'!F"&amp;13))</f>
        <v>8</v>
      </c>
      <c r="G13" s="56" cm="1">
        <f t="array" aca="1" ref="G13" ca="1">SUM(INDIRECT("'"&amp;datatable!$H$8:$H$10&amp;"'!G"&amp;13))</f>
        <v>9</v>
      </c>
      <c r="H13" s="57" cm="1">
        <f t="array" aca="1" ref="H13" ca="1">SUM(INDIRECT("'"&amp;datatable!$H$8:$H$10&amp;"'!H"&amp;13))</f>
        <v>5</v>
      </c>
      <c r="I13" s="58" cm="1">
        <f t="array" aca="1" ref="I13" ca="1">SUM(INDIRECT("'"&amp;datatable!$H$8:$H$10&amp;"'!I"&amp;13))</f>
        <v>3</v>
      </c>
      <c r="J13" s="59" cm="1">
        <f t="array" aca="1" ref="J13" ca="1">SUM(INDIRECT("'"&amp;datatable!$H$8:$H$10&amp;"'!J"&amp;13))</f>
        <v>8</v>
      </c>
      <c r="K13" s="60" cm="1">
        <f t="array" aca="1" ref="K13" ca="1">SUM(INDIRECT("'"&amp;datatable!$H$8:$H$10&amp;"'!K"&amp;13))</f>
        <v>2</v>
      </c>
      <c r="L13" s="61" cm="1">
        <f t="array" aca="1" ref="L13" ca="1">SUM(INDIRECT("'"&amp;datatable!$H$8:$H$10&amp;"'!L"&amp;13))</f>
        <v>6</v>
      </c>
      <c r="M13" s="62" cm="1">
        <f t="array" aca="1" ref="M13" ca="1">SUM(INDIRECT("'"&amp;datatable!$H$8:$H$10&amp;"'!M"&amp;13))</f>
        <v>1</v>
      </c>
      <c r="N13" s="29">
        <f t="shared" ca="1" si="0"/>
        <v>54</v>
      </c>
      <c r="O13" s="29">
        <f t="shared" ca="1" si="1"/>
        <v>53</v>
      </c>
    </row>
    <row r="14" spans="3:15">
      <c r="C14" s="5" t="s">
        <v>20</v>
      </c>
      <c r="D14" s="8" cm="1">
        <f t="array" aca="1" ref="D14" ca="1">SUM(INDIRECT("'"&amp;datatable!$H$8:$H$10&amp;"'!D"&amp;14))</f>
        <v>26</v>
      </c>
      <c r="E14" s="54" cm="1">
        <f t="array" aca="1" ref="E14" ca="1">SUM(INDIRECT("'"&amp;datatable!$H$8:$H$10&amp;"'!E"&amp;14))</f>
        <v>5</v>
      </c>
      <c r="F14" s="55" cm="1">
        <f t="array" aca="1" ref="F14" ca="1">SUM(INDIRECT("'"&amp;datatable!$H$8:$H$10&amp;"'!F"&amp;14))</f>
        <v>4</v>
      </c>
      <c r="G14" s="56" cm="1">
        <f t="array" aca="1" ref="G14" ca="1">SUM(INDIRECT("'"&amp;datatable!$H$8:$H$10&amp;"'!G"&amp;14))</f>
        <v>6</v>
      </c>
      <c r="H14" s="57" cm="1">
        <f t="array" aca="1" ref="H14" ca="1">SUM(INDIRECT("'"&amp;datatable!$H$8:$H$10&amp;"'!H"&amp;14))</f>
        <v>1</v>
      </c>
      <c r="I14" s="58" cm="1">
        <f t="array" aca="1" ref="I14" ca="1">SUM(INDIRECT("'"&amp;datatable!$H$8:$H$10&amp;"'!I"&amp;14))</f>
        <v>1</v>
      </c>
      <c r="J14" s="59" cm="1">
        <f t="array" aca="1" ref="J14" ca="1">SUM(INDIRECT("'"&amp;datatable!$H$8:$H$10&amp;"'!J"&amp;14))</f>
        <v>1</v>
      </c>
      <c r="K14" s="60" cm="1">
        <f t="array" aca="1" ref="K14" ca="1">SUM(INDIRECT("'"&amp;datatable!$H$8:$H$10&amp;"'!K"&amp;14))</f>
        <v>1</v>
      </c>
      <c r="L14" s="61" cm="1">
        <f t="array" aca="1" ref="L14" ca="1">SUM(INDIRECT("'"&amp;datatable!$H$8:$H$10&amp;"'!L"&amp;14))</f>
        <v>5</v>
      </c>
      <c r="M14" s="62" cm="1">
        <f t="array" aca="1" ref="M14" ca="1">SUM(INDIRECT("'"&amp;datatable!$H$8:$H$10&amp;"'!M"&amp;14))</f>
        <v>4</v>
      </c>
      <c r="N14" s="29">
        <f t="shared" ca="1" si="0"/>
        <v>54</v>
      </c>
      <c r="O14" s="29">
        <f t="shared" ca="1" si="1"/>
        <v>50</v>
      </c>
    </row>
    <row r="15" spans="3:15">
      <c r="C15" s="5" t="s">
        <v>21</v>
      </c>
      <c r="D15" s="8" cm="1">
        <f t="array" aca="1" ref="D15" ca="1">SUM(INDIRECT("'"&amp;datatable!$H$8:$H$10&amp;"'!D"&amp;15))</f>
        <v>23</v>
      </c>
      <c r="E15" s="54" cm="1">
        <f t="array" aca="1" ref="E15" ca="1">SUM(INDIRECT("'"&amp;datatable!$H$8:$H$10&amp;"'!E"&amp;15))</f>
        <v>0</v>
      </c>
      <c r="F15" s="55" cm="1">
        <f t="array" aca="1" ref="F15" ca="1">SUM(INDIRECT("'"&amp;datatable!$H$8:$H$10&amp;"'!F"&amp;15))</f>
        <v>6</v>
      </c>
      <c r="G15" s="56" cm="1">
        <f t="array" aca="1" ref="G15" ca="1">SUM(INDIRECT("'"&amp;datatable!$H$8:$H$10&amp;"'!G"&amp;15))</f>
        <v>4</v>
      </c>
      <c r="H15" s="57" cm="1">
        <f t="array" aca="1" ref="H15" ca="1">SUM(INDIRECT("'"&amp;datatable!$H$8:$H$10&amp;"'!H"&amp;15))</f>
        <v>1</v>
      </c>
      <c r="I15" s="58" cm="1">
        <f t="array" aca="1" ref="I15" ca="1">SUM(INDIRECT("'"&amp;datatable!$H$8:$H$10&amp;"'!I"&amp;15))</f>
        <v>6</v>
      </c>
      <c r="J15" s="59" cm="1">
        <f t="array" aca="1" ref="J15" ca="1">SUM(INDIRECT("'"&amp;datatable!$H$8:$H$10&amp;"'!J"&amp;15))</f>
        <v>2</v>
      </c>
      <c r="K15" s="60" cm="1">
        <f t="array" aca="1" ref="K15" ca="1">SUM(INDIRECT("'"&amp;datatable!$H$8:$H$10&amp;"'!K"&amp;15))</f>
        <v>3</v>
      </c>
      <c r="L15" s="61" cm="1">
        <f t="array" aca="1" ref="L15" ca="1">SUM(INDIRECT("'"&amp;datatable!$H$8:$H$10&amp;"'!L"&amp;15))</f>
        <v>5</v>
      </c>
      <c r="M15" s="62" cm="1">
        <f t="array" aca="1" ref="M15" ca="1">SUM(INDIRECT("'"&amp;datatable!$H$8:$H$10&amp;"'!M"&amp;15))</f>
        <v>4</v>
      </c>
      <c r="N15" s="29">
        <f t="shared" ca="1" si="0"/>
        <v>54</v>
      </c>
      <c r="O15" s="29">
        <f t="shared" ca="1" si="1"/>
        <v>50</v>
      </c>
    </row>
    <row r="16" spans="3:15">
      <c r="C16" s="5" t="s">
        <v>22</v>
      </c>
      <c r="D16" s="8" cm="1">
        <f t="array" aca="1" ref="D16" ca="1">SUM(INDIRECT("'"&amp;datatable!$H$8:$H$10&amp;"'!D"&amp;16))</f>
        <v>26</v>
      </c>
      <c r="E16" s="54" cm="1">
        <f t="array" aca="1" ref="E16" ca="1">SUM(INDIRECT("'"&amp;datatable!$H$8:$H$10&amp;"'!E"&amp;16))</f>
        <v>3</v>
      </c>
      <c r="F16" s="55" cm="1">
        <f t="array" aca="1" ref="F16" ca="1">SUM(INDIRECT("'"&amp;datatable!$H$8:$H$10&amp;"'!F"&amp;16))</f>
        <v>10</v>
      </c>
      <c r="G16" s="56" cm="1">
        <f t="array" aca="1" ref="G16" ca="1">SUM(INDIRECT("'"&amp;datatable!$H$8:$H$10&amp;"'!G"&amp;16))</f>
        <v>2</v>
      </c>
      <c r="H16" s="57" cm="1">
        <f t="array" aca="1" ref="H16" ca="1">SUM(INDIRECT("'"&amp;datatable!$H$8:$H$10&amp;"'!H"&amp;16))</f>
        <v>4</v>
      </c>
      <c r="I16" s="58" cm="1">
        <f t="array" aca="1" ref="I16" ca="1">SUM(INDIRECT("'"&amp;datatable!$H$8:$H$10&amp;"'!I"&amp;16))</f>
        <v>0</v>
      </c>
      <c r="J16" s="59" cm="1">
        <f t="array" aca="1" ref="J16" ca="1">SUM(INDIRECT("'"&amp;datatable!$H$8:$H$10&amp;"'!J"&amp;16))</f>
        <v>0</v>
      </c>
      <c r="K16" s="60" cm="1">
        <f t="array" aca="1" ref="K16" ca="1">SUM(INDIRECT("'"&amp;datatable!$H$8:$H$10&amp;"'!K"&amp;16))</f>
        <v>2</v>
      </c>
      <c r="L16" s="61" cm="1">
        <f t="array" aca="1" ref="L16" ca="1">SUM(INDIRECT("'"&amp;datatable!$H$8:$H$10&amp;"'!L"&amp;16))</f>
        <v>4</v>
      </c>
      <c r="M16" s="62" cm="1">
        <f t="array" aca="1" ref="M16" ca="1">SUM(INDIRECT("'"&amp;datatable!$H$8:$H$10&amp;"'!M"&amp;16))</f>
        <v>3</v>
      </c>
      <c r="N16" s="29">
        <f t="shared" ca="1" si="0"/>
        <v>54</v>
      </c>
      <c r="O16" s="29">
        <f t="shared" ca="1" si="1"/>
        <v>51</v>
      </c>
    </row>
    <row r="17" spans="3:15">
      <c r="C17" s="5" t="s">
        <v>23</v>
      </c>
      <c r="D17" s="8" cm="1">
        <f t="array" aca="1" ref="D17" ca="1">SUM(INDIRECT("'"&amp;datatable!$H$8:$H$10&amp;"'!D"&amp;17))</f>
        <v>16</v>
      </c>
      <c r="E17" s="54" cm="1">
        <f t="array" aca="1" ref="E17" ca="1">SUM(INDIRECT("'"&amp;datatable!$H$8:$H$10&amp;"'!E"&amp;17))</f>
        <v>12</v>
      </c>
      <c r="F17" s="55" cm="1">
        <f t="array" aca="1" ref="F17" ca="1">SUM(INDIRECT("'"&amp;datatable!$H$8:$H$10&amp;"'!F"&amp;17))</f>
        <v>9</v>
      </c>
      <c r="G17" s="56" cm="1">
        <f t="array" aca="1" ref="G17" ca="1">SUM(INDIRECT("'"&amp;datatable!$H$8:$H$10&amp;"'!G"&amp;17))</f>
        <v>6</v>
      </c>
      <c r="H17" s="57" cm="1">
        <f t="array" aca="1" ref="H17" ca="1">SUM(INDIRECT("'"&amp;datatable!$H$8:$H$10&amp;"'!H"&amp;17))</f>
        <v>2</v>
      </c>
      <c r="I17" s="58" cm="1">
        <f t="array" aca="1" ref="I17" ca="1">SUM(INDIRECT("'"&amp;datatable!$H$8:$H$10&amp;"'!I"&amp;17))</f>
        <v>1</v>
      </c>
      <c r="J17" s="59" cm="1">
        <f t="array" aca="1" ref="J17" ca="1">SUM(INDIRECT("'"&amp;datatable!$H$8:$H$10&amp;"'!J"&amp;17))</f>
        <v>2</v>
      </c>
      <c r="K17" s="60" cm="1">
        <f t="array" aca="1" ref="K17" ca="1">SUM(INDIRECT("'"&amp;datatable!$H$8:$H$10&amp;"'!K"&amp;17))</f>
        <v>1</v>
      </c>
      <c r="L17" s="61" cm="1">
        <f t="array" aca="1" ref="L17" ca="1">SUM(INDIRECT("'"&amp;datatable!$H$8:$H$10&amp;"'!L"&amp;17))</f>
        <v>1</v>
      </c>
      <c r="M17" s="62" cm="1">
        <f t="array" aca="1" ref="M17" ca="1">SUM(INDIRECT("'"&amp;datatable!$H$8:$H$10&amp;"'!M"&amp;17))</f>
        <v>4</v>
      </c>
      <c r="N17" s="29">
        <f t="shared" ca="1" si="0"/>
        <v>54</v>
      </c>
      <c r="O17" s="29">
        <f t="shared" ca="1" si="1"/>
        <v>50</v>
      </c>
    </row>
    <row r="18" spans="3:15">
      <c r="C18" s="5" t="s">
        <v>24</v>
      </c>
      <c r="D18" s="8" cm="1">
        <f t="array" aca="1" ref="D18" ca="1">SUM(INDIRECT("'"&amp;datatable!$H$8:$H$10&amp;"'!D"&amp;18))</f>
        <v>22</v>
      </c>
      <c r="E18" s="54" cm="1">
        <f t="array" aca="1" ref="E18" ca="1">SUM(INDIRECT("'"&amp;datatable!$H$8:$H$10&amp;"'!E"&amp;18))</f>
        <v>6</v>
      </c>
      <c r="F18" s="55" cm="1">
        <f t="array" aca="1" ref="F18" ca="1">SUM(INDIRECT("'"&amp;datatable!$H$8:$H$10&amp;"'!F"&amp;18))</f>
        <v>8</v>
      </c>
      <c r="G18" s="56" cm="1">
        <f t="array" aca="1" ref="G18" ca="1">SUM(INDIRECT("'"&amp;datatable!$H$8:$H$10&amp;"'!G"&amp;18))</f>
        <v>3</v>
      </c>
      <c r="H18" s="57" cm="1">
        <f t="array" aca="1" ref="H18" ca="1">SUM(INDIRECT("'"&amp;datatable!$H$8:$H$10&amp;"'!H"&amp;18))</f>
        <v>1</v>
      </c>
      <c r="I18" s="58" cm="1">
        <f t="array" aca="1" ref="I18" ca="1">SUM(INDIRECT("'"&amp;datatable!$H$8:$H$10&amp;"'!I"&amp;18))</f>
        <v>0</v>
      </c>
      <c r="J18" s="59" cm="1">
        <f t="array" aca="1" ref="J18" ca="1">SUM(INDIRECT("'"&amp;datatable!$H$8:$H$10&amp;"'!J"&amp;18))</f>
        <v>1</v>
      </c>
      <c r="K18" s="60" cm="1">
        <f t="array" aca="1" ref="K18" ca="1">SUM(INDIRECT("'"&amp;datatable!$H$8:$H$10&amp;"'!K"&amp;18))</f>
        <v>0</v>
      </c>
      <c r="L18" s="61" cm="1">
        <f t="array" aca="1" ref="L18" ca="1">SUM(INDIRECT("'"&amp;datatable!$H$8:$H$10&amp;"'!L"&amp;18))</f>
        <v>7</v>
      </c>
      <c r="M18" s="62" cm="1">
        <f t="array" aca="1" ref="M18" ca="1">SUM(INDIRECT("'"&amp;datatable!$H$8:$H$10&amp;"'!M"&amp;18))</f>
        <v>6</v>
      </c>
      <c r="N18" s="29">
        <f t="shared" ca="1" si="0"/>
        <v>54</v>
      </c>
      <c r="O18" s="29">
        <f t="shared" ca="1" si="1"/>
        <v>48</v>
      </c>
    </row>
    <row r="19" spans="3:15">
      <c r="C19" s="5" t="s">
        <v>25</v>
      </c>
      <c r="D19" s="8" cm="1">
        <f t="array" aca="1" ref="D19" ca="1">SUM(INDIRECT("'"&amp;datatable!$H$8:$H$10&amp;"'!D"&amp;19))</f>
        <v>12</v>
      </c>
      <c r="E19" s="54" cm="1">
        <f t="array" aca="1" ref="E19" ca="1">SUM(INDIRECT("'"&amp;datatable!$H$8:$H$10&amp;"'!E"&amp;19))</f>
        <v>7</v>
      </c>
      <c r="F19" s="55" cm="1">
        <f t="array" aca="1" ref="F19" ca="1">SUM(INDIRECT("'"&amp;datatable!$H$8:$H$10&amp;"'!F"&amp;19))</f>
        <v>10</v>
      </c>
      <c r="G19" s="56" cm="1">
        <f t="array" aca="1" ref="G19" ca="1">SUM(INDIRECT("'"&amp;datatable!$H$8:$H$10&amp;"'!G"&amp;19))</f>
        <v>5</v>
      </c>
      <c r="H19" s="57" cm="1">
        <f t="array" aca="1" ref="H19" ca="1">SUM(INDIRECT("'"&amp;datatable!$H$8:$H$10&amp;"'!H"&amp;19))</f>
        <v>4</v>
      </c>
      <c r="I19" s="58" cm="1">
        <f t="array" aca="1" ref="I19" ca="1">SUM(INDIRECT("'"&amp;datatable!$H$8:$H$10&amp;"'!I"&amp;19))</f>
        <v>3</v>
      </c>
      <c r="J19" s="59" cm="1">
        <f t="array" aca="1" ref="J19" ca="1">SUM(INDIRECT("'"&amp;datatable!$H$8:$H$10&amp;"'!J"&amp;19))</f>
        <v>3</v>
      </c>
      <c r="K19" s="60" cm="1">
        <f t="array" aca="1" ref="K19" ca="1">SUM(INDIRECT("'"&amp;datatable!$H$8:$H$10&amp;"'!K"&amp;19))</f>
        <v>1</v>
      </c>
      <c r="L19" s="61" cm="1">
        <f t="array" aca="1" ref="L19" ca="1">SUM(INDIRECT("'"&amp;datatable!$H$8:$H$10&amp;"'!L"&amp;19))</f>
        <v>5</v>
      </c>
      <c r="M19" s="62" cm="1">
        <f t="array" aca="1" ref="M19" ca="1">SUM(INDIRECT("'"&amp;datatable!$H$8:$H$10&amp;"'!M"&amp;19))</f>
        <v>4</v>
      </c>
      <c r="N19" s="29">
        <f t="shared" ca="1" si="0"/>
        <v>54</v>
      </c>
      <c r="O19" s="29">
        <f t="shared" ca="1" si="1"/>
        <v>50</v>
      </c>
    </row>
    <row r="20" spans="3:15">
      <c r="C20" s="5" t="s">
        <v>26</v>
      </c>
      <c r="D20" s="8" cm="1">
        <f t="array" aca="1" ref="D20" ca="1">SUM(INDIRECT("'"&amp;datatable!$H$8:$H$10&amp;"'!D"&amp;20))</f>
        <v>24</v>
      </c>
      <c r="E20" s="54" cm="1">
        <f t="array" aca="1" ref="E20" ca="1">SUM(INDIRECT("'"&amp;datatable!$H$8:$H$10&amp;"'!E"&amp;20))</f>
        <v>4</v>
      </c>
      <c r="F20" s="55" cm="1">
        <f t="array" aca="1" ref="F20" ca="1">SUM(INDIRECT("'"&amp;datatable!$H$8:$H$10&amp;"'!F"&amp;20))</f>
        <v>8</v>
      </c>
      <c r="G20" s="56" cm="1">
        <f t="array" aca="1" ref="G20" ca="1">SUM(INDIRECT("'"&amp;datatable!$H$8:$H$10&amp;"'!G"&amp;20))</f>
        <v>2</v>
      </c>
      <c r="H20" s="57" cm="1">
        <f t="array" aca="1" ref="H20" ca="1">SUM(INDIRECT("'"&amp;datatable!$H$8:$H$10&amp;"'!H"&amp;20))</f>
        <v>1</v>
      </c>
      <c r="I20" s="58" cm="1">
        <f t="array" aca="1" ref="I20" ca="1">SUM(INDIRECT("'"&amp;datatable!$H$8:$H$10&amp;"'!I"&amp;20))</f>
        <v>1</v>
      </c>
      <c r="J20" s="59" cm="1">
        <f t="array" aca="1" ref="J20" ca="1">SUM(INDIRECT("'"&amp;datatable!$H$8:$H$10&amp;"'!J"&amp;20))</f>
        <v>1</v>
      </c>
      <c r="K20" s="60" cm="1">
        <f t="array" aca="1" ref="K20" ca="1">SUM(INDIRECT("'"&amp;datatable!$H$8:$H$10&amp;"'!K"&amp;20))</f>
        <v>1</v>
      </c>
      <c r="L20" s="61" cm="1">
        <f t="array" aca="1" ref="L20" ca="1">SUM(INDIRECT("'"&amp;datatable!$H$8:$H$10&amp;"'!L"&amp;20))</f>
        <v>8</v>
      </c>
      <c r="M20" s="62" cm="1">
        <f t="array" aca="1" ref="M20" ca="1">SUM(INDIRECT("'"&amp;datatable!$H$8:$H$10&amp;"'!M"&amp;20))</f>
        <v>4</v>
      </c>
      <c r="N20" s="29">
        <f t="shared" ca="1" si="0"/>
        <v>54</v>
      </c>
      <c r="O20" s="29">
        <f t="shared" ca="1" si="1"/>
        <v>50</v>
      </c>
    </row>
    <row r="21" spans="3:15">
      <c r="C21" s="5" t="s">
        <v>27</v>
      </c>
      <c r="D21" s="8" cm="1">
        <f t="array" aca="1" ref="D21" ca="1">SUM(INDIRECT("'"&amp;datatable!$H$8:$H$10&amp;"'!D"&amp;21))</f>
        <v>25</v>
      </c>
      <c r="E21" s="54" cm="1">
        <f t="array" aca="1" ref="E21" ca="1">SUM(INDIRECT("'"&amp;datatable!$H$8:$H$10&amp;"'!E"&amp;21))</f>
        <v>7</v>
      </c>
      <c r="F21" s="55" cm="1">
        <f t="array" aca="1" ref="F21" ca="1">SUM(INDIRECT("'"&amp;datatable!$H$8:$H$10&amp;"'!F"&amp;21))</f>
        <v>9</v>
      </c>
      <c r="G21" s="56" cm="1">
        <f t="array" aca="1" ref="G21" ca="1">SUM(INDIRECT("'"&amp;datatable!$H$8:$H$10&amp;"'!G"&amp;21))</f>
        <v>3</v>
      </c>
      <c r="H21" s="57" cm="1">
        <f t="array" aca="1" ref="H21" ca="1">SUM(INDIRECT("'"&amp;datatable!$H$8:$H$10&amp;"'!H"&amp;21))</f>
        <v>2</v>
      </c>
      <c r="I21" s="58" cm="1">
        <f t="array" aca="1" ref="I21" ca="1">SUM(INDIRECT("'"&amp;datatable!$H$8:$H$10&amp;"'!I"&amp;21))</f>
        <v>1</v>
      </c>
      <c r="J21" s="59" cm="1">
        <f t="array" aca="1" ref="J21" ca="1">SUM(INDIRECT("'"&amp;datatable!$H$8:$H$10&amp;"'!J"&amp;21))</f>
        <v>0</v>
      </c>
      <c r="K21" s="60" cm="1">
        <f t="array" aca="1" ref="K21" ca="1">SUM(INDIRECT("'"&amp;datatable!$H$8:$H$10&amp;"'!K"&amp;21))</f>
        <v>1</v>
      </c>
      <c r="L21" s="61" cm="1">
        <f t="array" aca="1" ref="L21" ca="1">SUM(INDIRECT("'"&amp;datatable!$H$8:$H$10&amp;"'!L"&amp;21))</f>
        <v>3</v>
      </c>
      <c r="M21" s="62" cm="1">
        <f t="array" aca="1" ref="M21" ca="1">SUM(INDIRECT("'"&amp;datatable!$H$8:$H$10&amp;"'!M"&amp;21))</f>
        <v>3</v>
      </c>
      <c r="N21" s="29">
        <f t="shared" ca="1" si="0"/>
        <v>54</v>
      </c>
      <c r="O21" s="29">
        <f t="shared" ca="1" si="1"/>
        <v>51</v>
      </c>
    </row>
    <row r="22" spans="3:15">
      <c r="C22" s="5" t="s">
        <v>28</v>
      </c>
      <c r="D22" s="8" cm="1">
        <f t="array" aca="1" ref="D22" ca="1">SUM(INDIRECT("'"&amp;datatable!$H$8:$H$10&amp;"'!D"&amp;22))</f>
        <v>27</v>
      </c>
      <c r="E22" s="54" cm="1">
        <f t="array" aca="1" ref="E22" ca="1">SUM(INDIRECT("'"&amp;datatable!$H$8:$H$10&amp;"'!E"&amp;22))</f>
        <v>4</v>
      </c>
      <c r="F22" s="55" cm="1">
        <f t="array" aca="1" ref="F22" ca="1">SUM(INDIRECT("'"&amp;datatable!$H$8:$H$10&amp;"'!F"&amp;22))</f>
        <v>8</v>
      </c>
      <c r="G22" s="56" cm="1">
        <f t="array" aca="1" ref="G22" ca="1">SUM(INDIRECT("'"&amp;datatable!$H$8:$H$10&amp;"'!G"&amp;22))</f>
        <v>4</v>
      </c>
      <c r="H22" s="57" cm="1">
        <f t="array" aca="1" ref="H22" ca="1">SUM(INDIRECT("'"&amp;datatable!$H$8:$H$10&amp;"'!H"&amp;22))</f>
        <v>1</v>
      </c>
      <c r="I22" s="58" cm="1">
        <f t="array" aca="1" ref="I22" ca="1">SUM(INDIRECT("'"&amp;datatable!$H$8:$H$10&amp;"'!I"&amp;22))</f>
        <v>0</v>
      </c>
      <c r="J22" s="59" cm="1">
        <f t="array" aca="1" ref="J22" ca="1">SUM(INDIRECT("'"&amp;datatable!$H$8:$H$10&amp;"'!J"&amp;22))</f>
        <v>1</v>
      </c>
      <c r="K22" s="60" cm="1">
        <f t="array" aca="1" ref="K22" ca="1">SUM(INDIRECT("'"&amp;datatable!$H$8:$H$10&amp;"'!K"&amp;22))</f>
        <v>0</v>
      </c>
      <c r="L22" s="61" cm="1">
        <f t="array" aca="1" ref="L22" ca="1">SUM(INDIRECT("'"&amp;datatable!$H$8:$H$10&amp;"'!L"&amp;22))</f>
        <v>5</v>
      </c>
      <c r="M22" s="62" cm="1">
        <f t="array" aca="1" ref="M22" ca="1">SUM(INDIRECT("'"&amp;datatable!$H$8:$H$10&amp;"'!M"&amp;22))</f>
        <v>4</v>
      </c>
      <c r="N22" s="29">
        <f t="shared" ca="1" si="0"/>
        <v>54</v>
      </c>
      <c r="O22" s="29">
        <f t="shared" ca="1" si="1"/>
        <v>50</v>
      </c>
    </row>
    <row r="23" spans="3:15">
      <c r="C23" s="5" t="s">
        <v>29</v>
      </c>
      <c r="D23" s="8" cm="1">
        <f t="array" aca="1" ref="D23" ca="1">SUM(INDIRECT("'"&amp;datatable!$H$8:$H$10&amp;"'!D"&amp;23))</f>
        <v>1</v>
      </c>
      <c r="E23" s="54" cm="1">
        <f t="array" aca="1" ref="E23" ca="1">SUM(INDIRECT("'"&amp;datatable!$H$8:$H$10&amp;"'!E"&amp;23))</f>
        <v>7</v>
      </c>
      <c r="F23" s="55" cm="1">
        <f t="array" aca="1" ref="F23" ca="1">SUM(INDIRECT("'"&amp;datatable!$H$8:$H$10&amp;"'!F"&amp;23))</f>
        <v>8</v>
      </c>
      <c r="G23" s="56" cm="1">
        <f t="array" aca="1" ref="G23" ca="1">SUM(INDIRECT("'"&amp;datatable!$H$8:$H$10&amp;"'!G"&amp;23))</f>
        <v>1</v>
      </c>
      <c r="H23" s="57" cm="1">
        <f t="array" aca="1" ref="H23" ca="1">SUM(INDIRECT("'"&amp;datatable!$H$8:$H$10&amp;"'!H"&amp;23))</f>
        <v>2</v>
      </c>
      <c r="I23" s="58" cm="1">
        <f t="array" aca="1" ref="I23" ca="1">SUM(INDIRECT("'"&amp;datatable!$H$8:$H$10&amp;"'!I"&amp;23))</f>
        <v>7</v>
      </c>
      <c r="J23" s="59" cm="1">
        <f t="array" aca="1" ref="J23" ca="1">SUM(INDIRECT("'"&amp;datatable!$H$8:$H$10&amp;"'!J"&amp;23))</f>
        <v>2</v>
      </c>
      <c r="K23" s="60" cm="1">
        <f t="array" aca="1" ref="K23" ca="1">SUM(INDIRECT("'"&amp;datatable!$H$8:$H$10&amp;"'!K"&amp;23))</f>
        <v>1</v>
      </c>
      <c r="L23" s="61" cm="1">
        <f t="array" aca="1" ref="L23" ca="1">SUM(INDIRECT("'"&amp;datatable!$H$8:$H$10&amp;"'!L"&amp;23))</f>
        <v>6</v>
      </c>
      <c r="M23" s="62" cm="1">
        <f t="array" aca="1" ref="M23" ca="1">SUM(INDIRECT("'"&amp;datatable!$H$8:$H$10&amp;"'!M"&amp;23))</f>
        <v>19</v>
      </c>
      <c r="N23" s="29">
        <f t="shared" ca="1" si="0"/>
        <v>54</v>
      </c>
      <c r="O23" s="29">
        <f t="shared" ca="1" si="1"/>
        <v>35</v>
      </c>
    </row>
    <row r="24" spans="3:15">
      <c r="C24" s="5" t="s">
        <v>30</v>
      </c>
      <c r="D24" s="8" cm="1">
        <f t="array" aca="1" ref="D24" ca="1">SUM(INDIRECT("'"&amp;datatable!$H$8:$H$10&amp;"'!D"&amp;24))</f>
        <v>3</v>
      </c>
      <c r="E24" s="54" cm="1">
        <f t="array" aca="1" ref="E24" ca="1">SUM(INDIRECT("'"&amp;datatable!$H$8:$H$10&amp;"'!E"&amp;24))</f>
        <v>2</v>
      </c>
      <c r="F24" s="55" cm="1">
        <f t="array" aca="1" ref="F24" ca="1">SUM(INDIRECT("'"&amp;datatable!$H$8:$H$10&amp;"'!F"&amp;24))</f>
        <v>10</v>
      </c>
      <c r="G24" s="56" cm="1">
        <f t="array" aca="1" ref="G24" ca="1">SUM(INDIRECT("'"&amp;datatable!$H$8:$H$10&amp;"'!G"&amp;24))</f>
        <v>8</v>
      </c>
      <c r="H24" s="57" cm="1">
        <f t="array" aca="1" ref="H24" ca="1">SUM(INDIRECT("'"&amp;datatable!$H$8:$H$10&amp;"'!H"&amp;24))</f>
        <v>7</v>
      </c>
      <c r="I24" s="58" cm="1">
        <f t="array" aca="1" ref="I24" ca="1">SUM(INDIRECT("'"&amp;datatable!$H$8:$H$10&amp;"'!I"&amp;24))</f>
        <v>2</v>
      </c>
      <c r="J24" s="59" cm="1">
        <f t="array" aca="1" ref="J24" ca="1">SUM(INDIRECT("'"&amp;datatable!$H$8:$H$10&amp;"'!J"&amp;24))</f>
        <v>6</v>
      </c>
      <c r="K24" s="60" cm="1">
        <f t="array" aca="1" ref="K24" ca="1">SUM(INDIRECT("'"&amp;datatable!$H$8:$H$10&amp;"'!K"&amp;24))</f>
        <v>5</v>
      </c>
      <c r="L24" s="61" cm="1">
        <f t="array" aca="1" ref="L24" ca="1">SUM(INDIRECT("'"&amp;datatable!$H$8:$H$10&amp;"'!L"&amp;24))</f>
        <v>9</v>
      </c>
      <c r="M24" s="62" cm="1">
        <f t="array" aca="1" ref="M24" ca="1">SUM(INDIRECT("'"&amp;datatable!$H$8:$H$10&amp;"'!M"&amp;24))</f>
        <v>2</v>
      </c>
      <c r="N24" s="29">
        <f t="shared" ca="1" si="0"/>
        <v>54</v>
      </c>
      <c r="O24" s="29">
        <f t="shared" ca="1" si="1"/>
        <v>52</v>
      </c>
    </row>
    <row r="25" spans="3:15">
      <c r="C25" s="5" t="s">
        <v>31</v>
      </c>
      <c r="D25" s="8" cm="1">
        <f t="array" aca="1" ref="D25" ca="1">SUM(INDIRECT("'"&amp;datatable!$H$8:$H$10&amp;"'!D"&amp;25))</f>
        <v>2</v>
      </c>
      <c r="E25" s="54" cm="1">
        <f t="array" aca="1" ref="E25" ca="1">SUM(INDIRECT("'"&amp;datatable!$H$8:$H$10&amp;"'!E"&amp;25))</f>
        <v>19</v>
      </c>
      <c r="F25" s="55" cm="1">
        <f t="array" aca="1" ref="F25" ca="1">SUM(INDIRECT("'"&amp;datatable!$H$8:$H$10&amp;"'!F"&amp;25))</f>
        <v>13</v>
      </c>
      <c r="G25" s="56" cm="1">
        <f t="array" aca="1" ref="G25" ca="1">SUM(INDIRECT("'"&amp;datatable!$H$8:$H$10&amp;"'!G"&amp;25))</f>
        <v>4</v>
      </c>
      <c r="H25" s="57" cm="1">
        <f t="array" aca="1" ref="H25" ca="1">SUM(INDIRECT("'"&amp;datatable!$H$8:$H$10&amp;"'!H"&amp;25))</f>
        <v>2</v>
      </c>
      <c r="I25" s="58" cm="1">
        <f t="array" aca="1" ref="I25" ca="1">SUM(INDIRECT("'"&amp;datatable!$H$8:$H$10&amp;"'!I"&amp;25))</f>
        <v>5</v>
      </c>
      <c r="J25" s="59" cm="1">
        <f t="array" aca="1" ref="J25" ca="1">SUM(INDIRECT("'"&amp;datatable!$H$8:$H$10&amp;"'!J"&amp;25))</f>
        <v>0</v>
      </c>
      <c r="K25" s="60" cm="1">
        <f t="array" aca="1" ref="K25" ca="1">SUM(INDIRECT("'"&amp;datatable!$H$8:$H$10&amp;"'!K"&amp;25))</f>
        <v>1</v>
      </c>
      <c r="L25" s="61" cm="1">
        <f t="array" aca="1" ref="L25" ca="1">SUM(INDIRECT("'"&amp;datatable!$H$8:$H$10&amp;"'!L"&amp;25))</f>
        <v>4</v>
      </c>
      <c r="M25" s="62" cm="1">
        <f t="array" aca="1" ref="M25" ca="1">SUM(INDIRECT("'"&amp;datatable!$H$8:$H$10&amp;"'!M"&amp;25))</f>
        <v>4</v>
      </c>
      <c r="N25" s="29">
        <f t="shared" ca="1" si="0"/>
        <v>54</v>
      </c>
      <c r="O25" s="29">
        <f t="shared" ca="1" si="1"/>
        <v>50</v>
      </c>
    </row>
    <row r="26" spans="3:15">
      <c r="C26" s="5" t="s">
        <v>32</v>
      </c>
      <c r="D26" s="8" cm="1">
        <f t="array" aca="1" ref="D26" ca="1">SUM(INDIRECT("'"&amp;datatable!$H$8:$H$10&amp;"'!D"&amp;26))</f>
        <v>8</v>
      </c>
      <c r="E26" s="54" cm="1">
        <f t="array" aca="1" ref="E26" ca="1">SUM(INDIRECT("'"&amp;datatable!$H$8:$H$10&amp;"'!E"&amp;26))</f>
        <v>5</v>
      </c>
      <c r="F26" s="55" cm="1">
        <f t="array" aca="1" ref="F26" ca="1">SUM(INDIRECT("'"&amp;datatable!$H$8:$H$10&amp;"'!F"&amp;26))</f>
        <v>9</v>
      </c>
      <c r="G26" s="56" cm="1">
        <f t="array" aca="1" ref="G26" ca="1">SUM(INDIRECT("'"&amp;datatable!$H$8:$H$10&amp;"'!G"&amp;26))</f>
        <v>6</v>
      </c>
      <c r="H26" s="57" cm="1">
        <f t="array" aca="1" ref="H26" ca="1">SUM(INDIRECT("'"&amp;datatable!$H$8:$H$10&amp;"'!H"&amp;26))</f>
        <v>5</v>
      </c>
      <c r="I26" s="58" cm="1">
        <f t="array" aca="1" ref="I26" ca="1">SUM(INDIRECT("'"&amp;datatable!$H$8:$H$10&amp;"'!I"&amp;26))</f>
        <v>3</v>
      </c>
      <c r="J26" s="59" cm="1">
        <f t="array" aca="1" ref="J26" ca="1">SUM(INDIRECT("'"&amp;datatable!$H$8:$H$10&amp;"'!J"&amp;26))</f>
        <v>5</v>
      </c>
      <c r="K26" s="60" cm="1">
        <f t="array" aca="1" ref="K26" ca="1">SUM(INDIRECT("'"&amp;datatable!$H$8:$H$10&amp;"'!K"&amp;26))</f>
        <v>0</v>
      </c>
      <c r="L26" s="61" cm="1">
        <f t="array" aca="1" ref="L26" ca="1">SUM(INDIRECT("'"&amp;datatable!$H$8:$H$10&amp;"'!L"&amp;26))</f>
        <v>9</v>
      </c>
      <c r="M26" s="62" cm="1">
        <f t="array" aca="1" ref="M26" ca="1">SUM(INDIRECT("'"&amp;datatable!$H$8:$H$10&amp;"'!M"&amp;26))</f>
        <v>4</v>
      </c>
      <c r="N26" s="29">
        <f t="shared" ca="1" si="0"/>
        <v>54</v>
      </c>
      <c r="O26" s="29">
        <f t="shared" ca="1" si="1"/>
        <v>50</v>
      </c>
    </row>
    <row r="27" spans="3:15">
      <c r="C27" s="5" t="s">
        <v>33</v>
      </c>
      <c r="D27" s="8" cm="1">
        <f t="array" aca="1" ref="D27" ca="1">SUM(INDIRECT("'"&amp;datatable!$H$8:$H$10&amp;"'!D"&amp;27))</f>
        <v>1</v>
      </c>
      <c r="E27" s="54" cm="1">
        <f t="array" aca="1" ref="E27" ca="1">SUM(INDIRECT("'"&amp;datatable!$H$8:$H$10&amp;"'!E"&amp;27))</f>
        <v>2</v>
      </c>
      <c r="F27" s="55" cm="1">
        <f t="array" aca="1" ref="F27" ca="1">SUM(INDIRECT("'"&amp;datatable!$H$8:$H$10&amp;"'!F"&amp;27))</f>
        <v>5</v>
      </c>
      <c r="G27" s="56" cm="1">
        <f t="array" aca="1" ref="G27" ca="1">SUM(INDIRECT("'"&amp;datatable!$H$8:$H$10&amp;"'!G"&amp;27))</f>
        <v>1</v>
      </c>
      <c r="H27" s="57" cm="1">
        <f t="array" aca="1" ref="H27" ca="1">SUM(INDIRECT("'"&amp;datatable!$H$8:$H$10&amp;"'!H"&amp;27))</f>
        <v>2</v>
      </c>
      <c r="I27" s="58" cm="1">
        <f t="array" aca="1" ref="I27" ca="1">SUM(INDIRECT("'"&amp;datatable!$H$8:$H$10&amp;"'!I"&amp;27))</f>
        <v>1</v>
      </c>
      <c r="J27" s="59" cm="1">
        <f t="array" aca="1" ref="J27" ca="1">SUM(INDIRECT("'"&amp;datatable!$H$8:$H$10&amp;"'!J"&amp;27))</f>
        <v>0</v>
      </c>
      <c r="K27" s="60" cm="1">
        <f t="array" aca="1" ref="K27" ca="1">SUM(INDIRECT("'"&amp;datatable!$H$8:$H$10&amp;"'!K"&amp;27))</f>
        <v>2</v>
      </c>
      <c r="L27" s="61" cm="1">
        <f t="array" aca="1" ref="L27" ca="1">SUM(INDIRECT("'"&amp;datatable!$H$8:$H$10&amp;"'!L"&amp;27))</f>
        <v>13</v>
      </c>
      <c r="M27" s="62" cm="1">
        <f t="array" aca="1" ref="M27" ca="1">SUM(INDIRECT("'"&amp;datatable!$H$8:$H$10&amp;"'!M"&amp;27))</f>
        <v>27</v>
      </c>
      <c r="N27" s="29">
        <f t="shared" ca="1" si="0"/>
        <v>54</v>
      </c>
      <c r="O27" s="29">
        <f t="shared" ca="1" si="1"/>
        <v>27</v>
      </c>
    </row>
    <row r="28" spans="3:15">
      <c r="C28" s="6" t="s">
        <v>34</v>
      </c>
      <c r="D28" s="9">
        <f t="shared" ref="D28:M28" ca="1" si="2">SUM(D7:D27)</f>
        <v>344</v>
      </c>
      <c r="E28" s="9">
        <f t="shared" ca="1" si="2"/>
        <v>122</v>
      </c>
      <c r="F28" s="9">
        <f t="shared" ca="1" si="2"/>
        <v>150</v>
      </c>
      <c r="G28" s="9">
        <f t="shared" ca="1" si="2"/>
        <v>89</v>
      </c>
      <c r="H28" s="9">
        <f t="shared" ca="1" si="2"/>
        <v>63</v>
      </c>
      <c r="I28" s="9">
        <f t="shared" ca="1" si="2"/>
        <v>37</v>
      </c>
      <c r="J28" s="9">
        <f t="shared" ca="1" si="2"/>
        <v>47</v>
      </c>
      <c r="K28" s="9">
        <f t="shared" ca="1" si="2"/>
        <v>31</v>
      </c>
      <c r="L28" s="9">
        <f t="shared" ca="1" si="2"/>
        <v>142</v>
      </c>
      <c r="M28" s="9">
        <f t="shared" ca="1" si="2"/>
        <v>109</v>
      </c>
      <c r="N28" s="29">
        <f t="shared" ca="1" si="0"/>
        <v>1134</v>
      </c>
      <c r="O28" s="29">
        <f t="shared" ca="1" si="1"/>
        <v>1025</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SUM(INDIRECT("'"&amp;datatable!$H$8:$H$10&amp;"'!D"&amp;32))</f>
        <v>40</v>
      </c>
      <c r="E32" s="11" cm="1">
        <f t="array" aca="1" ref="E32" ca="1">SUM(INDIRECT("'"&amp;datatable!$H$8:$H$10&amp;"'!E"&amp;32))</f>
        <v>3</v>
      </c>
      <c r="F32" s="13" cm="1">
        <f t="array" aca="1" ref="F32" ca="1">SUM(INDIRECT("'"&amp;datatable!$H$8:$H$10&amp;"'!F"&amp;32))</f>
        <v>3</v>
      </c>
      <c r="G32" s="15" cm="1">
        <f t="array" aca="1" ref="G32" ca="1">SUM(INDIRECT("'"&amp;datatable!$H$8:$H$10&amp;"'!G"&amp;32))</f>
        <v>4</v>
      </c>
      <c r="H32" s="17" cm="1">
        <f t="array" aca="1" ref="H32" ca="1">SUM(INDIRECT("'"&amp;datatable!$H$8:$H$10&amp;"'!H"&amp;32))</f>
        <v>0</v>
      </c>
      <c r="I32" s="19" cm="1">
        <f t="array" aca="1" ref="I32" ca="1">SUM(INDIRECT("'"&amp;datatable!$H$8:$H$10&amp;"'!I"&amp;32))</f>
        <v>1</v>
      </c>
      <c r="J32" s="21" cm="1">
        <f t="array" aca="1" ref="J32" ca="1">SUM(INDIRECT("'"&amp;datatable!$H$8:$H$10&amp;"'!J"&amp;32))</f>
        <v>1</v>
      </c>
      <c r="K32" s="23" cm="1">
        <f t="array" aca="1" ref="K32" ca="1">SUM(INDIRECT("'"&amp;datatable!$H$8:$H$10&amp;"'!K"&amp;32))</f>
        <v>0</v>
      </c>
      <c r="L32" s="25" cm="1">
        <f t="array" aca="1" ref="L32" ca="1">SUM(INDIRECT("'"&amp;datatable!$H$8:$H$10&amp;"'!L"&amp;32))</f>
        <v>0</v>
      </c>
      <c r="M32" s="27" cm="1">
        <f t="array" aca="1" ref="M32" ca="1">SUM(INDIRECT("'"&amp;datatable!$H$8:$H$10&amp;"'!M"&amp;32))</f>
        <v>11</v>
      </c>
      <c r="N32" s="43">
        <f t="shared" ref="N32:N49" ca="1" si="3">SUM(D32:M32)</f>
        <v>63</v>
      </c>
      <c r="O32" s="43">
        <f t="shared" ref="O32:O49" ca="1" si="4">SUM(D32:L32)</f>
        <v>52</v>
      </c>
    </row>
    <row r="33" spans="3:15">
      <c r="C33" s="44" t="s">
        <v>38</v>
      </c>
      <c r="D33" s="8" cm="1">
        <f t="array" aca="1" ref="D33" ca="1">SUM(INDIRECT("'"&amp;datatable!$H$8:$H$10&amp;"'!D"&amp;33))</f>
        <v>16</v>
      </c>
      <c r="E33" s="11" cm="1">
        <f t="array" aca="1" ref="E33" ca="1">SUM(INDIRECT("'"&amp;datatable!$H$8:$H$10&amp;"'!E"&amp;33))</f>
        <v>6</v>
      </c>
      <c r="F33" s="13" cm="1">
        <f t="array" aca="1" ref="F33" ca="1">SUM(INDIRECT("'"&amp;datatable!$H$8:$H$10&amp;"'!F"&amp;33))</f>
        <v>10</v>
      </c>
      <c r="G33" s="15" cm="1">
        <f t="array" aca="1" ref="G33" ca="1">SUM(INDIRECT("'"&amp;datatable!$H$8:$H$10&amp;"'!G"&amp;33))</f>
        <v>6</v>
      </c>
      <c r="H33" s="17" cm="1">
        <f t="array" aca="1" ref="H33" ca="1">SUM(INDIRECT("'"&amp;datatable!$H$8:$H$10&amp;"'!H"&amp;33))</f>
        <v>3</v>
      </c>
      <c r="I33" s="19" cm="1">
        <f t="array" aca="1" ref="I33" ca="1">SUM(INDIRECT("'"&amp;datatable!$H$8:$H$10&amp;"'!I"&amp;33))</f>
        <v>3</v>
      </c>
      <c r="J33" s="21" cm="1">
        <f t="array" aca="1" ref="J33" ca="1">SUM(INDIRECT("'"&amp;datatable!$H$8:$H$10&amp;"'!J"&amp;33))</f>
        <v>3</v>
      </c>
      <c r="K33" s="23" cm="1">
        <f t="array" aca="1" ref="K33" ca="1">SUM(INDIRECT("'"&amp;datatable!$H$8:$H$10&amp;"'!K"&amp;33))</f>
        <v>3</v>
      </c>
      <c r="L33" s="25" cm="1">
        <f t="array" aca="1" ref="L33" ca="1">SUM(INDIRECT("'"&amp;datatable!$H$8:$H$10&amp;"'!L"&amp;33))</f>
        <v>10</v>
      </c>
      <c r="M33" s="27" cm="1">
        <f t="array" aca="1" ref="M33" ca="1">SUM(INDIRECT("'"&amp;datatable!$H$8:$H$10&amp;"'!M"&amp;33))</f>
        <v>3</v>
      </c>
      <c r="N33" s="43">
        <f t="shared" ca="1" si="3"/>
        <v>63</v>
      </c>
      <c r="O33" s="43">
        <f t="shared" ca="1" si="4"/>
        <v>60</v>
      </c>
    </row>
    <row r="34" spans="3:15">
      <c r="C34" s="44" t="s">
        <v>39</v>
      </c>
      <c r="D34" s="8" cm="1">
        <f t="array" aca="1" ref="D34" ca="1">SUM(INDIRECT("'"&amp;datatable!$H$8:$H$10&amp;"'!D"&amp;34))</f>
        <v>30</v>
      </c>
      <c r="E34" s="11" cm="1">
        <f t="array" aca="1" ref="E34" ca="1">SUM(INDIRECT("'"&amp;datatable!$H$8:$H$10&amp;"'!E"&amp;34))</f>
        <v>5</v>
      </c>
      <c r="F34" s="13" cm="1">
        <f t="array" aca="1" ref="F34" ca="1">SUM(INDIRECT("'"&amp;datatable!$H$8:$H$10&amp;"'!F"&amp;34))</f>
        <v>7</v>
      </c>
      <c r="G34" s="15" cm="1">
        <f t="array" aca="1" ref="G34" ca="1">SUM(INDIRECT("'"&amp;datatable!$H$8:$H$10&amp;"'!G"&amp;34))</f>
        <v>6</v>
      </c>
      <c r="H34" s="17" cm="1">
        <f t="array" aca="1" ref="H34" ca="1">SUM(INDIRECT("'"&amp;datatable!$H$8:$H$10&amp;"'!H"&amp;34))</f>
        <v>2</v>
      </c>
      <c r="I34" s="19" cm="1">
        <f t="array" aca="1" ref="I34" ca="1">SUM(INDIRECT("'"&amp;datatable!$H$8:$H$10&amp;"'!I"&amp;34))</f>
        <v>1</v>
      </c>
      <c r="J34" s="21" cm="1">
        <f t="array" aca="1" ref="J34" ca="1">SUM(INDIRECT("'"&amp;datatable!$H$8:$H$10&amp;"'!J"&amp;34))</f>
        <v>5</v>
      </c>
      <c r="K34" s="23" cm="1">
        <f t="array" aca="1" ref="K34" ca="1">SUM(INDIRECT("'"&amp;datatable!$H$8:$H$10&amp;"'!K"&amp;34))</f>
        <v>0</v>
      </c>
      <c r="L34" s="25" cm="1">
        <f t="array" aca="1" ref="L34" ca="1">SUM(INDIRECT("'"&amp;datatable!$H$8:$H$10&amp;"'!L"&amp;34))</f>
        <v>0</v>
      </c>
      <c r="M34" s="27" cm="1">
        <f t="array" aca="1" ref="M34" ca="1">SUM(INDIRECT("'"&amp;datatable!$H$8:$H$10&amp;"'!M"&amp;34))</f>
        <v>7</v>
      </c>
      <c r="N34" s="43">
        <f t="shared" ca="1" si="3"/>
        <v>63</v>
      </c>
      <c r="O34" s="43">
        <f t="shared" ca="1" si="4"/>
        <v>56</v>
      </c>
    </row>
    <row r="35" spans="3:15">
      <c r="C35" s="44" t="s">
        <v>40</v>
      </c>
      <c r="D35" s="8" cm="1">
        <f t="array" aca="1" ref="D35" ca="1">SUM(INDIRECT("'"&amp;datatable!$H$8:$H$10&amp;"'!D"&amp;35))</f>
        <v>28</v>
      </c>
      <c r="E35" s="11" cm="1">
        <f t="array" aca="1" ref="E35" ca="1">SUM(INDIRECT("'"&amp;datatable!$H$8:$H$10&amp;"'!E"&amp;35))</f>
        <v>11</v>
      </c>
      <c r="F35" s="13" cm="1">
        <f t="array" aca="1" ref="F35" ca="1">SUM(INDIRECT("'"&amp;datatable!$H$8:$H$10&amp;"'!F"&amp;35))</f>
        <v>7</v>
      </c>
      <c r="G35" s="15" cm="1">
        <f t="array" aca="1" ref="G35" ca="1">SUM(INDIRECT("'"&amp;datatable!$H$8:$H$10&amp;"'!G"&amp;35))</f>
        <v>4</v>
      </c>
      <c r="H35" s="17" cm="1">
        <f t="array" aca="1" ref="H35" ca="1">SUM(INDIRECT("'"&amp;datatable!$H$8:$H$10&amp;"'!H"&amp;35))</f>
        <v>5</v>
      </c>
      <c r="I35" s="19" cm="1">
        <f t="array" aca="1" ref="I35" ca="1">SUM(INDIRECT("'"&amp;datatable!$H$8:$H$10&amp;"'!I"&amp;35))</f>
        <v>3</v>
      </c>
      <c r="J35" s="21" cm="1">
        <f t="array" aca="1" ref="J35" ca="1">SUM(INDIRECT("'"&amp;datatable!$H$8:$H$10&amp;"'!J"&amp;35))</f>
        <v>1</v>
      </c>
      <c r="K35" s="23" cm="1">
        <f t="array" aca="1" ref="K35" ca="1">SUM(INDIRECT("'"&amp;datatable!$H$8:$H$10&amp;"'!K"&amp;35))</f>
        <v>1</v>
      </c>
      <c r="L35" s="25" cm="1">
        <f t="array" aca="1" ref="L35" ca="1">SUM(INDIRECT("'"&amp;datatable!$H$8:$H$10&amp;"'!L"&amp;35))</f>
        <v>3</v>
      </c>
      <c r="M35" s="27" cm="1">
        <f t="array" aca="1" ref="M35" ca="1">SUM(INDIRECT("'"&amp;datatable!$H$8:$H$10&amp;"'!M"&amp;35))</f>
        <v>0</v>
      </c>
      <c r="N35" s="43">
        <f t="shared" ca="1" si="3"/>
        <v>63</v>
      </c>
      <c r="O35" s="43">
        <f t="shared" ca="1" si="4"/>
        <v>63</v>
      </c>
    </row>
    <row r="36" spans="3:15">
      <c r="C36" s="44" t="s">
        <v>41</v>
      </c>
      <c r="D36" s="8" cm="1">
        <f t="array" aca="1" ref="D36" ca="1">SUM(INDIRECT("'"&amp;datatable!$H$8:$H$10&amp;"'!D"&amp;36))</f>
        <v>23</v>
      </c>
      <c r="E36" s="11" cm="1">
        <f t="array" aca="1" ref="E36" ca="1">SUM(INDIRECT("'"&amp;datatable!$H$8:$H$10&amp;"'!E"&amp;36))</f>
        <v>7</v>
      </c>
      <c r="F36" s="13" cm="1">
        <f t="array" aca="1" ref="F36" ca="1">SUM(INDIRECT("'"&amp;datatable!$H$8:$H$10&amp;"'!F"&amp;36))</f>
        <v>7</v>
      </c>
      <c r="G36" s="15" cm="1">
        <f t="array" aca="1" ref="G36" ca="1">SUM(INDIRECT("'"&amp;datatable!$H$8:$H$10&amp;"'!G"&amp;36))</f>
        <v>5</v>
      </c>
      <c r="H36" s="17" cm="1">
        <f t="array" aca="1" ref="H36" ca="1">SUM(INDIRECT("'"&amp;datatable!$H$8:$H$10&amp;"'!H"&amp;36))</f>
        <v>7</v>
      </c>
      <c r="I36" s="19" cm="1">
        <f t="array" aca="1" ref="I36" ca="1">SUM(INDIRECT("'"&amp;datatable!$H$8:$H$10&amp;"'!I"&amp;36))</f>
        <v>2</v>
      </c>
      <c r="J36" s="21" cm="1">
        <f t="array" aca="1" ref="J36" ca="1">SUM(INDIRECT("'"&amp;datatable!$H$8:$H$10&amp;"'!J"&amp;36))</f>
        <v>3</v>
      </c>
      <c r="K36" s="23" cm="1">
        <f t="array" aca="1" ref="K36" ca="1">SUM(INDIRECT("'"&amp;datatable!$H$8:$H$10&amp;"'!K"&amp;36))</f>
        <v>3</v>
      </c>
      <c r="L36" s="25" cm="1">
        <f t="array" aca="1" ref="L36" ca="1">SUM(INDIRECT("'"&amp;datatable!$H$8:$H$10&amp;"'!L"&amp;36))</f>
        <v>3</v>
      </c>
      <c r="M36" s="27" cm="1">
        <f t="array" aca="1" ref="M36" ca="1">SUM(INDIRECT("'"&amp;datatable!$H$8:$H$10&amp;"'!M"&amp;36))</f>
        <v>3</v>
      </c>
      <c r="N36" s="43">
        <f t="shared" ca="1" si="3"/>
        <v>63</v>
      </c>
      <c r="O36" s="43">
        <f t="shared" ca="1" si="4"/>
        <v>60</v>
      </c>
    </row>
    <row r="37" spans="3:15">
      <c r="C37" s="44" t="s">
        <v>42</v>
      </c>
      <c r="D37" s="8" cm="1">
        <f t="array" aca="1" ref="D37" ca="1">SUM(INDIRECT("'"&amp;datatable!$H$8:$H$10&amp;"'!D"&amp;37))</f>
        <v>10</v>
      </c>
      <c r="E37" s="11" cm="1">
        <f t="array" aca="1" ref="E37" ca="1">SUM(INDIRECT("'"&amp;datatable!$H$8:$H$10&amp;"'!E"&amp;37))</f>
        <v>3</v>
      </c>
      <c r="F37" s="13" cm="1">
        <f t="array" aca="1" ref="F37" ca="1">SUM(INDIRECT("'"&amp;datatable!$H$8:$H$10&amp;"'!F"&amp;37))</f>
        <v>6</v>
      </c>
      <c r="G37" s="15" cm="1">
        <f t="array" aca="1" ref="G37" ca="1">SUM(INDIRECT("'"&amp;datatable!$H$8:$H$10&amp;"'!G"&amp;37))</f>
        <v>6</v>
      </c>
      <c r="H37" s="17" cm="1">
        <f t="array" aca="1" ref="H37" ca="1">SUM(INDIRECT("'"&amp;datatable!$H$8:$H$10&amp;"'!H"&amp;37))</f>
        <v>1</v>
      </c>
      <c r="I37" s="19" cm="1">
        <f t="array" aca="1" ref="I37" ca="1">SUM(INDIRECT("'"&amp;datatable!$H$8:$H$10&amp;"'!I"&amp;37))</f>
        <v>1</v>
      </c>
      <c r="J37" s="21" cm="1">
        <f t="array" aca="1" ref="J37" ca="1">SUM(INDIRECT("'"&amp;datatable!$H$8:$H$10&amp;"'!J"&amp;37))</f>
        <v>2</v>
      </c>
      <c r="K37" s="23" cm="1">
        <f t="array" aca="1" ref="K37" ca="1">SUM(INDIRECT("'"&amp;datatable!$H$8:$H$10&amp;"'!K"&amp;37))</f>
        <v>0</v>
      </c>
      <c r="L37" s="25" cm="1">
        <f t="array" aca="1" ref="L37" ca="1">SUM(INDIRECT("'"&amp;datatable!$H$8:$H$10&amp;"'!L"&amp;37))</f>
        <v>1</v>
      </c>
      <c r="M37" s="27" cm="1">
        <f t="array" aca="1" ref="M37" ca="1">SUM(INDIRECT("'"&amp;datatable!$H$8:$H$10&amp;"'!M"&amp;37))</f>
        <v>33</v>
      </c>
      <c r="N37" s="43">
        <f t="shared" ca="1" si="3"/>
        <v>63</v>
      </c>
      <c r="O37" s="43">
        <f t="shared" ca="1" si="4"/>
        <v>30</v>
      </c>
    </row>
    <row r="38" spans="3:15">
      <c r="C38" s="44" t="s">
        <v>43</v>
      </c>
      <c r="D38" s="8" cm="1">
        <f t="array" aca="1" ref="D38" ca="1">SUM(INDIRECT("'"&amp;datatable!$H$8:$H$10&amp;"'!D"&amp;38))</f>
        <v>18</v>
      </c>
      <c r="E38" s="11" cm="1">
        <f t="array" aca="1" ref="E38" ca="1">SUM(INDIRECT("'"&amp;datatable!$H$8:$H$10&amp;"'!E"&amp;38))</f>
        <v>8</v>
      </c>
      <c r="F38" s="13" cm="1">
        <f t="array" aca="1" ref="F38" ca="1">SUM(INDIRECT("'"&amp;datatable!$H$8:$H$10&amp;"'!F"&amp;38))</f>
        <v>6</v>
      </c>
      <c r="G38" s="15" cm="1">
        <f t="array" aca="1" ref="G38" ca="1">SUM(INDIRECT("'"&amp;datatable!$H$8:$H$10&amp;"'!G"&amp;38))</f>
        <v>5</v>
      </c>
      <c r="H38" s="17" cm="1">
        <f t="array" aca="1" ref="H38" ca="1">SUM(INDIRECT("'"&amp;datatable!$H$8:$H$10&amp;"'!H"&amp;38))</f>
        <v>5</v>
      </c>
      <c r="I38" s="19" cm="1">
        <f t="array" aca="1" ref="I38" ca="1">SUM(INDIRECT("'"&amp;datatable!$H$8:$H$10&amp;"'!I"&amp;38))</f>
        <v>6</v>
      </c>
      <c r="J38" s="21" cm="1">
        <f t="array" aca="1" ref="J38" ca="1">SUM(INDIRECT("'"&amp;datatable!$H$8:$H$10&amp;"'!J"&amp;38))</f>
        <v>2</v>
      </c>
      <c r="K38" s="23" cm="1">
        <f t="array" aca="1" ref="K38" ca="1">SUM(INDIRECT("'"&amp;datatable!$H$8:$H$10&amp;"'!K"&amp;38))</f>
        <v>0</v>
      </c>
      <c r="L38" s="25" cm="1">
        <f t="array" aca="1" ref="L38" ca="1">SUM(INDIRECT("'"&amp;datatable!$H$8:$H$10&amp;"'!L"&amp;38))</f>
        <v>7</v>
      </c>
      <c r="M38" s="27" cm="1">
        <f t="array" aca="1" ref="M38" ca="1">SUM(INDIRECT("'"&amp;datatable!$H$8:$H$10&amp;"'!M"&amp;38))</f>
        <v>6</v>
      </c>
      <c r="N38" s="43">
        <f t="shared" ca="1" si="3"/>
        <v>63</v>
      </c>
      <c r="O38" s="43">
        <f t="shared" ca="1" si="4"/>
        <v>57</v>
      </c>
    </row>
    <row r="39" spans="3:15">
      <c r="C39" s="44" t="s">
        <v>44</v>
      </c>
      <c r="D39" s="8" cm="1">
        <f t="array" aca="1" ref="D39" ca="1">SUM(INDIRECT("'"&amp;datatable!$H$8:$H$10&amp;"'!D"&amp;39))</f>
        <v>19</v>
      </c>
      <c r="E39" s="11" cm="1">
        <f t="array" aca="1" ref="E39" ca="1">SUM(INDIRECT("'"&amp;datatable!$H$8:$H$10&amp;"'!E"&amp;39))</f>
        <v>10</v>
      </c>
      <c r="F39" s="13" cm="1">
        <f t="array" aca="1" ref="F39" ca="1">SUM(INDIRECT("'"&amp;datatable!$H$8:$H$10&amp;"'!F"&amp;39))</f>
        <v>13</v>
      </c>
      <c r="G39" s="15" cm="1">
        <f t="array" aca="1" ref="G39" ca="1">SUM(INDIRECT("'"&amp;datatable!$H$8:$H$10&amp;"'!G"&amp;39))</f>
        <v>2</v>
      </c>
      <c r="H39" s="17" cm="1">
        <f t="array" aca="1" ref="H39" ca="1">SUM(INDIRECT("'"&amp;datatable!$H$8:$H$10&amp;"'!H"&amp;39))</f>
        <v>1</v>
      </c>
      <c r="I39" s="19" cm="1">
        <f t="array" aca="1" ref="I39" ca="1">SUM(INDIRECT("'"&amp;datatable!$H$8:$H$10&amp;"'!I"&amp;39))</f>
        <v>0</v>
      </c>
      <c r="J39" s="21" cm="1">
        <f t="array" aca="1" ref="J39" ca="1">SUM(INDIRECT("'"&amp;datatable!$H$8:$H$10&amp;"'!J"&amp;39))</f>
        <v>4</v>
      </c>
      <c r="K39" s="23" cm="1">
        <f t="array" aca="1" ref="K39" ca="1">SUM(INDIRECT("'"&amp;datatable!$H$8:$H$10&amp;"'!K"&amp;39))</f>
        <v>2</v>
      </c>
      <c r="L39" s="25" cm="1">
        <f t="array" aca="1" ref="L39" ca="1">SUM(INDIRECT("'"&amp;datatable!$H$8:$H$10&amp;"'!L"&amp;39))</f>
        <v>7</v>
      </c>
      <c r="M39" s="27" cm="1">
        <f t="array" aca="1" ref="M39" ca="1">SUM(INDIRECT("'"&amp;datatable!$H$8:$H$10&amp;"'!M"&amp;39))</f>
        <v>5</v>
      </c>
      <c r="N39" s="43">
        <f t="shared" ca="1" si="3"/>
        <v>63</v>
      </c>
      <c r="O39" s="43">
        <f t="shared" ca="1" si="4"/>
        <v>58</v>
      </c>
    </row>
    <row r="40" spans="3:15">
      <c r="C40" s="44" t="s">
        <v>45</v>
      </c>
      <c r="D40" s="8" cm="1">
        <f t="array" aca="1" ref="D40" ca="1">SUM(INDIRECT("'"&amp;datatable!$H$8:$H$10&amp;"'!D"&amp;40))</f>
        <v>17</v>
      </c>
      <c r="E40" s="11" cm="1">
        <f t="array" aca="1" ref="E40" ca="1">SUM(INDIRECT("'"&amp;datatable!$H$8:$H$10&amp;"'!E"&amp;40))</f>
        <v>7</v>
      </c>
      <c r="F40" s="13" cm="1">
        <f t="array" aca="1" ref="F40" ca="1">SUM(INDIRECT("'"&amp;datatable!$H$8:$H$10&amp;"'!F"&amp;40))</f>
        <v>9</v>
      </c>
      <c r="G40" s="15" cm="1">
        <f t="array" aca="1" ref="G40" ca="1">SUM(INDIRECT("'"&amp;datatable!$H$8:$H$10&amp;"'!G"&amp;40))</f>
        <v>6</v>
      </c>
      <c r="H40" s="17" cm="1">
        <f t="array" aca="1" ref="H40" ca="1">SUM(INDIRECT("'"&amp;datatable!$H$8:$H$10&amp;"'!H"&amp;40))</f>
        <v>7</v>
      </c>
      <c r="I40" s="19" cm="1">
        <f t="array" aca="1" ref="I40" ca="1">SUM(INDIRECT("'"&amp;datatable!$H$8:$H$10&amp;"'!I"&amp;40))</f>
        <v>2</v>
      </c>
      <c r="J40" s="21" cm="1">
        <f t="array" aca="1" ref="J40" ca="1">SUM(INDIRECT("'"&amp;datatable!$H$8:$H$10&amp;"'!J"&amp;40))</f>
        <v>1</v>
      </c>
      <c r="K40" s="23" cm="1">
        <f t="array" aca="1" ref="K40" ca="1">SUM(INDIRECT("'"&amp;datatable!$H$8:$H$10&amp;"'!K"&amp;40))</f>
        <v>0</v>
      </c>
      <c r="L40" s="25" cm="1">
        <f t="array" aca="1" ref="L40" ca="1">SUM(INDIRECT("'"&amp;datatable!$H$8:$H$10&amp;"'!L"&amp;40))</f>
        <v>5</v>
      </c>
      <c r="M40" s="27" cm="1">
        <f t="array" aca="1" ref="M40" ca="1">SUM(INDIRECT("'"&amp;datatable!$H$8:$H$10&amp;"'!M"&amp;40))</f>
        <v>9</v>
      </c>
      <c r="N40" s="43">
        <f t="shared" ca="1" si="3"/>
        <v>63</v>
      </c>
      <c r="O40" s="43">
        <f t="shared" ca="1" si="4"/>
        <v>54</v>
      </c>
    </row>
    <row r="41" spans="3:15">
      <c r="C41" s="44" t="s">
        <v>46</v>
      </c>
      <c r="D41" s="8" cm="1">
        <f t="array" aca="1" ref="D41" ca="1">SUM(INDIRECT("'"&amp;datatable!$H$8:$H$10&amp;"'!D"&amp;41))</f>
        <v>20</v>
      </c>
      <c r="E41" s="11" cm="1">
        <f t="array" aca="1" ref="E41" ca="1">SUM(INDIRECT("'"&amp;datatable!$H$8:$H$10&amp;"'!E"&amp;41))</f>
        <v>13</v>
      </c>
      <c r="F41" s="13" cm="1">
        <f t="array" aca="1" ref="F41" ca="1">SUM(INDIRECT("'"&amp;datatable!$H$8:$H$10&amp;"'!F"&amp;41))</f>
        <v>12</v>
      </c>
      <c r="G41" s="15" cm="1">
        <f t="array" aca="1" ref="G41" ca="1">SUM(INDIRECT("'"&amp;datatable!$H$8:$H$10&amp;"'!G"&amp;41))</f>
        <v>7</v>
      </c>
      <c r="H41" s="17" cm="1">
        <f t="array" aca="1" ref="H41" ca="1">SUM(INDIRECT("'"&amp;datatable!$H$8:$H$10&amp;"'!H"&amp;41))</f>
        <v>2</v>
      </c>
      <c r="I41" s="19" cm="1">
        <f t="array" aca="1" ref="I41" ca="1">SUM(INDIRECT("'"&amp;datatable!$H$8:$H$10&amp;"'!I"&amp;41))</f>
        <v>1</v>
      </c>
      <c r="J41" s="21" cm="1">
        <f t="array" aca="1" ref="J41" ca="1">SUM(INDIRECT("'"&amp;datatable!$H$8:$H$10&amp;"'!J"&amp;41))</f>
        <v>4</v>
      </c>
      <c r="K41" s="23" cm="1">
        <f t="array" aca="1" ref="K41" ca="1">SUM(INDIRECT("'"&amp;datatable!$H$8:$H$10&amp;"'!K"&amp;41))</f>
        <v>1</v>
      </c>
      <c r="L41" s="25" cm="1">
        <f t="array" aca="1" ref="L41" ca="1">SUM(INDIRECT("'"&amp;datatable!$H$8:$H$10&amp;"'!L"&amp;41))</f>
        <v>2</v>
      </c>
      <c r="M41" s="27" cm="1">
        <f t="array" aca="1" ref="M41" ca="1">SUM(INDIRECT("'"&amp;datatable!$H$8:$H$10&amp;"'!M"&amp;41))</f>
        <v>1</v>
      </c>
      <c r="N41" s="43">
        <f t="shared" ca="1" si="3"/>
        <v>63</v>
      </c>
      <c r="O41" s="43">
        <f t="shared" ca="1" si="4"/>
        <v>62</v>
      </c>
    </row>
    <row r="42" spans="3:15">
      <c r="C42" s="44" t="s">
        <v>47</v>
      </c>
      <c r="D42" s="8" cm="1">
        <f t="array" aca="1" ref="D42" ca="1">SUM(INDIRECT("'"&amp;datatable!$H$8:$H$10&amp;"'!D"&amp;42))</f>
        <v>16</v>
      </c>
      <c r="E42" s="11" cm="1">
        <f t="array" aca="1" ref="E42" ca="1">SUM(INDIRECT("'"&amp;datatable!$H$8:$H$10&amp;"'!E"&amp;42))</f>
        <v>11</v>
      </c>
      <c r="F42" s="13" cm="1">
        <f t="array" aca="1" ref="F42" ca="1">SUM(INDIRECT("'"&amp;datatable!$H$8:$H$10&amp;"'!F"&amp;42))</f>
        <v>7</v>
      </c>
      <c r="G42" s="15" cm="1">
        <f t="array" aca="1" ref="G42" ca="1">SUM(INDIRECT("'"&amp;datatable!$H$8:$H$10&amp;"'!G"&amp;42))</f>
        <v>8</v>
      </c>
      <c r="H42" s="17" cm="1">
        <f t="array" aca="1" ref="H42" ca="1">SUM(INDIRECT("'"&amp;datatable!$H$8:$H$10&amp;"'!H"&amp;42))</f>
        <v>7</v>
      </c>
      <c r="I42" s="19" cm="1">
        <f t="array" aca="1" ref="I42" ca="1">SUM(INDIRECT("'"&amp;datatable!$H$8:$H$10&amp;"'!I"&amp;42))</f>
        <v>3</v>
      </c>
      <c r="J42" s="21" cm="1">
        <f t="array" aca="1" ref="J42" ca="1">SUM(INDIRECT("'"&amp;datatable!$H$8:$H$10&amp;"'!J"&amp;42))</f>
        <v>5</v>
      </c>
      <c r="K42" s="23" cm="1">
        <f t="array" aca="1" ref="K42" ca="1">SUM(INDIRECT("'"&amp;datatable!$H$8:$H$10&amp;"'!K"&amp;42))</f>
        <v>2</v>
      </c>
      <c r="L42" s="25" cm="1">
        <f t="array" aca="1" ref="L42" ca="1">SUM(INDIRECT("'"&amp;datatable!$H$8:$H$10&amp;"'!L"&amp;42))</f>
        <v>4</v>
      </c>
      <c r="M42" s="27" cm="1">
        <f t="array" aca="1" ref="M42" ca="1">SUM(INDIRECT("'"&amp;datatable!$H$8:$H$10&amp;"'!M"&amp;42))</f>
        <v>0</v>
      </c>
      <c r="N42" s="43">
        <f t="shared" ca="1" si="3"/>
        <v>63</v>
      </c>
      <c r="O42" s="43">
        <f t="shared" ca="1" si="4"/>
        <v>63</v>
      </c>
    </row>
    <row r="43" spans="3:15">
      <c r="C43" s="44" t="s">
        <v>48</v>
      </c>
      <c r="D43" s="8" cm="1">
        <f t="array" aca="1" ref="D43" ca="1">SUM(INDIRECT("'"&amp;datatable!$H$8:$H$10&amp;"'!D"&amp;43))</f>
        <v>35</v>
      </c>
      <c r="E43" s="11" cm="1">
        <f t="array" aca="1" ref="E43" ca="1">SUM(INDIRECT("'"&amp;datatable!$H$8:$H$10&amp;"'!E"&amp;43))</f>
        <v>8</v>
      </c>
      <c r="F43" s="13" cm="1">
        <f t="array" aca="1" ref="F43" ca="1">SUM(INDIRECT("'"&amp;datatable!$H$8:$H$10&amp;"'!F"&amp;43))</f>
        <v>8</v>
      </c>
      <c r="G43" s="15" cm="1">
        <f t="array" aca="1" ref="G43" ca="1">SUM(INDIRECT("'"&amp;datatable!$H$8:$H$10&amp;"'!G"&amp;43))</f>
        <v>2</v>
      </c>
      <c r="H43" s="17" cm="1">
        <f t="array" aca="1" ref="H43" ca="1">SUM(INDIRECT("'"&amp;datatable!$H$8:$H$10&amp;"'!H"&amp;43))</f>
        <v>2</v>
      </c>
      <c r="I43" s="19" cm="1">
        <f t="array" aca="1" ref="I43" ca="1">SUM(INDIRECT("'"&amp;datatable!$H$8:$H$10&amp;"'!I"&amp;43))</f>
        <v>3</v>
      </c>
      <c r="J43" s="21" cm="1">
        <f t="array" aca="1" ref="J43" ca="1">SUM(INDIRECT("'"&amp;datatable!$H$8:$H$10&amp;"'!J"&amp;43))</f>
        <v>1</v>
      </c>
      <c r="K43" s="23" cm="1">
        <f t="array" aca="1" ref="K43" ca="1">SUM(INDIRECT("'"&amp;datatable!$H$8:$H$10&amp;"'!K"&amp;43))</f>
        <v>1</v>
      </c>
      <c r="L43" s="25" cm="1">
        <f t="array" aca="1" ref="L43" ca="1">SUM(INDIRECT("'"&amp;datatable!$H$8:$H$10&amp;"'!L"&amp;43))</f>
        <v>2</v>
      </c>
      <c r="M43" s="27" cm="1">
        <f t="array" aca="1" ref="M43" ca="1">SUM(INDIRECT("'"&amp;datatable!$H$8:$H$10&amp;"'!M"&amp;43))</f>
        <v>1</v>
      </c>
      <c r="N43" s="43">
        <f t="shared" ca="1" si="3"/>
        <v>63</v>
      </c>
      <c r="O43" s="43">
        <f t="shared" ca="1" si="4"/>
        <v>62</v>
      </c>
    </row>
    <row r="44" spans="3:15">
      <c r="C44" s="44" t="s">
        <v>49</v>
      </c>
      <c r="D44" s="8" cm="1">
        <f t="array" aca="1" ref="D44" ca="1">SUM(INDIRECT("'"&amp;datatable!$H$8:$H$10&amp;"'!D"&amp;44))</f>
        <v>6</v>
      </c>
      <c r="E44" s="11" cm="1">
        <f t="array" aca="1" ref="E44" ca="1">SUM(INDIRECT("'"&amp;datatable!$H$8:$H$10&amp;"'!E"&amp;44))</f>
        <v>9</v>
      </c>
      <c r="F44" s="13" cm="1">
        <f t="array" aca="1" ref="F44" ca="1">SUM(INDIRECT("'"&amp;datatable!$H$8:$H$10&amp;"'!F"&amp;44))</f>
        <v>11</v>
      </c>
      <c r="G44" s="15" cm="1">
        <f t="array" aca="1" ref="G44" ca="1">SUM(INDIRECT("'"&amp;datatable!$H$8:$H$10&amp;"'!G"&amp;44))</f>
        <v>2</v>
      </c>
      <c r="H44" s="17" cm="1">
        <f t="array" aca="1" ref="H44" ca="1">SUM(INDIRECT("'"&amp;datatable!$H$8:$H$10&amp;"'!H"&amp;44))</f>
        <v>8</v>
      </c>
      <c r="I44" s="19" cm="1">
        <f t="array" aca="1" ref="I44" ca="1">SUM(INDIRECT("'"&amp;datatable!$H$8:$H$10&amp;"'!I"&amp;44))</f>
        <v>1</v>
      </c>
      <c r="J44" s="21" cm="1">
        <f t="array" aca="1" ref="J44" ca="1">SUM(INDIRECT("'"&amp;datatable!$H$8:$H$10&amp;"'!J"&amp;44))</f>
        <v>4</v>
      </c>
      <c r="K44" s="23" cm="1">
        <f t="array" aca="1" ref="K44" ca="1">SUM(INDIRECT("'"&amp;datatable!$H$8:$H$10&amp;"'!K"&amp;44))</f>
        <v>3</v>
      </c>
      <c r="L44" s="25" cm="1">
        <f t="array" aca="1" ref="L44" ca="1">SUM(INDIRECT("'"&amp;datatable!$H$8:$H$10&amp;"'!L"&amp;44))</f>
        <v>9</v>
      </c>
      <c r="M44" s="27" cm="1">
        <f t="array" aca="1" ref="M44" ca="1">SUM(INDIRECT("'"&amp;datatable!$H$8:$H$10&amp;"'!M"&amp;44))</f>
        <v>10</v>
      </c>
      <c r="N44" s="43">
        <f t="shared" ca="1" si="3"/>
        <v>63</v>
      </c>
      <c r="O44" s="43">
        <f t="shared" ca="1" si="4"/>
        <v>53</v>
      </c>
    </row>
    <row r="45" spans="3:15">
      <c r="C45" s="44" t="s">
        <v>50</v>
      </c>
      <c r="D45" s="8" cm="1">
        <f t="array" aca="1" ref="D45" ca="1">SUM(INDIRECT("'"&amp;datatable!$H$8:$H$10&amp;"'!D"&amp;45))</f>
        <v>19</v>
      </c>
      <c r="E45" s="11" cm="1">
        <f t="array" aca="1" ref="E45" ca="1">SUM(INDIRECT("'"&amp;datatable!$H$8:$H$10&amp;"'!E"&amp;45))</f>
        <v>7</v>
      </c>
      <c r="F45" s="13" cm="1">
        <f t="array" aca="1" ref="F45" ca="1">SUM(INDIRECT("'"&amp;datatable!$H$8:$H$10&amp;"'!F"&amp;45))</f>
        <v>6</v>
      </c>
      <c r="G45" s="15" cm="1">
        <f t="array" aca="1" ref="G45" ca="1">SUM(INDIRECT("'"&amp;datatable!$H$8:$H$10&amp;"'!G"&amp;45))</f>
        <v>4</v>
      </c>
      <c r="H45" s="17" cm="1">
        <f t="array" aca="1" ref="H45" ca="1">SUM(INDIRECT("'"&amp;datatable!$H$8:$H$10&amp;"'!H"&amp;45))</f>
        <v>5</v>
      </c>
      <c r="I45" s="19" cm="1">
        <f t="array" aca="1" ref="I45" ca="1">SUM(INDIRECT("'"&amp;datatable!$H$8:$H$10&amp;"'!I"&amp;45))</f>
        <v>5</v>
      </c>
      <c r="J45" s="21" cm="1">
        <f t="array" aca="1" ref="J45" ca="1">SUM(INDIRECT("'"&amp;datatable!$H$8:$H$10&amp;"'!J"&amp;45))</f>
        <v>1</v>
      </c>
      <c r="K45" s="23" cm="1">
        <f t="array" aca="1" ref="K45" ca="1">SUM(INDIRECT("'"&amp;datatable!$H$8:$H$10&amp;"'!K"&amp;45))</f>
        <v>6</v>
      </c>
      <c r="L45" s="25" cm="1">
        <f t="array" aca="1" ref="L45" ca="1">SUM(INDIRECT("'"&amp;datatable!$H$8:$H$10&amp;"'!L"&amp;45))</f>
        <v>10</v>
      </c>
      <c r="M45" s="27" cm="1">
        <f t="array" aca="1" ref="M45" ca="1">SUM(INDIRECT("'"&amp;datatable!$H$8:$H$10&amp;"'!M"&amp;45))</f>
        <v>0</v>
      </c>
      <c r="N45" s="43">
        <f t="shared" ca="1" si="3"/>
        <v>63</v>
      </c>
      <c r="O45" s="43">
        <f t="shared" ca="1" si="4"/>
        <v>63</v>
      </c>
    </row>
    <row r="46" spans="3:15">
      <c r="C46" s="45" t="s">
        <v>51</v>
      </c>
      <c r="D46" s="8" cm="1">
        <f t="array" aca="1" ref="D46" ca="1">SUM(INDIRECT("'"&amp;datatable!$H$8:$H$10&amp;"'!D"&amp;46))</f>
        <v>1</v>
      </c>
      <c r="E46" s="11" cm="1">
        <f t="array" aca="1" ref="E46" ca="1">SUM(INDIRECT("'"&amp;datatable!$H$8:$H$10&amp;"'!E"&amp;46))</f>
        <v>1</v>
      </c>
      <c r="F46" s="13" cm="1">
        <f t="array" aca="1" ref="F46" ca="1">SUM(INDIRECT("'"&amp;datatable!$H$8:$H$10&amp;"'!F"&amp;46))</f>
        <v>1</v>
      </c>
      <c r="G46" s="15" cm="1">
        <f t="array" aca="1" ref="G46" ca="1">SUM(INDIRECT("'"&amp;datatable!$H$8:$H$10&amp;"'!G"&amp;46))</f>
        <v>1</v>
      </c>
      <c r="H46" s="17" cm="1">
        <f t="array" aca="1" ref="H46" ca="1">SUM(INDIRECT("'"&amp;datatable!$H$8:$H$10&amp;"'!H"&amp;46))</f>
        <v>1</v>
      </c>
      <c r="I46" s="19" cm="1">
        <f t="array" aca="1" ref="I46" ca="1">SUM(INDIRECT("'"&amp;datatable!$H$8:$H$10&amp;"'!I"&amp;46))</f>
        <v>1</v>
      </c>
      <c r="J46" s="21" cm="1">
        <f t="array" aca="1" ref="J46" ca="1">SUM(INDIRECT("'"&amp;datatable!$H$8:$H$10&amp;"'!J"&amp;46))</f>
        <v>2</v>
      </c>
      <c r="K46" s="23" cm="1">
        <f t="array" aca="1" ref="K46" ca="1">SUM(INDIRECT("'"&amp;datatable!$H$8:$H$10&amp;"'!K"&amp;46))</f>
        <v>4</v>
      </c>
      <c r="L46" s="25" cm="1">
        <f t="array" aca="1" ref="L46" ca="1">SUM(INDIRECT("'"&amp;datatable!$H$8:$H$10&amp;"'!L"&amp;46))</f>
        <v>48</v>
      </c>
      <c r="M46" s="27" cm="1">
        <f t="array" aca="1" ref="M46" ca="1">SUM(INDIRECT("'"&amp;datatable!$H$8:$H$10&amp;"'!M"&amp;46))</f>
        <v>3</v>
      </c>
      <c r="N46" s="43">
        <f t="shared" ca="1" si="3"/>
        <v>63</v>
      </c>
      <c r="O46" s="43">
        <f t="shared" ca="1" si="4"/>
        <v>60</v>
      </c>
    </row>
    <row r="47" spans="3:15">
      <c r="C47" s="44" t="s">
        <v>52</v>
      </c>
      <c r="D47" s="8" cm="1">
        <f t="array" aca="1" ref="D47" ca="1">SUM(INDIRECT("'"&amp;datatable!$H$8:$H$10&amp;"'!D"&amp;47))</f>
        <v>25</v>
      </c>
      <c r="E47" s="11" cm="1">
        <f t="array" aca="1" ref="E47" ca="1">SUM(INDIRECT("'"&amp;datatable!$H$8:$H$10&amp;"'!E"&amp;47))</f>
        <v>9</v>
      </c>
      <c r="F47" s="13" cm="1">
        <f t="array" aca="1" ref="F47" ca="1">SUM(INDIRECT("'"&amp;datatable!$H$8:$H$10&amp;"'!F"&amp;47))</f>
        <v>9</v>
      </c>
      <c r="G47" s="15" cm="1">
        <f t="array" aca="1" ref="G47" ca="1">SUM(INDIRECT("'"&amp;datatable!$H$8:$H$10&amp;"'!G"&amp;47))</f>
        <v>6</v>
      </c>
      <c r="H47" s="17" cm="1">
        <f t="array" aca="1" ref="H47" ca="1">SUM(INDIRECT("'"&amp;datatable!$H$8:$H$10&amp;"'!H"&amp;47))</f>
        <v>2</v>
      </c>
      <c r="I47" s="19" cm="1">
        <f t="array" aca="1" ref="I47" ca="1">SUM(INDIRECT("'"&amp;datatable!$H$8:$H$10&amp;"'!I"&amp;47))</f>
        <v>0</v>
      </c>
      <c r="J47" s="21" cm="1">
        <f t="array" aca="1" ref="J47" ca="1">SUM(INDIRECT("'"&amp;datatable!$H$8:$H$10&amp;"'!J"&amp;47))</f>
        <v>3</v>
      </c>
      <c r="K47" s="23" cm="1">
        <f t="array" aca="1" ref="K47" ca="1">SUM(INDIRECT("'"&amp;datatable!$H$8:$H$10&amp;"'!K"&amp;47))</f>
        <v>0</v>
      </c>
      <c r="L47" s="25" cm="1">
        <f t="array" aca="1" ref="L47" ca="1">SUM(INDIRECT("'"&amp;datatable!$H$8:$H$10&amp;"'!L"&amp;47))</f>
        <v>2</v>
      </c>
      <c r="M47" s="27" cm="1">
        <f t="array" aca="1" ref="M47" ca="1">SUM(INDIRECT("'"&amp;datatable!$H$8:$H$10&amp;"'!M"&amp;47))</f>
        <v>7</v>
      </c>
      <c r="N47" s="43">
        <f t="shared" ca="1" si="3"/>
        <v>63</v>
      </c>
      <c r="O47" s="43">
        <f t="shared" ca="1" si="4"/>
        <v>56</v>
      </c>
    </row>
    <row r="48" spans="3:15">
      <c r="C48" s="44" t="s">
        <v>53</v>
      </c>
      <c r="D48" s="8" cm="1">
        <f t="array" aca="1" ref="D48" ca="1">SUM(INDIRECT("'"&amp;datatable!$H$8:$H$10&amp;"'!D"&amp;48))</f>
        <v>6</v>
      </c>
      <c r="E48" s="11" cm="1">
        <f t="array" aca="1" ref="E48" ca="1">SUM(INDIRECT("'"&amp;datatable!$H$8:$H$10&amp;"'!E"&amp;48))</f>
        <v>2</v>
      </c>
      <c r="F48" s="13" cm="1">
        <f t="array" aca="1" ref="F48" ca="1">SUM(INDIRECT("'"&amp;datatable!$H$8:$H$10&amp;"'!F"&amp;48))</f>
        <v>1</v>
      </c>
      <c r="G48" s="15" cm="1">
        <f t="array" aca="1" ref="G48" ca="1">SUM(INDIRECT("'"&amp;datatable!$H$8:$H$10&amp;"'!G"&amp;48))</f>
        <v>7</v>
      </c>
      <c r="H48" s="17" cm="1">
        <f t="array" aca="1" ref="H48" ca="1">SUM(INDIRECT("'"&amp;datatable!$H$8:$H$10&amp;"'!H"&amp;48))</f>
        <v>4</v>
      </c>
      <c r="I48" s="19" cm="1">
        <f t="array" aca="1" ref="I48" ca="1">SUM(INDIRECT("'"&amp;datatable!$H$8:$H$10&amp;"'!I"&amp;48))</f>
        <v>0</v>
      </c>
      <c r="J48" s="21" cm="1">
        <f t="array" aca="1" ref="J48" ca="1">SUM(INDIRECT("'"&amp;datatable!$H$8:$H$10&amp;"'!J"&amp;48))</f>
        <v>3</v>
      </c>
      <c r="K48" s="23" cm="1">
        <f t="array" aca="1" ref="K48" ca="1">SUM(INDIRECT("'"&amp;datatable!$H$8:$H$10&amp;"'!K"&amp;48))</f>
        <v>5</v>
      </c>
      <c r="L48" s="25" cm="1">
        <f t="array" aca="1" ref="L48" ca="1">SUM(INDIRECT("'"&amp;datatable!$H$8:$H$10&amp;"'!L"&amp;48))</f>
        <v>29</v>
      </c>
      <c r="M48" s="27" cm="1">
        <f t="array" aca="1" ref="M48" ca="1">SUM(INDIRECT("'"&amp;datatable!$H$8:$H$10&amp;"'!M"&amp;48))</f>
        <v>6</v>
      </c>
      <c r="N48" s="43">
        <f t="shared" ca="1" si="3"/>
        <v>63</v>
      </c>
      <c r="O48" s="43">
        <f t="shared" ca="1" si="4"/>
        <v>57</v>
      </c>
    </row>
    <row r="49" spans="3:15">
      <c r="C49" s="44" t="s">
        <v>54</v>
      </c>
      <c r="D49" s="8" cm="1">
        <f t="array" aca="1" ref="D49" ca="1">SUM(INDIRECT("'"&amp;datatable!$H$8:$H$10&amp;"'!D"&amp;49))</f>
        <v>16</v>
      </c>
      <c r="E49" s="11" cm="1">
        <f t="array" aca="1" ref="E49" ca="1">SUM(INDIRECT("'"&amp;datatable!$H$8:$H$10&amp;"'!E"&amp;49))</f>
        <v>2</v>
      </c>
      <c r="F49" s="13" cm="1">
        <f t="array" aca="1" ref="F49" ca="1">SUM(INDIRECT("'"&amp;datatable!$H$8:$H$10&amp;"'!F"&amp;49))</f>
        <v>27</v>
      </c>
      <c r="G49" s="15" cm="1">
        <f t="array" aca="1" ref="G49" ca="1">SUM(INDIRECT("'"&amp;datatable!$H$8:$H$10&amp;"'!G"&amp;49))</f>
        <v>8</v>
      </c>
      <c r="H49" s="17" cm="1">
        <f t="array" aca="1" ref="H49" ca="1">SUM(INDIRECT("'"&amp;datatable!$H$8:$H$10&amp;"'!H"&amp;49))</f>
        <v>1</v>
      </c>
      <c r="I49" s="19" cm="1">
        <f t="array" aca="1" ref="I49" ca="1">SUM(INDIRECT("'"&amp;datatable!$H$8:$H$10&amp;"'!I"&amp;49))</f>
        <v>4</v>
      </c>
      <c r="J49" s="21" cm="1">
        <f t="array" aca="1" ref="J49" ca="1">SUM(INDIRECT("'"&amp;datatable!$H$8:$H$10&amp;"'!J"&amp;49))</f>
        <v>1</v>
      </c>
      <c r="K49" s="23" cm="1">
        <f t="array" aca="1" ref="K49" ca="1">SUM(INDIRECT("'"&amp;datatable!$H$8:$H$10&amp;"'!K"&amp;49))</f>
        <v>0</v>
      </c>
      <c r="L49" s="25" cm="1">
        <f t="array" aca="1" ref="L49" ca="1">SUM(INDIRECT("'"&amp;datatable!$H$8:$H$10&amp;"'!L"&amp;49))</f>
        <v>0</v>
      </c>
      <c r="M49" s="27" cm="1">
        <f t="array" aca="1" ref="M49" ca="1">SUM(INDIRECT("'"&amp;datatable!$H$8:$H$10&amp;"'!M"&amp;49))</f>
        <v>4</v>
      </c>
      <c r="N49" s="43">
        <f t="shared" ca="1" si="3"/>
        <v>63</v>
      </c>
      <c r="O49" s="43">
        <f t="shared" ca="1" si="4"/>
        <v>59</v>
      </c>
    </row>
    <row r="50" spans="3:15">
      <c r="C50" s="46" t="s">
        <v>36</v>
      </c>
      <c r="D50" s="47">
        <f ca="1">SUM(D32:D49)</f>
        <v>345</v>
      </c>
      <c r="E50" s="47">
        <f t="shared" ref="E50:M50" ca="1" si="5">SUM(E32:E49)</f>
        <v>122</v>
      </c>
      <c r="F50" s="47">
        <f t="shared" ca="1" si="5"/>
        <v>150</v>
      </c>
      <c r="G50" s="47">
        <f t="shared" ca="1" si="5"/>
        <v>89</v>
      </c>
      <c r="H50" s="47">
        <f t="shared" ca="1" si="5"/>
        <v>63</v>
      </c>
      <c r="I50" s="47">
        <f t="shared" ca="1" si="5"/>
        <v>37</v>
      </c>
      <c r="J50" s="47">
        <f t="shared" ca="1" si="5"/>
        <v>46</v>
      </c>
      <c r="K50" s="47">
        <f t="shared" ca="1" si="5"/>
        <v>31</v>
      </c>
      <c r="L50" s="47">
        <f t="shared" ca="1" si="5"/>
        <v>142</v>
      </c>
      <c r="M50" s="47">
        <f t="shared" ca="1" si="5"/>
        <v>109</v>
      </c>
      <c r="N50" s="43">
        <f ca="1">SUM(D50:M50)</f>
        <v>1134</v>
      </c>
      <c r="O50" s="43">
        <f ca="1">SUM(D50:L50)</f>
        <v>1025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0A01-DB40-49F6-A92D-38FF33FFFED8}">
  <dimension ref="A1:J63"/>
  <sheetViews>
    <sheetView workbookViewId="0">
      <selection activeCell="J2" sqref="J2"/>
    </sheetView>
  </sheetViews>
  <sheetFormatPr defaultColWidth="8.88671875" defaultRowHeight="13.8"/>
  <cols>
    <col min="1" max="1" width="40.6640625" style="2" customWidth="1"/>
    <col min="2" max="2" width="23.6640625" style="2" customWidth="1"/>
    <col min="3" max="3" width="16.88671875" style="2" customWidth="1"/>
    <col min="4" max="4" width="8.88671875" style="2"/>
    <col min="5" max="5" width="13.33203125" style="2" bestFit="1" customWidth="1"/>
    <col min="6" max="6" width="8.88671875" style="2"/>
    <col min="7" max="7" width="12.44140625" style="2" customWidth="1"/>
    <col min="8" max="8" width="15.6640625" style="2" customWidth="1"/>
    <col min="9" max="9" width="14.5546875" style="2" customWidth="1"/>
    <col min="10" max="16384" width="8.88671875" style="2"/>
  </cols>
  <sheetData>
    <row r="1" spans="1:10" ht="20.399999999999999" thickBot="1">
      <c r="A1" s="1" t="s">
        <v>0</v>
      </c>
      <c r="B1" s="2" t="s">
        <v>251</v>
      </c>
      <c r="C1" s="2" t="s">
        <v>252</v>
      </c>
      <c r="E1" s="2" t="s">
        <v>253</v>
      </c>
      <c r="G1" s="2" t="s">
        <v>254</v>
      </c>
      <c r="H1" s="2" t="s">
        <v>255</v>
      </c>
      <c r="I1" s="2" t="s">
        <v>256</v>
      </c>
      <c r="J1" s="2" t="s">
        <v>257</v>
      </c>
    </row>
    <row r="2" spans="1:10" ht="14.4" thickTop="1">
      <c r="A2" s="4" t="s">
        <v>13</v>
      </c>
      <c r="B2" s="3" t="s">
        <v>37</v>
      </c>
      <c r="C2" s="2" t="s">
        <v>258</v>
      </c>
      <c r="E2" s="2" t="s">
        <v>58</v>
      </c>
      <c r="G2" s="2" t="s">
        <v>259</v>
      </c>
      <c r="H2" s="2" t="s">
        <v>259</v>
      </c>
      <c r="I2" s="2" t="s">
        <v>260</v>
      </c>
      <c r="J2" s="2" t="s">
        <v>261</v>
      </c>
    </row>
    <row r="3" spans="1:10">
      <c r="A3" s="4" t="s">
        <v>14</v>
      </c>
      <c r="B3" s="3" t="s">
        <v>38</v>
      </c>
      <c r="C3" s="2" t="s">
        <v>262</v>
      </c>
      <c r="E3" s="2" t="s">
        <v>59</v>
      </c>
      <c r="G3" s="2" t="s">
        <v>263</v>
      </c>
      <c r="H3" s="2" t="s">
        <v>264</v>
      </c>
      <c r="I3" s="2" t="s">
        <v>265</v>
      </c>
      <c r="J3" s="2" t="s">
        <v>266</v>
      </c>
    </row>
    <row r="4" spans="1:10">
      <c r="A4" s="4" t="s">
        <v>15</v>
      </c>
      <c r="B4" s="3" t="s">
        <v>39</v>
      </c>
      <c r="C4" s="2" t="s">
        <v>267</v>
      </c>
      <c r="E4" s="2" t="s">
        <v>60</v>
      </c>
      <c r="G4" s="2" t="s">
        <v>268</v>
      </c>
      <c r="H4" s="2" t="s">
        <v>269</v>
      </c>
      <c r="I4" s="2" t="s">
        <v>270</v>
      </c>
      <c r="J4" s="2" t="s">
        <v>271</v>
      </c>
    </row>
    <row r="5" spans="1:10">
      <c r="A5" s="4" t="s">
        <v>16</v>
      </c>
      <c r="B5" s="3" t="s">
        <v>40</v>
      </c>
      <c r="C5" s="2" t="s">
        <v>272</v>
      </c>
      <c r="E5" s="2" t="s">
        <v>61</v>
      </c>
      <c r="G5" s="2" t="s">
        <v>264</v>
      </c>
      <c r="H5" s="2" t="s">
        <v>263</v>
      </c>
    </row>
    <row r="6" spans="1:10">
      <c r="A6" s="4" t="s">
        <v>17</v>
      </c>
      <c r="B6" s="3" t="s">
        <v>41</v>
      </c>
      <c r="C6" s="2" t="s">
        <v>273</v>
      </c>
      <c r="E6" s="2" t="s">
        <v>62</v>
      </c>
      <c r="G6" s="2" t="s">
        <v>274</v>
      </c>
      <c r="H6" s="2" t="s">
        <v>274</v>
      </c>
    </row>
    <row r="7" spans="1:10">
      <c r="A7" s="4" t="s">
        <v>18</v>
      </c>
      <c r="B7" s="3" t="s">
        <v>42</v>
      </c>
      <c r="C7" s="2" t="s">
        <v>275</v>
      </c>
      <c r="E7" s="2" t="s">
        <v>63</v>
      </c>
      <c r="G7" s="2" t="s">
        <v>276</v>
      </c>
      <c r="H7" s="2" t="s">
        <v>277</v>
      </c>
    </row>
    <row r="8" spans="1:10">
      <c r="A8" s="4" t="s">
        <v>19</v>
      </c>
      <c r="B8" s="3" t="s">
        <v>43</v>
      </c>
      <c r="E8" s="2" t="s">
        <v>64</v>
      </c>
      <c r="G8" s="2" t="s">
        <v>269</v>
      </c>
      <c r="H8" s="2" t="s">
        <v>268</v>
      </c>
    </row>
    <row r="9" spans="1:10">
      <c r="A9" s="4" t="s">
        <v>20</v>
      </c>
      <c r="B9" s="3" t="s">
        <v>44</v>
      </c>
      <c r="E9" s="2" t="s">
        <v>65</v>
      </c>
      <c r="G9" s="2" t="s">
        <v>277</v>
      </c>
      <c r="H9" s="2" t="s">
        <v>276</v>
      </c>
    </row>
    <row r="10" spans="1:10">
      <c r="A10" s="4" t="s">
        <v>21</v>
      </c>
      <c r="B10" s="3" t="s">
        <v>45</v>
      </c>
      <c r="E10" s="2" t="s">
        <v>66</v>
      </c>
      <c r="G10" s="2" t="s">
        <v>278</v>
      </c>
      <c r="H10" s="2" t="s">
        <v>278</v>
      </c>
    </row>
    <row r="11" spans="1:10">
      <c r="A11" s="4" t="s">
        <v>22</v>
      </c>
      <c r="B11" s="3" t="s">
        <v>46</v>
      </c>
      <c r="E11" s="2" t="s">
        <v>67</v>
      </c>
    </row>
    <row r="12" spans="1:10">
      <c r="A12" s="4" t="s">
        <v>23</v>
      </c>
      <c r="B12" s="3" t="s">
        <v>47</v>
      </c>
      <c r="E12" s="2" t="s">
        <v>68</v>
      </c>
    </row>
    <row r="13" spans="1:10">
      <c r="A13" s="4" t="s">
        <v>24</v>
      </c>
      <c r="B13" s="3" t="s">
        <v>48</v>
      </c>
      <c r="E13" s="2" t="s">
        <v>69</v>
      </c>
    </row>
    <row r="14" spans="1:10">
      <c r="A14" s="4" t="s">
        <v>25</v>
      </c>
      <c r="B14" s="3" t="s">
        <v>49</v>
      </c>
      <c r="E14" s="2" t="s">
        <v>70</v>
      </c>
    </row>
    <row r="15" spans="1:10">
      <c r="A15" s="4" t="s">
        <v>26</v>
      </c>
      <c r="B15" s="3" t="s">
        <v>50</v>
      </c>
      <c r="E15" s="2" t="s">
        <v>71</v>
      </c>
    </row>
    <row r="16" spans="1:10">
      <c r="A16" s="4" t="s">
        <v>27</v>
      </c>
      <c r="B16" s="3" t="s">
        <v>51</v>
      </c>
      <c r="E16" s="2" t="s">
        <v>72</v>
      </c>
    </row>
    <row r="17" spans="1:5">
      <c r="A17" s="4" t="s">
        <v>28</v>
      </c>
      <c r="B17" s="3" t="s">
        <v>52</v>
      </c>
      <c r="E17" s="2" t="s">
        <v>73</v>
      </c>
    </row>
    <row r="18" spans="1:5">
      <c r="A18" s="4" t="s">
        <v>29</v>
      </c>
      <c r="B18" s="3" t="s">
        <v>53</v>
      </c>
      <c r="E18" s="2" t="s">
        <v>279</v>
      </c>
    </row>
    <row r="19" spans="1:5">
      <c r="A19" s="4" t="s">
        <v>30</v>
      </c>
      <c r="B19" s="3" t="s">
        <v>54</v>
      </c>
    </row>
    <row r="20" spans="1:5">
      <c r="A20" s="4" t="s">
        <v>31</v>
      </c>
    </row>
    <row r="21" spans="1:5">
      <c r="A21" s="4" t="s">
        <v>32</v>
      </c>
    </row>
    <row r="22" spans="1:5">
      <c r="A22" s="4" t="s">
        <v>33</v>
      </c>
    </row>
    <row r="23" spans="1:5">
      <c r="A23" s="3"/>
    </row>
    <row r="24" spans="1:5">
      <c r="A24" s="3"/>
    </row>
    <row r="25" spans="1:5">
      <c r="A25" s="3"/>
    </row>
    <row r="26" spans="1:5">
      <c r="A26" s="3"/>
    </row>
    <row r="27" spans="1:5">
      <c r="A27" s="3"/>
    </row>
    <row r="28" spans="1:5">
      <c r="A28" s="3"/>
    </row>
    <row r="29" spans="1:5">
      <c r="A29" s="3"/>
    </row>
    <row r="30" spans="1:5">
      <c r="A30" s="3"/>
    </row>
    <row r="42" spans="1:1">
      <c r="A42" s="3"/>
    </row>
    <row r="43" spans="1:1">
      <c r="A43" s="3"/>
    </row>
    <row r="44" spans="1:1">
      <c r="A44" s="3"/>
    </row>
    <row r="45" spans="1:1">
      <c r="A45" s="3"/>
    </row>
    <row r="57" spans="1:1">
      <c r="A57" s="3"/>
    </row>
    <row r="58" spans="1:1">
      <c r="A58" s="3"/>
    </row>
    <row r="59" spans="1:1">
      <c r="A59" s="3"/>
    </row>
    <row r="60" spans="1:1">
      <c r="A60" s="3"/>
    </row>
    <row r="61" spans="1:1">
      <c r="A61" s="3"/>
    </row>
    <row r="62" spans="1:1">
      <c r="A62" s="3"/>
    </row>
    <row r="63" spans="1:1">
      <c r="A63" s="3"/>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549D-4DEC-4866-8E0E-349EC6100D2E}">
  <dimension ref="C5:O135"/>
  <sheetViews>
    <sheetView zoomScale="95" zoomScaleNormal="95" workbookViewId="0">
      <selection activeCell="AV86" sqref="AV86"/>
    </sheetView>
  </sheetViews>
  <sheetFormatPr defaultRowHeight="14.4"/>
  <cols>
    <col min="4" max="4" width="6.109375" customWidth="1"/>
    <col min="5" max="5" width="13.44140625" customWidth="1"/>
    <col min="6" max="6" width="19.88671875" customWidth="1"/>
    <col min="7" max="7" width="3.88671875" customWidth="1"/>
    <col min="8" max="8" width="4.109375" customWidth="1"/>
    <col min="9" max="10" width="3.33203125" customWidth="1"/>
    <col min="11" max="11" width="5.33203125" customWidth="1"/>
    <col min="12" max="12" width="4.6640625" customWidth="1"/>
    <col min="13" max="13" width="4.88671875" customWidth="1"/>
  </cols>
  <sheetData>
    <row r="5" spans="3:15">
      <c r="C5" t="s">
        <v>0</v>
      </c>
    </row>
    <row r="6" spans="3:15">
      <c r="D6" s="7" t="s">
        <v>1</v>
      </c>
      <c r="E6" s="54" t="s">
        <v>2</v>
      </c>
      <c r="F6" s="55" t="s">
        <v>3</v>
      </c>
      <c r="G6" s="56" t="s">
        <v>4</v>
      </c>
      <c r="H6" s="57" t="s">
        <v>5</v>
      </c>
      <c r="I6" s="58" t="s">
        <v>6</v>
      </c>
      <c r="J6" s="59" t="s">
        <v>7</v>
      </c>
      <c r="K6" s="60" t="s">
        <v>8</v>
      </c>
      <c r="L6" s="61" t="s">
        <v>9</v>
      </c>
      <c r="M6" s="62" t="s">
        <v>10</v>
      </c>
      <c r="N6" s="28" t="s">
        <v>11</v>
      </c>
      <c r="O6" s="28" t="s">
        <v>12</v>
      </c>
    </row>
    <row r="7" spans="3:15">
      <c r="C7" s="5" t="s">
        <v>13</v>
      </c>
      <c r="D7" s="8" cm="1">
        <f t="array" aca="1" ref="D7" ca="1">SUM(INDIRECT("'"&amp;datatable!$G$2:$G$10&amp;"'!D"&amp;7))</f>
        <v>74</v>
      </c>
      <c r="E7" s="54" cm="1">
        <f t="array" aca="1" ref="E7" ca="1">SUM(INDIRECT("'"&amp;datatable!$G$2:$G$10&amp;"'!E"&amp;7))</f>
        <v>16</v>
      </c>
      <c r="F7" s="55" cm="1">
        <f t="array" aca="1" ref="F7" ca="1">SUM(INDIRECT("'"&amp;datatable!$G$2:$G$10&amp;"'!F"&amp;7))</f>
        <v>5</v>
      </c>
      <c r="G7" s="56" cm="1">
        <f t="array" aca="1" ref="G7" ca="1">SUM(INDIRECT("'"&amp;datatable!$G$2:$G$10&amp;"'!G"&amp;7))</f>
        <v>6</v>
      </c>
      <c r="H7" s="57" cm="1">
        <f t="array" aca="1" ref="H7" ca="1">SUM(INDIRECT("'"&amp;datatable!$G$2:$G$10&amp;"'!H"&amp;7))</f>
        <v>3</v>
      </c>
      <c r="I7" s="58" cm="1">
        <f t="array" aca="1" ref="I7" ca="1">SUM(INDIRECT("'"&amp;datatable!$G$2:$G$10&amp;"'!I"&amp;7))</f>
        <v>4</v>
      </c>
      <c r="J7" s="59" cm="1">
        <f t="array" aca="1" ref="J7" ca="1">SUM(INDIRECT("'"&amp;datatable!$G$2:$G$10&amp;"'!J"&amp;7))</f>
        <v>6</v>
      </c>
      <c r="K7" s="60" cm="1">
        <f t="array" aca="1" ref="K7" ca="1">SUM(INDIRECT("'"&amp;datatable!$G$2:$G$10&amp;"'!K"&amp;7))</f>
        <v>17</v>
      </c>
      <c r="L7" s="61" cm="1">
        <f t="array" aca="1" ref="L7" ca="1">SUM(INDIRECT("'"&amp;datatable!$G$2:$G$10&amp;"'!L"&amp;7))</f>
        <v>20</v>
      </c>
      <c r="M7" s="62" cm="1">
        <f t="array" aca="1" ref="M7" ca="1">SUM(INDIRECT("'"&amp;datatable!$G$2:$G$10&amp;"'!M"&amp;7))</f>
        <v>11</v>
      </c>
      <c r="N7" s="29">
        <f t="shared" ref="N7:N28" ca="1" si="0">SUM(D7:M7)</f>
        <v>162</v>
      </c>
      <c r="O7" s="29">
        <f t="shared" ref="O7:O28" ca="1" si="1">SUM(D7:L7)</f>
        <v>151</v>
      </c>
    </row>
    <row r="8" spans="3:15">
      <c r="C8" s="5" t="s">
        <v>14</v>
      </c>
      <c r="D8" s="8" cm="1">
        <f t="array" aca="1" ref="D8" ca="1">SUM(INDIRECT("'"&amp;datatable!$G$2:$G$10&amp;"'!D"&amp;8))</f>
        <v>68</v>
      </c>
      <c r="E8" s="54" cm="1">
        <f t="array" aca="1" ref="E8" ca="1">SUM(INDIRECT("'"&amp;datatable!$G$2:$G$10&amp;"'!E"&amp;8))</f>
        <v>13</v>
      </c>
      <c r="F8" s="55" cm="1">
        <f t="array" aca="1" ref="F8" ca="1">SUM(INDIRECT("'"&amp;datatable!$G$2:$G$10&amp;"'!F"&amp;8))</f>
        <v>6</v>
      </c>
      <c r="G8" s="56" cm="1">
        <f t="array" aca="1" ref="G8" ca="1">SUM(INDIRECT("'"&amp;datatable!$G$2:$G$10&amp;"'!G"&amp;8))</f>
        <v>16</v>
      </c>
      <c r="H8" s="57" cm="1">
        <f t="array" aca="1" ref="H8" ca="1">SUM(INDIRECT("'"&amp;datatable!$G$2:$G$10&amp;"'!H"&amp;8))</f>
        <v>4</v>
      </c>
      <c r="I8" s="58" cm="1">
        <f t="array" aca="1" ref="I8" ca="1">SUM(INDIRECT("'"&amp;datatable!$G$2:$G$10&amp;"'!I"&amp;8))</f>
        <v>8</v>
      </c>
      <c r="J8" s="59" cm="1">
        <f t="array" aca="1" ref="J8" ca="1">SUM(INDIRECT("'"&amp;datatable!$G$2:$G$10&amp;"'!J"&amp;8))</f>
        <v>16</v>
      </c>
      <c r="K8" s="60" cm="1">
        <f t="array" aca="1" ref="K8" ca="1">SUM(INDIRECT("'"&amp;datatable!$G$2:$G$10&amp;"'!K"&amp;8))</f>
        <v>9</v>
      </c>
      <c r="L8" s="61" cm="1">
        <f t="array" aca="1" ref="L8" ca="1">SUM(INDIRECT("'"&amp;datatable!$G$2:$G$10&amp;"'!L"&amp;8))</f>
        <v>22</v>
      </c>
      <c r="M8" s="62" cm="1">
        <f t="array" aca="1" ref="M8" ca="1">SUM(INDIRECT("'"&amp;datatable!$G$2:$G$10&amp;"'!M"&amp;8))</f>
        <v>0</v>
      </c>
      <c r="N8" s="29">
        <f t="shared" ca="1" si="0"/>
        <v>162</v>
      </c>
      <c r="O8" s="29">
        <f t="shared" ca="1" si="1"/>
        <v>162</v>
      </c>
    </row>
    <row r="9" spans="3:15">
      <c r="C9" s="5" t="s">
        <v>15</v>
      </c>
      <c r="D9" s="8" cm="1">
        <f t="array" aca="1" ref="D9" ca="1">SUM(INDIRECT("'"&amp;datatable!$G$2:$G$10&amp;"'!D"&amp;9))</f>
        <v>45</v>
      </c>
      <c r="E9" s="54" cm="1">
        <f t="array" aca="1" ref="E9" ca="1">SUM(INDIRECT("'"&amp;datatable!$G$2:$G$10&amp;"'!E"&amp;9))</f>
        <v>3</v>
      </c>
      <c r="F9" s="55" cm="1">
        <f t="array" aca="1" ref="F9" ca="1">SUM(INDIRECT("'"&amp;datatable!$G$2:$G$10&amp;"'!F"&amp;9))</f>
        <v>8</v>
      </c>
      <c r="G9" s="56" cm="1">
        <f t="array" aca="1" ref="G9" ca="1">SUM(INDIRECT("'"&amp;datatable!$G$2:$G$10&amp;"'!G"&amp;9))</f>
        <v>17</v>
      </c>
      <c r="H9" s="57" cm="1">
        <f t="array" aca="1" ref="H9" ca="1">SUM(INDIRECT("'"&amp;datatable!$G$2:$G$10&amp;"'!H"&amp;9))</f>
        <v>12</v>
      </c>
      <c r="I9" s="58" cm="1">
        <f t="array" aca="1" ref="I9" ca="1">SUM(INDIRECT("'"&amp;datatable!$G$2:$G$10&amp;"'!I"&amp;9))</f>
        <v>7</v>
      </c>
      <c r="J9" s="59" cm="1">
        <f t="array" aca="1" ref="J9" ca="1">SUM(INDIRECT("'"&amp;datatable!$G$2:$G$10&amp;"'!J"&amp;9))</f>
        <v>12</v>
      </c>
      <c r="K9" s="60" cm="1">
        <f t="array" aca="1" ref="K9" ca="1">SUM(INDIRECT("'"&amp;datatable!$G$2:$G$10&amp;"'!K"&amp;9))</f>
        <v>6</v>
      </c>
      <c r="L9" s="61" cm="1">
        <f t="array" aca="1" ref="L9" ca="1">SUM(INDIRECT("'"&amp;datatable!$G$2:$G$10&amp;"'!L"&amp;9))</f>
        <v>50</v>
      </c>
      <c r="M9" s="62" cm="1">
        <f t="array" aca="1" ref="M9" ca="1">SUM(INDIRECT("'"&amp;datatable!$G$2:$G$10&amp;"'!M"&amp;9))</f>
        <v>2</v>
      </c>
      <c r="N9" s="29">
        <f t="shared" ca="1" si="0"/>
        <v>162</v>
      </c>
      <c r="O9" s="29">
        <f t="shared" ca="1" si="1"/>
        <v>160</v>
      </c>
    </row>
    <row r="10" spans="3:15">
      <c r="C10" s="5" t="s">
        <v>16</v>
      </c>
      <c r="D10" s="8" cm="1">
        <f t="array" aca="1" ref="D10" ca="1">SUM(INDIRECT("'"&amp;datatable!$G$2:$G$10&amp;"'!D"&amp;10))</f>
        <v>67</v>
      </c>
      <c r="E10" s="54" cm="1">
        <f t="array" aca="1" ref="E10" ca="1">SUM(INDIRECT("'"&amp;datatable!$G$2:$G$10&amp;"'!E"&amp;10))</f>
        <v>6</v>
      </c>
      <c r="F10" s="55" cm="1">
        <f t="array" aca="1" ref="F10" ca="1">SUM(INDIRECT("'"&amp;datatable!$G$2:$G$10&amp;"'!F"&amp;10))</f>
        <v>10</v>
      </c>
      <c r="G10" s="56" cm="1">
        <f t="array" aca="1" ref="G10" ca="1">SUM(INDIRECT("'"&amp;datatable!$G$2:$G$10&amp;"'!G"&amp;10))</f>
        <v>19</v>
      </c>
      <c r="H10" s="57" cm="1">
        <f t="array" aca="1" ref="H10" ca="1">SUM(INDIRECT("'"&amp;datatable!$G$2:$G$10&amp;"'!H"&amp;10))</f>
        <v>13</v>
      </c>
      <c r="I10" s="58" cm="1">
        <f t="array" aca="1" ref="I10" ca="1">SUM(INDIRECT("'"&amp;datatable!$G$2:$G$10&amp;"'!I"&amp;10))</f>
        <v>2</v>
      </c>
      <c r="J10" s="59" cm="1">
        <f t="array" aca="1" ref="J10" ca="1">SUM(INDIRECT("'"&amp;datatable!$G$2:$G$10&amp;"'!J"&amp;10))</f>
        <v>5</v>
      </c>
      <c r="K10" s="60" cm="1">
        <f t="array" aca="1" ref="K10" ca="1">SUM(INDIRECT("'"&amp;datatable!$G$2:$G$10&amp;"'!K"&amp;10))</f>
        <v>10</v>
      </c>
      <c r="L10" s="61" cm="1">
        <f t="array" aca="1" ref="L10" ca="1">SUM(INDIRECT("'"&amp;datatable!$G$2:$G$10&amp;"'!L"&amp;10))</f>
        <v>25</v>
      </c>
      <c r="M10" s="62" cm="1">
        <f t="array" aca="1" ref="M10" ca="1">SUM(INDIRECT("'"&amp;datatable!$G$2:$G$10&amp;"'!M"&amp;10))</f>
        <v>5</v>
      </c>
      <c r="N10" s="29">
        <f t="shared" ca="1" si="0"/>
        <v>162</v>
      </c>
      <c r="O10" s="29">
        <f t="shared" ca="1" si="1"/>
        <v>157</v>
      </c>
    </row>
    <row r="11" spans="3:15">
      <c r="C11" s="5" t="s">
        <v>17</v>
      </c>
      <c r="D11" s="8" cm="1">
        <f t="array" aca="1" ref="D11" ca="1">SUM(INDIRECT("'"&amp;datatable!$G$2:$G$10&amp;"'!D"&amp;11))</f>
        <v>55</v>
      </c>
      <c r="E11" s="54" cm="1">
        <f t="array" aca="1" ref="E11" ca="1">SUM(INDIRECT("'"&amp;datatable!$G$2:$G$10&amp;"'!E"&amp;11))</f>
        <v>21</v>
      </c>
      <c r="F11" s="55" cm="1">
        <f t="array" aca="1" ref="F11" ca="1">SUM(INDIRECT("'"&amp;datatable!$G$2:$G$10&amp;"'!F"&amp;11))</f>
        <v>13</v>
      </c>
      <c r="G11" s="56" cm="1">
        <f t="array" aca="1" ref="G11" ca="1">SUM(INDIRECT("'"&amp;datatable!$G$2:$G$10&amp;"'!G"&amp;11))</f>
        <v>8</v>
      </c>
      <c r="H11" s="57" cm="1">
        <f t="array" aca="1" ref="H11" ca="1">SUM(INDIRECT("'"&amp;datatable!$G$2:$G$10&amp;"'!H"&amp;11))</f>
        <v>9</v>
      </c>
      <c r="I11" s="58" cm="1">
        <f t="array" aca="1" ref="I11" ca="1">SUM(INDIRECT("'"&amp;datatable!$G$2:$G$10&amp;"'!I"&amp;11))</f>
        <v>5</v>
      </c>
      <c r="J11" s="59" cm="1">
        <f t="array" aca="1" ref="J11" ca="1">SUM(INDIRECT("'"&amp;datatable!$G$2:$G$10&amp;"'!J"&amp;11))</f>
        <v>10</v>
      </c>
      <c r="K11" s="60" cm="1">
        <f t="array" aca="1" ref="K11" ca="1">SUM(INDIRECT("'"&amp;datatable!$G$2:$G$10&amp;"'!K"&amp;11))</f>
        <v>4</v>
      </c>
      <c r="L11" s="61" cm="1">
        <f t="array" aca="1" ref="L11" ca="1">SUM(INDIRECT("'"&amp;datatable!$G$2:$G$10&amp;"'!L"&amp;11))</f>
        <v>24</v>
      </c>
      <c r="M11" s="62" cm="1">
        <f t="array" aca="1" ref="M11" ca="1">SUM(INDIRECT("'"&amp;datatable!$G$2:$G$10&amp;"'!M"&amp;11))</f>
        <v>13</v>
      </c>
      <c r="N11" s="29">
        <f t="shared" ca="1" si="0"/>
        <v>162</v>
      </c>
      <c r="O11" s="29">
        <f t="shared" ca="1" si="1"/>
        <v>149</v>
      </c>
    </row>
    <row r="12" spans="3:15">
      <c r="C12" s="5" t="s">
        <v>18</v>
      </c>
      <c r="D12" s="8" cm="1">
        <f t="array" aca="1" ref="D12" ca="1">SUM(INDIRECT("'"&amp;datatable!$G$2:$G$10&amp;"'!D"&amp;12))</f>
        <v>79</v>
      </c>
      <c r="E12" s="54" cm="1">
        <f t="array" aca="1" ref="E12" ca="1">SUM(INDIRECT("'"&amp;datatable!$G$2:$G$10&amp;"'!E"&amp;12))</f>
        <v>6</v>
      </c>
      <c r="F12" s="55" cm="1">
        <f t="array" aca="1" ref="F12" ca="1">SUM(INDIRECT("'"&amp;datatable!$G$2:$G$10&amp;"'!F"&amp;12))</f>
        <v>8</v>
      </c>
      <c r="G12" s="56" cm="1">
        <f t="array" aca="1" ref="G12" ca="1">SUM(INDIRECT("'"&amp;datatable!$G$2:$G$10&amp;"'!G"&amp;12))</f>
        <v>6</v>
      </c>
      <c r="H12" s="57" cm="1">
        <f t="array" aca="1" ref="H12" ca="1">SUM(INDIRECT("'"&amp;datatable!$G$2:$G$10&amp;"'!H"&amp;12))</f>
        <v>12</v>
      </c>
      <c r="I12" s="58" cm="1">
        <f t="array" aca="1" ref="I12" ca="1">SUM(INDIRECT("'"&amp;datatable!$G$2:$G$10&amp;"'!I"&amp;12))</f>
        <v>3</v>
      </c>
      <c r="J12" s="59" cm="1">
        <f t="array" aca="1" ref="J12" ca="1">SUM(INDIRECT("'"&amp;datatable!$G$2:$G$10&amp;"'!J"&amp;12))</f>
        <v>9</v>
      </c>
      <c r="K12" s="60" cm="1">
        <f t="array" aca="1" ref="K12" ca="1">SUM(INDIRECT("'"&amp;datatable!$G$2:$G$10&amp;"'!K"&amp;12))</f>
        <v>11</v>
      </c>
      <c r="L12" s="61" cm="1">
        <f t="array" aca="1" ref="L12" ca="1">SUM(INDIRECT("'"&amp;datatable!$G$2:$G$10&amp;"'!L"&amp;12))</f>
        <v>25</v>
      </c>
      <c r="M12" s="62" cm="1">
        <f t="array" aca="1" ref="M12" ca="1">SUM(INDIRECT("'"&amp;datatable!$G$2:$G$10&amp;"'!M"&amp;12))</f>
        <v>3</v>
      </c>
      <c r="N12" s="29">
        <f t="shared" ca="1" si="0"/>
        <v>162</v>
      </c>
      <c r="O12" s="29">
        <f t="shared" ca="1" si="1"/>
        <v>159</v>
      </c>
    </row>
    <row r="13" spans="3:15">
      <c r="C13" s="5" t="s">
        <v>19</v>
      </c>
      <c r="D13" s="8" cm="1">
        <f t="array" aca="1" ref="D13" ca="1">SUM(INDIRECT("'"&amp;datatable!$G$2:$G$10&amp;"'!D"&amp;13))</f>
        <v>32</v>
      </c>
      <c r="E13" s="54" cm="1">
        <f t="array" aca="1" ref="E13" ca="1">SUM(INDIRECT("'"&amp;datatable!$G$2:$G$10&amp;"'!E"&amp;13))</f>
        <v>15</v>
      </c>
      <c r="F13" s="55" cm="1">
        <f t="array" aca="1" ref="F13" ca="1">SUM(INDIRECT("'"&amp;datatable!$G$2:$G$10&amp;"'!F"&amp;13))</f>
        <v>15</v>
      </c>
      <c r="G13" s="56" cm="1">
        <f t="array" aca="1" ref="G13" ca="1">SUM(INDIRECT("'"&amp;datatable!$G$2:$G$10&amp;"'!G"&amp;13))</f>
        <v>16</v>
      </c>
      <c r="H13" s="57" cm="1">
        <f t="array" aca="1" ref="H13" ca="1">SUM(INDIRECT("'"&amp;datatable!$G$2:$G$10&amp;"'!H"&amp;13))</f>
        <v>12</v>
      </c>
      <c r="I13" s="58" cm="1">
        <f t="array" aca="1" ref="I13" ca="1">SUM(INDIRECT("'"&amp;datatable!$G$2:$G$10&amp;"'!I"&amp;13))</f>
        <v>11</v>
      </c>
      <c r="J13" s="59" cm="1">
        <f t="array" aca="1" ref="J13" ca="1">SUM(INDIRECT("'"&amp;datatable!$G$2:$G$10&amp;"'!J"&amp;13))</f>
        <v>20</v>
      </c>
      <c r="K13" s="60" cm="1">
        <f t="array" aca="1" ref="K13" ca="1">SUM(INDIRECT("'"&amp;datatable!$G$2:$G$10&amp;"'!K"&amp;13))</f>
        <v>17</v>
      </c>
      <c r="L13" s="61" cm="1">
        <f t="array" aca="1" ref="L13" ca="1">SUM(INDIRECT("'"&amp;datatable!$G$2:$G$10&amp;"'!L"&amp;13))</f>
        <v>22</v>
      </c>
      <c r="M13" s="62" cm="1">
        <f t="array" aca="1" ref="M13" ca="1">SUM(INDIRECT("'"&amp;datatable!$G$2:$G$10&amp;"'!M"&amp;13))</f>
        <v>2</v>
      </c>
      <c r="N13" s="29">
        <f t="shared" ca="1" si="0"/>
        <v>162</v>
      </c>
      <c r="O13" s="29">
        <f t="shared" ca="1" si="1"/>
        <v>160</v>
      </c>
    </row>
    <row r="14" spans="3:15">
      <c r="C14" s="5" t="s">
        <v>20</v>
      </c>
      <c r="D14" s="8" cm="1">
        <f t="array" aca="1" ref="D14" ca="1">SUM(INDIRECT("'"&amp;datatable!$G$2:$G$10&amp;"'!D"&amp;14))</f>
        <v>75</v>
      </c>
      <c r="E14" s="54" cm="1">
        <f t="array" aca="1" ref="E14" ca="1">SUM(INDIRECT("'"&amp;datatable!$G$2:$G$10&amp;"'!E"&amp;14))</f>
        <v>13</v>
      </c>
      <c r="F14" s="55" cm="1">
        <f t="array" aca="1" ref="F14" ca="1">SUM(INDIRECT("'"&amp;datatable!$G$2:$G$10&amp;"'!F"&amp;14))</f>
        <v>9</v>
      </c>
      <c r="G14" s="56" cm="1">
        <f t="array" aca="1" ref="G14" ca="1">SUM(INDIRECT("'"&amp;datatable!$G$2:$G$10&amp;"'!G"&amp;14))</f>
        <v>7</v>
      </c>
      <c r="H14" s="57" cm="1">
        <f t="array" aca="1" ref="H14" ca="1">SUM(INDIRECT("'"&amp;datatable!$G$2:$G$10&amp;"'!H"&amp;14))</f>
        <v>4</v>
      </c>
      <c r="I14" s="58" cm="1">
        <f t="array" aca="1" ref="I14" ca="1">SUM(INDIRECT("'"&amp;datatable!$G$2:$G$10&amp;"'!I"&amp;14))</f>
        <v>1</v>
      </c>
      <c r="J14" s="59" cm="1">
        <f t="array" aca="1" ref="J14" ca="1">SUM(INDIRECT("'"&amp;datatable!$G$2:$G$10&amp;"'!J"&amp;14))</f>
        <v>6</v>
      </c>
      <c r="K14" s="60" cm="1">
        <f t="array" aca="1" ref="K14" ca="1">SUM(INDIRECT("'"&amp;datatable!$G$2:$G$10&amp;"'!K"&amp;14))</f>
        <v>13</v>
      </c>
      <c r="L14" s="61" cm="1">
        <f t="array" aca="1" ref="L14" ca="1">SUM(INDIRECT("'"&amp;datatable!$G$2:$G$10&amp;"'!L"&amp;14))</f>
        <v>24</v>
      </c>
      <c r="M14" s="62" cm="1">
        <f t="array" aca="1" ref="M14" ca="1">SUM(INDIRECT("'"&amp;datatable!$G$2:$G$10&amp;"'!M"&amp;14))</f>
        <v>10</v>
      </c>
      <c r="N14" s="29">
        <f t="shared" ca="1" si="0"/>
        <v>162</v>
      </c>
      <c r="O14" s="29">
        <f t="shared" ca="1" si="1"/>
        <v>152</v>
      </c>
    </row>
    <row r="15" spans="3:15">
      <c r="C15" s="5" t="s">
        <v>21</v>
      </c>
      <c r="D15" s="8" cm="1">
        <f t="array" aca="1" ref="D15" ca="1">SUM(INDIRECT("'"&amp;datatable!$G$2:$G$10&amp;"'!D"&amp;15))</f>
        <v>67</v>
      </c>
      <c r="E15" s="54" cm="1">
        <f t="array" aca="1" ref="E15" ca="1">SUM(INDIRECT("'"&amp;datatable!$G$2:$G$10&amp;"'!E"&amp;15))</f>
        <v>18</v>
      </c>
      <c r="F15" s="55" cm="1">
        <f t="array" aca="1" ref="F15" ca="1">SUM(INDIRECT("'"&amp;datatable!$G$2:$G$10&amp;"'!F"&amp;15))</f>
        <v>8</v>
      </c>
      <c r="G15" s="56" cm="1">
        <f t="array" aca="1" ref="G15" ca="1">SUM(INDIRECT("'"&amp;datatable!$G$2:$G$10&amp;"'!G"&amp;15))</f>
        <v>9</v>
      </c>
      <c r="H15" s="57" cm="1">
        <f t="array" aca="1" ref="H15" ca="1">SUM(INDIRECT("'"&amp;datatable!$G$2:$G$10&amp;"'!H"&amp;15))</f>
        <v>3</v>
      </c>
      <c r="I15" s="58" cm="1">
        <f t="array" aca="1" ref="I15" ca="1">SUM(INDIRECT("'"&amp;datatable!$G$2:$G$10&amp;"'!I"&amp;15))</f>
        <v>9</v>
      </c>
      <c r="J15" s="59" cm="1">
        <f t="array" aca="1" ref="J15" ca="1">SUM(INDIRECT("'"&amp;datatable!$G$2:$G$10&amp;"'!J"&amp;15))</f>
        <v>7</v>
      </c>
      <c r="K15" s="60" cm="1">
        <f t="array" aca="1" ref="K15" ca="1">SUM(INDIRECT("'"&amp;datatable!$G$2:$G$10&amp;"'!K"&amp;15))</f>
        <v>15</v>
      </c>
      <c r="L15" s="61" cm="1">
        <f t="array" aca="1" ref="L15" ca="1">SUM(INDIRECT("'"&amp;datatable!$G$2:$G$10&amp;"'!L"&amp;15))</f>
        <v>16</v>
      </c>
      <c r="M15" s="62" cm="1">
        <f t="array" aca="1" ref="M15" ca="1">SUM(INDIRECT("'"&amp;datatable!$G$2:$G$10&amp;"'!M"&amp;15))</f>
        <v>10</v>
      </c>
      <c r="N15" s="29">
        <f t="shared" ca="1" si="0"/>
        <v>162</v>
      </c>
      <c r="O15" s="29">
        <f t="shared" ca="1" si="1"/>
        <v>152</v>
      </c>
    </row>
    <row r="16" spans="3:15">
      <c r="C16" s="5" t="s">
        <v>22</v>
      </c>
      <c r="D16" s="8" cm="1">
        <f t="array" aca="1" ref="D16" ca="1">SUM(INDIRECT("'"&amp;datatable!$G$2:$G$10&amp;"'!D"&amp;16))</f>
        <v>77</v>
      </c>
      <c r="E16" s="54" cm="1">
        <f t="array" aca="1" ref="E16" ca="1">SUM(INDIRECT("'"&amp;datatable!$G$2:$G$10&amp;"'!E"&amp;16))</f>
        <v>11</v>
      </c>
      <c r="F16" s="55" cm="1">
        <f t="array" aca="1" ref="F16" ca="1">SUM(INDIRECT("'"&amp;datatable!$G$2:$G$10&amp;"'!F"&amp;16))</f>
        <v>18</v>
      </c>
      <c r="G16" s="56" cm="1">
        <f t="array" aca="1" ref="G16" ca="1">SUM(INDIRECT("'"&amp;datatable!$G$2:$G$10&amp;"'!G"&amp;16))</f>
        <v>11</v>
      </c>
      <c r="H16" s="57" cm="1">
        <f t="array" aca="1" ref="H16" ca="1">SUM(INDIRECT("'"&amp;datatable!$G$2:$G$10&amp;"'!H"&amp;16))</f>
        <v>5</v>
      </c>
      <c r="I16" s="58" cm="1">
        <f t="array" aca="1" ref="I16" ca="1">SUM(INDIRECT("'"&amp;datatable!$G$2:$G$10&amp;"'!I"&amp;16))</f>
        <v>1</v>
      </c>
      <c r="J16" s="59" cm="1">
        <f t="array" aca="1" ref="J16" ca="1">SUM(INDIRECT("'"&amp;datatable!$G$2:$G$10&amp;"'!J"&amp;16))</f>
        <v>6</v>
      </c>
      <c r="K16" s="60" cm="1">
        <f t="array" aca="1" ref="K16" ca="1">SUM(INDIRECT("'"&amp;datatable!$G$2:$G$10&amp;"'!K"&amp;16))</f>
        <v>14</v>
      </c>
      <c r="L16" s="61" cm="1">
        <f t="array" aca="1" ref="L16" ca="1">SUM(INDIRECT("'"&amp;datatable!$G$2:$G$10&amp;"'!L"&amp;16))</f>
        <v>16</v>
      </c>
      <c r="M16" s="62" cm="1">
        <f t="array" aca="1" ref="M16" ca="1">SUM(INDIRECT("'"&amp;datatable!$G$2:$G$10&amp;"'!M"&amp;16))</f>
        <v>3</v>
      </c>
      <c r="N16" s="29">
        <f t="shared" ca="1" si="0"/>
        <v>162</v>
      </c>
      <c r="O16" s="29">
        <f t="shared" ca="1" si="1"/>
        <v>159</v>
      </c>
    </row>
    <row r="17" spans="3:15">
      <c r="C17" s="5" t="s">
        <v>23</v>
      </c>
      <c r="D17" s="8" cm="1">
        <f t="array" aca="1" ref="D17" ca="1">SUM(INDIRECT("'"&amp;datatable!$G$2:$G$10&amp;"'!D"&amp;17))</f>
        <v>83</v>
      </c>
      <c r="E17" s="54" cm="1">
        <f t="array" aca="1" ref="E17" ca="1">SUM(INDIRECT("'"&amp;datatable!$G$2:$G$10&amp;"'!E"&amp;17))</f>
        <v>19</v>
      </c>
      <c r="F17" s="55" cm="1">
        <f t="array" aca="1" ref="F17" ca="1">SUM(INDIRECT("'"&amp;datatable!$G$2:$G$10&amp;"'!F"&amp;17))</f>
        <v>14</v>
      </c>
      <c r="G17" s="56" cm="1">
        <f t="array" aca="1" ref="G17" ca="1">SUM(INDIRECT("'"&amp;datatable!$G$2:$G$10&amp;"'!G"&amp;17))</f>
        <v>9</v>
      </c>
      <c r="H17" s="57" cm="1">
        <f t="array" aca="1" ref="H17" ca="1">SUM(INDIRECT("'"&amp;datatable!$G$2:$G$10&amp;"'!H"&amp;17))</f>
        <v>4</v>
      </c>
      <c r="I17" s="58" cm="1">
        <f t="array" aca="1" ref="I17" ca="1">SUM(INDIRECT("'"&amp;datatable!$G$2:$G$10&amp;"'!I"&amp;17))</f>
        <v>2</v>
      </c>
      <c r="J17" s="59" cm="1">
        <f t="array" aca="1" ref="J17" ca="1">SUM(INDIRECT("'"&amp;datatable!$G$2:$G$10&amp;"'!J"&amp;17))</f>
        <v>7</v>
      </c>
      <c r="K17" s="60" cm="1">
        <f t="array" aca="1" ref="K17" ca="1">SUM(INDIRECT("'"&amp;datatable!$G$2:$G$10&amp;"'!K"&amp;17))</f>
        <v>11</v>
      </c>
      <c r="L17" s="61" cm="1">
        <f t="array" aca="1" ref="L17" ca="1">SUM(INDIRECT("'"&amp;datatable!$G$2:$G$10&amp;"'!L"&amp;17))</f>
        <v>3</v>
      </c>
      <c r="M17" s="62" cm="1">
        <f t="array" aca="1" ref="M17" ca="1">SUM(INDIRECT("'"&amp;datatable!$G$2:$G$10&amp;"'!M"&amp;17))</f>
        <v>10</v>
      </c>
      <c r="N17" s="29">
        <f t="shared" ca="1" si="0"/>
        <v>162</v>
      </c>
      <c r="O17" s="29">
        <f t="shared" ca="1" si="1"/>
        <v>152</v>
      </c>
    </row>
    <row r="18" spans="3:15">
      <c r="C18" s="5" t="s">
        <v>24</v>
      </c>
      <c r="D18" s="8" cm="1">
        <f t="array" aca="1" ref="D18" ca="1">SUM(INDIRECT("'"&amp;datatable!$G$2:$G$10&amp;"'!D"&amp;18))</f>
        <v>67</v>
      </c>
      <c r="E18" s="54" cm="1">
        <f t="array" aca="1" ref="E18" ca="1">SUM(INDIRECT("'"&amp;datatable!$G$2:$G$10&amp;"'!E"&amp;18))</f>
        <v>12</v>
      </c>
      <c r="F18" s="55" cm="1">
        <f t="array" aca="1" ref="F18" ca="1">SUM(INDIRECT("'"&amp;datatable!$G$2:$G$10&amp;"'!F"&amp;18))</f>
        <v>12</v>
      </c>
      <c r="G18" s="56" cm="1">
        <f t="array" aca="1" ref="G18" ca="1">SUM(INDIRECT("'"&amp;datatable!$G$2:$G$10&amp;"'!G"&amp;18))</f>
        <v>7</v>
      </c>
      <c r="H18" s="57" cm="1">
        <f t="array" aca="1" ref="H18" ca="1">SUM(INDIRECT("'"&amp;datatable!$G$2:$G$10&amp;"'!H"&amp;18))</f>
        <v>9</v>
      </c>
      <c r="I18" s="58" cm="1">
        <f t="array" aca="1" ref="I18" ca="1">SUM(INDIRECT("'"&amp;datatable!$G$2:$G$10&amp;"'!I"&amp;18))</f>
        <v>3</v>
      </c>
      <c r="J18" s="59" cm="1">
        <f t="array" aca="1" ref="J18" ca="1">SUM(INDIRECT("'"&amp;datatable!$G$2:$G$10&amp;"'!J"&amp;18))</f>
        <v>10</v>
      </c>
      <c r="K18" s="60" cm="1">
        <f t="array" aca="1" ref="K18" ca="1">SUM(INDIRECT("'"&amp;datatable!$G$2:$G$10&amp;"'!K"&amp;18))</f>
        <v>6</v>
      </c>
      <c r="L18" s="61" cm="1">
        <f t="array" aca="1" ref="L18" ca="1">SUM(INDIRECT("'"&amp;datatable!$G$2:$G$10&amp;"'!L"&amp;18))</f>
        <v>18</v>
      </c>
      <c r="M18" s="62" cm="1">
        <f t="array" aca="1" ref="M18" ca="1">SUM(INDIRECT("'"&amp;datatable!$G$2:$G$10&amp;"'!M"&amp;18))</f>
        <v>18</v>
      </c>
      <c r="N18" s="29">
        <f t="shared" ca="1" si="0"/>
        <v>162</v>
      </c>
      <c r="O18" s="29">
        <f t="shared" ca="1" si="1"/>
        <v>144</v>
      </c>
    </row>
    <row r="19" spans="3:15">
      <c r="C19" s="5" t="s">
        <v>25</v>
      </c>
      <c r="D19" s="8" cm="1">
        <f t="array" aca="1" ref="D19" ca="1">SUM(INDIRECT("'"&amp;datatable!$G$2:$G$10&amp;"'!D"&amp;19))</f>
        <v>72</v>
      </c>
      <c r="E19" s="54" cm="1">
        <f t="array" aca="1" ref="E19" ca="1">SUM(INDIRECT("'"&amp;datatable!$G$2:$G$10&amp;"'!E"&amp;19))</f>
        <v>9</v>
      </c>
      <c r="F19" s="55" cm="1">
        <f t="array" aca="1" ref="F19" ca="1">SUM(INDIRECT("'"&amp;datatable!$G$2:$G$10&amp;"'!F"&amp;19))</f>
        <v>17</v>
      </c>
      <c r="G19" s="56" cm="1">
        <f t="array" aca="1" ref="G19" ca="1">SUM(INDIRECT("'"&amp;datatable!$G$2:$G$10&amp;"'!G"&amp;19))</f>
        <v>7</v>
      </c>
      <c r="H19" s="57" cm="1">
        <f t="array" aca="1" ref="H19" ca="1">SUM(INDIRECT("'"&amp;datatable!$G$2:$G$10&amp;"'!H"&amp;19))</f>
        <v>4</v>
      </c>
      <c r="I19" s="58" cm="1">
        <f t="array" aca="1" ref="I19" ca="1">SUM(INDIRECT("'"&amp;datatable!$G$2:$G$10&amp;"'!I"&amp;19))</f>
        <v>7</v>
      </c>
      <c r="J19" s="59" cm="1">
        <f t="array" aca="1" ref="J19" ca="1">SUM(INDIRECT("'"&amp;datatable!$G$2:$G$10&amp;"'!J"&amp;19))</f>
        <v>15</v>
      </c>
      <c r="K19" s="60" cm="1">
        <f t="array" aca="1" ref="K19" ca="1">SUM(INDIRECT("'"&amp;datatable!$G$2:$G$10&amp;"'!K"&amp;19))</f>
        <v>6</v>
      </c>
      <c r="L19" s="61" cm="1">
        <f t="array" aca="1" ref="L19" ca="1">SUM(INDIRECT("'"&amp;datatable!$G$2:$G$10&amp;"'!L"&amp;19))</f>
        <v>13</v>
      </c>
      <c r="M19" s="62" cm="1">
        <f t="array" aca="1" ref="M19" ca="1">SUM(INDIRECT("'"&amp;datatable!$G$2:$G$10&amp;"'!M"&amp;19))</f>
        <v>12</v>
      </c>
      <c r="N19" s="29">
        <f t="shared" ca="1" si="0"/>
        <v>162</v>
      </c>
      <c r="O19" s="29">
        <f t="shared" ca="1" si="1"/>
        <v>150</v>
      </c>
    </row>
    <row r="20" spans="3:15">
      <c r="C20" s="5" t="s">
        <v>26</v>
      </c>
      <c r="D20" s="8" cm="1">
        <f t="array" aca="1" ref="D20" ca="1">SUM(INDIRECT("'"&amp;datatable!$G$2:$G$10&amp;"'!D"&amp;20))</f>
        <v>70</v>
      </c>
      <c r="E20" s="54" cm="1">
        <f t="array" aca="1" ref="E20" ca="1">SUM(INDIRECT("'"&amp;datatable!$G$2:$G$10&amp;"'!E"&amp;20))</f>
        <v>8</v>
      </c>
      <c r="F20" s="55" cm="1">
        <f t="array" aca="1" ref="F20" ca="1">SUM(INDIRECT("'"&amp;datatable!$G$2:$G$10&amp;"'!F"&amp;20))</f>
        <v>9</v>
      </c>
      <c r="G20" s="56" cm="1">
        <f t="array" aca="1" ref="G20" ca="1">SUM(INDIRECT("'"&amp;datatable!$G$2:$G$10&amp;"'!G"&amp;20))</f>
        <v>7</v>
      </c>
      <c r="H20" s="57" cm="1">
        <f t="array" aca="1" ref="H20" ca="1">SUM(INDIRECT("'"&amp;datatable!$G$2:$G$10&amp;"'!H"&amp;20))</f>
        <v>8</v>
      </c>
      <c r="I20" s="58" cm="1">
        <f t="array" aca="1" ref="I20" ca="1">SUM(INDIRECT("'"&amp;datatable!$G$2:$G$10&amp;"'!I"&amp;20))</f>
        <v>7</v>
      </c>
      <c r="J20" s="59" cm="1">
        <f t="array" aca="1" ref="J20" ca="1">SUM(INDIRECT("'"&amp;datatable!$G$2:$G$10&amp;"'!J"&amp;20))</f>
        <v>13</v>
      </c>
      <c r="K20" s="60" cm="1">
        <f t="array" aca="1" ref="K20" ca="1">SUM(INDIRECT("'"&amp;datatable!$G$2:$G$10&amp;"'!K"&amp;20))</f>
        <v>8</v>
      </c>
      <c r="L20" s="61" cm="1">
        <f t="array" aca="1" ref="L20" ca="1">SUM(INDIRECT("'"&amp;datatable!$G$2:$G$10&amp;"'!L"&amp;20))</f>
        <v>22</v>
      </c>
      <c r="M20" s="62" cm="1">
        <f t="array" aca="1" ref="M20" ca="1">SUM(INDIRECT("'"&amp;datatable!$G$2:$G$10&amp;"'!M"&amp;20))</f>
        <v>10</v>
      </c>
      <c r="N20" s="29">
        <f t="shared" ca="1" si="0"/>
        <v>162</v>
      </c>
      <c r="O20" s="29">
        <f t="shared" ca="1" si="1"/>
        <v>152</v>
      </c>
    </row>
    <row r="21" spans="3:15">
      <c r="C21" s="5" t="s">
        <v>27</v>
      </c>
      <c r="D21" s="8" cm="1">
        <f t="array" aca="1" ref="D21" ca="1">SUM(INDIRECT("'"&amp;datatable!$G$2:$G$10&amp;"'!D"&amp;21))</f>
        <v>83</v>
      </c>
      <c r="E21" s="54" cm="1">
        <f t="array" aca="1" ref="E21" ca="1">SUM(INDIRECT("'"&amp;datatable!$G$2:$G$10&amp;"'!E"&amp;21))</f>
        <v>10</v>
      </c>
      <c r="F21" s="55" cm="1">
        <f t="array" aca="1" ref="F21" ca="1">SUM(INDIRECT("'"&amp;datatable!$G$2:$G$10&amp;"'!F"&amp;21))</f>
        <v>12</v>
      </c>
      <c r="G21" s="56" cm="1">
        <f t="array" aca="1" ref="G21" ca="1">SUM(INDIRECT("'"&amp;datatable!$G$2:$G$10&amp;"'!G"&amp;21))</f>
        <v>8</v>
      </c>
      <c r="H21" s="57" cm="1">
        <f t="array" aca="1" ref="H21" ca="1">SUM(INDIRECT("'"&amp;datatable!$G$2:$G$10&amp;"'!H"&amp;21))</f>
        <v>6</v>
      </c>
      <c r="I21" s="58" cm="1">
        <f t="array" aca="1" ref="I21" ca="1">SUM(INDIRECT("'"&amp;datatable!$G$2:$G$10&amp;"'!I"&amp;21))</f>
        <v>5</v>
      </c>
      <c r="J21" s="59" cm="1">
        <f t="array" aca="1" ref="J21" ca="1">SUM(INDIRECT("'"&amp;datatable!$G$2:$G$10&amp;"'!J"&amp;21))</f>
        <v>6</v>
      </c>
      <c r="K21" s="60" cm="1">
        <f t="array" aca="1" ref="K21" ca="1">SUM(INDIRECT("'"&amp;datatable!$G$2:$G$10&amp;"'!K"&amp;21))</f>
        <v>6</v>
      </c>
      <c r="L21" s="61" cm="1">
        <f t="array" aca="1" ref="L21" ca="1">SUM(INDIRECT("'"&amp;datatable!$G$2:$G$10&amp;"'!L"&amp;21))</f>
        <v>17</v>
      </c>
      <c r="M21" s="62" cm="1">
        <f t="array" aca="1" ref="M21" ca="1">SUM(INDIRECT("'"&amp;datatable!$G$2:$G$10&amp;"'!M"&amp;21))</f>
        <v>9</v>
      </c>
      <c r="N21" s="29">
        <f t="shared" ca="1" si="0"/>
        <v>162</v>
      </c>
      <c r="O21" s="29">
        <f t="shared" ca="1" si="1"/>
        <v>153</v>
      </c>
    </row>
    <row r="22" spans="3:15">
      <c r="C22" s="5" t="s">
        <v>28</v>
      </c>
      <c r="D22" s="8" cm="1">
        <f t="array" aca="1" ref="D22" ca="1">SUM(INDIRECT("'"&amp;datatable!$G$2:$G$10&amp;"'!D"&amp;22))</f>
        <v>86</v>
      </c>
      <c r="E22" s="54" cm="1">
        <f t="array" aca="1" ref="E22" ca="1">SUM(INDIRECT("'"&amp;datatable!$G$2:$G$10&amp;"'!E"&amp;22))</f>
        <v>7</v>
      </c>
      <c r="F22" s="55" cm="1">
        <f t="array" aca="1" ref="F22" ca="1">SUM(INDIRECT("'"&amp;datatable!$G$2:$G$10&amp;"'!F"&amp;22))</f>
        <v>9</v>
      </c>
      <c r="G22" s="56" cm="1">
        <f t="array" aca="1" ref="G22" ca="1">SUM(INDIRECT("'"&amp;datatable!$G$2:$G$10&amp;"'!G"&amp;22))</f>
        <v>6</v>
      </c>
      <c r="H22" s="57" cm="1">
        <f t="array" aca="1" ref="H22" ca="1">SUM(INDIRECT("'"&amp;datatable!$G$2:$G$10&amp;"'!H"&amp;22))</f>
        <v>3</v>
      </c>
      <c r="I22" s="58" cm="1">
        <f t="array" aca="1" ref="I22" ca="1">SUM(INDIRECT("'"&amp;datatable!$G$2:$G$10&amp;"'!I"&amp;22))</f>
        <v>2</v>
      </c>
      <c r="J22" s="59" cm="1">
        <f t="array" aca="1" ref="J22" ca="1">SUM(INDIRECT("'"&amp;datatable!$G$2:$G$10&amp;"'!J"&amp;22))</f>
        <v>10</v>
      </c>
      <c r="K22" s="60" cm="1">
        <f t="array" aca="1" ref="K22" ca="1">SUM(INDIRECT("'"&amp;datatable!$G$2:$G$10&amp;"'!K"&amp;22))</f>
        <v>5</v>
      </c>
      <c r="L22" s="61" cm="1">
        <f t="array" aca="1" ref="L22" ca="1">SUM(INDIRECT("'"&amp;datatable!$G$2:$G$10&amp;"'!L"&amp;22))</f>
        <v>24</v>
      </c>
      <c r="M22" s="62" cm="1">
        <f t="array" aca="1" ref="M22" ca="1">SUM(INDIRECT("'"&amp;datatable!$G$2:$G$10&amp;"'!M"&amp;22))</f>
        <v>10</v>
      </c>
      <c r="N22" s="29">
        <f t="shared" ca="1" si="0"/>
        <v>162</v>
      </c>
      <c r="O22" s="29">
        <f t="shared" ca="1" si="1"/>
        <v>152</v>
      </c>
    </row>
    <row r="23" spans="3:15">
      <c r="C23" s="5" t="s">
        <v>29</v>
      </c>
      <c r="D23" s="8" cm="1">
        <f t="array" aca="1" ref="D23" ca="1">SUM(INDIRECT("'"&amp;datatable!$G$2:$G$10&amp;"'!D"&amp;23))</f>
        <v>14</v>
      </c>
      <c r="E23" s="54" cm="1">
        <f t="array" aca="1" ref="E23" ca="1">SUM(INDIRECT("'"&amp;datatable!$G$2:$G$10&amp;"'!E"&amp;23))</f>
        <v>35</v>
      </c>
      <c r="F23" s="55" cm="1">
        <f t="array" aca="1" ref="F23" ca="1">SUM(INDIRECT("'"&amp;datatable!$G$2:$G$10&amp;"'!F"&amp;23))</f>
        <v>12</v>
      </c>
      <c r="G23" s="56" cm="1">
        <f t="array" aca="1" ref="G23" ca="1">SUM(INDIRECT("'"&amp;datatable!$G$2:$G$10&amp;"'!G"&amp;23))</f>
        <v>2</v>
      </c>
      <c r="H23" s="57" cm="1">
        <f t="array" aca="1" ref="H23" ca="1">SUM(INDIRECT("'"&amp;datatable!$G$2:$G$10&amp;"'!H"&amp;23))</f>
        <v>6</v>
      </c>
      <c r="I23" s="58" cm="1">
        <f t="array" aca="1" ref="I23" ca="1">SUM(INDIRECT("'"&amp;datatable!$G$2:$G$10&amp;"'!I"&amp;23))</f>
        <v>8</v>
      </c>
      <c r="J23" s="59" cm="1">
        <f t="array" aca="1" ref="J23" ca="1">SUM(INDIRECT("'"&amp;datatable!$G$2:$G$10&amp;"'!J"&amp;23))</f>
        <v>9</v>
      </c>
      <c r="K23" s="60" cm="1">
        <f t="array" aca="1" ref="K23" ca="1">SUM(INDIRECT("'"&amp;datatable!$G$2:$G$10&amp;"'!K"&amp;23))</f>
        <v>5</v>
      </c>
      <c r="L23" s="61" cm="1">
        <f t="array" aca="1" ref="L23" ca="1">SUM(INDIRECT("'"&amp;datatable!$G$2:$G$10&amp;"'!L"&amp;23))</f>
        <v>14</v>
      </c>
      <c r="M23" s="62" cm="1">
        <f t="array" aca="1" ref="M23" ca="1">SUM(INDIRECT("'"&amp;datatable!$G$2:$G$10&amp;"'!M"&amp;23))</f>
        <v>57</v>
      </c>
      <c r="N23" s="29">
        <f t="shared" ca="1" si="0"/>
        <v>162</v>
      </c>
      <c r="O23" s="29">
        <f t="shared" ca="1" si="1"/>
        <v>105</v>
      </c>
    </row>
    <row r="24" spans="3:15">
      <c r="C24" s="5" t="s">
        <v>30</v>
      </c>
      <c r="D24" s="8" cm="1">
        <f t="array" aca="1" ref="D24" ca="1">SUM(INDIRECT("'"&amp;datatable!$G$2:$G$10&amp;"'!D"&amp;24))</f>
        <v>24</v>
      </c>
      <c r="E24" s="54" cm="1">
        <f t="array" aca="1" ref="E24" ca="1">SUM(INDIRECT("'"&amp;datatable!$G$2:$G$10&amp;"'!E"&amp;24))</f>
        <v>24</v>
      </c>
      <c r="F24" s="55" cm="1">
        <f t="array" aca="1" ref="F24" ca="1">SUM(INDIRECT("'"&amp;datatable!$G$2:$G$10&amp;"'!F"&amp;24))</f>
        <v>18</v>
      </c>
      <c r="G24" s="56" cm="1">
        <f t="array" aca="1" ref="G24" ca="1">SUM(INDIRECT("'"&amp;datatable!$G$2:$G$10&amp;"'!G"&amp;24))</f>
        <v>14</v>
      </c>
      <c r="H24" s="57" cm="1">
        <f t="array" aca="1" ref="H24" ca="1">SUM(INDIRECT("'"&amp;datatable!$G$2:$G$10&amp;"'!H"&amp;24))</f>
        <v>14</v>
      </c>
      <c r="I24" s="58" cm="1">
        <f t="array" aca="1" ref="I24" ca="1">SUM(INDIRECT("'"&amp;datatable!$G$2:$G$10&amp;"'!I"&amp;24))</f>
        <v>8</v>
      </c>
      <c r="J24" s="59" cm="1">
        <f t="array" aca="1" ref="J24" ca="1">SUM(INDIRECT("'"&amp;datatable!$G$2:$G$10&amp;"'!J"&amp;24))</f>
        <v>15</v>
      </c>
      <c r="K24" s="60" cm="1">
        <f t="array" aca="1" ref="K24" ca="1">SUM(INDIRECT("'"&amp;datatable!$G$2:$G$10&amp;"'!K"&amp;24))</f>
        <v>21</v>
      </c>
      <c r="L24" s="61" cm="1">
        <f t="array" aca="1" ref="L24" ca="1">SUM(INDIRECT("'"&amp;datatable!$G$2:$G$10&amp;"'!L"&amp;24))</f>
        <v>22</v>
      </c>
      <c r="M24" s="62" cm="1">
        <f t="array" aca="1" ref="M24" ca="1">SUM(INDIRECT("'"&amp;datatable!$G$2:$G$10&amp;"'!M"&amp;24))</f>
        <v>2</v>
      </c>
      <c r="N24" s="29">
        <f t="shared" ca="1" si="0"/>
        <v>162</v>
      </c>
      <c r="O24" s="29">
        <f t="shared" ca="1" si="1"/>
        <v>160</v>
      </c>
    </row>
    <row r="25" spans="3:15">
      <c r="C25" s="5" t="s">
        <v>31</v>
      </c>
      <c r="D25" s="8" cm="1">
        <f t="array" aca="1" ref="D25" ca="1">SUM(INDIRECT("'"&amp;datatable!$G$2:$G$10&amp;"'!D"&amp;25))</f>
        <v>32</v>
      </c>
      <c r="E25" s="54" cm="1">
        <f t="array" aca="1" ref="E25" ca="1">SUM(INDIRECT("'"&amp;datatable!$G$2:$G$10&amp;"'!E"&amp;25))</f>
        <v>39</v>
      </c>
      <c r="F25" s="55" cm="1">
        <f t="array" aca="1" ref="F25" ca="1">SUM(INDIRECT("'"&amp;datatable!$G$2:$G$10&amp;"'!F"&amp;25))</f>
        <v>19</v>
      </c>
      <c r="G25" s="56" cm="1">
        <f t="array" aca="1" ref="G25" ca="1">SUM(INDIRECT("'"&amp;datatable!$G$2:$G$10&amp;"'!G"&amp;25))</f>
        <v>7</v>
      </c>
      <c r="H25" s="57" cm="1">
        <f t="array" aca="1" ref="H25" ca="1">SUM(INDIRECT("'"&amp;datatable!$G$2:$G$10&amp;"'!H"&amp;25))</f>
        <v>9</v>
      </c>
      <c r="I25" s="58" cm="1">
        <f t="array" aca="1" ref="I25" ca="1">SUM(INDIRECT("'"&amp;datatable!$G$2:$G$10&amp;"'!I"&amp;25))</f>
        <v>9</v>
      </c>
      <c r="J25" s="59" cm="1">
        <f t="array" aca="1" ref="J25" ca="1">SUM(INDIRECT("'"&amp;datatable!$G$2:$G$10&amp;"'!J"&amp;25))</f>
        <v>11</v>
      </c>
      <c r="K25" s="60" cm="1">
        <f t="array" aca="1" ref="K25" ca="1">SUM(INDIRECT("'"&amp;datatable!$G$2:$G$10&amp;"'!K"&amp;25))</f>
        <v>7</v>
      </c>
      <c r="L25" s="61" cm="1">
        <f t="array" aca="1" ref="L25" ca="1">SUM(INDIRECT("'"&amp;datatable!$G$2:$G$10&amp;"'!L"&amp;25))</f>
        <v>14</v>
      </c>
      <c r="M25" s="62" cm="1">
        <f t="array" aca="1" ref="M25" ca="1">SUM(INDIRECT("'"&amp;datatable!$G$2:$G$10&amp;"'!M"&amp;25))</f>
        <v>15</v>
      </c>
      <c r="N25" s="29">
        <f t="shared" ca="1" si="0"/>
        <v>162</v>
      </c>
      <c r="O25" s="29">
        <f t="shared" ca="1" si="1"/>
        <v>147</v>
      </c>
    </row>
    <row r="26" spans="3:15">
      <c r="C26" s="5" t="s">
        <v>32</v>
      </c>
      <c r="D26" s="8" cm="1">
        <f t="array" aca="1" ref="D26" ca="1">SUM(INDIRECT("'"&amp;datatable!$G$2:$G$10&amp;"'!D"&amp;26))</f>
        <v>27</v>
      </c>
      <c r="E26" s="54" cm="1">
        <f t="array" aca="1" ref="E26" ca="1">SUM(INDIRECT("'"&amp;datatable!$G$2:$G$10&amp;"'!E"&amp;26))</f>
        <v>10</v>
      </c>
      <c r="F26" s="55" cm="1">
        <f t="array" aca="1" ref="F26" ca="1">SUM(INDIRECT("'"&amp;datatable!$G$2:$G$10&amp;"'!F"&amp;26))</f>
        <v>15</v>
      </c>
      <c r="G26" s="56" cm="1">
        <f t="array" aca="1" ref="G26" ca="1">SUM(INDIRECT("'"&amp;datatable!$G$2:$G$10&amp;"'!G"&amp;26))</f>
        <v>15</v>
      </c>
      <c r="H26" s="57" cm="1">
        <f t="array" aca="1" ref="H26" ca="1">SUM(INDIRECT("'"&amp;datatable!$G$2:$G$10&amp;"'!H"&amp;26))</f>
        <v>22</v>
      </c>
      <c r="I26" s="58" cm="1">
        <f t="array" aca="1" ref="I26" ca="1">SUM(INDIRECT("'"&amp;datatable!$G$2:$G$10&amp;"'!I"&amp;26))</f>
        <v>9</v>
      </c>
      <c r="J26" s="59" cm="1">
        <f t="array" aca="1" ref="J26" ca="1">SUM(INDIRECT("'"&amp;datatable!$G$2:$G$10&amp;"'!J"&amp;26))</f>
        <v>18</v>
      </c>
      <c r="K26" s="60" cm="1">
        <f t="array" aca="1" ref="K26" ca="1">SUM(INDIRECT("'"&amp;datatable!$G$2:$G$10&amp;"'!K"&amp;26))</f>
        <v>10</v>
      </c>
      <c r="L26" s="61" cm="1">
        <f t="array" aca="1" ref="L26" ca="1">SUM(INDIRECT("'"&amp;datatable!$G$2:$G$10&amp;"'!L"&amp;26))</f>
        <v>26</v>
      </c>
      <c r="M26" s="62" cm="1">
        <f t="array" aca="1" ref="M26" ca="1">SUM(INDIRECT("'"&amp;datatable!$G$2:$G$10&amp;"'!M"&amp;26))</f>
        <v>10</v>
      </c>
      <c r="N26" s="29">
        <f t="shared" ca="1" si="0"/>
        <v>162</v>
      </c>
      <c r="O26" s="29">
        <f t="shared" ca="1" si="1"/>
        <v>152</v>
      </c>
    </row>
    <row r="27" spans="3:15">
      <c r="C27" s="5" t="s">
        <v>33</v>
      </c>
      <c r="D27" s="8" cm="1">
        <f t="array" aca="1" ref="D27" ca="1">SUM(INDIRECT("'"&amp;datatable!$G$2:$G$10&amp;"'!D"&amp;27))</f>
        <v>13</v>
      </c>
      <c r="E27" s="54" cm="1">
        <f t="array" aca="1" ref="E27" ca="1">SUM(INDIRECT("'"&amp;datatable!$G$2:$G$10&amp;"'!E"&amp;27))</f>
        <v>5</v>
      </c>
      <c r="F27" s="55" cm="1">
        <f t="array" aca="1" ref="F27" ca="1">SUM(INDIRECT("'"&amp;datatable!$G$2:$G$10&amp;"'!F"&amp;27))</f>
        <v>7</v>
      </c>
      <c r="G27" s="56" cm="1">
        <f t="array" aca="1" ref="G27" ca="1">SUM(INDIRECT("'"&amp;datatable!$G$2:$G$10&amp;"'!G"&amp;27))</f>
        <v>4</v>
      </c>
      <c r="H27" s="57" cm="1">
        <f t="array" aca="1" ref="H27" ca="1">SUM(INDIRECT("'"&amp;datatable!$G$2:$G$10&amp;"'!H"&amp;27))</f>
        <v>4</v>
      </c>
      <c r="I27" s="58" cm="1">
        <f t="array" aca="1" ref="I27" ca="1">SUM(INDIRECT("'"&amp;datatable!$G$2:$G$10&amp;"'!I"&amp;27))</f>
        <v>2</v>
      </c>
      <c r="J27" s="59" cm="1">
        <f t="array" aca="1" ref="J27" ca="1">SUM(INDIRECT("'"&amp;datatable!$G$2:$G$10&amp;"'!J"&amp;27))</f>
        <v>5</v>
      </c>
      <c r="K27" s="60" cm="1">
        <f t="array" aca="1" ref="K27" ca="1">SUM(INDIRECT("'"&amp;datatable!$G$2:$G$10&amp;"'!K"&amp;27))</f>
        <v>7</v>
      </c>
      <c r="L27" s="61" cm="1">
        <f t="array" aca="1" ref="L27" ca="1">SUM(INDIRECT("'"&amp;datatable!$G$2:$G$10&amp;"'!L"&amp;27))</f>
        <v>35</v>
      </c>
      <c r="M27" s="62" cm="1">
        <f t="array" aca="1" ref="M27" ca="1">SUM(INDIRECT("'"&amp;datatable!$G$2:$G$10&amp;"'!M"&amp;27))</f>
        <v>80</v>
      </c>
      <c r="N27" s="29">
        <f t="shared" ca="1" si="0"/>
        <v>162</v>
      </c>
      <c r="O27" s="29">
        <f t="shared" ca="1" si="1"/>
        <v>82</v>
      </c>
    </row>
    <row r="28" spans="3:15">
      <c r="C28" s="6" t="s">
        <v>34</v>
      </c>
      <c r="D28" s="9">
        <f t="shared" ref="D28:M28" ca="1" si="2">SUM(D7:D27)</f>
        <v>1210</v>
      </c>
      <c r="E28" s="9">
        <f t="shared" ca="1" si="2"/>
        <v>300</v>
      </c>
      <c r="F28" s="9">
        <f t="shared" ca="1" si="2"/>
        <v>244</v>
      </c>
      <c r="G28" s="9">
        <f t="shared" ca="1" si="2"/>
        <v>201</v>
      </c>
      <c r="H28" s="9">
        <f t="shared" ca="1" si="2"/>
        <v>166</v>
      </c>
      <c r="I28" s="9">
        <f t="shared" ca="1" si="2"/>
        <v>113</v>
      </c>
      <c r="J28" s="9">
        <f t="shared" ca="1" si="2"/>
        <v>216</v>
      </c>
      <c r="K28" s="9">
        <f t="shared" ca="1" si="2"/>
        <v>208</v>
      </c>
      <c r="L28" s="9">
        <f t="shared" ca="1" si="2"/>
        <v>452</v>
      </c>
      <c r="M28" s="9">
        <f t="shared" ca="1" si="2"/>
        <v>292</v>
      </c>
      <c r="N28" s="29">
        <f t="shared" ca="1" si="0"/>
        <v>3402</v>
      </c>
      <c r="O28" s="29">
        <f t="shared" ca="1" si="1"/>
        <v>3110</v>
      </c>
    </row>
    <row r="30" spans="3:15">
      <c r="C30" s="30" t="s">
        <v>35</v>
      </c>
    </row>
    <row r="31" spans="3:15">
      <c r="C31" s="30"/>
      <c r="D31" s="31" t="s">
        <v>1</v>
      </c>
      <c r="E31" s="32" t="s">
        <v>2</v>
      </c>
      <c r="F31" s="33" t="s">
        <v>3</v>
      </c>
      <c r="G31" s="34" t="s">
        <v>4</v>
      </c>
      <c r="H31" s="35" t="s">
        <v>5</v>
      </c>
      <c r="I31" s="36" t="s">
        <v>6</v>
      </c>
      <c r="J31" s="37" t="s">
        <v>7</v>
      </c>
      <c r="K31" s="38" t="s">
        <v>8</v>
      </c>
      <c r="L31" s="39" t="s">
        <v>9</v>
      </c>
      <c r="M31" s="40" t="s">
        <v>10</v>
      </c>
      <c r="N31" s="41" t="s">
        <v>36</v>
      </c>
      <c r="O31" s="41" t="s">
        <v>12</v>
      </c>
    </row>
    <row r="32" spans="3:15">
      <c r="C32" s="42" t="s">
        <v>37</v>
      </c>
      <c r="D32" s="8" cm="1">
        <f t="array" aca="1" ref="D32" ca="1">SUM(INDIRECT("'"&amp;datatable!$G$2:$G$10&amp;"'!D"&amp;32))</f>
        <v>101</v>
      </c>
      <c r="E32" s="11" cm="1">
        <f t="array" aca="1" ref="E32" ca="1">SUM(INDIRECT("'"&amp;datatable!$G$2:$G$10&amp;"'!E"&amp;32))</f>
        <v>10</v>
      </c>
      <c r="F32" s="13" cm="1">
        <f t="array" aca="1" ref="F32" ca="1">SUM(INDIRECT("'"&amp;datatable!$G$2:$G$10&amp;"'!F"&amp;32))</f>
        <v>6</v>
      </c>
      <c r="G32" s="15" cm="1">
        <f t="array" aca="1" ref="G32" ca="1">SUM(INDIRECT("'"&amp;datatable!$G$2:$G$10&amp;"'!G"&amp;32))</f>
        <v>9</v>
      </c>
      <c r="H32" s="17" cm="1">
        <f t="array" aca="1" ref="H32" ca="1">SUM(INDIRECT("'"&amp;datatable!$G$2:$G$10&amp;"'!H"&amp;32))</f>
        <v>5</v>
      </c>
      <c r="I32" s="19" cm="1">
        <f t="array" aca="1" ref="I32" ca="1">SUM(INDIRECT("'"&amp;datatable!$G$2:$G$10&amp;"'!I"&amp;32))</f>
        <v>5</v>
      </c>
      <c r="J32" s="21" cm="1">
        <f t="array" aca="1" ref="J32" ca="1">SUM(INDIRECT("'"&amp;datatable!$G$2:$G$10&amp;"'!J"&amp;32))</f>
        <v>9</v>
      </c>
      <c r="K32" s="23" cm="1">
        <f t="array" aca="1" ref="K32" ca="1">SUM(INDIRECT("'"&amp;datatable!$G$2:$G$10&amp;"'!K"&amp;32))</f>
        <v>9</v>
      </c>
      <c r="L32" s="25" cm="1">
        <f t="array" aca="1" ref="L32" ca="1">SUM(INDIRECT("'"&amp;datatable!$G$2:$G$10&amp;"'!L"&amp;32))</f>
        <v>4</v>
      </c>
      <c r="M32" s="27" cm="1">
        <f t="array" aca="1" ref="M32" ca="1">SUM(INDIRECT("'"&amp;datatable!$G$2:$G$10&amp;"'!M"&amp;32))</f>
        <v>31</v>
      </c>
      <c r="N32" s="43">
        <f t="shared" ref="N32:N50" ca="1" si="3">SUM(D32:M32)</f>
        <v>189</v>
      </c>
      <c r="O32" s="43">
        <f t="shared" ref="O32:O50" ca="1" si="4">SUM(D32:L32)</f>
        <v>158</v>
      </c>
    </row>
    <row r="33" spans="3:15">
      <c r="C33" s="44" t="s">
        <v>38</v>
      </c>
      <c r="D33" s="8" cm="1">
        <f t="array" aca="1" ref="D33" ca="1">SUM(INDIRECT("'"&amp;datatable!$G$2:$G$10&amp;"'!D"&amp;33))</f>
        <v>68</v>
      </c>
      <c r="E33" s="11" cm="1">
        <f t="array" aca="1" ref="E33" ca="1">SUM(INDIRECT("'"&amp;datatable!$G$2:$G$10&amp;"'!E"&amp;33))</f>
        <v>20</v>
      </c>
      <c r="F33" s="13" cm="1">
        <f t="array" aca="1" ref="F33" ca="1">SUM(INDIRECT("'"&amp;datatable!$G$2:$G$10&amp;"'!F"&amp;33))</f>
        <v>14</v>
      </c>
      <c r="G33" s="15" cm="1">
        <f t="array" aca="1" ref="G33" ca="1">SUM(INDIRECT("'"&amp;datatable!$G$2:$G$10&amp;"'!G"&amp;33))</f>
        <v>11</v>
      </c>
      <c r="H33" s="17" cm="1">
        <f t="array" aca="1" ref="H33" ca="1">SUM(INDIRECT("'"&amp;datatable!$G$2:$G$10&amp;"'!H"&amp;33))</f>
        <v>9</v>
      </c>
      <c r="I33" s="19" cm="1">
        <f t="array" aca="1" ref="I33" ca="1">SUM(INDIRECT("'"&amp;datatable!$G$2:$G$10&amp;"'!I"&amp;33))</f>
        <v>4</v>
      </c>
      <c r="J33" s="21" cm="1">
        <f t="array" aca="1" ref="J33" ca="1">SUM(INDIRECT("'"&amp;datatable!$G$2:$G$10&amp;"'!J"&amp;33))</f>
        <v>9</v>
      </c>
      <c r="K33" s="23" cm="1">
        <f t="array" aca="1" ref="K33" ca="1">SUM(INDIRECT("'"&amp;datatable!$G$2:$G$10&amp;"'!K"&amp;33))</f>
        <v>15</v>
      </c>
      <c r="L33" s="25" cm="1">
        <f t="array" aca="1" ref="L33" ca="1">SUM(INDIRECT("'"&amp;datatable!$G$2:$G$10&amp;"'!L"&amp;33))</f>
        <v>34</v>
      </c>
      <c r="M33" s="27" cm="1">
        <f t="array" aca="1" ref="M33" ca="1">SUM(INDIRECT("'"&amp;datatable!$G$2:$G$10&amp;"'!M"&amp;33))</f>
        <v>5</v>
      </c>
      <c r="N33" s="43">
        <f t="shared" ca="1" si="3"/>
        <v>189</v>
      </c>
      <c r="O33" s="43">
        <f t="shared" ca="1" si="4"/>
        <v>184</v>
      </c>
    </row>
    <row r="34" spans="3:15">
      <c r="C34" s="44" t="s">
        <v>39</v>
      </c>
      <c r="D34" s="8" cm="1">
        <f t="array" aca="1" ref="D34" ca="1">SUM(INDIRECT("'"&amp;datatable!$G$2:$G$10&amp;"'!D"&amp;34))</f>
        <v>96</v>
      </c>
      <c r="E34" s="11" cm="1">
        <f t="array" aca="1" ref="E34" ca="1">SUM(INDIRECT("'"&amp;datatable!$G$2:$G$10&amp;"'!E"&amp;34))</f>
        <v>12</v>
      </c>
      <c r="F34" s="13" cm="1">
        <f t="array" aca="1" ref="F34" ca="1">SUM(INDIRECT("'"&amp;datatable!$G$2:$G$10&amp;"'!F"&amp;34))</f>
        <v>12</v>
      </c>
      <c r="G34" s="15" cm="1">
        <f t="array" aca="1" ref="G34" ca="1">SUM(INDIRECT("'"&amp;datatable!$G$2:$G$10&amp;"'!G"&amp;34))</f>
        <v>10</v>
      </c>
      <c r="H34" s="17" cm="1">
        <f t="array" aca="1" ref="H34" ca="1">SUM(INDIRECT("'"&amp;datatable!$G$2:$G$10&amp;"'!H"&amp;34))</f>
        <v>9</v>
      </c>
      <c r="I34" s="19" cm="1">
        <f t="array" aca="1" ref="I34" ca="1">SUM(INDIRECT("'"&amp;datatable!$G$2:$G$10&amp;"'!I"&amp;34))</f>
        <v>3</v>
      </c>
      <c r="J34" s="21" cm="1">
        <f t="array" aca="1" ref="J34" ca="1">SUM(INDIRECT("'"&amp;datatable!$G$2:$G$10&amp;"'!J"&amp;34))</f>
        <v>10</v>
      </c>
      <c r="K34" s="23" cm="1">
        <f t="array" aca="1" ref="K34" ca="1">SUM(INDIRECT("'"&amp;datatable!$G$2:$G$10&amp;"'!K"&amp;34))</f>
        <v>5</v>
      </c>
      <c r="L34" s="25" cm="1">
        <f t="array" aca="1" ref="L34" ca="1">SUM(INDIRECT("'"&amp;datatable!$G$2:$G$10&amp;"'!L"&amp;34))</f>
        <v>13</v>
      </c>
      <c r="M34" s="27" cm="1">
        <f t="array" aca="1" ref="M34" ca="1">SUM(INDIRECT("'"&amp;datatable!$G$2:$G$10&amp;"'!M"&amp;34))</f>
        <v>19</v>
      </c>
      <c r="N34" s="43">
        <f t="shared" ca="1" si="3"/>
        <v>189</v>
      </c>
      <c r="O34" s="43">
        <f t="shared" ca="1" si="4"/>
        <v>170</v>
      </c>
    </row>
    <row r="35" spans="3:15">
      <c r="C35" s="44" t="s">
        <v>40</v>
      </c>
      <c r="D35" s="8" cm="1">
        <f t="array" aca="1" ref="D35" ca="1">SUM(INDIRECT("'"&amp;datatable!$G$2:$G$10&amp;"'!D"&amp;35))</f>
        <v>84</v>
      </c>
      <c r="E35" s="11" cm="1">
        <f t="array" aca="1" ref="E35" ca="1">SUM(INDIRECT("'"&amp;datatable!$G$2:$G$10&amp;"'!E"&amp;35))</f>
        <v>27</v>
      </c>
      <c r="F35" s="13" cm="1">
        <f t="array" aca="1" ref="F35" ca="1">SUM(INDIRECT("'"&amp;datatable!$G$2:$G$10&amp;"'!F"&amp;35))</f>
        <v>11</v>
      </c>
      <c r="G35" s="15" cm="1">
        <f t="array" aca="1" ref="G35" ca="1">SUM(INDIRECT("'"&amp;datatable!$G$2:$G$10&amp;"'!G"&amp;35))</f>
        <v>12</v>
      </c>
      <c r="H35" s="17" cm="1">
        <f t="array" aca="1" ref="H35" ca="1">SUM(INDIRECT("'"&amp;datatable!$G$2:$G$10&amp;"'!H"&amp;35))</f>
        <v>9</v>
      </c>
      <c r="I35" s="19" cm="1">
        <f t="array" aca="1" ref="I35" ca="1">SUM(INDIRECT("'"&amp;datatable!$G$2:$G$10&amp;"'!I"&amp;35))</f>
        <v>10</v>
      </c>
      <c r="J35" s="21" cm="1">
        <f t="array" aca="1" ref="J35" ca="1">SUM(INDIRECT("'"&amp;datatable!$G$2:$G$10&amp;"'!J"&amp;35))</f>
        <v>11</v>
      </c>
      <c r="K35" s="23" cm="1">
        <f t="array" aca="1" ref="K35" ca="1">SUM(INDIRECT("'"&amp;datatable!$G$2:$G$10&amp;"'!K"&amp;35))</f>
        <v>12</v>
      </c>
      <c r="L35" s="25" cm="1">
        <f t="array" aca="1" ref="L35" ca="1">SUM(INDIRECT("'"&amp;datatable!$G$2:$G$10&amp;"'!L"&amp;35))</f>
        <v>12</v>
      </c>
      <c r="M35" s="27" cm="1">
        <f t="array" aca="1" ref="M35" ca="1">SUM(INDIRECT("'"&amp;datatable!$G$2:$G$10&amp;"'!M"&amp;35))</f>
        <v>1</v>
      </c>
      <c r="N35" s="43">
        <f t="shared" ca="1" si="3"/>
        <v>189</v>
      </c>
      <c r="O35" s="43">
        <f t="shared" ca="1" si="4"/>
        <v>188</v>
      </c>
    </row>
    <row r="36" spans="3:15">
      <c r="C36" s="44" t="s">
        <v>41</v>
      </c>
      <c r="D36" s="8" cm="1">
        <f t="array" aca="1" ref="D36" ca="1">SUM(INDIRECT("'"&amp;datatable!$G$2:$G$10&amp;"'!D"&amp;36))</f>
        <v>61</v>
      </c>
      <c r="E36" s="11" cm="1">
        <f t="array" aca="1" ref="E36" ca="1">SUM(INDIRECT("'"&amp;datatable!$G$2:$G$10&amp;"'!E"&amp;36))</f>
        <v>20</v>
      </c>
      <c r="F36" s="13" cm="1">
        <f t="array" aca="1" ref="F36" ca="1">SUM(INDIRECT("'"&amp;datatable!$G$2:$G$10&amp;"'!F"&amp;36))</f>
        <v>8</v>
      </c>
      <c r="G36" s="15" cm="1">
        <f t="array" aca="1" ref="G36" ca="1">SUM(INDIRECT("'"&amp;datatable!$G$2:$G$10&amp;"'!G"&amp;36))</f>
        <v>14</v>
      </c>
      <c r="H36" s="17" cm="1">
        <f t="array" aca="1" ref="H36" ca="1">SUM(INDIRECT("'"&amp;datatable!$G$2:$G$10&amp;"'!H"&amp;36))</f>
        <v>14</v>
      </c>
      <c r="I36" s="19" cm="1">
        <f t="array" aca="1" ref="I36" ca="1">SUM(INDIRECT("'"&amp;datatable!$G$2:$G$10&amp;"'!I"&amp;36))</f>
        <v>6</v>
      </c>
      <c r="J36" s="21" cm="1">
        <f t="array" aca="1" ref="J36" ca="1">SUM(INDIRECT("'"&amp;datatable!$G$2:$G$10&amp;"'!J"&amp;36))</f>
        <v>19</v>
      </c>
      <c r="K36" s="23" cm="1">
        <f t="array" aca="1" ref="K36" ca="1">SUM(INDIRECT("'"&amp;datatable!$G$2:$G$10&amp;"'!K"&amp;36))</f>
        <v>20</v>
      </c>
      <c r="L36" s="25" cm="1">
        <f t="array" aca="1" ref="L36" ca="1">SUM(INDIRECT("'"&amp;datatable!$G$2:$G$10&amp;"'!L"&amp;36))</f>
        <v>18</v>
      </c>
      <c r="M36" s="27" cm="1">
        <f t="array" aca="1" ref="M36" ca="1">SUM(INDIRECT("'"&amp;datatable!$G$2:$G$10&amp;"'!M"&amp;36))</f>
        <v>9</v>
      </c>
      <c r="N36" s="43">
        <f t="shared" ca="1" si="3"/>
        <v>189</v>
      </c>
      <c r="O36" s="43">
        <f t="shared" ca="1" si="4"/>
        <v>180</v>
      </c>
    </row>
    <row r="37" spans="3:15">
      <c r="C37" s="44" t="s">
        <v>42</v>
      </c>
      <c r="D37" s="8" cm="1">
        <f t="array" aca="1" ref="D37" ca="1">SUM(INDIRECT("'"&amp;datatable!$G$2:$G$10&amp;"'!D"&amp;37))</f>
        <v>52</v>
      </c>
      <c r="E37" s="11" cm="1">
        <f t="array" aca="1" ref="E37" ca="1">SUM(INDIRECT("'"&amp;datatable!$G$2:$G$10&amp;"'!E"&amp;37))</f>
        <v>13</v>
      </c>
      <c r="F37" s="13" cm="1">
        <f t="array" aca="1" ref="F37" ca="1">SUM(INDIRECT("'"&amp;datatable!$G$2:$G$10&amp;"'!F"&amp;37))</f>
        <v>8</v>
      </c>
      <c r="G37" s="15" cm="1">
        <f t="array" aca="1" ref="G37" ca="1">SUM(INDIRECT("'"&amp;datatable!$G$2:$G$10&amp;"'!G"&amp;37))</f>
        <v>9</v>
      </c>
      <c r="H37" s="17" cm="1">
        <f t="array" aca="1" ref="H37" ca="1">SUM(INDIRECT("'"&amp;datatable!$G$2:$G$10&amp;"'!H"&amp;37))</f>
        <v>2</v>
      </c>
      <c r="I37" s="19" cm="1">
        <f t="array" aca="1" ref="I37" ca="1">SUM(INDIRECT("'"&amp;datatable!$G$2:$G$10&amp;"'!I"&amp;37))</f>
        <v>5</v>
      </c>
      <c r="J37" s="21" cm="1">
        <f t="array" aca="1" ref="J37" ca="1">SUM(INDIRECT("'"&amp;datatable!$G$2:$G$10&amp;"'!J"&amp;37))</f>
        <v>4</v>
      </c>
      <c r="K37" s="23" cm="1">
        <f t="array" aca="1" ref="K37" ca="1">SUM(INDIRECT("'"&amp;datatable!$G$2:$G$10&amp;"'!K"&amp;37))</f>
        <v>1</v>
      </c>
      <c r="L37" s="25" cm="1">
        <f t="array" aca="1" ref="L37" ca="1">SUM(INDIRECT("'"&amp;datatable!$G$2:$G$10&amp;"'!L"&amp;37))</f>
        <v>2</v>
      </c>
      <c r="M37" s="27" cm="1">
        <f t="array" aca="1" ref="M37" ca="1">SUM(INDIRECT("'"&amp;datatable!$G$2:$G$10&amp;"'!M"&amp;37))</f>
        <v>93</v>
      </c>
      <c r="N37" s="43">
        <f t="shared" ca="1" si="3"/>
        <v>189</v>
      </c>
      <c r="O37" s="43">
        <f t="shared" ca="1" si="4"/>
        <v>96</v>
      </c>
    </row>
    <row r="38" spans="3:15">
      <c r="C38" s="44" t="s">
        <v>43</v>
      </c>
      <c r="D38" s="8" cm="1">
        <f t="array" aca="1" ref="D38" ca="1">SUM(INDIRECT("'"&amp;datatable!$G$2:$G$10&amp;"'!D"&amp;38))</f>
        <v>87</v>
      </c>
      <c r="E38" s="11" cm="1">
        <f t="array" aca="1" ref="E38" ca="1">SUM(INDIRECT("'"&amp;datatable!$G$2:$G$10&amp;"'!E"&amp;38))</f>
        <v>18</v>
      </c>
      <c r="F38" s="13" cm="1">
        <f t="array" aca="1" ref="F38" ca="1">SUM(INDIRECT("'"&amp;datatable!$G$2:$G$10&amp;"'!F"&amp;38))</f>
        <v>13</v>
      </c>
      <c r="G38" s="15" cm="1">
        <f t="array" aca="1" ref="G38" ca="1">SUM(INDIRECT("'"&amp;datatable!$G$2:$G$10&amp;"'!G"&amp;38))</f>
        <v>9</v>
      </c>
      <c r="H38" s="17" cm="1">
        <f t="array" aca="1" ref="H38" ca="1">SUM(INDIRECT("'"&amp;datatable!$G$2:$G$10&amp;"'!H"&amp;38))</f>
        <v>9</v>
      </c>
      <c r="I38" s="19" cm="1">
        <f t="array" aca="1" ref="I38" ca="1">SUM(INDIRECT("'"&amp;datatable!$G$2:$G$10&amp;"'!I"&amp;38))</f>
        <v>10</v>
      </c>
      <c r="J38" s="21" cm="1">
        <f t="array" aca="1" ref="J38" ca="1">SUM(INDIRECT("'"&amp;datatable!$G$2:$G$10&amp;"'!J"&amp;38))</f>
        <v>6</v>
      </c>
      <c r="K38" s="23" cm="1">
        <f t="array" aca="1" ref="K38" ca="1">SUM(INDIRECT("'"&amp;datatable!$G$2:$G$10&amp;"'!K"&amp;38))</f>
        <v>4</v>
      </c>
      <c r="L38" s="25" cm="1">
        <f t="array" aca="1" ref="L38" ca="1">SUM(INDIRECT("'"&amp;datatable!$G$2:$G$10&amp;"'!L"&amp;38))</f>
        <v>15</v>
      </c>
      <c r="M38" s="27" cm="1">
        <f t="array" aca="1" ref="M38" ca="1">SUM(INDIRECT("'"&amp;datatable!$G$2:$G$10&amp;"'!M"&amp;38))</f>
        <v>18</v>
      </c>
      <c r="N38" s="43">
        <f t="shared" ca="1" si="3"/>
        <v>189</v>
      </c>
      <c r="O38" s="43">
        <f t="shared" ca="1" si="4"/>
        <v>171</v>
      </c>
    </row>
    <row r="39" spans="3:15">
      <c r="C39" s="44" t="s">
        <v>44</v>
      </c>
      <c r="D39" s="8" cm="1">
        <f t="array" aca="1" ref="D39" ca="1">SUM(INDIRECT("'"&amp;datatable!$G$2:$G$10&amp;"'!D"&amp;39))</f>
        <v>95</v>
      </c>
      <c r="E39" s="11" cm="1">
        <f t="array" aca="1" ref="E39" ca="1">SUM(INDIRECT("'"&amp;datatable!$G$2:$G$10&amp;"'!E"&amp;39))</f>
        <v>25</v>
      </c>
      <c r="F39" s="13" cm="1">
        <f t="array" aca="1" ref="F39" ca="1">SUM(INDIRECT("'"&amp;datatable!$G$2:$G$10&amp;"'!F"&amp;39))</f>
        <v>17</v>
      </c>
      <c r="G39" s="15" cm="1">
        <f t="array" aca="1" ref="G39" ca="1">SUM(INDIRECT("'"&amp;datatable!$G$2:$G$10&amp;"'!G"&amp;39))</f>
        <v>7</v>
      </c>
      <c r="H39" s="17" cm="1">
        <f t="array" aca="1" ref="H39" ca="1">SUM(INDIRECT("'"&amp;datatable!$G$2:$G$10&amp;"'!H"&amp;39))</f>
        <v>6</v>
      </c>
      <c r="I39" s="19" cm="1">
        <f t="array" aca="1" ref="I39" ca="1">SUM(INDIRECT("'"&amp;datatable!$G$2:$G$10&amp;"'!I"&amp;39))</f>
        <v>0</v>
      </c>
      <c r="J39" s="21" cm="1">
        <f t="array" aca="1" ref="J39" ca="1">SUM(INDIRECT("'"&amp;datatable!$G$2:$G$10&amp;"'!J"&amp;39))</f>
        <v>11</v>
      </c>
      <c r="K39" s="23" cm="1">
        <f t="array" aca="1" ref="K39" ca="1">SUM(INDIRECT("'"&amp;datatable!$G$2:$G$10&amp;"'!K"&amp;39))</f>
        <v>5</v>
      </c>
      <c r="L39" s="25" cm="1">
        <f t="array" aca="1" ref="L39" ca="1">SUM(INDIRECT("'"&amp;datatable!$G$2:$G$10&amp;"'!L"&amp;39))</f>
        <v>12</v>
      </c>
      <c r="M39" s="27" cm="1">
        <f t="array" aca="1" ref="M39" ca="1">SUM(INDIRECT("'"&amp;datatable!$G$2:$G$10&amp;"'!M"&amp;39))</f>
        <v>11</v>
      </c>
      <c r="N39" s="43">
        <f t="shared" ca="1" si="3"/>
        <v>189</v>
      </c>
      <c r="O39" s="43">
        <f t="shared" ca="1" si="4"/>
        <v>178</v>
      </c>
    </row>
    <row r="40" spans="3:15">
      <c r="C40" s="44" t="s">
        <v>45</v>
      </c>
      <c r="D40" s="8" cm="1">
        <f t="array" aca="1" ref="D40" ca="1">SUM(INDIRECT("'"&amp;datatable!$G$2:$G$10&amp;"'!D"&amp;40))</f>
        <v>47</v>
      </c>
      <c r="E40" s="11" cm="1">
        <f t="array" aca="1" ref="E40" ca="1">SUM(INDIRECT("'"&amp;datatable!$G$2:$G$10&amp;"'!E"&amp;40))</f>
        <v>14</v>
      </c>
      <c r="F40" s="13" cm="1">
        <f t="array" aca="1" ref="F40" ca="1">SUM(INDIRECT("'"&amp;datatable!$G$2:$G$10&amp;"'!F"&amp;40))</f>
        <v>12</v>
      </c>
      <c r="G40" s="15" cm="1">
        <f t="array" aca="1" ref="G40" ca="1">SUM(INDIRECT("'"&amp;datatable!$G$2:$G$10&amp;"'!G"&amp;40))</f>
        <v>13</v>
      </c>
      <c r="H40" s="17" cm="1">
        <f t="array" aca="1" ref="H40" ca="1">SUM(INDIRECT("'"&amp;datatable!$G$2:$G$10&amp;"'!H"&amp;40))</f>
        <v>16</v>
      </c>
      <c r="I40" s="19" cm="1">
        <f t="array" aca="1" ref="I40" ca="1">SUM(INDIRECT("'"&amp;datatable!$G$2:$G$10&amp;"'!I"&amp;40))</f>
        <v>8</v>
      </c>
      <c r="J40" s="21" cm="1">
        <f t="array" aca="1" ref="J40" ca="1">SUM(INDIRECT("'"&amp;datatable!$G$2:$G$10&amp;"'!J"&amp;40))</f>
        <v>14</v>
      </c>
      <c r="K40" s="23" cm="1">
        <f t="array" aca="1" ref="K40" ca="1">SUM(INDIRECT("'"&amp;datatable!$G$2:$G$10&amp;"'!K"&amp;40))</f>
        <v>21</v>
      </c>
      <c r="L40" s="25" cm="1">
        <f t="array" aca="1" ref="L40" ca="1">SUM(INDIRECT("'"&amp;datatable!$G$2:$G$10&amp;"'!L"&amp;40))</f>
        <v>18</v>
      </c>
      <c r="M40" s="27" cm="1">
        <f t="array" aca="1" ref="M40" ca="1">SUM(INDIRECT("'"&amp;datatable!$G$2:$G$10&amp;"'!M"&amp;40))</f>
        <v>26</v>
      </c>
      <c r="N40" s="43">
        <f t="shared" ca="1" si="3"/>
        <v>189</v>
      </c>
      <c r="O40" s="43">
        <f t="shared" ca="1" si="4"/>
        <v>163</v>
      </c>
    </row>
    <row r="41" spans="3:15">
      <c r="C41" s="44" t="s">
        <v>46</v>
      </c>
      <c r="D41" s="8" cm="1">
        <f t="array" aca="1" ref="D41" ca="1">SUM(INDIRECT("'"&amp;datatable!$G$2:$G$10&amp;"'!D"&amp;41))</f>
        <v>67</v>
      </c>
      <c r="E41" s="11" cm="1">
        <f t="array" aca="1" ref="E41" ca="1">SUM(INDIRECT("'"&amp;datatable!$G$2:$G$10&amp;"'!E"&amp;41))</f>
        <v>24</v>
      </c>
      <c r="F41" s="13" cm="1">
        <f t="array" aca="1" ref="F41" ca="1">SUM(INDIRECT("'"&amp;datatable!$G$2:$G$10&amp;"'!F"&amp;41))</f>
        <v>14</v>
      </c>
      <c r="G41" s="15" cm="1">
        <f t="array" aca="1" ref="G41" ca="1">SUM(INDIRECT("'"&amp;datatable!$G$2:$G$10&amp;"'!G"&amp;41))</f>
        <v>15</v>
      </c>
      <c r="H41" s="17" cm="1">
        <f t="array" aca="1" ref="H41" ca="1">SUM(INDIRECT("'"&amp;datatable!$G$2:$G$10&amp;"'!H"&amp;41))</f>
        <v>9</v>
      </c>
      <c r="I41" s="19" cm="1">
        <f t="array" aca="1" ref="I41" ca="1">SUM(INDIRECT("'"&amp;datatable!$G$2:$G$10&amp;"'!I"&amp;41))</f>
        <v>8</v>
      </c>
      <c r="J41" s="21" cm="1">
        <f t="array" aca="1" ref="J41" ca="1">SUM(INDIRECT("'"&amp;datatable!$G$2:$G$10&amp;"'!J"&amp;41))</f>
        <v>16</v>
      </c>
      <c r="K41" s="23" cm="1">
        <f t="array" aca="1" ref="K41" ca="1">SUM(INDIRECT("'"&amp;datatable!$G$2:$G$10&amp;"'!K"&amp;41))</f>
        <v>21</v>
      </c>
      <c r="L41" s="25" cm="1">
        <f t="array" aca="1" ref="L41" ca="1">SUM(INDIRECT("'"&amp;datatable!$G$2:$G$10&amp;"'!L"&amp;41))</f>
        <v>13</v>
      </c>
      <c r="M41" s="27" cm="1">
        <f t="array" aca="1" ref="M41" ca="1">SUM(INDIRECT("'"&amp;datatable!$G$2:$G$10&amp;"'!M"&amp;41))</f>
        <v>2</v>
      </c>
      <c r="N41" s="43">
        <f t="shared" ca="1" si="3"/>
        <v>189</v>
      </c>
      <c r="O41" s="43">
        <f t="shared" ca="1" si="4"/>
        <v>187</v>
      </c>
    </row>
    <row r="42" spans="3:15">
      <c r="C42" s="44" t="s">
        <v>47</v>
      </c>
      <c r="D42" s="8" cm="1">
        <f t="array" aca="1" ref="D42" ca="1">SUM(INDIRECT("'"&amp;datatable!$G$2:$G$10&amp;"'!D"&amp;42))</f>
        <v>54</v>
      </c>
      <c r="E42" s="11" cm="1">
        <f t="array" aca="1" ref="E42" ca="1">SUM(INDIRECT("'"&amp;datatable!$G$2:$G$10&amp;"'!E"&amp;42))</f>
        <v>22</v>
      </c>
      <c r="F42" s="13" cm="1">
        <f t="array" aca="1" ref="F42" ca="1">SUM(INDIRECT("'"&amp;datatable!$G$2:$G$10&amp;"'!F"&amp;42))</f>
        <v>10</v>
      </c>
      <c r="G42" s="15" cm="1">
        <f t="array" aca="1" ref="G42" ca="1">SUM(INDIRECT("'"&amp;datatable!$G$2:$G$10&amp;"'!G"&amp;42))</f>
        <v>19</v>
      </c>
      <c r="H42" s="17" cm="1">
        <f t="array" aca="1" ref="H42" ca="1">SUM(INDIRECT("'"&amp;datatable!$G$2:$G$10&amp;"'!H"&amp;42))</f>
        <v>19</v>
      </c>
      <c r="I42" s="19" cm="1">
        <f t="array" aca="1" ref="I42" ca="1">SUM(INDIRECT("'"&amp;datatable!$G$2:$G$10&amp;"'!I"&amp;42))</f>
        <v>6</v>
      </c>
      <c r="J42" s="21" cm="1">
        <f t="array" aca="1" ref="J42" ca="1">SUM(INDIRECT("'"&amp;datatable!$G$2:$G$10&amp;"'!J"&amp;42))</f>
        <v>21</v>
      </c>
      <c r="K42" s="23" cm="1">
        <f t="array" aca="1" ref="K42" ca="1">SUM(INDIRECT("'"&amp;datatable!$G$2:$G$10&amp;"'!K"&amp;42))</f>
        <v>20</v>
      </c>
      <c r="L42" s="25" cm="1">
        <f t="array" aca="1" ref="L42" ca="1">SUM(INDIRECT("'"&amp;datatable!$G$2:$G$10&amp;"'!L"&amp;42))</f>
        <v>18</v>
      </c>
      <c r="M42" s="27" cm="1">
        <f t="array" aca="1" ref="M42" ca="1">SUM(INDIRECT("'"&amp;datatable!$G$2:$G$10&amp;"'!M"&amp;42))</f>
        <v>0</v>
      </c>
      <c r="N42" s="43">
        <f t="shared" ca="1" si="3"/>
        <v>189</v>
      </c>
      <c r="O42" s="43">
        <f t="shared" ca="1" si="4"/>
        <v>189</v>
      </c>
    </row>
    <row r="43" spans="3:15">
      <c r="C43" s="44" t="s">
        <v>48</v>
      </c>
      <c r="D43" s="8" cm="1">
        <f t="array" aca="1" ref="D43" ca="1">SUM(INDIRECT("'"&amp;datatable!$G$2:$G$10&amp;"'!D"&amp;43))</f>
        <v>120</v>
      </c>
      <c r="E43" s="11" cm="1">
        <f t="array" aca="1" ref="E43" ca="1">SUM(INDIRECT("'"&amp;datatable!$G$2:$G$10&amp;"'!E"&amp;43))</f>
        <v>23</v>
      </c>
      <c r="F43" s="13" cm="1">
        <f t="array" aca="1" ref="F43" ca="1">SUM(INDIRECT("'"&amp;datatable!$G$2:$G$10&amp;"'!F"&amp;43))</f>
        <v>14</v>
      </c>
      <c r="G43" s="15" cm="1">
        <f t="array" aca="1" ref="G43" ca="1">SUM(INDIRECT("'"&amp;datatable!$G$2:$G$10&amp;"'!G"&amp;43))</f>
        <v>4</v>
      </c>
      <c r="H43" s="17" cm="1">
        <f t="array" aca="1" ref="H43" ca="1">SUM(INDIRECT("'"&amp;datatable!$G$2:$G$10&amp;"'!H"&amp;43))</f>
        <v>5</v>
      </c>
      <c r="I43" s="19" cm="1">
        <f t="array" aca="1" ref="I43" ca="1">SUM(INDIRECT("'"&amp;datatable!$G$2:$G$10&amp;"'!I"&amp;43))</f>
        <v>4</v>
      </c>
      <c r="J43" s="21" cm="1">
        <f t="array" aca="1" ref="J43" ca="1">SUM(INDIRECT("'"&amp;datatable!$G$2:$G$10&amp;"'!J"&amp;43))</f>
        <v>5</v>
      </c>
      <c r="K43" s="23" cm="1">
        <f t="array" aca="1" ref="K43" ca="1">SUM(INDIRECT("'"&amp;datatable!$G$2:$G$10&amp;"'!K"&amp;43))</f>
        <v>2</v>
      </c>
      <c r="L43" s="25" cm="1">
        <f t="array" aca="1" ref="L43" ca="1">SUM(INDIRECT("'"&amp;datatable!$G$2:$G$10&amp;"'!L"&amp;43))</f>
        <v>11</v>
      </c>
      <c r="M43" s="27" cm="1">
        <f t="array" aca="1" ref="M43" ca="1">SUM(INDIRECT("'"&amp;datatable!$G$2:$G$10&amp;"'!M"&amp;43))</f>
        <v>1</v>
      </c>
      <c r="N43" s="43">
        <f t="shared" ca="1" si="3"/>
        <v>189</v>
      </c>
      <c r="O43" s="43">
        <f t="shared" ca="1" si="4"/>
        <v>188</v>
      </c>
    </row>
    <row r="44" spans="3:15">
      <c r="C44" s="44" t="s">
        <v>49</v>
      </c>
      <c r="D44" s="8" cm="1">
        <f t="array" aca="1" ref="D44" ca="1">SUM(INDIRECT("'"&amp;datatable!$G$2:$G$10&amp;"'!D"&amp;44))</f>
        <v>25</v>
      </c>
      <c r="E44" s="11" cm="1">
        <f t="array" aca="1" ref="E44" ca="1">SUM(INDIRECT("'"&amp;datatable!$G$2:$G$10&amp;"'!E"&amp;44))</f>
        <v>13</v>
      </c>
      <c r="F44" s="13" cm="1">
        <f t="array" aca="1" ref="F44" ca="1">SUM(INDIRECT("'"&amp;datatable!$G$2:$G$10&amp;"'!F"&amp;44))</f>
        <v>17</v>
      </c>
      <c r="G44" s="15" cm="1">
        <f t="array" aca="1" ref="G44" ca="1">SUM(INDIRECT("'"&amp;datatable!$G$2:$G$10&amp;"'!G"&amp;44))</f>
        <v>8</v>
      </c>
      <c r="H44" s="17" cm="1">
        <f t="array" aca="1" ref="H44" ca="1">SUM(INDIRECT("'"&amp;datatable!$G$2:$G$10&amp;"'!H"&amp;44))</f>
        <v>18</v>
      </c>
      <c r="I44" s="19" cm="1">
        <f t="array" aca="1" ref="I44" ca="1">SUM(INDIRECT("'"&amp;datatable!$G$2:$G$10&amp;"'!I"&amp;44))</f>
        <v>8</v>
      </c>
      <c r="J44" s="21" cm="1">
        <f t="array" aca="1" ref="J44" ca="1">SUM(INDIRECT("'"&amp;datatable!$G$2:$G$10&amp;"'!J"&amp;44))</f>
        <v>25</v>
      </c>
      <c r="K44" s="23" cm="1">
        <f t="array" aca="1" ref="K44" ca="1">SUM(INDIRECT("'"&amp;datatable!$G$2:$G$10&amp;"'!K"&amp;44))</f>
        <v>13</v>
      </c>
      <c r="L44" s="25" cm="1">
        <f t="array" aca="1" ref="L44" ca="1">SUM(INDIRECT("'"&amp;datatable!$G$2:$G$10&amp;"'!L"&amp;44))</f>
        <v>34</v>
      </c>
      <c r="M44" s="27" cm="1">
        <f t="array" aca="1" ref="M44" ca="1">SUM(INDIRECT("'"&amp;datatable!$G$2:$G$10&amp;"'!M"&amp;44))</f>
        <v>28</v>
      </c>
      <c r="N44" s="43">
        <f t="shared" ca="1" si="3"/>
        <v>189</v>
      </c>
      <c r="O44" s="43">
        <f t="shared" ca="1" si="4"/>
        <v>161</v>
      </c>
    </row>
    <row r="45" spans="3:15">
      <c r="C45" s="44" t="s">
        <v>50</v>
      </c>
      <c r="D45" s="8" cm="1">
        <f t="array" aca="1" ref="D45" ca="1">SUM(INDIRECT("'"&amp;datatable!$G$2:$G$10&amp;"'!D"&amp;45))</f>
        <v>56</v>
      </c>
      <c r="E45" s="11" cm="1">
        <f t="array" aca="1" ref="E45" ca="1">SUM(INDIRECT("'"&amp;datatable!$G$2:$G$10&amp;"'!E"&amp;45))</f>
        <v>17</v>
      </c>
      <c r="F45" s="13" cm="1">
        <f t="array" aca="1" ref="F45" ca="1">SUM(INDIRECT("'"&amp;datatable!$G$2:$G$10&amp;"'!F"&amp;45))</f>
        <v>7</v>
      </c>
      <c r="G45" s="15" cm="1">
        <f t="array" aca="1" ref="G45" ca="1">SUM(INDIRECT("'"&amp;datatable!$G$2:$G$10&amp;"'!G"&amp;45))</f>
        <v>18</v>
      </c>
      <c r="H45" s="17" cm="1">
        <f t="array" aca="1" ref="H45" ca="1">SUM(INDIRECT("'"&amp;datatable!$G$2:$G$10&amp;"'!H"&amp;45))</f>
        <v>12</v>
      </c>
      <c r="I45" s="19" cm="1">
        <f t="array" aca="1" ref="I45" ca="1">SUM(INDIRECT("'"&amp;datatable!$G$2:$G$10&amp;"'!I"&amp;45))</f>
        <v>13</v>
      </c>
      <c r="J45" s="21" cm="1">
        <f t="array" aca="1" ref="J45" ca="1">SUM(INDIRECT("'"&amp;datatable!$G$2:$G$10&amp;"'!J"&amp;45))</f>
        <v>11</v>
      </c>
      <c r="K45" s="23" cm="1">
        <f t="array" aca="1" ref="K45" ca="1">SUM(INDIRECT("'"&amp;datatable!$G$2:$G$10&amp;"'!K"&amp;45))</f>
        <v>26</v>
      </c>
      <c r="L45" s="25" cm="1">
        <f t="array" aca="1" ref="L45" ca="1">SUM(INDIRECT("'"&amp;datatable!$G$2:$G$10&amp;"'!L"&amp;45))</f>
        <v>29</v>
      </c>
      <c r="M45" s="27" cm="1">
        <f t="array" aca="1" ref="M45" ca="1">SUM(INDIRECT("'"&amp;datatable!$G$2:$G$10&amp;"'!M"&amp;45))</f>
        <v>0</v>
      </c>
      <c r="N45" s="43">
        <f t="shared" ca="1" si="3"/>
        <v>189</v>
      </c>
      <c r="O45" s="43">
        <f t="shared" ca="1" si="4"/>
        <v>189</v>
      </c>
    </row>
    <row r="46" spans="3:15">
      <c r="C46" s="45" t="s">
        <v>51</v>
      </c>
      <c r="D46" s="8" cm="1">
        <f t="array" aca="1" ref="D46" ca="1">SUM(INDIRECT("'"&amp;datatable!$G$2:$G$10&amp;"'!D"&amp;46))</f>
        <v>14</v>
      </c>
      <c r="E46" s="11" cm="1">
        <f t="array" aca="1" ref="E46" ca="1">SUM(INDIRECT("'"&amp;datatable!$G$2:$G$10&amp;"'!E"&amp;46))</f>
        <v>6</v>
      </c>
      <c r="F46" s="13" cm="1">
        <f t="array" aca="1" ref="F46" ca="1">SUM(INDIRECT("'"&amp;datatable!$G$2:$G$10&amp;"'!F"&amp;46))</f>
        <v>4</v>
      </c>
      <c r="G46" s="15" cm="1">
        <f t="array" aca="1" ref="G46" ca="1">SUM(INDIRECT("'"&amp;datatable!$G$2:$G$10&amp;"'!G"&amp;46))</f>
        <v>6</v>
      </c>
      <c r="H46" s="17" cm="1">
        <f t="array" aca="1" ref="H46" ca="1">SUM(INDIRECT("'"&amp;datatable!$G$2:$G$10&amp;"'!H"&amp;46))</f>
        <v>2</v>
      </c>
      <c r="I46" s="19" cm="1">
        <f t="array" aca="1" ref="I46" ca="1">SUM(INDIRECT("'"&amp;datatable!$G$2:$G$10&amp;"'!I"&amp;46))</f>
        <v>4</v>
      </c>
      <c r="J46" s="21" cm="1">
        <f t="array" aca="1" ref="J46" ca="1">SUM(INDIRECT("'"&amp;datatable!$G$2:$G$10&amp;"'!J"&amp;46))</f>
        <v>16</v>
      </c>
      <c r="K46" s="23" cm="1">
        <f t="array" aca="1" ref="K46" ca="1">SUM(INDIRECT("'"&amp;datatable!$G$2:$G$10&amp;"'!K"&amp;46))</f>
        <v>16</v>
      </c>
      <c r="L46" s="25" cm="1">
        <f t="array" aca="1" ref="L46" ca="1">SUM(INDIRECT("'"&amp;datatable!$G$2:$G$10&amp;"'!L"&amp;46))</f>
        <v>114</v>
      </c>
      <c r="M46" s="27" cm="1">
        <f t="array" aca="1" ref="M46" ca="1">SUM(INDIRECT("'"&amp;datatable!$G$2:$G$10&amp;"'!M"&amp;46))</f>
        <v>7</v>
      </c>
      <c r="N46" s="43">
        <f t="shared" ca="1" si="3"/>
        <v>189</v>
      </c>
      <c r="O46" s="43">
        <f t="shared" ca="1" si="4"/>
        <v>182</v>
      </c>
    </row>
    <row r="47" spans="3:15">
      <c r="C47" s="44" t="s">
        <v>52</v>
      </c>
      <c r="D47" s="8" cm="1">
        <f t="array" aca="1" ref="D47" ca="1">SUM(INDIRECT("'"&amp;datatable!$G$2:$G$10&amp;"'!D"&amp;47))</f>
        <v>90</v>
      </c>
      <c r="E47" s="11" cm="1">
        <f t="array" aca="1" ref="E47" ca="1">SUM(INDIRECT("'"&amp;datatable!$G$2:$G$10&amp;"'!E"&amp;47))</f>
        <v>19</v>
      </c>
      <c r="F47" s="13" cm="1">
        <f t="array" aca="1" ref="F47" ca="1">SUM(INDIRECT("'"&amp;datatable!$G$2:$G$10&amp;"'!F"&amp;47))</f>
        <v>13</v>
      </c>
      <c r="G47" s="15" cm="1">
        <f t="array" aca="1" ref="G47" ca="1">SUM(INDIRECT("'"&amp;datatable!$G$2:$G$10&amp;"'!G"&amp;47))</f>
        <v>14</v>
      </c>
      <c r="H47" s="17" cm="1">
        <f t="array" aca="1" ref="H47" ca="1">SUM(INDIRECT("'"&amp;datatable!$G$2:$G$10&amp;"'!H"&amp;47))</f>
        <v>7</v>
      </c>
      <c r="I47" s="19" cm="1">
        <f t="array" aca="1" ref="I47" ca="1">SUM(INDIRECT("'"&amp;datatable!$G$2:$G$10&amp;"'!I"&amp;47))</f>
        <v>4</v>
      </c>
      <c r="J47" s="21" cm="1">
        <f t="array" aca="1" ref="J47" ca="1">SUM(INDIRECT("'"&amp;datatable!$G$2:$G$10&amp;"'!J"&amp;47))</f>
        <v>11</v>
      </c>
      <c r="K47" s="23" cm="1">
        <f t="array" aca="1" ref="K47" ca="1">SUM(INDIRECT("'"&amp;datatable!$G$2:$G$10&amp;"'!K"&amp;47))</f>
        <v>6</v>
      </c>
      <c r="L47" s="25" cm="1">
        <f t="array" aca="1" ref="L47" ca="1">SUM(INDIRECT("'"&amp;datatable!$G$2:$G$10&amp;"'!L"&amp;47))</f>
        <v>10</v>
      </c>
      <c r="M47" s="27" cm="1">
        <f t="array" aca="1" ref="M47" ca="1">SUM(INDIRECT("'"&amp;datatable!$G$2:$G$10&amp;"'!M"&amp;47))</f>
        <v>15</v>
      </c>
      <c r="N47" s="43">
        <f t="shared" ca="1" si="3"/>
        <v>189</v>
      </c>
      <c r="O47" s="43">
        <f t="shared" ca="1" si="4"/>
        <v>174</v>
      </c>
    </row>
    <row r="48" spans="3:15">
      <c r="C48" s="44" t="s">
        <v>53</v>
      </c>
      <c r="D48" s="8" cm="1">
        <f t="array" aca="1" ref="D48" ca="1">SUM(INDIRECT("'"&amp;datatable!$G$2:$G$10&amp;"'!D"&amp;48))</f>
        <v>19</v>
      </c>
      <c r="E48" s="11" cm="1">
        <f t="array" aca="1" ref="E48" ca="1">SUM(INDIRECT("'"&amp;datatable!$G$2:$G$10&amp;"'!E"&amp;48))</f>
        <v>5</v>
      </c>
      <c r="F48" s="13" cm="1">
        <f t="array" aca="1" ref="F48" ca="1">SUM(INDIRECT("'"&amp;datatable!$G$2:$G$10&amp;"'!F"&amp;48))</f>
        <v>3</v>
      </c>
      <c r="G48" s="15" cm="1">
        <f t="array" aca="1" ref="G48" ca="1">SUM(INDIRECT("'"&amp;datatable!$G$2:$G$10&amp;"'!G"&amp;48))</f>
        <v>11</v>
      </c>
      <c r="H48" s="17" cm="1">
        <f t="array" aca="1" ref="H48" ca="1">SUM(INDIRECT("'"&amp;datatable!$G$2:$G$10&amp;"'!H"&amp;48))</f>
        <v>13</v>
      </c>
      <c r="I48" s="19" cm="1">
        <f t="array" aca="1" ref="I48" ca="1">SUM(INDIRECT("'"&amp;datatable!$G$2:$G$10&amp;"'!I"&amp;48))</f>
        <v>7</v>
      </c>
      <c r="J48" s="21" cm="1">
        <f t="array" aca="1" ref="J48" ca="1">SUM(INDIRECT("'"&amp;datatable!$G$2:$G$10&amp;"'!J"&amp;48))</f>
        <v>13</v>
      </c>
      <c r="K48" s="23" cm="1">
        <f t="array" aca="1" ref="K48" ca="1">SUM(INDIRECT("'"&amp;datatable!$G$2:$G$10&amp;"'!K"&amp;48))</f>
        <v>10</v>
      </c>
      <c r="L48" s="25" cm="1">
        <f t="array" aca="1" ref="L48" ca="1">SUM(INDIRECT("'"&amp;datatable!$G$2:$G$10&amp;"'!L"&amp;48))</f>
        <v>90</v>
      </c>
      <c r="M48" s="27" cm="1">
        <f t="array" aca="1" ref="M48" ca="1">SUM(INDIRECT("'"&amp;datatable!$G$2:$G$10&amp;"'!M"&amp;48))</f>
        <v>18</v>
      </c>
      <c r="N48" s="43">
        <f t="shared" ca="1" si="3"/>
        <v>189</v>
      </c>
      <c r="O48" s="43">
        <f t="shared" ca="1" si="4"/>
        <v>171</v>
      </c>
    </row>
    <row r="49" spans="3:15">
      <c r="C49" s="44" t="s">
        <v>54</v>
      </c>
      <c r="D49" s="8" cm="1">
        <f t="array" aca="1" ref="D49" ca="1">SUM(INDIRECT("'"&amp;datatable!$G$2:$G$10&amp;"'!D"&amp;49))</f>
        <v>75</v>
      </c>
      <c r="E49" s="11" cm="1">
        <f t="array" aca="1" ref="E49" ca="1">SUM(INDIRECT("'"&amp;datatable!$G$2:$G$10&amp;"'!E"&amp;49))</f>
        <v>12</v>
      </c>
      <c r="F49" s="13" cm="1">
        <f t="array" aca="1" ref="F49" ca="1">SUM(INDIRECT("'"&amp;datatable!$G$2:$G$10&amp;"'!F"&amp;49))</f>
        <v>61</v>
      </c>
      <c r="G49" s="15" cm="1">
        <f t="array" aca="1" ref="G49" ca="1">SUM(INDIRECT("'"&amp;datatable!$G$2:$G$10&amp;"'!G"&amp;49))</f>
        <v>12</v>
      </c>
      <c r="H49" s="17" cm="1">
        <f t="array" aca="1" ref="H49" ca="1">SUM(INDIRECT("'"&amp;datatable!$G$2:$G$10&amp;"'!H"&amp;49))</f>
        <v>2</v>
      </c>
      <c r="I49" s="19" cm="1">
        <f t="array" aca="1" ref="I49" ca="1">SUM(INDIRECT("'"&amp;datatable!$G$2:$G$10&amp;"'!I"&amp;49))</f>
        <v>8</v>
      </c>
      <c r="J49" s="21" cm="1">
        <f t="array" aca="1" ref="J49" ca="1">SUM(INDIRECT("'"&amp;datatable!$G$2:$G$10&amp;"'!J"&amp;49))</f>
        <v>4</v>
      </c>
      <c r="K49" s="23" cm="1">
        <f t="array" aca="1" ref="K49" ca="1">SUM(INDIRECT("'"&amp;datatable!$G$2:$G$10&amp;"'!K"&amp;49))</f>
        <v>2</v>
      </c>
      <c r="L49" s="25" cm="1">
        <f t="array" aca="1" ref="L49" ca="1">SUM(INDIRECT("'"&amp;datatable!$G$2:$G$10&amp;"'!L"&amp;49))</f>
        <v>5</v>
      </c>
      <c r="M49" s="27" cm="1">
        <f t="array" aca="1" ref="M49" ca="1">SUM(INDIRECT("'"&amp;datatable!$G$2:$G$10&amp;"'!M"&amp;49))</f>
        <v>8</v>
      </c>
      <c r="N49" s="43">
        <f t="shared" ca="1" si="3"/>
        <v>189</v>
      </c>
      <c r="O49" s="43">
        <f t="shared" ca="1" si="4"/>
        <v>181</v>
      </c>
    </row>
    <row r="50" spans="3:15">
      <c r="C50" s="46" t="s">
        <v>36</v>
      </c>
      <c r="D50" s="47">
        <f ca="1">SUM(D32:D49)</f>
        <v>1211</v>
      </c>
      <c r="E50" s="47">
        <f t="shared" ref="E50:M50" ca="1" si="5">SUM(E32:E49)</f>
        <v>300</v>
      </c>
      <c r="F50" s="47">
        <f t="shared" ca="1" si="5"/>
        <v>244</v>
      </c>
      <c r="G50" s="47">
        <f t="shared" ca="1" si="5"/>
        <v>201</v>
      </c>
      <c r="H50" s="47">
        <f t="shared" ca="1" si="5"/>
        <v>166</v>
      </c>
      <c r="I50" s="47">
        <f t="shared" ca="1" si="5"/>
        <v>113</v>
      </c>
      <c r="J50" s="47">
        <f t="shared" ca="1" si="5"/>
        <v>215</v>
      </c>
      <c r="K50" s="47">
        <f t="shared" ca="1" si="5"/>
        <v>208</v>
      </c>
      <c r="L50" s="47">
        <f t="shared" ca="1" si="5"/>
        <v>452</v>
      </c>
      <c r="M50" s="47">
        <f t="shared" ca="1" si="5"/>
        <v>292</v>
      </c>
      <c r="N50" s="43">
        <f t="shared" ca="1" si="3"/>
        <v>3402</v>
      </c>
      <c r="O50" s="43">
        <f t="shared" ca="1" si="4"/>
        <v>3110</v>
      </c>
    </row>
    <row r="54" spans="3:15">
      <c r="C54" s="30" t="s">
        <v>35</v>
      </c>
    </row>
    <row r="55" spans="3:15">
      <c r="C55" s="30"/>
      <c r="D55" s="31" t="s">
        <v>280</v>
      </c>
      <c r="E55" s="35" t="s">
        <v>281</v>
      </c>
      <c r="F55" s="38" t="s">
        <v>282</v>
      </c>
      <c r="G55" s="40"/>
    </row>
    <row r="56" spans="3:15">
      <c r="C56" s="44" t="s">
        <v>51</v>
      </c>
      <c r="D56" s="8">
        <f ca="1">(SUM(D46:F46)/O46)*100</f>
        <v>13.186813186813188</v>
      </c>
      <c r="E56" s="17">
        <f ca="1">(SUM(G46:I46)/O46)*100</f>
        <v>6.593406593406594</v>
      </c>
      <c r="F56" s="23">
        <f ca="1">(SUM(J46:L46)/O46)*100</f>
        <v>80.219780219780219</v>
      </c>
      <c r="G56" s="40"/>
    </row>
    <row r="57" spans="3:15">
      <c r="C57" s="44" t="s">
        <v>53</v>
      </c>
      <c r="D57" s="8">
        <f ca="1">(SUM(D48:F48)/O48)*100</f>
        <v>15.789473684210526</v>
      </c>
      <c r="E57" s="17">
        <f ca="1">(SUM(G48:I48)/O48)*100</f>
        <v>18.128654970760234</v>
      </c>
      <c r="F57" s="23">
        <f ca="1">(SUM(J48:L48)/O48)*100</f>
        <v>66.081871345029242</v>
      </c>
      <c r="G57" s="40"/>
    </row>
    <row r="58" spans="3:15">
      <c r="C58" s="44" t="s">
        <v>49</v>
      </c>
      <c r="D58" s="8">
        <f ca="1">(SUM(D44:F44)/O44)*100</f>
        <v>34.161490683229815</v>
      </c>
      <c r="E58" s="17">
        <f ca="1">(SUM(G44:I44)/O44)*100</f>
        <v>21.118012422360248</v>
      </c>
      <c r="F58" s="23">
        <f ca="1">(SUM(J44:L44)/O44)*100</f>
        <v>44.720496894409941</v>
      </c>
      <c r="G58" s="40"/>
    </row>
    <row r="59" spans="3:15">
      <c r="C59" s="44" t="s">
        <v>50</v>
      </c>
      <c r="D59" s="8">
        <f ca="1">(SUM(D45:F45)/O45)*100</f>
        <v>42.328042328042329</v>
      </c>
      <c r="E59" s="17">
        <f ca="1">(SUM(G45:I45)/O45)*100</f>
        <v>22.75132275132275</v>
      </c>
      <c r="F59" s="23">
        <f ca="1">(SUM(J45:L45)/O45)*100</f>
        <v>34.920634920634917</v>
      </c>
      <c r="G59" s="40"/>
    </row>
    <row r="60" spans="3:15">
      <c r="C60" s="44" t="s">
        <v>45</v>
      </c>
      <c r="D60" s="8">
        <f ca="1">(SUM(D40:F40)/O40)*100</f>
        <v>44.785276073619634</v>
      </c>
      <c r="E60" s="17">
        <f ca="1">(SUM(G40:I40)/O40)*100</f>
        <v>22.699386503067483</v>
      </c>
      <c r="F60" s="23">
        <f ca="1">(SUM(J40:L40)/O40)*100</f>
        <v>32.515337423312886</v>
      </c>
      <c r="G60" s="40"/>
    </row>
    <row r="61" spans="3:15">
      <c r="C61" s="44" t="s">
        <v>41</v>
      </c>
      <c r="D61" s="8">
        <f ca="1">(SUM(D36:F36)/O36)*100</f>
        <v>49.444444444444443</v>
      </c>
      <c r="E61" s="17">
        <f ca="1">(SUM(G36:I36)/O36)*100</f>
        <v>18.888888888888889</v>
      </c>
      <c r="F61" s="23">
        <f ca="1">(SUM(J36:L36)/O36)*100</f>
        <v>31.666666666666664</v>
      </c>
    </row>
    <row r="62" spans="3:15">
      <c r="C62" s="44" t="s">
        <v>38</v>
      </c>
      <c r="D62" s="8">
        <f ca="1">(SUM(D33:F33)/O33)*100</f>
        <v>55.434782608695656</v>
      </c>
      <c r="E62" s="17">
        <f ca="1">(SUM(G33:I33)/O33)*100</f>
        <v>13.043478260869565</v>
      </c>
      <c r="F62" s="23">
        <f ca="1">(SUM(J33:L33)/O33)*100</f>
        <v>31.521739130434785</v>
      </c>
      <c r="G62" s="40"/>
    </row>
    <row r="63" spans="3:15">
      <c r="C63" s="44" t="s">
        <v>47</v>
      </c>
      <c r="D63" s="8">
        <f ca="1">(SUM(D42:F42)/O42)*100</f>
        <v>45.5026455026455</v>
      </c>
      <c r="E63" s="17">
        <f ca="1">(SUM(G42:I42)/O42)*100</f>
        <v>23.280423280423278</v>
      </c>
      <c r="F63" s="23">
        <f ca="1">(SUM(J42:L42)/O42)*100</f>
        <v>31.216931216931215</v>
      </c>
      <c r="G63" s="40"/>
    </row>
    <row r="64" spans="3:15">
      <c r="C64" s="44" t="s">
        <v>46</v>
      </c>
      <c r="D64" s="8">
        <f ca="1">(SUM(D41:F41)/O41)*100</f>
        <v>56.149732620320862</v>
      </c>
      <c r="E64" s="17">
        <f ca="1">(SUM(G41:I41)/O41)*100</f>
        <v>17.112299465240639</v>
      </c>
      <c r="F64" s="23">
        <f ca="1">(SUM(J41:L41)/O41)*100</f>
        <v>26.737967914438503</v>
      </c>
      <c r="G64" s="40"/>
    </row>
    <row r="65" spans="3:7">
      <c r="C65" s="44" t="s">
        <v>40</v>
      </c>
      <c r="D65" s="8">
        <f ca="1">(SUM(D35:F35)/O35)*100</f>
        <v>64.893617021276597</v>
      </c>
      <c r="E65" s="17">
        <f ca="1">(SUM(G35:I35)/O35)*100</f>
        <v>16.48936170212766</v>
      </c>
      <c r="F65" s="23">
        <f ca="1">(SUM(J35:L35)/O35)*100</f>
        <v>18.617021276595743</v>
      </c>
      <c r="G65" s="40"/>
    </row>
    <row r="66" spans="3:7">
      <c r="C66" s="44" t="s">
        <v>39</v>
      </c>
      <c r="D66" s="8">
        <f ca="1">(SUM(D34:F34)/O34)*100</f>
        <v>70.588235294117652</v>
      </c>
      <c r="E66" s="17">
        <f ca="1">(SUM(G34:I34)/O34)*100</f>
        <v>12.941176470588237</v>
      </c>
      <c r="F66" s="23">
        <f ca="1">(SUM(J34:L34)/O34)*100</f>
        <v>16.470588235294116</v>
      </c>
      <c r="G66" s="40"/>
    </row>
    <row r="67" spans="3:7">
      <c r="C67" s="44" t="s">
        <v>44</v>
      </c>
      <c r="D67" s="8">
        <f ca="1">(SUM(D39:F39)/O39)*100</f>
        <v>76.966292134831463</v>
      </c>
      <c r="E67" s="17">
        <f ca="1">(SUM(G39:I39)/O39)*100</f>
        <v>7.3033707865168536</v>
      </c>
      <c r="F67" s="23">
        <f ca="1">(SUM(J39:L39)/O39)*100</f>
        <v>15.730337078651685</v>
      </c>
      <c r="G67" s="40"/>
    </row>
    <row r="68" spans="3:7">
      <c r="C68" s="44" t="s">
        <v>52</v>
      </c>
      <c r="D68" s="8">
        <f ca="1">(SUM(D47:F47)/O47)*100</f>
        <v>70.114942528735639</v>
      </c>
      <c r="E68" s="17">
        <f ca="1">(SUM(G47:I47)/O47)*100</f>
        <v>14.367816091954023</v>
      </c>
      <c r="F68" s="23">
        <f ca="1">(SUM(J47:L47)/O47)*100</f>
        <v>15.517241379310345</v>
      </c>
      <c r="G68" s="40"/>
    </row>
    <row r="69" spans="3:7">
      <c r="C69" s="44" t="s">
        <v>43</v>
      </c>
      <c r="D69" s="8">
        <f ca="1">(SUM(D38:F38)/O38)*100</f>
        <v>69.005847953216374</v>
      </c>
      <c r="E69" s="17">
        <f ca="1">(SUM(G38:I38)/O38)*100</f>
        <v>16.374269005847953</v>
      </c>
      <c r="F69" s="23">
        <f ca="1">(SUM(J38:L38)/O38)*100</f>
        <v>14.619883040935672</v>
      </c>
      <c r="G69" s="40"/>
    </row>
    <row r="70" spans="3:7">
      <c r="C70" s="42" t="s">
        <v>37</v>
      </c>
      <c r="D70" s="8">
        <f ca="1">(SUM(D32:F32)/O32)*100</f>
        <v>74.050632911392398</v>
      </c>
      <c r="E70" s="17">
        <f ca="1">(SUM(G32:I32)/O32)*100</f>
        <v>12.025316455696203</v>
      </c>
      <c r="F70" s="23">
        <f ca="1">(SUM(J32:L32)/O32)*100</f>
        <v>13.924050632911392</v>
      </c>
      <c r="G70" s="40"/>
    </row>
    <row r="71" spans="3:7">
      <c r="C71" s="44" t="s">
        <v>48</v>
      </c>
      <c r="D71" s="8">
        <f ca="1">(SUM(D43:F43)/O43)*100</f>
        <v>83.510638297872347</v>
      </c>
      <c r="E71" s="17">
        <f ca="1">(SUM(G43:I43)/O43)*100</f>
        <v>6.9148936170212769</v>
      </c>
      <c r="F71" s="23">
        <f ca="1">(SUM(J43:L43)/O43)*100</f>
        <v>9.5744680851063837</v>
      </c>
      <c r="G71" s="40"/>
    </row>
    <row r="72" spans="3:7">
      <c r="C72" s="45" t="s">
        <v>42</v>
      </c>
      <c r="D72" s="8">
        <f ca="1">(SUM(D37:F37)/O37)*100</f>
        <v>76.041666666666657</v>
      </c>
      <c r="E72" s="17">
        <f ca="1">(SUM(G37:I37)/O37)*100</f>
        <v>16.666666666666664</v>
      </c>
      <c r="F72" s="23">
        <f ca="1">(SUM(J37:L37)/O37)*100</f>
        <v>7.291666666666667</v>
      </c>
      <c r="G72" s="40"/>
    </row>
    <row r="73" spans="3:7">
      <c r="C73" s="44" t="s">
        <v>54</v>
      </c>
      <c r="D73" s="8">
        <f ca="1">(SUM(D49:F49)/O49)*100</f>
        <v>81.767955801104975</v>
      </c>
      <c r="E73" s="17">
        <f ca="1">(SUM(G49:I49)/O49)*100</f>
        <v>12.154696132596685</v>
      </c>
      <c r="F73" s="23">
        <f ca="1">(SUM(J49:L49)/O49)*100</f>
        <v>6.0773480662983426</v>
      </c>
      <c r="G73" s="40"/>
    </row>
    <row r="74" spans="3:7">
      <c r="C74" s="46" t="s">
        <v>36</v>
      </c>
      <c r="D74" s="46">
        <f ca="1">SUM(D56:D73)</f>
        <v>1023.722529741236</v>
      </c>
      <c r="E74" s="46">
        <f ca="1">SUM(E56:E73)</f>
        <v>278.8534400653553</v>
      </c>
      <c r="F74" s="46">
        <f ca="1">SUM(F56:F73)</f>
        <v>497.42403019340878</v>
      </c>
      <c r="G74" s="46"/>
    </row>
    <row r="75" spans="3:7">
      <c r="G75" s="40"/>
    </row>
    <row r="112" spans="3:3">
      <c r="C112" t="s">
        <v>0</v>
      </c>
    </row>
    <row r="113" spans="3:6">
      <c r="D113" s="7" t="s">
        <v>280</v>
      </c>
      <c r="E113" s="17" t="s">
        <v>281</v>
      </c>
      <c r="F113" s="23" t="s">
        <v>282</v>
      </c>
    </row>
    <row r="114" spans="3:6">
      <c r="C114" s="5" t="s">
        <v>33</v>
      </c>
      <c r="D114" s="8">
        <f ca="1">(SUM(D27:F27)/O27)*100</f>
        <v>30.487804878048781</v>
      </c>
      <c r="E114" s="17">
        <f ca="1">(SUM(G27:I27)/O27)*100</f>
        <v>12.195121951219512</v>
      </c>
      <c r="F114" s="23">
        <f ca="1">(SUM(J27:L27)/O27)*100</f>
        <v>57.317073170731703</v>
      </c>
    </row>
    <row r="115" spans="3:6">
      <c r="C115" s="5" t="s">
        <v>15</v>
      </c>
      <c r="D115" s="8">
        <f ca="1">(SUM(D9:F9)/O9)*100</f>
        <v>35</v>
      </c>
      <c r="E115" s="17">
        <f ca="1">(SUM(G9:I9)/O9)*100</f>
        <v>22.5</v>
      </c>
      <c r="F115" s="23">
        <f ca="1">(SUM(J9:L9)/O9)*100</f>
        <v>42.5</v>
      </c>
    </row>
    <row r="116" spans="3:6">
      <c r="C116" s="5" t="s">
        <v>19</v>
      </c>
      <c r="D116" s="8">
        <f ca="1">(SUM(D13:F13)/O13)*100</f>
        <v>38.75</v>
      </c>
      <c r="E116" s="17">
        <f ca="1">(SUM(G13:I13)/O13)*100</f>
        <v>24.375</v>
      </c>
      <c r="F116" s="23">
        <f ca="1">(SUM(J13:L13)/O13)*100</f>
        <v>36.875</v>
      </c>
    </row>
    <row r="117" spans="3:6">
      <c r="C117" s="5" t="s">
        <v>30</v>
      </c>
      <c r="D117" s="8">
        <f ca="1">(SUM(D24:F24)/O24)*100</f>
        <v>41.25</v>
      </c>
      <c r="E117" s="17">
        <f ca="1">(SUM(G24:I24)/O24)*100</f>
        <v>22.5</v>
      </c>
      <c r="F117" s="23">
        <f ca="1">(SUM(J24:L24)/O24)*100</f>
        <v>36.25</v>
      </c>
    </row>
    <row r="118" spans="3:6">
      <c r="C118" s="5" t="s">
        <v>32</v>
      </c>
      <c r="D118" s="8">
        <f ca="1">(SUM(D26:F26)/O26)*100</f>
        <v>34.210526315789473</v>
      </c>
      <c r="E118" s="17">
        <f ca="1">(SUM(G26:I26)/O26)*100</f>
        <v>30.263157894736842</v>
      </c>
      <c r="F118" s="23">
        <f ca="1">(SUM(J26:L26)/O26)*100</f>
        <v>35.526315789473685</v>
      </c>
    </row>
    <row r="119" spans="3:6">
      <c r="C119" s="5" t="s">
        <v>14</v>
      </c>
      <c r="D119" s="8">
        <f ca="1">(SUM(D8:F8)/O8)*100</f>
        <v>53.703703703703709</v>
      </c>
      <c r="E119" s="17">
        <f ca="1">(SUM(G8:I8)/O8)*100</f>
        <v>17.283950617283949</v>
      </c>
      <c r="F119" s="23">
        <f ca="1">(SUM(J8:L8)/O8)*100</f>
        <v>29.012345679012348</v>
      </c>
    </row>
    <row r="120" spans="3:6">
      <c r="C120" s="5" t="s">
        <v>13</v>
      </c>
      <c r="D120" s="8">
        <f ca="1">(SUM(D7:F7)/O7)*100</f>
        <v>62.913907284768214</v>
      </c>
      <c r="E120" s="17">
        <f ca="1">(SUM(G7:I7)/O7)*100</f>
        <v>8.6092715231788084</v>
      </c>
      <c r="F120" s="23">
        <f ca="1">(SUM(J7:L7)/O7)*100</f>
        <v>28.476821192052981</v>
      </c>
    </row>
    <row r="121" spans="3:6">
      <c r="C121" s="5" t="s">
        <v>18</v>
      </c>
      <c r="D121" s="8">
        <f ca="1">(SUM(D12:F12)/O12)*100</f>
        <v>58.490566037735846</v>
      </c>
      <c r="E121" s="17">
        <f ca="1">(SUM(G12:I12)/O12)*100</f>
        <v>13.20754716981132</v>
      </c>
      <c r="F121" s="23">
        <f ca="1">(SUM(J12:L12)/O12)*100</f>
        <v>28.30188679245283</v>
      </c>
    </row>
    <row r="122" spans="3:6">
      <c r="C122" s="5" t="s">
        <v>26</v>
      </c>
      <c r="D122" s="8">
        <f ca="1">(SUM(D20:F20)/O20)*100</f>
        <v>57.23684210526315</v>
      </c>
      <c r="E122" s="17">
        <f ca="1">(SUM(G20:I20)/O20)*100</f>
        <v>14.473684210526317</v>
      </c>
      <c r="F122" s="23">
        <f ca="1">(SUM(J20:L20)/O20)*100</f>
        <v>28.289473684210524</v>
      </c>
    </row>
    <row r="123" spans="3:6">
      <c r="C123" s="5" t="s">
        <v>20</v>
      </c>
      <c r="D123" s="8">
        <f ca="1">(SUM(D14:F14)/O14)*100</f>
        <v>63.815789473684212</v>
      </c>
      <c r="E123" s="17">
        <f ca="1">(SUM(G14:I14)/O14)*100</f>
        <v>7.8947368421052628</v>
      </c>
      <c r="F123" s="23">
        <f ca="1">(SUM(J14:L14)/O14)*100</f>
        <v>28.289473684210524</v>
      </c>
    </row>
    <row r="124" spans="3:6">
      <c r="C124" s="5" t="s">
        <v>29</v>
      </c>
      <c r="D124" s="8">
        <f ca="1">(SUM(D23:F23)/O23)*100</f>
        <v>58.095238095238102</v>
      </c>
      <c r="E124" s="17">
        <f ca="1">(SUM(G23:I23)/O23)*100</f>
        <v>15.238095238095239</v>
      </c>
      <c r="F124" s="23">
        <f ca="1">(SUM(J23:L23)/O23)*100</f>
        <v>26.666666666666668</v>
      </c>
    </row>
    <row r="125" spans="3:6">
      <c r="C125" s="5" t="s">
        <v>28</v>
      </c>
      <c r="D125" s="8">
        <f ca="1">(SUM(D22:F22)/O22)*100</f>
        <v>67.10526315789474</v>
      </c>
      <c r="E125" s="17">
        <f ca="1">(SUM(G22:I22)/O22)*100</f>
        <v>7.2368421052631584</v>
      </c>
      <c r="F125" s="23">
        <f ca="1">(SUM(J22:L22)/O22)*100</f>
        <v>25.657894736842106</v>
      </c>
    </row>
    <row r="126" spans="3:6">
      <c r="C126" s="5" t="s">
        <v>17</v>
      </c>
      <c r="D126" s="8">
        <f ca="1">(SUM(D11:F11)/O11)*100</f>
        <v>59.731543624161077</v>
      </c>
      <c r="E126" s="17">
        <f ca="1">(SUM(G11:I11)/O11)*100</f>
        <v>14.76510067114094</v>
      </c>
      <c r="F126" s="23">
        <f ca="1">(SUM(J11:L11)/O11)*100</f>
        <v>25.503355704697988</v>
      </c>
    </row>
    <row r="127" spans="3:6">
      <c r="C127" s="5" t="s">
        <v>16</v>
      </c>
      <c r="D127" s="8">
        <f ca="1">(SUM(D10:F10)/O10)*100</f>
        <v>52.866242038216562</v>
      </c>
      <c r="E127" s="17">
        <f ca="1">(SUM(G10:I10)/O10)*100</f>
        <v>21.656050955414013</v>
      </c>
      <c r="F127" s="23">
        <f ca="1">(SUM(J10:L10)/O10)*100</f>
        <v>25.477707006369428</v>
      </c>
    </row>
    <row r="128" spans="3:6">
      <c r="C128" s="5" t="s">
        <v>21</v>
      </c>
      <c r="D128" s="8">
        <f ca="1">(SUM(D15:F15)/O15)*100</f>
        <v>61.184210526315788</v>
      </c>
      <c r="E128" s="17">
        <f ca="1">(SUM(G15:I15)/O15)*100</f>
        <v>13.815789473684212</v>
      </c>
      <c r="F128" s="23">
        <f ca="1">(SUM(J15:L15)/O15)*100</f>
        <v>25</v>
      </c>
    </row>
    <row r="129" spans="3:6">
      <c r="C129" s="5" t="s">
        <v>24</v>
      </c>
      <c r="D129" s="8">
        <f ca="1">(SUM(D18:F18)/O18)*100</f>
        <v>63.194444444444443</v>
      </c>
      <c r="E129" s="17">
        <f ca="1">(SUM(G18:I18)/O18)*100</f>
        <v>13.194444444444445</v>
      </c>
      <c r="F129" s="23">
        <f ca="1">(SUM(J18:L18)/O18)*100</f>
        <v>23.611111111111111</v>
      </c>
    </row>
    <row r="130" spans="3:6">
      <c r="C130" s="5" t="s">
        <v>25</v>
      </c>
      <c r="D130" s="8">
        <f ca="1">(SUM(D19:F19)/O19)*100</f>
        <v>65.333333333333329</v>
      </c>
      <c r="E130" s="17">
        <f ca="1">(SUM(G19:I19)/O19)*100</f>
        <v>12</v>
      </c>
      <c r="F130" s="23">
        <f ca="1">(SUM(J19:L19)/O19)*100</f>
        <v>22.666666666666664</v>
      </c>
    </row>
    <row r="131" spans="3:6">
      <c r="C131" s="5" t="s">
        <v>22</v>
      </c>
      <c r="D131" s="8">
        <f ca="1">(SUM(D16:F16)/O16)*100</f>
        <v>66.666666666666657</v>
      </c>
      <c r="E131" s="17">
        <f ca="1">(SUM(G16:I16)/O16)*100</f>
        <v>10.691823899371069</v>
      </c>
      <c r="F131" s="23">
        <f ca="1">(SUM(J16:L16)/O16)*100</f>
        <v>22.641509433962266</v>
      </c>
    </row>
    <row r="132" spans="3:6">
      <c r="C132" s="5" t="s">
        <v>31</v>
      </c>
      <c r="D132" s="8">
        <f ca="1">(SUM(D25:F25)/O25)*100</f>
        <v>61.224489795918366</v>
      </c>
      <c r="E132" s="17">
        <f ca="1">(SUM(G25:I25)/O25)*100</f>
        <v>17.006802721088434</v>
      </c>
      <c r="F132" s="23">
        <f ca="1">(SUM(J25:L25)/O25)*100</f>
        <v>21.768707482993197</v>
      </c>
    </row>
    <row r="133" spans="3:6">
      <c r="C133" s="5" t="s">
        <v>27</v>
      </c>
      <c r="D133" s="8">
        <f ca="1">(SUM(D21:F21)/O21)*100</f>
        <v>68.627450980392155</v>
      </c>
      <c r="E133" s="17">
        <f ca="1">(SUM(G21:I21)/O21)*100</f>
        <v>12.418300653594772</v>
      </c>
      <c r="F133" s="23">
        <f ca="1">(SUM(J21:L21)/O21)*100</f>
        <v>18.954248366013072</v>
      </c>
    </row>
    <row r="134" spans="3:6">
      <c r="C134" s="5" t="s">
        <v>23</v>
      </c>
      <c r="D134" s="8">
        <f ca="1">(SUM(D17:F17)/O17)*100</f>
        <v>76.31578947368422</v>
      </c>
      <c r="E134" s="17">
        <f ca="1">(SUM(G17:I17)/O17)*100</f>
        <v>9.8684210526315788</v>
      </c>
      <c r="F134" s="23">
        <f ca="1">(SUM(J17:L17)/O17)*100</f>
        <v>13.815789473684212</v>
      </c>
    </row>
    <row r="135" spans="3:6">
      <c r="C135" s="6" t="s">
        <v>34</v>
      </c>
      <c r="D135" s="9">
        <f ca="1">SUM(D114:D134)</f>
        <v>1176.2038119352592</v>
      </c>
      <c r="E135" s="9">
        <f t="shared" ref="E135:F135" ca="1" si="6">SUM(E114:E134)</f>
        <v>321.19414142358988</v>
      </c>
      <c r="F135" s="9">
        <f t="shared" ca="1" si="6"/>
        <v>602.60204664115122</v>
      </c>
    </row>
  </sheetData>
  <autoFilter ref="C55:F73" xr:uid="{D6D2549D-4DEC-4866-8E0E-349EC6100D2E}"/>
  <sortState xmlns:xlrd2="http://schemas.microsoft.com/office/spreadsheetml/2017/richdata2" ref="C56:F72">
    <sortCondition ref="C56:C72" customList="O1,O2,O3,O4,O5,O6,O7,O8,O9,O10,O11,O12,O13,O14,O15,O16,O17,O18"/>
  </sortState>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E46A-1355-4A72-901A-FD203F57A693}">
  <dimension ref="C4:O8"/>
  <sheetViews>
    <sheetView topLeftCell="B1" zoomScale="121" workbookViewId="0">
      <selection activeCell="D6" sqref="D6:F6"/>
    </sheetView>
  </sheetViews>
  <sheetFormatPr defaultRowHeight="14.4"/>
  <cols>
    <col min="3" max="3" width="13.109375" customWidth="1"/>
    <col min="4" max="4" width="14.33203125" bestFit="1" customWidth="1"/>
    <col min="5" max="5" width="10.6640625" bestFit="1" customWidth="1"/>
    <col min="6" max="6" width="10.88671875" bestFit="1" customWidth="1"/>
    <col min="7" max="7" width="14" bestFit="1" customWidth="1"/>
    <col min="8" max="8" width="10.44140625" bestFit="1" customWidth="1"/>
    <col min="9" max="9" width="12" bestFit="1" customWidth="1"/>
    <col min="10" max="10" width="15.5546875" bestFit="1" customWidth="1"/>
    <col min="11" max="11" width="12.44140625" bestFit="1" customWidth="1"/>
    <col min="13" max="15" width="12.6640625" bestFit="1" customWidth="1"/>
  </cols>
  <sheetData>
    <row r="4" spans="3:15">
      <c r="D4" s="7" t="s">
        <v>1</v>
      </c>
      <c r="E4" s="54" t="s">
        <v>2</v>
      </c>
      <c r="F4" s="55" t="s">
        <v>3</v>
      </c>
      <c r="G4" s="56" t="s">
        <v>4</v>
      </c>
      <c r="H4" s="57" t="s">
        <v>5</v>
      </c>
      <c r="I4" s="58" t="s">
        <v>6</v>
      </c>
      <c r="J4" s="59" t="s">
        <v>7</v>
      </c>
      <c r="K4" s="60" t="s">
        <v>8</v>
      </c>
      <c r="L4" s="61" t="s">
        <v>9</v>
      </c>
      <c r="M4" s="62" t="s">
        <v>10</v>
      </c>
      <c r="N4" s="28" t="s">
        <v>11</v>
      </c>
      <c r="O4" s="28" t="s">
        <v>12</v>
      </c>
    </row>
    <row r="5" spans="3:15">
      <c r="C5" t="s">
        <v>283</v>
      </c>
      <c r="D5" s="7" cm="1">
        <f t="array" aca="1" ref="D5" ca="1">INDIRECT("'"&amp;datatable!$I$2&amp;"'!D"&amp;28)</f>
        <v>353</v>
      </c>
      <c r="E5" s="54" cm="1">
        <f t="array" aca="1" ref="E5" ca="1">INDIRECT("'"&amp;datatable!$I$2&amp;"'!E"&amp;28)</f>
        <v>83</v>
      </c>
      <c r="F5" s="55" cm="1">
        <f t="array" aca="1" ref="F5" ca="1">INDIRECT("'"&amp;datatable!$I$2&amp;"'!F"&amp;28)</f>
        <v>102</v>
      </c>
      <c r="G5" s="56" cm="1">
        <f t="array" aca="1" ref="G5" ca="1">INDIRECT("'"&amp;datatable!$I$2&amp;"'!G"&amp;28)</f>
        <v>54</v>
      </c>
      <c r="H5" s="57" cm="1">
        <f t="array" aca="1" ref="H5" ca="1">INDIRECT("'"&amp;datatable!$I$2&amp;"'!H"&amp;28)</f>
        <v>30</v>
      </c>
      <c r="I5" s="58" cm="1">
        <f t="array" aca="1" ref="I5" ca="1">INDIRECT("'"&amp;datatable!$I$2&amp;"'!I"&amp;28)</f>
        <v>63</v>
      </c>
      <c r="J5" s="59" cm="1">
        <f t="array" aca="1" ref="J5" ca="1">INDIRECT("'"&amp;datatable!$I$2&amp;"'!J"&amp;28)</f>
        <v>151</v>
      </c>
      <c r="K5" s="60" cm="1">
        <f t="array" aca="1" ref="K5" ca="1">INDIRECT("'"&amp;datatable!$I$2&amp;"'!K"&amp;28)</f>
        <v>121</v>
      </c>
      <c r="L5" s="61" cm="1">
        <f t="array" aca="1" ref="L5" ca="1">INDIRECT("'"&amp;datatable!$I$2&amp;"'!L"&amp;28)</f>
        <v>100</v>
      </c>
      <c r="M5" s="62" cm="1">
        <f t="array" aca="1" ref="M5" ca="1">INDIRECT("'"&amp;datatable!$I$2&amp;"'!M"&amp;28)</f>
        <v>77</v>
      </c>
      <c r="N5" s="28" cm="1">
        <f t="array" aca="1" ref="N5" ca="1">INDIRECT("'"&amp;datatable!$I$2&amp;"'!N"&amp;28)</f>
        <v>1134</v>
      </c>
      <c r="O5" s="28" cm="1">
        <f t="array" aca="1" ref="O5" ca="1">INDIRECT("'"&amp;datatable!$I$2&amp;"'!O"&amp;28)</f>
        <v>1057</v>
      </c>
    </row>
    <row r="6" spans="3:15">
      <c r="C6" t="s">
        <v>284</v>
      </c>
      <c r="D6" s="7" cm="1">
        <f t="array" aca="1" ref="D6" ca="1">INDIRECT("'"&amp;datatable!$I$3&amp;"'!D"&amp;28)</f>
        <v>464</v>
      </c>
      <c r="E6" s="54" cm="1">
        <f t="array" aca="1" ref="E6" ca="1">INDIRECT("'"&amp;datatable!$I$3&amp;"'!E"&amp;28)</f>
        <v>131</v>
      </c>
      <c r="F6" s="55" cm="1">
        <f t="array" aca="1" ref="F6" ca="1">INDIRECT("'"&amp;datatable!$I$3&amp;"'!F"&amp;28)</f>
        <v>88</v>
      </c>
      <c r="G6" s="56" cm="1">
        <f t="array" aca="1" ref="G6" ca="1">INDIRECT("'"&amp;datatable!$I$3&amp;"'!G"&amp;28)</f>
        <v>59</v>
      </c>
      <c r="H6" s="57" cm="1">
        <f t="array" aca="1" ref="H6" ca="1">INDIRECT("'"&amp;datatable!$I$3&amp;"'!H"&amp;28)</f>
        <v>67</v>
      </c>
      <c r="I6" s="58" cm="1">
        <f t="array" aca="1" ref="I6" ca="1">INDIRECT("'"&amp;datatable!$I$3&amp;"'!I"&amp;28)</f>
        <v>22</v>
      </c>
      <c r="J6" s="59" cm="1">
        <f t="array" aca="1" ref="J6" ca="1">INDIRECT("'"&amp;datatable!$I$3&amp;"'!J"&amp;28)</f>
        <v>29</v>
      </c>
      <c r="K6" s="60" cm="1">
        <f t="array" aca="1" ref="K6" ca="1">INDIRECT("'"&amp;datatable!$I$3&amp;"'!K"&amp;28)</f>
        <v>48</v>
      </c>
      <c r="L6" s="61" cm="1">
        <f t="array" aca="1" ref="L6" ca="1">INDIRECT("'"&amp;datatable!$I$3&amp;"'!L"&amp;28)</f>
        <v>145</v>
      </c>
      <c r="M6" s="62" cm="1">
        <f t="array" aca="1" ref="M6" ca="1">INDIRECT("'"&amp;datatable!$I$3&amp;"'!M"&amp;28)</f>
        <v>81</v>
      </c>
      <c r="N6" s="28" cm="1">
        <f t="array" aca="1" ref="N6" ca="1">INDIRECT("'"&amp;datatable!$I$3&amp;"'!N"&amp;28)</f>
        <v>1134</v>
      </c>
      <c r="O6" s="28" cm="1">
        <f t="array" aca="1" ref="O6" ca="1">INDIRECT("'"&amp;datatable!$I$3&amp;"'!O"&amp;28)</f>
        <v>1053</v>
      </c>
    </row>
    <row r="7" spans="3:15">
      <c r="C7" t="s">
        <v>285</v>
      </c>
      <c r="D7" s="7" cm="1">
        <f t="array" aca="1" ref="D7" ca="1">INDIRECT("'"&amp;datatable!$I$4&amp;"'!D"&amp;28)</f>
        <v>393</v>
      </c>
      <c r="E7" s="54" cm="1">
        <f t="array" aca="1" ref="E7" ca="1">INDIRECT("'"&amp;datatable!$I$4&amp;"'!E"&amp;28)</f>
        <v>86</v>
      </c>
      <c r="F7" s="55" cm="1">
        <f t="array" aca="1" ref="F7" ca="1">INDIRECT("'"&amp;datatable!$I$4&amp;"'!F"&amp;28)</f>
        <v>54</v>
      </c>
      <c r="G7" s="56" cm="1">
        <f t="array" aca="1" ref="G7" ca="1">INDIRECT("'"&amp;datatable!$I$4&amp;"'!G"&amp;28)</f>
        <v>88</v>
      </c>
      <c r="H7" s="57" cm="1">
        <f t="array" aca="1" ref="H7" ca="1">INDIRECT("'"&amp;datatable!$I$4&amp;"'!H"&amp;28)</f>
        <v>69</v>
      </c>
      <c r="I7" s="58" cm="1">
        <f t="array" aca="1" ref="I7" ca="1">INDIRECT("'"&amp;datatable!$I$4&amp;"'!I"&amp;28)</f>
        <v>28</v>
      </c>
      <c r="J7" s="59" cm="1">
        <f t="array" aca="1" ref="J7" ca="1">INDIRECT("'"&amp;datatable!$I$4&amp;"'!J"&amp;28)</f>
        <v>36</v>
      </c>
      <c r="K7" s="60" cm="1">
        <f t="array" aca="1" ref="K7" ca="1">INDIRECT("'"&amp;datatable!$I$4&amp;"'!K"&amp;28)</f>
        <v>39</v>
      </c>
      <c r="L7" s="61" cm="1">
        <f t="array" aca="1" ref="L7" ca="1">INDIRECT("'"&amp;datatable!$I$4&amp;"'!L"&amp;28)</f>
        <v>207</v>
      </c>
      <c r="M7" s="62" cm="1">
        <f t="array" aca="1" ref="M7" ca="1">INDIRECT("'"&amp;datatable!$I$4&amp;"'!M"&amp;28)</f>
        <v>134</v>
      </c>
      <c r="N7" s="28" cm="1">
        <f t="array" aca="1" ref="N7" ca="1">INDIRECT("'"&amp;datatable!$I$4&amp;"'!N"&amp;28)</f>
        <v>1134</v>
      </c>
      <c r="O7" s="28" cm="1">
        <f t="array" aca="1" ref="O7" ca="1">INDIRECT("'"&amp;datatable!$I$4&amp;"'!O"&amp;28)</f>
        <v>1000</v>
      </c>
    </row>
    <row r="8" spans="3:15">
      <c r="C8" s="6" t="s">
        <v>34</v>
      </c>
      <c r="D8" s="9">
        <f ca="1">SUM(D5:D7)</f>
        <v>1210</v>
      </c>
      <c r="E8" s="9">
        <f t="shared" ref="E8:M8" ca="1" si="0">SUM(E5:E7)</f>
        <v>300</v>
      </c>
      <c r="F8" s="9">
        <f t="shared" ca="1" si="0"/>
        <v>244</v>
      </c>
      <c r="G8" s="9">
        <f t="shared" ca="1" si="0"/>
        <v>201</v>
      </c>
      <c r="H8" s="9">
        <f t="shared" ca="1" si="0"/>
        <v>166</v>
      </c>
      <c r="I8" s="9">
        <f t="shared" ca="1" si="0"/>
        <v>113</v>
      </c>
      <c r="J8" s="9">
        <f t="shared" ca="1" si="0"/>
        <v>216</v>
      </c>
      <c r="K8" s="9">
        <f t="shared" ca="1" si="0"/>
        <v>208</v>
      </c>
      <c r="L8" s="9">
        <f t="shared" ca="1" si="0"/>
        <v>452</v>
      </c>
      <c r="M8" s="9">
        <f t="shared" ca="1" si="0"/>
        <v>292</v>
      </c>
      <c r="N8" s="29">
        <f t="shared" ref="N8" ca="1" si="1">SUM(D8:M8)</f>
        <v>3402</v>
      </c>
      <c r="O8" s="29">
        <f t="shared" ref="O8" ca="1" si="2">SUM(D8:L8)</f>
        <v>3110</v>
      </c>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A79E-0C9A-45B7-9118-F7EA07687008}">
  <dimension ref="C4:O8"/>
  <sheetViews>
    <sheetView topLeftCell="B8" workbookViewId="0">
      <selection activeCell="L12" sqref="L12"/>
    </sheetView>
  </sheetViews>
  <sheetFormatPr defaultRowHeight="14.4"/>
  <cols>
    <col min="3" max="3" width="13.109375" customWidth="1"/>
    <col min="4" max="4" width="14.33203125" bestFit="1" customWidth="1"/>
    <col min="5" max="5" width="10.6640625" bestFit="1" customWidth="1"/>
    <col min="6" max="6" width="10.88671875" bestFit="1" customWidth="1"/>
    <col min="7" max="7" width="14" bestFit="1" customWidth="1"/>
    <col min="8" max="8" width="10.44140625" bestFit="1" customWidth="1"/>
    <col min="9" max="9" width="12" bestFit="1" customWidth="1"/>
    <col min="10" max="10" width="15.5546875" bestFit="1" customWidth="1"/>
    <col min="11" max="11" width="12.44140625" bestFit="1" customWidth="1"/>
    <col min="13" max="15" width="12.6640625" bestFit="1" customWidth="1"/>
  </cols>
  <sheetData>
    <row r="4" spans="3:15">
      <c r="D4" s="7" t="s">
        <v>1</v>
      </c>
      <c r="E4" s="54" t="s">
        <v>2</v>
      </c>
      <c r="F4" s="55" t="s">
        <v>3</v>
      </c>
      <c r="G4" s="56" t="s">
        <v>4</v>
      </c>
      <c r="H4" s="57" t="s">
        <v>5</v>
      </c>
      <c r="I4" s="58" t="s">
        <v>6</v>
      </c>
      <c r="J4" s="59" t="s">
        <v>7</v>
      </c>
      <c r="K4" s="60" t="s">
        <v>8</v>
      </c>
      <c r="L4" s="61" t="s">
        <v>9</v>
      </c>
      <c r="M4" s="62" t="s">
        <v>10</v>
      </c>
      <c r="N4" s="28" t="s">
        <v>11</v>
      </c>
      <c r="O4" s="28" t="s">
        <v>12</v>
      </c>
    </row>
    <row r="5" spans="3:15">
      <c r="C5" t="s">
        <v>286</v>
      </c>
      <c r="D5" s="7" cm="1">
        <f t="array" aca="1" ref="D5" ca="1">INDIRECT("'"&amp;datatable!$J$2&amp;"'!D"&amp;28)</f>
        <v>460</v>
      </c>
      <c r="E5" s="54" cm="1">
        <f t="array" aca="1" ref="E5" ca="1">INDIRECT("'"&amp;datatable!$J$2&amp;"'!E"&amp;28)</f>
        <v>89</v>
      </c>
      <c r="F5" s="55" cm="1">
        <f t="array" aca="1" ref="F5" ca="1">INDIRECT("'"&amp;datatable!$J$2&amp;"'!F"&amp;28)</f>
        <v>52</v>
      </c>
      <c r="G5" s="56" cm="1">
        <f t="array" aca="1" ref="G5" ca="1">INDIRECT("'"&amp;datatable!$J$2&amp;"'!G"&amp;28)</f>
        <v>52</v>
      </c>
      <c r="H5" s="57" cm="1">
        <f t="array" aca="1" ref="H5" ca="1">INDIRECT("'"&amp;datatable!$J$2&amp;"'!H"&amp;28)</f>
        <v>52</v>
      </c>
      <c r="I5" s="58" cm="1">
        <f t="array" aca="1" ref="I5" ca="1">INDIRECT("'"&amp;datatable!$J$2&amp;"'!I"&amp;28)</f>
        <v>40</v>
      </c>
      <c r="J5" s="59" cm="1">
        <f t="array" aca="1" ref="J5" ca="1">INDIRECT("'"&amp;datatable!$J$2&amp;"'!J"&amp;28)</f>
        <v>56</v>
      </c>
      <c r="K5" s="60" cm="1">
        <f t="array" aca="1" ref="K5" ca="1">INDIRECT("'"&amp;datatable!$J$2&amp;"'!K"&amp;28)</f>
        <v>93</v>
      </c>
      <c r="L5" s="61" cm="1">
        <f t="array" aca="1" ref="L5" ca="1">INDIRECT("'"&amp;datatable!$J$2&amp;"'!L"&amp;28)</f>
        <v>146</v>
      </c>
      <c r="M5" s="62" cm="1">
        <f t="array" aca="1" ref="M5" ca="1">INDIRECT("'"&amp;datatable!$J$2&amp;"'!M"&amp;28)</f>
        <v>94</v>
      </c>
      <c r="N5" s="28" cm="1">
        <f t="array" aca="1" ref="N5" ca="1">INDIRECT("'"&amp;datatable!$J$2&amp;"'!N"&amp;28)</f>
        <v>1134</v>
      </c>
      <c r="O5" s="28" cm="1">
        <f t="array" aca="1" ref="O5" ca="1">INDIRECT("'"&amp;datatable!$J$2&amp;"'!O"&amp;28)</f>
        <v>1040</v>
      </c>
    </row>
    <row r="6" spans="3:15">
      <c r="C6" t="s">
        <v>287</v>
      </c>
      <c r="D6" s="7" cm="1">
        <f t="array" aca="1" ref="D6" ca="1">INDIRECT("'"&amp;datatable!$J$3&amp;"'!D"&amp;28)</f>
        <v>406</v>
      </c>
      <c r="E6" s="54" cm="1">
        <f t="array" aca="1" ref="E6" ca="1">INDIRECT("'"&amp;datatable!$J$3&amp;"'!E"&amp;28)</f>
        <v>89</v>
      </c>
      <c r="F6" s="55" cm="1">
        <f t="array" aca="1" ref="F6" ca="1">INDIRECT("'"&amp;datatable!$J$3&amp;"'!F"&amp;28)</f>
        <v>42</v>
      </c>
      <c r="G6" s="56" cm="1">
        <f t="array" aca="1" ref="G6" ca="1">INDIRECT("'"&amp;datatable!$J$3&amp;"'!G"&amp;28)</f>
        <v>60</v>
      </c>
      <c r="H6" s="57" cm="1">
        <f t="array" aca="1" ref="H6" ca="1">INDIRECT("'"&amp;datatable!$J$3&amp;"'!H"&amp;28)</f>
        <v>51</v>
      </c>
      <c r="I6" s="58" cm="1">
        <f t="array" aca="1" ref="I6" ca="1">INDIRECT("'"&amp;datatable!$J$3&amp;"'!I"&amp;28)</f>
        <v>36</v>
      </c>
      <c r="J6" s="59" cm="1">
        <f t="array" aca="1" ref="J6" ca="1">INDIRECT("'"&amp;datatable!$J$3&amp;"'!J"&amp;28)</f>
        <v>113</v>
      </c>
      <c r="K6" s="60" cm="1">
        <f t="array" aca="1" ref="K6" ca="1">INDIRECT("'"&amp;datatable!$J$3&amp;"'!K"&amp;28)</f>
        <v>84</v>
      </c>
      <c r="L6" s="61" cm="1">
        <f t="array" aca="1" ref="L6" ca="1">INDIRECT("'"&amp;datatable!$J$3&amp;"'!L"&amp;28)</f>
        <v>164</v>
      </c>
      <c r="M6" s="62" cm="1">
        <f t="array" aca="1" ref="M6" ca="1">INDIRECT("'"&amp;datatable!$J$3&amp;"'!M"&amp;28)</f>
        <v>89</v>
      </c>
      <c r="N6" s="28" cm="1">
        <f t="array" aca="1" ref="N6" ca="1">INDIRECT("'"&amp;datatable!$J$3&amp;"'!N"&amp;28)</f>
        <v>1134</v>
      </c>
      <c r="O6" s="28" cm="1">
        <f t="array" aca="1" ref="O6" ca="1">INDIRECT("'"&amp;datatable!$J$3&amp;"'!O"&amp;28)</f>
        <v>1045</v>
      </c>
    </row>
    <row r="7" spans="3:15">
      <c r="C7" t="s">
        <v>288</v>
      </c>
      <c r="D7" s="7" cm="1">
        <f t="array" aca="1" ref="D7" ca="1">INDIRECT("'"&amp;datatable!$J$4&amp;"'!D"&amp;28)</f>
        <v>344</v>
      </c>
      <c r="E7" s="54" cm="1">
        <f t="array" aca="1" ref="E7" ca="1">INDIRECT("'"&amp;datatable!$J$4&amp;"'!E"&amp;28)</f>
        <v>122</v>
      </c>
      <c r="F7" s="55" cm="1">
        <f t="array" aca="1" ref="F7" ca="1">INDIRECT("'"&amp;datatable!$J$4&amp;"'!F"&amp;28)</f>
        <v>150</v>
      </c>
      <c r="G7" s="56" cm="1">
        <f t="array" aca="1" ref="G7" ca="1">INDIRECT("'"&amp;datatable!$J$4&amp;"'!G"&amp;28)</f>
        <v>89</v>
      </c>
      <c r="H7" s="57" cm="1">
        <f t="array" aca="1" ref="H7" ca="1">INDIRECT("'"&amp;datatable!$J$4&amp;"'!H"&amp;28)</f>
        <v>63</v>
      </c>
      <c r="I7" s="58" cm="1">
        <f t="array" aca="1" ref="I7" ca="1">INDIRECT("'"&amp;datatable!$J$4&amp;"'!I"&amp;28)</f>
        <v>37</v>
      </c>
      <c r="J7" s="59" cm="1">
        <f t="array" aca="1" ref="J7" ca="1">INDIRECT("'"&amp;datatable!$J$4&amp;"'!J"&amp;28)</f>
        <v>47</v>
      </c>
      <c r="K7" s="60" cm="1">
        <f t="array" aca="1" ref="K7" ca="1">INDIRECT("'"&amp;datatable!$J$4&amp;"'!K"&amp;28)</f>
        <v>31</v>
      </c>
      <c r="L7" s="61" cm="1">
        <f t="array" aca="1" ref="L7" ca="1">INDIRECT("'"&amp;datatable!$J$4&amp;"'!L"&amp;28)</f>
        <v>142</v>
      </c>
      <c r="M7" s="62" cm="1">
        <f t="array" aca="1" ref="M7" ca="1">INDIRECT("'"&amp;datatable!$J$4&amp;"'!M"&amp;28)</f>
        <v>109</v>
      </c>
      <c r="N7" s="28" cm="1">
        <f t="array" aca="1" ref="N7" ca="1">INDIRECT("'"&amp;datatable!$J$4&amp;"'!N"&amp;28)</f>
        <v>1134</v>
      </c>
      <c r="O7" s="28" cm="1">
        <f t="array" aca="1" ref="O7" ca="1">INDIRECT("'"&amp;datatable!$J$4&amp;"'!O"&amp;28)</f>
        <v>1025</v>
      </c>
    </row>
    <row r="8" spans="3:15">
      <c r="C8" s="6" t="s">
        <v>34</v>
      </c>
      <c r="D8" s="9">
        <f ca="1">SUM(D5:D7)</f>
        <v>1210</v>
      </c>
      <c r="E8" s="9">
        <f t="shared" ref="E8:M8" ca="1" si="0">SUM(E5:E7)</f>
        <v>300</v>
      </c>
      <c r="F8" s="9">
        <f t="shared" ca="1" si="0"/>
        <v>244</v>
      </c>
      <c r="G8" s="9">
        <f t="shared" ca="1" si="0"/>
        <v>201</v>
      </c>
      <c r="H8" s="9">
        <f t="shared" ca="1" si="0"/>
        <v>166</v>
      </c>
      <c r="I8" s="9">
        <f t="shared" ca="1" si="0"/>
        <v>113</v>
      </c>
      <c r="J8" s="9">
        <f t="shared" ca="1" si="0"/>
        <v>216</v>
      </c>
      <c r="K8" s="9">
        <f t="shared" ca="1" si="0"/>
        <v>208</v>
      </c>
      <c r="L8" s="9">
        <f t="shared" ca="1" si="0"/>
        <v>452</v>
      </c>
      <c r="M8" s="9">
        <f t="shared" ca="1" si="0"/>
        <v>292</v>
      </c>
      <c r="N8" s="29">
        <f t="shared" ref="N8" ca="1" si="1">SUM(D8:M8)</f>
        <v>3402</v>
      </c>
      <c r="O8" s="29">
        <f t="shared" ref="O8" ca="1" si="2">SUM(D8:L8)</f>
        <v>3110</v>
      </c>
    </row>
  </sheetData>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4D70-2EE3-40AB-83DB-4A97A320D772}">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ChatGPT_Q1</vt:lpstr>
      <vt:lpstr>ChatGPT_Q2</vt:lpstr>
      <vt:lpstr>ChatGPT_Q3</vt:lpstr>
      <vt:lpstr>ChatGPT_Total</vt:lpstr>
      <vt:lpstr>Jurassic_2_Q1</vt:lpstr>
      <vt:lpstr>Jurassic_2_Q2</vt:lpstr>
      <vt:lpstr>Jurassic_2_Q3</vt:lpstr>
      <vt:lpstr>Jurassic_2_Total</vt:lpstr>
      <vt:lpstr>Jurassic_2_Compiled_Q1</vt:lpstr>
      <vt:lpstr>PaLM_Q1</vt:lpstr>
      <vt:lpstr>PaLM_Q2</vt:lpstr>
      <vt:lpstr>PaLM_Q3</vt:lpstr>
      <vt:lpstr>PaLM_Total</vt:lpstr>
      <vt:lpstr>PaLM_Compiled_Q1 </vt:lpstr>
      <vt:lpstr>PaLM_Compiled_Q2</vt:lpstr>
      <vt:lpstr>Q1_Total</vt:lpstr>
      <vt:lpstr>Q2_Total</vt:lpstr>
      <vt:lpstr>Q3_Total</vt:lpstr>
      <vt:lpstr>datatable</vt:lpstr>
      <vt:lpstr>Total</vt:lpstr>
      <vt:lpstr>LM v. LM</vt:lpstr>
      <vt:lpstr>Q v Q</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 Swindle</dc:creator>
  <cp:keywords/>
  <dc:description/>
  <cp:lastModifiedBy>Adrian Swindle</cp:lastModifiedBy>
  <cp:revision/>
  <dcterms:created xsi:type="dcterms:W3CDTF">2023-07-06T21:55:32Z</dcterms:created>
  <dcterms:modified xsi:type="dcterms:W3CDTF">2023-08-21T17:43:14Z</dcterms:modified>
  <cp:category/>
  <cp:contentStatus/>
</cp:coreProperties>
</file>