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API PRO 10\Fuctionality&amp;Requirements\"/>
    </mc:Choice>
  </mc:AlternateContent>
  <xr:revisionPtr revIDLastSave="0" documentId="13_ncr:1_{B9623417-9CA7-4A3F-8ADF-49DD6B6AFC70}" xr6:coauthVersionLast="38" xr6:coauthVersionMax="38" xr10:uidLastSave="{00000000-0000-0000-0000-000000000000}"/>
  <bookViews>
    <workbookView xWindow="0" yWindow="0" windowWidth="22710" windowHeight="7980" activeTab="3" xr2:uid="{DF409BEC-5CBD-42BB-8263-481CCF04D1D3}"/>
  </bookViews>
  <sheets>
    <sheet name="ListOfItems" sheetId="1" r:id="rId1"/>
    <sheet name="LoginWindow" sheetId="12" r:id="rId2"/>
    <sheet name="StartingWindow" sheetId="3" r:id="rId3"/>
    <sheet name="BasicTab" sheetId="2" r:id="rId4"/>
    <sheet name="Maintenance tab" sheetId="4" r:id="rId5"/>
    <sheet name="Inspection tab" sheetId="8" r:id="rId6"/>
    <sheet name="Calibration tab" sheetId="9" r:id="rId7"/>
    <sheet name="Stock tab" sheetId="10" r:id="rId8"/>
    <sheet name="Purchase tab" sheetId="5" r:id="rId9"/>
    <sheet name="Special tab" sheetId="6" r:id="rId10"/>
    <sheet name="System tab" sheetId="7" r:id="rId11"/>
    <sheet name="Help tab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E5" i="2"/>
  <c r="E6" i="2" l="1"/>
  <c r="B5" i="2" l="1"/>
  <c r="B4" i="3"/>
  <c r="E9" i="3" l="1"/>
  <c r="E8" i="3"/>
  <c r="E7" i="3"/>
  <c r="C7" i="3"/>
  <c r="C4" i="3"/>
  <c r="C10" i="1"/>
  <c r="C4" i="1"/>
  <c r="E6" i="3" l="1"/>
  <c r="E5" i="3"/>
  <c r="E4" i="3"/>
  <c r="B6" i="12"/>
  <c r="C6" i="12"/>
  <c r="D6" i="12"/>
  <c r="E8" i="2" l="1"/>
  <c r="F6" i="12"/>
  <c r="E6" i="12"/>
  <c r="E3" i="1"/>
  <c r="C3" i="1"/>
  <c r="D3" i="1"/>
  <c r="E38" i="2" l="1"/>
  <c r="G179" i="2"/>
  <c r="F179" i="2"/>
  <c r="E179" i="2"/>
  <c r="E177" i="2"/>
  <c r="G177" i="2"/>
  <c r="F177" i="2"/>
  <c r="E176" i="2"/>
  <c r="G176" i="2"/>
  <c r="F176" i="2"/>
  <c r="E175" i="2"/>
  <c r="G175" i="2"/>
  <c r="F175" i="2"/>
  <c r="G174" i="2"/>
  <c r="F174" i="2"/>
  <c r="E174" i="2"/>
  <c r="E173" i="2"/>
  <c r="F173" i="2"/>
  <c r="F172" i="2"/>
  <c r="G173" i="2"/>
  <c r="G172" i="2"/>
  <c r="E172" i="2"/>
  <c r="E171" i="2"/>
  <c r="F171" i="2"/>
  <c r="F170" i="2"/>
  <c r="G171" i="2"/>
  <c r="G170" i="2"/>
  <c r="E170" i="2"/>
  <c r="E169" i="2"/>
  <c r="G169" i="2"/>
  <c r="F169" i="2"/>
  <c r="G168" i="2"/>
  <c r="F168" i="2"/>
  <c r="E168" i="2"/>
  <c r="E167" i="2"/>
  <c r="F167" i="2"/>
  <c r="F166" i="2"/>
  <c r="G167" i="2"/>
  <c r="G166" i="2"/>
  <c r="E166" i="2"/>
  <c r="E165" i="2"/>
  <c r="F165" i="2"/>
  <c r="F164" i="2"/>
  <c r="G165" i="2"/>
  <c r="G164" i="2"/>
  <c r="E164" i="2"/>
  <c r="E163" i="2"/>
  <c r="F163" i="2"/>
  <c r="F162" i="2"/>
  <c r="G163" i="2"/>
  <c r="G162" i="2"/>
  <c r="E162" i="2"/>
  <c r="E161" i="2"/>
  <c r="G161" i="2"/>
  <c r="F161" i="2"/>
  <c r="F160" i="2"/>
  <c r="G160" i="2"/>
  <c r="E160" i="2"/>
  <c r="E159" i="2"/>
  <c r="F159" i="2"/>
  <c r="F158" i="2"/>
  <c r="G159" i="2"/>
  <c r="G158" i="2"/>
  <c r="E158" i="2"/>
  <c r="E157" i="2"/>
  <c r="G157" i="2"/>
  <c r="F157" i="2"/>
  <c r="F156" i="2"/>
  <c r="G156" i="2"/>
  <c r="E156" i="2"/>
  <c r="E155" i="2"/>
  <c r="G155" i="2"/>
  <c r="F155" i="2"/>
  <c r="G154" i="2"/>
  <c r="F154" i="2"/>
  <c r="E154" i="2"/>
  <c r="E153" i="2"/>
  <c r="F153" i="2"/>
  <c r="F152" i="2"/>
  <c r="G153" i="2"/>
  <c r="G152" i="2"/>
  <c r="E152" i="2"/>
  <c r="E151" i="2"/>
  <c r="G151" i="2"/>
  <c r="F151" i="2"/>
  <c r="E150" i="2"/>
  <c r="G150" i="2"/>
  <c r="F150" i="2"/>
  <c r="E149" i="2"/>
  <c r="G149" i="2"/>
  <c r="F149" i="2"/>
  <c r="G148" i="2"/>
  <c r="F148" i="2"/>
  <c r="E148" i="2"/>
  <c r="E147" i="2"/>
  <c r="G147" i="2"/>
  <c r="F147" i="2"/>
  <c r="G146" i="2"/>
  <c r="F146" i="2"/>
  <c r="E146" i="2"/>
  <c r="E145" i="2"/>
  <c r="G145" i="2"/>
  <c r="F145" i="2"/>
  <c r="E144" i="2"/>
  <c r="G144" i="2"/>
  <c r="F144" i="2"/>
  <c r="E143" i="2"/>
  <c r="G142" i="2"/>
  <c r="F142" i="2"/>
  <c r="F143" i="2"/>
  <c r="G143" i="2"/>
  <c r="E142" i="2"/>
  <c r="E141" i="2"/>
  <c r="G141" i="2"/>
  <c r="F141" i="2"/>
  <c r="G140" i="2"/>
  <c r="F140" i="2"/>
  <c r="E140" i="2"/>
  <c r="E139" i="2"/>
  <c r="G139" i="2"/>
  <c r="F139" i="2"/>
  <c r="E138" i="2"/>
  <c r="G138" i="2"/>
  <c r="F138" i="2"/>
  <c r="E137" i="2"/>
  <c r="G137" i="2"/>
  <c r="F137" i="2"/>
  <c r="G136" i="2"/>
  <c r="F136" i="2"/>
  <c r="E136" i="2"/>
  <c r="E135" i="2"/>
  <c r="G135" i="2"/>
  <c r="F135" i="2"/>
  <c r="G134" i="2"/>
  <c r="F134" i="2"/>
  <c r="E134" i="2"/>
  <c r="E133" i="2"/>
  <c r="G133" i="2"/>
  <c r="F133" i="2"/>
  <c r="G132" i="2"/>
  <c r="F132" i="2"/>
  <c r="E132" i="2"/>
  <c r="E131" i="2"/>
  <c r="G131" i="2"/>
  <c r="F131" i="2"/>
  <c r="G130" i="2"/>
  <c r="F130" i="2"/>
  <c r="E130" i="2"/>
  <c r="E129" i="2"/>
  <c r="G127" i="2"/>
  <c r="G129" i="2"/>
  <c r="F129" i="2"/>
  <c r="F128" i="2"/>
  <c r="G128" i="2"/>
  <c r="E128" i="2"/>
  <c r="E127" i="2"/>
  <c r="F127" i="2"/>
  <c r="F126" i="2"/>
  <c r="G126" i="2"/>
  <c r="E126" i="2"/>
  <c r="E125" i="2"/>
  <c r="G125" i="2"/>
  <c r="F125" i="2"/>
  <c r="E124" i="2"/>
  <c r="G124" i="2"/>
  <c r="F124" i="2"/>
  <c r="E123" i="2"/>
  <c r="F123" i="2"/>
  <c r="G123" i="2"/>
  <c r="G122" i="2"/>
  <c r="F122" i="2"/>
  <c r="E122" i="2"/>
  <c r="E121" i="2"/>
  <c r="G121" i="2"/>
  <c r="F121" i="2"/>
  <c r="E120" i="2"/>
  <c r="G120" i="2"/>
  <c r="F120" i="2"/>
  <c r="E119" i="2"/>
  <c r="G119" i="2"/>
  <c r="F119" i="2"/>
  <c r="E118" i="2"/>
  <c r="G118" i="2"/>
  <c r="F118" i="2"/>
  <c r="G117" i="2"/>
  <c r="F117" i="2"/>
  <c r="E117" i="2"/>
  <c r="E116" i="2"/>
  <c r="G116" i="2"/>
  <c r="G115" i="2"/>
  <c r="F116" i="2"/>
  <c r="F115" i="2"/>
  <c r="E115" i="2"/>
  <c r="E114" i="2"/>
  <c r="G114" i="2"/>
  <c r="F114" i="2"/>
  <c r="G113" i="2"/>
  <c r="F113" i="2"/>
  <c r="E113" i="2"/>
  <c r="E112" i="2"/>
  <c r="G112" i="2"/>
  <c r="F112" i="2"/>
  <c r="F111" i="2"/>
  <c r="G111" i="2"/>
  <c r="E111" i="2"/>
  <c r="G110" i="2"/>
  <c r="F110" i="2"/>
  <c r="E110" i="2"/>
  <c r="E109" i="2"/>
  <c r="G109" i="2"/>
  <c r="F109" i="2"/>
  <c r="E108" i="2"/>
  <c r="G108" i="2"/>
  <c r="F108" i="2"/>
  <c r="E107" i="2"/>
  <c r="G107" i="2"/>
  <c r="F107" i="2"/>
  <c r="E106" i="2"/>
  <c r="G106" i="2"/>
  <c r="F106" i="2"/>
  <c r="E105" i="2"/>
  <c r="G105" i="2"/>
  <c r="F105" i="2"/>
  <c r="E104" i="2"/>
  <c r="G104" i="2"/>
  <c r="F104" i="2"/>
  <c r="E103" i="2"/>
  <c r="G103" i="2"/>
  <c r="G102" i="2"/>
  <c r="F102" i="2"/>
  <c r="E102" i="2"/>
  <c r="F103" i="2"/>
  <c r="E101" i="2"/>
  <c r="G101" i="2"/>
  <c r="F101" i="2"/>
  <c r="E100" i="2"/>
  <c r="G100" i="2"/>
  <c r="F100" i="2"/>
  <c r="E99" i="2"/>
  <c r="G99" i="2"/>
  <c r="F99" i="2"/>
  <c r="G98" i="2"/>
  <c r="F98" i="2"/>
  <c r="E98" i="2"/>
  <c r="E97" i="2"/>
  <c r="F97" i="2"/>
  <c r="E96" i="2"/>
  <c r="G96" i="2"/>
  <c r="F96" i="2"/>
  <c r="E95" i="2"/>
  <c r="E22" i="1"/>
  <c r="E43" i="1"/>
  <c r="E90" i="1"/>
  <c r="E6" i="1"/>
  <c r="E103" i="1"/>
  <c r="E4" i="1"/>
  <c r="D88" i="1"/>
  <c r="E15" i="1"/>
  <c r="E25" i="1"/>
  <c r="E85" i="1"/>
  <c r="E41" i="1"/>
  <c r="E91" i="1"/>
  <c r="E13" i="1"/>
  <c r="E5" i="1"/>
  <c r="E86" i="1"/>
  <c r="E52" i="1"/>
  <c r="E9" i="1"/>
  <c r="E87" i="1"/>
  <c r="E11" i="1"/>
  <c r="E35" i="1"/>
  <c r="E62" i="1"/>
  <c r="E95" i="1"/>
  <c r="E16" i="1"/>
  <c r="E27" i="1"/>
  <c r="E51" i="1"/>
  <c r="D10" i="1"/>
  <c r="E66" i="1"/>
  <c r="E28" i="1"/>
  <c r="E75" i="1"/>
  <c r="E104" i="1"/>
  <c r="E57" i="1"/>
  <c r="E99" i="1"/>
  <c r="E72" i="1"/>
  <c r="E61" i="1"/>
  <c r="E96" i="1"/>
  <c r="E48" i="1"/>
  <c r="E101" i="1"/>
  <c r="E94" i="1"/>
  <c r="E100" i="1"/>
  <c r="E89" i="1"/>
  <c r="E23" i="1"/>
  <c r="E53" i="1"/>
  <c r="E82" i="1"/>
  <c r="E7" i="1"/>
  <c r="E39" i="1"/>
  <c r="E60" i="1"/>
  <c r="E84" i="1"/>
  <c r="E74" i="1"/>
  <c r="E54" i="1"/>
  <c r="E46" i="1"/>
  <c r="E92" i="1"/>
  <c r="E58" i="1"/>
  <c r="E29" i="1"/>
  <c r="E88" i="1"/>
  <c r="E34" i="1"/>
  <c r="E81" i="1"/>
  <c r="E56" i="1"/>
  <c r="E24" i="1"/>
  <c r="D61" i="1"/>
  <c r="E18" i="1"/>
  <c r="E77" i="1"/>
  <c r="E59" i="1"/>
  <c r="E65" i="1"/>
  <c r="E8" i="1"/>
  <c r="E50" i="1"/>
  <c r="E80" i="1"/>
  <c r="E14" i="1"/>
  <c r="E98" i="1"/>
  <c r="E40" i="1"/>
  <c r="E102" i="1"/>
  <c r="E79" i="1"/>
  <c r="E68" i="1"/>
  <c r="E47" i="1"/>
  <c r="E67" i="1"/>
  <c r="E19" i="1"/>
  <c r="D20" i="1"/>
  <c r="E32" i="1"/>
  <c r="E55" i="1"/>
  <c r="E30" i="1"/>
  <c r="E70" i="1"/>
  <c r="E64" i="1"/>
  <c r="E76" i="1"/>
  <c r="E83" i="1"/>
  <c r="E17" i="1"/>
  <c r="D97" i="1"/>
  <c r="E26" i="1"/>
  <c r="D37" i="1"/>
  <c r="D4" i="1"/>
  <c r="E63" i="1"/>
  <c r="E33" i="1"/>
  <c r="E42" i="1"/>
  <c r="D16" i="1"/>
  <c r="E31" i="1"/>
  <c r="E97" i="1"/>
  <c r="D73" i="1"/>
  <c r="E45" i="1"/>
  <c r="E10" i="1"/>
  <c r="E69" i="1"/>
  <c r="E49" i="1"/>
  <c r="E93" i="1"/>
  <c r="E36" i="1"/>
  <c r="E71" i="1"/>
  <c r="E37" i="1"/>
  <c r="E21" i="1"/>
  <c r="E78" i="1"/>
  <c r="E38" i="1"/>
  <c r="E20" i="1"/>
  <c r="E44" i="1"/>
  <c r="E12" i="1"/>
  <c r="D7" i="1"/>
  <c r="E73" i="1"/>
  <c r="G95" i="2" l="1"/>
  <c r="F95" i="2"/>
  <c r="F94" i="2"/>
  <c r="G94" i="2"/>
  <c r="E94" i="2"/>
  <c r="E93" i="2"/>
  <c r="G93" i="2"/>
  <c r="F93" i="2"/>
  <c r="G92" i="2"/>
  <c r="F92" i="2"/>
  <c r="E92" i="2"/>
  <c r="E91" i="2"/>
  <c r="F91" i="2"/>
  <c r="G91" i="2"/>
  <c r="G90" i="2"/>
  <c r="F90" i="2"/>
  <c r="E90" i="2"/>
  <c r="E89" i="2"/>
  <c r="G89" i="2"/>
  <c r="F89" i="2"/>
  <c r="G88" i="2"/>
  <c r="F88" i="2"/>
  <c r="E88" i="2"/>
  <c r="E87" i="2"/>
  <c r="G87" i="2"/>
  <c r="F87" i="2"/>
  <c r="F86" i="2"/>
  <c r="G86" i="2"/>
  <c r="E86" i="2"/>
  <c r="E85" i="2"/>
  <c r="G85" i="2"/>
  <c r="F85" i="2"/>
  <c r="F84" i="2"/>
  <c r="G84" i="2"/>
  <c r="E84" i="2"/>
  <c r="E83" i="2"/>
  <c r="G83" i="2"/>
  <c r="F83" i="2"/>
  <c r="F82" i="2"/>
  <c r="G82" i="2"/>
  <c r="E82" i="2"/>
  <c r="E81" i="2"/>
  <c r="G81" i="2"/>
  <c r="F81" i="2"/>
  <c r="G80" i="2"/>
  <c r="F80" i="2"/>
  <c r="E80" i="2"/>
  <c r="E79" i="2"/>
  <c r="G79" i="2"/>
  <c r="F79" i="2"/>
  <c r="F78" i="2"/>
  <c r="G78" i="2"/>
  <c r="E78" i="2"/>
  <c r="E77" i="2"/>
  <c r="G77" i="2"/>
  <c r="F77" i="2"/>
  <c r="F76" i="2"/>
  <c r="G76" i="2"/>
  <c r="E76" i="2"/>
  <c r="E75" i="2"/>
  <c r="G74" i="2"/>
  <c r="G75" i="2"/>
  <c r="F75" i="2"/>
  <c r="F74" i="2"/>
  <c r="E74" i="2"/>
  <c r="E73" i="2"/>
  <c r="G73" i="2"/>
  <c r="F73" i="2"/>
  <c r="F72" i="2"/>
  <c r="G72" i="2"/>
  <c r="E72" i="2"/>
  <c r="E71" i="2"/>
  <c r="G71" i="2"/>
  <c r="F71" i="2"/>
  <c r="F70" i="2"/>
  <c r="G70" i="2"/>
  <c r="G69" i="2"/>
  <c r="E70" i="2"/>
  <c r="E69" i="2"/>
  <c r="F69" i="2"/>
  <c r="F68" i="2"/>
  <c r="G68" i="2"/>
  <c r="E68" i="2"/>
  <c r="E67" i="2"/>
  <c r="G67" i="2"/>
  <c r="F67" i="2"/>
  <c r="F66" i="2"/>
  <c r="G66" i="2"/>
  <c r="E66" i="2"/>
  <c r="E65" i="2"/>
  <c r="G65" i="2"/>
  <c r="F65" i="2"/>
  <c r="G64" i="2"/>
  <c r="F64" i="2"/>
  <c r="E64" i="2"/>
  <c r="E63" i="2"/>
  <c r="G63" i="2"/>
  <c r="G62" i="2"/>
  <c r="F62" i="2"/>
  <c r="F63" i="2"/>
  <c r="E62" i="2"/>
  <c r="E61" i="2"/>
  <c r="G61" i="2"/>
  <c r="F61" i="2"/>
  <c r="F60" i="2"/>
  <c r="G60" i="2"/>
  <c r="E60" i="2"/>
  <c r="E59" i="2"/>
  <c r="G59" i="2"/>
  <c r="F59" i="2"/>
  <c r="G58" i="2"/>
  <c r="F58" i="2"/>
  <c r="E58" i="2"/>
  <c r="E57" i="2"/>
  <c r="G57" i="2"/>
  <c r="F57" i="2"/>
  <c r="G56" i="2"/>
  <c r="F56" i="2"/>
  <c r="E56" i="2"/>
  <c r="E55" i="2"/>
  <c r="G55" i="2"/>
  <c r="F55" i="2"/>
  <c r="G54" i="2"/>
  <c r="F54" i="2"/>
  <c r="E54" i="2"/>
  <c r="E53" i="2"/>
  <c r="G53" i="2"/>
  <c r="F53" i="2"/>
  <c r="E52" i="2"/>
  <c r="G52" i="2"/>
  <c r="F52" i="2"/>
  <c r="E51" i="2"/>
  <c r="G51" i="2"/>
  <c r="F51" i="2"/>
  <c r="G50" i="2"/>
  <c r="F50" i="2"/>
  <c r="E50" i="2"/>
  <c r="E49" i="2"/>
  <c r="F49" i="2"/>
  <c r="G49" i="2"/>
  <c r="G48" i="2"/>
  <c r="F48" i="2"/>
  <c r="E48" i="2"/>
  <c r="E47" i="2"/>
  <c r="G47" i="2"/>
  <c r="F47" i="2"/>
  <c r="G46" i="2"/>
  <c r="F46" i="2"/>
  <c r="E46" i="2"/>
  <c r="E45" i="2"/>
  <c r="G45" i="2"/>
  <c r="F45" i="2"/>
  <c r="G44" i="2"/>
  <c r="F44" i="2"/>
  <c r="E44" i="2"/>
  <c r="E43" i="2"/>
  <c r="G43" i="2"/>
  <c r="F43" i="2"/>
  <c r="E42" i="2"/>
  <c r="G42" i="2"/>
  <c r="F42" i="2"/>
  <c r="E41" i="2"/>
  <c r="G40" i="2"/>
  <c r="F40" i="2"/>
  <c r="G41" i="2"/>
  <c r="F41" i="2"/>
  <c r="E40" i="2"/>
  <c r="E39" i="2"/>
  <c r="G39" i="2"/>
  <c r="F39" i="2"/>
  <c r="F38" i="2"/>
  <c r="G38" i="2"/>
  <c r="E37" i="2"/>
  <c r="G37" i="2"/>
  <c r="F37" i="2"/>
  <c r="G36" i="2"/>
  <c r="F36" i="2"/>
  <c r="E36" i="2"/>
  <c r="E35" i="2"/>
  <c r="G35" i="2"/>
  <c r="F35" i="2"/>
  <c r="G34" i="2"/>
  <c r="F34" i="2"/>
  <c r="E34" i="2"/>
  <c r="E33" i="2"/>
  <c r="G33" i="2"/>
  <c r="F33" i="2"/>
  <c r="G32" i="2"/>
  <c r="F32" i="2"/>
  <c r="E32" i="2"/>
  <c r="E31" i="2"/>
  <c r="G31" i="2"/>
  <c r="F31" i="2"/>
  <c r="G30" i="2"/>
  <c r="F30" i="2"/>
  <c r="E30" i="2"/>
  <c r="E29" i="2"/>
  <c r="G29" i="2"/>
  <c r="F29" i="2"/>
  <c r="F19" i="2"/>
  <c r="G28" i="2"/>
  <c r="F28" i="2"/>
  <c r="E28" i="2"/>
  <c r="E27" i="2"/>
  <c r="G27" i="2"/>
  <c r="F27" i="2"/>
  <c r="G26" i="2"/>
  <c r="F26" i="2"/>
  <c r="E26" i="2"/>
  <c r="E24" i="2"/>
  <c r="G25" i="2"/>
  <c r="F25" i="2"/>
  <c r="E25" i="2"/>
  <c r="G24" i="2"/>
  <c r="F24" i="2"/>
  <c r="E23" i="2"/>
  <c r="G23" i="2"/>
  <c r="F23" i="2"/>
  <c r="E22" i="2"/>
  <c r="G22" i="2"/>
  <c r="F22" i="2"/>
  <c r="E21" i="2"/>
  <c r="G21" i="2"/>
  <c r="F21" i="2"/>
  <c r="G20" i="2"/>
  <c r="F20" i="2"/>
  <c r="E20" i="2"/>
  <c r="E16" i="2"/>
  <c r="E19" i="2"/>
  <c r="E18" i="2"/>
  <c r="G19" i="2"/>
  <c r="F18" i="2"/>
  <c r="G18" i="2"/>
  <c r="E17" i="2"/>
  <c r="G17" i="2"/>
  <c r="F17" i="2"/>
  <c r="F16" i="2"/>
  <c r="G16" i="2"/>
  <c r="E15" i="2"/>
  <c r="G15" i="2"/>
  <c r="F15" i="2"/>
  <c r="E14" i="2"/>
  <c r="G14" i="2"/>
  <c r="F14" i="2"/>
  <c r="G13" i="2"/>
  <c r="F13" i="2"/>
  <c r="E13" i="2"/>
  <c r="E12" i="2"/>
  <c r="G12" i="2"/>
  <c r="F12" i="2"/>
  <c r="E11" i="2"/>
  <c r="G11" i="2"/>
  <c r="F11" i="2"/>
  <c r="E10" i="2"/>
  <c r="G9" i="2"/>
  <c r="F9" i="2"/>
  <c r="E9" i="2"/>
  <c r="G10" i="2"/>
  <c r="F10" i="2"/>
  <c r="G5" i="2"/>
  <c r="G6" i="2"/>
  <c r="G7" i="2"/>
  <c r="G8" i="2"/>
  <c r="F8" i="2"/>
  <c r="E7" i="2"/>
  <c r="F7" i="2"/>
  <c r="F6" i="2"/>
  <c r="F5" i="2"/>
</calcChain>
</file>

<file path=xl/sharedStrings.xml><?xml version="1.0" encoding="utf-8"?>
<sst xmlns="http://schemas.openxmlformats.org/spreadsheetml/2006/main" count="473" uniqueCount="429">
  <si>
    <t>Notification</t>
  </si>
  <si>
    <t>3.1.1</t>
  </si>
  <si>
    <t>Start Notification program</t>
  </si>
  <si>
    <t>3.1.2</t>
  </si>
  <si>
    <t>Create a new notification</t>
  </si>
  <si>
    <t>3.1.3</t>
  </si>
  <si>
    <t>Delete a new notification</t>
  </si>
  <si>
    <t>3.1.4</t>
  </si>
  <si>
    <t>Close Notification program</t>
  </si>
  <si>
    <t>Work order</t>
  </si>
  <si>
    <t>3.2.1</t>
  </si>
  <si>
    <t>3.2.2</t>
  </si>
  <si>
    <t>Create a new work order</t>
  </si>
  <si>
    <t>3.2.3</t>
  </si>
  <si>
    <t>Delete a new work order</t>
  </si>
  <si>
    <t>3.2.4</t>
  </si>
  <si>
    <t>Close Work order program</t>
  </si>
  <si>
    <t>Job ordering</t>
  </si>
  <si>
    <t>3.3.1</t>
  </si>
  <si>
    <t>Start Work order program</t>
  </si>
  <si>
    <t>Start Job ordering program</t>
  </si>
  <si>
    <t>3.3.2</t>
  </si>
  <si>
    <t>Create a new work order thru Job ordering program</t>
  </si>
  <si>
    <t>3.3.3</t>
  </si>
  <si>
    <t>Delete a new work order thru Job ordering program</t>
  </si>
  <si>
    <t>3.3.4</t>
  </si>
  <si>
    <t>Close Job ordering program</t>
  </si>
  <si>
    <t>Job monitor</t>
  </si>
  <si>
    <t>3.4.1</t>
  </si>
  <si>
    <t>Start Job monitor program</t>
  </si>
  <si>
    <t>3.4.2</t>
  </si>
  <si>
    <t>Filter jobs and view the results</t>
  </si>
  <si>
    <t>3.4.3</t>
  </si>
  <si>
    <t>3.4.4</t>
  </si>
  <si>
    <t>Start a job thru Job monitor program</t>
  </si>
  <si>
    <t>Stop a job thru Job monitor program</t>
  </si>
  <si>
    <t>3.4.5</t>
  </si>
  <si>
    <t>Close Job monitor program</t>
  </si>
  <si>
    <t>Job feedback by work order</t>
  </si>
  <si>
    <t>3.5.1</t>
  </si>
  <si>
    <t>Start Work order Registration program</t>
  </si>
  <si>
    <t>3.5.2</t>
  </si>
  <si>
    <t>3.5.3</t>
  </si>
  <si>
    <t>3.5.4</t>
  </si>
  <si>
    <t>Delete a new work order thru Work order Registration program</t>
  </si>
  <si>
    <t>Create a new work order thru Work order Registration program</t>
  </si>
  <si>
    <t>Close Work order Registration program</t>
  </si>
  <si>
    <t>3.5.5</t>
  </si>
  <si>
    <t>Register the hours thru the Work order Registration program</t>
  </si>
  <si>
    <t>3.5.6</t>
  </si>
  <si>
    <t>Finish the work order registration thru Work order Registration program</t>
  </si>
  <si>
    <t>Job feedback by work supplier</t>
  </si>
  <si>
    <t>3.6.1</t>
  </si>
  <si>
    <t>Start Job feedback by Work supplier program</t>
  </si>
  <si>
    <t>Create a new hours transaction</t>
  </si>
  <si>
    <t>3.6.2</t>
  </si>
  <si>
    <t>3.6.3</t>
  </si>
  <si>
    <t>Delete a new hour transaction</t>
  </si>
  <si>
    <t>3.6.4</t>
  </si>
  <si>
    <t>Close Job feedback by Work order program</t>
  </si>
  <si>
    <t>Work order history data</t>
  </si>
  <si>
    <t>3.7.1</t>
  </si>
  <si>
    <t>Start Work order history data</t>
  </si>
  <si>
    <t>3.7.2</t>
  </si>
  <si>
    <t>3.7.3</t>
  </si>
  <si>
    <t>Open a work order thru work order history</t>
  </si>
  <si>
    <t>Delete a work order thru work order history</t>
  </si>
  <si>
    <t>3.7.4</t>
  </si>
  <si>
    <t>Close Work order history data</t>
  </si>
  <si>
    <t>Internal purchase request</t>
  </si>
  <si>
    <t>Start Internal purchase request program</t>
  </si>
  <si>
    <t xml:space="preserve">Create a new internal purchase request </t>
  </si>
  <si>
    <t>Delete a new internal purchase request</t>
  </si>
  <si>
    <t>Close Internal purchase request program</t>
  </si>
  <si>
    <t>Dashboard</t>
  </si>
  <si>
    <t>Add KPI to Dashboard</t>
  </si>
  <si>
    <t>Edit KPI at Dashboard</t>
  </si>
  <si>
    <t>Delete KPI from the Dashboard</t>
  </si>
  <si>
    <t>Start Dashboard program</t>
  </si>
  <si>
    <t>Close Dashboard program</t>
  </si>
  <si>
    <t>Properties</t>
  </si>
  <si>
    <t>Start Properties explorer program</t>
  </si>
  <si>
    <t>Exit Properties explorer</t>
  </si>
  <si>
    <t>Edit the system properties</t>
  </si>
  <si>
    <t>Save the changes</t>
  </si>
  <si>
    <t>List of items</t>
  </si>
  <si>
    <t>Maintenance tab functionality</t>
  </si>
  <si>
    <t>Purchase tab functionality</t>
  </si>
  <si>
    <t>Special tab functionality</t>
  </si>
  <si>
    <t>System tab functionality</t>
  </si>
  <si>
    <t>7.1.1</t>
  </si>
  <si>
    <t>7.1.2</t>
  </si>
  <si>
    <t>7.1.3</t>
  </si>
  <si>
    <t>7.1.4</t>
  </si>
  <si>
    <t>8.1.1</t>
  </si>
  <si>
    <t>8.1.2</t>
  </si>
  <si>
    <t>8.1.3</t>
  </si>
  <si>
    <t>8.1.4</t>
  </si>
  <si>
    <t>8.1.5</t>
  </si>
  <si>
    <t>9.1.1</t>
  </si>
  <si>
    <t>9.1.2</t>
  </si>
  <si>
    <t>9.1.3</t>
  </si>
  <si>
    <t>9.1.4</t>
  </si>
  <si>
    <t>№</t>
  </si>
  <si>
    <t>List of the sub-items</t>
  </si>
  <si>
    <t>List of programs/functions</t>
  </si>
  <si>
    <t>1. User</t>
  </si>
  <si>
    <t>2. My API PRO</t>
  </si>
  <si>
    <t>3. History</t>
  </si>
  <si>
    <t>1. Add Hotkeys</t>
  </si>
  <si>
    <t>2. Financial reporting</t>
  </si>
  <si>
    <t>3. Plan documentation</t>
  </si>
  <si>
    <t>4. Basic data for maintenance</t>
  </si>
  <si>
    <t>5. Basic data for stock</t>
  </si>
  <si>
    <t>6. Basic data accounting and purch</t>
  </si>
  <si>
    <t>7. General Basic data</t>
  </si>
  <si>
    <t>8. Other</t>
  </si>
  <si>
    <t>2. Insert Hotkeys</t>
  </si>
  <si>
    <t>3. Properties</t>
  </si>
  <si>
    <t>1. Plant explorer</t>
  </si>
  <si>
    <t>2. Graphical navigator</t>
  </si>
  <si>
    <t>3. Spare part searching</t>
  </si>
  <si>
    <t>4. Technical data searching</t>
  </si>
  <si>
    <t>5. Raw transactions</t>
  </si>
  <si>
    <t>6. Raw transactions (financial)</t>
  </si>
  <si>
    <t>1. Financial transaction report</t>
  </si>
  <si>
    <t>2. Budget/cost analysis</t>
  </si>
  <si>
    <t>3. Budget report</t>
  </si>
  <si>
    <t>4. Balance report</t>
  </si>
  <si>
    <t>1. Position</t>
  </si>
  <si>
    <t>2. Maintenance object</t>
  </si>
  <si>
    <t>1. Work supplier</t>
  </si>
  <si>
    <t>2. Work instruction</t>
  </si>
  <si>
    <t>3. Instruments</t>
  </si>
  <si>
    <t>4. Job code</t>
  </si>
  <si>
    <t>5. Job cluster</t>
  </si>
  <si>
    <t>6. Symptom</t>
  </si>
  <si>
    <t>7. Cause</t>
  </si>
  <si>
    <t>8. Action</t>
  </si>
  <si>
    <t>9. Inspection code</t>
  </si>
  <si>
    <t>10. Inspection check code</t>
  </si>
  <si>
    <t>11. Job status code</t>
  </si>
  <si>
    <t>12. Job priority</t>
  </si>
  <si>
    <t>13. Shift calendar</t>
  </si>
  <si>
    <t>14. Shut down calendar</t>
  </si>
  <si>
    <t>15. Work category</t>
  </si>
  <si>
    <t>16. Shift definitions</t>
  </si>
  <si>
    <t>17. Shift plan setup</t>
  </si>
  <si>
    <t>18. Work supplier group</t>
  </si>
  <si>
    <t>19. Capacity group</t>
  </si>
  <si>
    <t>20. Project codes</t>
  </si>
  <si>
    <t>21. Project groups</t>
  </si>
  <si>
    <t>22. Inspection round code</t>
  </si>
  <si>
    <t>23. Inspection round group</t>
  </si>
  <si>
    <t>24. Skill</t>
  </si>
  <si>
    <t>1. Spare part</t>
  </si>
  <si>
    <t>2. Stock</t>
  </si>
  <si>
    <t>3. Stock control data</t>
  </si>
  <si>
    <t>4. Manufacturer</t>
  </si>
  <si>
    <t>5. Spare part catalogue</t>
  </si>
  <si>
    <t>6. Search spare supplier data/catalogue</t>
  </si>
  <si>
    <t>7. Spare part group</t>
  </si>
  <si>
    <t>8. Spare part code</t>
  </si>
  <si>
    <t>9. Classification/ Read classification definition</t>
  </si>
  <si>
    <t>10. Classification/ Classification setup</t>
  </si>
  <si>
    <t>11. Classification/ Read supplier spare part classification</t>
  </si>
  <si>
    <t>12. Classification/ Read supplier spare part properties</t>
  </si>
  <si>
    <t>1. Supplier</t>
  </si>
  <si>
    <t>2. Customer</t>
  </si>
  <si>
    <t>3. Currency</t>
  </si>
  <si>
    <t>4. Account</t>
  </si>
  <si>
    <t>5. Cost type</t>
  </si>
  <si>
    <t>6. Cost prupose</t>
  </si>
  <si>
    <t>7. Cost carrier</t>
  </si>
  <si>
    <t>8. Shipment conditions</t>
  </si>
  <si>
    <t>9. Delivery conditions</t>
  </si>
  <si>
    <t>10. Payment conditions</t>
  </si>
  <si>
    <t>11. Agreement code</t>
  </si>
  <si>
    <t>12. Supplier code</t>
  </si>
  <si>
    <t>13. Supplier group</t>
  </si>
  <si>
    <t>14. VAT code</t>
  </si>
  <si>
    <t>15. Purchase organization</t>
  </si>
  <si>
    <t>1. Legal unit</t>
  </si>
  <si>
    <t>2. Plant</t>
  </si>
  <si>
    <t>3. Site</t>
  </si>
  <si>
    <t>4. Address</t>
  </si>
  <si>
    <t>5. Contact person</t>
  </si>
  <si>
    <t>6. Unit</t>
  </si>
  <si>
    <t>7. Language</t>
  </si>
  <si>
    <t>8. Public holiday</t>
  </si>
  <si>
    <t>9. Exception code</t>
  </si>
  <si>
    <t>1. API messages</t>
  </si>
  <si>
    <t>2. Approval monitor</t>
  </si>
  <si>
    <t>3. Calendar</t>
  </si>
  <si>
    <t>4. Crystal Reports</t>
  </si>
  <si>
    <t>5. Window list</t>
  </si>
  <si>
    <t>6. Run external</t>
  </si>
  <si>
    <t>7. Exit</t>
  </si>
  <si>
    <t>8. History</t>
  </si>
  <si>
    <t>1. Project</t>
  </si>
  <si>
    <t>2. Planning</t>
  </si>
  <si>
    <t>3. Shift log book</t>
  </si>
  <si>
    <t>4. Service</t>
  </si>
  <si>
    <t>5. Permit to work</t>
  </si>
  <si>
    <t>6. Maintenance reports</t>
  </si>
  <si>
    <t>7. History</t>
  </si>
  <si>
    <t>1. Project explorer</t>
  </si>
  <si>
    <t>2. Project</t>
  </si>
  <si>
    <t>3. Project report</t>
  </si>
  <si>
    <t>4.Purchase report</t>
  </si>
  <si>
    <t>1. Work order survey</t>
  </si>
  <si>
    <t>2. Planning board</t>
  </si>
  <si>
    <t>3. Capacity group ownership selection</t>
  </si>
  <si>
    <t>4. Work order year plan</t>
  </si>
  <si>
    <t>5. Work load - tree structure</t>
  </si>
  <si>
    <t>6. Work load - flat</t>
  </si>
  <si>
    <t>7. Week plan</t>
  </si>
  <si>
    <t>8. Recalculate work load</t>
  </si>
  <si>
    <t>9. Presence survey</t>
  </si>
  <si>
    <t>1. Notification</t>
  </si>
  <si>
    <t>2. Notification type</t>
  </si>
  <si>
    <t>3. Notification monitor</t>
  </si>
  <si>
    <t>4. Shift type</t>
  </si>
  <si>
    <t>5. Shift responsibility area</t>
  </si>
  <si>
    <t>6. Shift history</t>
  </si>
  <si>
    <t>7. Shift instruction</t>
  </si>
  <si>
    <t>8. My shift instruction</t>
  </si>
  <si>
    <t>9. Take over shift responsibility</t>
  </si>
  <si>
    <t>10. Hand over shift responsibility</t>
  </si>
  <si>
    <t>1. Accum. Of customer invoice</t>
  </si>
  <si>
    <t>2. Customer invoice</t>
  </si>
  <si>
    <t>1. Permit</t>
  </si>
  <si>
    <t>2. Limited work sanction</t>
  </si>
  <si>
    <t>3. Permit request</t>
  </si>
  <si>
    <t>4. Permit list</t>
  </si>
  <si>
    <t>5. Permit monitor</t>
  </si>
  <si>
    <t>6. Lock out board</t>
  </si>
  <si>
    <t>1. Planned/used cost report</t>
  </si>
  <si>
    <t>2. Work supplier standby days</t>
  </si>
  <si>
    <t>3. Work supplier skill report</t>
  </si>
  <si>
    <t>4. History online</t>
  </si>
  <si>
    <t>5. Statistics - top lists</t>
  </si>
  <si>
    <t>6. Statistics - tree-structure</t>
  </si>
  <si>
    <t>7. Batch for statistics</t>
  </si>
  <si>
    <t>8. Error code analysis</t>
  </si>
  <si>
    <t>9. Work supplier hour report</t>
  </si>
  <si>
    <t>10. Work supplier hour survey</t>
  </si>
  <si>
    <t>11. MTBF/MTTR report</t>
  </si>
  <si>
    <t>1. Work order &amp; work history</t>
  </si>
  <si>
    <t>2. Work order history data</t>
  </si>
  <si>
    <t>1. Work order</t>
  </si>
  <si>
    <t>2. Work order copy</t>
  </si>
  <si>
    <t>3. Job ordering</t>
  </si>
  <si>
    <t>4. Job monitor</t>
  </si>
  <si>
    <t>5. Work order accumulation</t>
  </si>
  <si>
    <t>6. PM work order template</t>
  </si>
  <si>
    <t>7. Job feedback by work order</t>
  </si>
  <si>
    <t>8. Job feedback by work supplier</t>
  </si>
  <si>
    <t>9. Extended job feedback by work supplier</t>
  </si>
  <si>
    <t>10. Qualification survey</t>
  </si>
  <si>
    <t>11. Hour validation</t>
  </si>
  <si>
    <t>12. Sign on/off work orders</t>
  </si>
  <si>
    <t>1. Inspection explorer</t>
  </si>
  <si>
    <t>2. Templates for inspection</t>
  </si>
  <si>
    <t>3. Inspection round setup</t>
  </si>
  <si>
    <t>4. Inspection accumulation</t>
  </si>
  <si>
    <t>5. Inspection feedback by round</t>
  </si>
  <si>
    <t>6. Inspection feedback by MO</t>
  </si>
  <si>
    <t>7. Inspection history</t>
  </si>
  <si>
    <t>8. Alarm handling</t>
  </si>
  <si>
    <t>1. Other</t>
  </si>
  <si>
    <t>1. Calibration setup</t>
  </si>
  <si>
    <t>2. Calibration accumulation</t>
  </si>
  <si>
    <t>3. Calibration registration</t>
  </si>
  <si>
    <t>4. Calibration history</t>
  </si>
  <si>
    <t>5. Calibration: edit/delete registration</t>
  </si>
  <si>
    <t>6. Calibration measurements</t>
  </si>
  <si>
    <t>7. Calibration perfomance</t>
  </si>
  <si>
    <t>2. Stock control reports</t>
  </si>
  <si>
    <t>1. Stock transaction</t>
  </si>
  <si>
    <t>2. Stock transaction (bar code)</t>
  </si>
  <si>
    <t>3. Stock transaction (Sp. Part)</t>
  </si>
  <si>
    <t>4. Stock reservation P&amp;S</t>
  </si>
  <si>
    <t>5. Stock taking list</t>
  </si>
  <si>
    <t>6. Register stock taking list</t>
  </si>
  <si>
    <t>7. Request for stock below minimum</t>
  </si>
  <si>
    <t>8. Picking list for stock transfer</t>
  </si>
  <si>
    <t>9. Picking list for work orders</t>
  </si>
  <si>
    <t>10. Create Wos for anonymous repairables</t>
  </si>
  <si>
    <t>11. Removal from stock -handterm.</t>
  </si>
  <si>
    <t>12. Picking list</t>
  </si>
  <si>
    <t>13. Stock movement using handterm.</t>
  </si>
  <si>
    <t>14. Repair item replacement</t>
  </si>
  <si>
    <t>1. Spares / stock below minimum</t>
  </si>
  <si>
    <t>2. Stock value list</t>
  </si>
  <si>
    <t>3. Inventory turnover report</t>
  </si>
  <si>
    <t>4. Non-moving stock items</t>
  </si>
  <si>
    <t>5. ABC analysis</t>
  </si>
  <si>
    <t>6. Price list</t>
  </si>
  <si>
    <t>7. Raw pick lines</t>
  </si>
  <si>
    <t>8. Stock control data list</t>
  </si>
  <si>
    <t>9. Spare parts lists</t>
  </si>
  <si>
    <t>10. Stock transaction report</t>
  </si>
  <si>
    <t>11. Reservation survey</t>
  </si>
  <si>
    <t>2. Purchase reports</t>
  </si>
  <si>
    <t>1. Internal purchase request per user</t>
  </si>
  <si>
    <t>2. Internal purchase request</t>
  </si>
  <si>
    <t>3. Internal purchase request header</t>
  </si>
  <si>
    <t>4. Purchase enquiry</t>
  </si>
  <si>
    <t>5. Accumulation of purchase need</t>
  </si>
  <si>
    <t>6. Agreement</t>
  </si>
  <si>
    <t>7. Purchase ordering</t>
  </si>
  <si>
    <t>9. Delivery registration</t>
  </si>
  <si>
    <t>8. Procurement portal</t>
  </si>
  <si>
    <t>10. Invoice registration</t>
  </si>
  <si>
    <t>11. Delivery - hand terminal</t>
  </si>
  <si>
    <t>1. Purchase reminder reports</t>
  </si>
  <si>
    <t>2. Not delivered orders</t>
  </si>
  <si>
    <t>3. Not invoiced orders</t>
  </si>
  <si>
    <t>4. Purchase order status</t>
  </si>
  <si>
    <t>5. Purchase order list</t>
  </si>
  <si>
    <t>6. Supplier performance</t>
  </si>
  <si>
    <t>7. Purchase invoice rurvey</t>
  </si>
  <si>
    <t>8. Purchase &amp; removal batch</t>
  </si>
  <si>
    <t>9. Purchase &amp; removal analysis</t>
  </si>
  <si>
    <t>1. Automation (CRON)</t>
  </si>
  <si>
    <t>1. Automation planner</t>
  </si>
  <si>
    <t>2. Automation timer</t>
  </si>
  <si>
    <t>2. Tool management</t>
  </si>
  <si>
    <t>1. Tool</t>
  </si>
  <si>
    <t>2. Tool transactions</t>
  </si>
  <si>
    <t>3. API Industrial interface</t>
  </si>
  <si>
    <t>4. Other</t>
  </si>
  <si>
    <t>1. AII system config</t>
  </si>
  <si>
    <t>2. AII point config</t>
  </si>
  <si>
    <t>3. AII action config</t>
  </si>
  <si>
    <t>4. AII read monitor</t>
  </si>
  <si>
    <t>5. AII data process</t>
  </si>
  <si>
    <t>1. Dashboard</t>
  </si>
  <si>
    <t>2. Import</t>
  </si>
  <si>
    <t>3. Export</t>
  </si>
  <si>
    <t>4. Export log</t>
  </si>
  <si>
    <t>5. Label print</t>
  </si>
  <si>
    <t>6. Key change log</t>
  </si>
  <si>
    <t>7. PDA work order transfer status</t>
  </si>
  <si>
    <t>1. User profile manager</t>
  </si>
  <si>
    <t>2. User</t>
  </si>
  <si>
    <t>3. User group</t>
  </si>
  <si>
    <t>4. Web portal group configuration</t>
  </si>
  <si>
    <t>5. Device access list</t>
  </si>
  <si>
    <t>6. Password setup</t>
  </si>
  <si>
    <t>7. User login history</t>
  </si>
  <si>
    <t>8. Permission report</t>
  </si>
  <si>
    <t>9. Group design</t>
  </si>
  <si>
    <t>10. Group design mode</t>
  </si>
  <si>
    <t>11. Change password</t>
  </si>
  <si>
    <t>12. Reset supervisor password</t>
  </si>
  <si>
    <t>13. Program start configuration</t>
  </si>
  <si>
    <t>14. Save desktop design</t>
  </si>
  <si>
    <t>15. Task panel</t>
  </si>
  <si>
    <t>16. Menu properties</t>
  </si>
  <si>
    <t>2. System configuration</t>
  </si>
  <si>
    <t>1. Properties explorer</t>
  </si>
  <si>
    <t>2. Installation information</t>
  </si>
  <si>
    <t>3. Site table configuration</t>
  </si>
  <si>
    <t>4. Change logging module</t>
  </si>
  <si>
    <t>5. Purchase module, catalogue</t>
  </si>
  <si>
    <t>6. Sequence setup</t>
  </si>
  <si>
    <t>7. Sequence maintenance</t>
  </si>
  <si>
    <t>8. Special interfaces</t>
  </si>
  <si>
    <t>9. Change custom menu</t>
  </si>
  <si>
    <t>10. Event setup</t>
  </si>
  <si>
    <t>11. Dynamic field</t>
  </si>
  <si>
    <t>12. Language data configuration</t>
  </si>
  <si>
    <t>13. Color configuration/Priority color</t>
  </si>
  <si>
    <t>14. Color configuration/Job status color</t>
  </si>
  <si>
    <t>15. Color configuration/Work supplier group color</t>
  </si>
  <si>
    <t>16. Color configuration/Exception color</t>
  </si>
  <si>
    <t>17. Color configuration/Shift color</t>
  </si>
  <si>
    <t>18. Color configuration/Graphical navigator boxes color</t>
  </si>
  <si>
    <t>19. Color configuration/Capacity group color</t>
  </si>
  <si>
    <t>20. Color configuration/Planning board color</t>
  </si>
  <si>
    <t>3. Other</t>
  </si>
  <si>
    <t>1. Module access codes</t>
  </si>
  <si>
    <t>2. Translation tool</t>
  </si>
  <si>
    <t>3. Menu translation</t>
  </si>
  <si>
    <t>4. Diagnostics</t>
  </si>
  <si>
    <t>5. Fix-DB</t>
  </si>
  <si>
    <t>6. Period closedown</t>
  </si>
  <si>
    <t>7. User session</t>
  </si>
  <si>
    <t>8. Client-server management</t>
  </si>
  <si>
    <t>1. Contents</t>
  </si>
  <si>
    <t>2. Search for help on</t>
  </si>
  <si>
    <t>3. User's guide</t>
  </si>
  <si>
    <t>4. Supervisor's guide</t>
  </si>
  <si>
    <t>5. Data dictionary</t>
  </si>
  <si>
    <t>6. About API PRO</t>
  </si>
  <si>
    <t>Maintenance tab</t>
  </si>
  <si>
    <t>Inspection tab</t>
  </si>
  <si>
    <t>Calibration tab</t>
  </si>
  <si>
    <t>Stock tab</t>
  </si>
  <si>
    <t>Purchase tab</t>
  </si>
  <si>
    <t>Special tab</t>
  </si>
  <si>
    <t>System tab</t>
  </si>
  <si>
    <t>Help tab</t>
  </si>
  <si>
    <t>Program call</t>
  </si>
  <si>
    <t>Program call sub-type</t>
  </si>
  <si>
    <t>Program type/Design type</t>
  </si>
  <si>
    <t>-</t>
  </si>
  <si>
    <t>3. Technical ID</t>
  </si>
  <si>
    <t>4. Counter</t>
  </si>
  <si>
    <t>5. Counter type</t>
  </si>
  <si>
    <t>6. Technical data</t>
  </si>
  <si>
    <t>7. Documents (drawnings)</t>
  </si>
  <si>
    <t>8. Supply type</t>
  </si>
  <si>
    <t>9. Criticality</t>
  </si>
  <si>
    <t>10. Object status</t>
  </si>
  <si>
    <t>11. Maintenance object group</t>
  </si>
  <si>
    <t>12. Maintenance object code</t>
  </si>
  <si>
    <t>13. Maintenance object manual log category</t>
  </si>
  <si>
    <t>14. Position group</t>
  </si>
  <si>
    <t>15. Position code</t>
  </si>
  <si>
    <t>16. Position/Maintenance object tree copy</t>
  </si>
  <si>
    <t>17. Position/Maintenance object tree delete</t>
  </si>
  <si>
    <t>API PRO 10 ABL (Master design)</t>
  </si>
  <si>
    <t>API PRO 10 WEB (Master design)</t>
  </si>
  <si>
    <t>Requirement link</t>
  </si>
  <si>
    <t>link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</si>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</sst>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/>
    <xf numFmtId="0" fontId="12" fillId="0" borderId="0" xfId="0" applyFont="1"/>
    <xf numFmtId="0" fontId="0" fillId="0" borderId="8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11" xfId="0" applyFont="1" applyBorder="1"/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9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29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7" fillId="0" borderId="3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1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0" fillId="0" borderId="24" xfId="0" applyBorder="1"/>
    <xf numFmtId="0" fontId="0" fillId="0" borderId="11" xfId="0" applyBorder="1"/>
    <xf numFmtId="0" fontId="7" fillId="0" borderId="23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2" fillId="0" borderId="29" xfId="1" applyBorder="1" applyAlignment="1">
      <alignment horizontal="center" vertical="center"/>
    </xf>
    <xf numFmtId="0" fontId="2" fillId="0" borderId="0" xfId="1" applyNumberForma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34" xfId="1" applyBorder="1" applyAlignment="1">
      <alignment horizontal="center" vertical="center"/>
    </xf>
    <xf numFmtId="0" fontId="0" fillId="0" borderId="23" xfId="0" applyBorder="1"/>
    <xf numFmtId="0" fontId="0" fillId="0" borderId="30" xfId="0" applyBorder="1"/>
    <xf numFmtId="0" fontId="0" fillId="0" borderId="16" xfId="0" applyBorder="1"/>
    <xf numFmtId="0" fontId="2" fillId="0" borderId="24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2" fillId="0" borderId="20" xfId="1" applyFill="1" applyBorder="1" applyAlignment="1">
      <alignment horizontal="center" vertical="center"/>
    </xf>
    <xf numFmtId="0" fontId="2" fillId="0" borderId="34" xfId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14" xfId="1" applyFill="1" applyBorder="1" applyAlignment="1">
      <alignment horizontal="center" vertical="center"/>
    </xf>
    <xf numFmtId="0" fontId="2" fillId="0" borderId="8" xfId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2" fillId="0" borderId="16" xfId="1" applyFill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center"/>
    </xf>
    <xf numFmtId="0" fontId="2" fillId="0" borderId="15" xfId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4" xfId="0" applyFont="1" applyBorder="1" applyAlignment="1"/>
    <xf numFmtId="0" fontId="11" fillId="0" borderId="5" xfId="0" applyFont="1" applyBorder="1" applyAlignment="1">
      <alignment horizontal="center" vertical="center"/>
    </xf>
    <xf numFmtId="0" fontId="7" fillId="0" borderId="14" xfId="0" applyFont="1" applyBorder="1" applyAlignment="1"/>
    <xf numFmtId="0" fontId="11" fillId="0" borderId="40" xfId="0" applyFont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10" fillId="0" borderId="41" xfId="1" applyFont="1" applyBorder="1" applyAlignment="1">
      <alignment horizontal="left" vertical="center"/>
    </xf>
    <xf numFmtId="0" fontId="2" fillId="0" borderId="41" xfId="1" applyBorder="1" applyAlignment="1">
      <alignment horizontal="left" vertical="center"/>
    </xf>
    <xf numFmtId="0" fontId="10" fillId="0" borderId="40" xfId="1" applyFont="1" applyBorder="1" applyAlignment="1">
      <alignment horizontal="left" vertical="center"/>
    </xf>
    <xf numFmtId="0" fontId="17" fillId="0" borderId="41" xfId="1" applyFont="1" applyBorder="1" applyAlignment="1">
      <alignment horizontal="left" vertical="center"/>
    </xf>
    <xf numFmtId="0" fontId="2" fillId="0" borderId="42" xfId="1" applyBorder="1" applyAlignment="1">
      <alignment horizontal="left" vertical="center"/>
    </xf>
    <xf numFmtId="0" fontId="2" fillId="0" borderId="42" xfId="1" applyBorder="1" applyAlignment="1">
      <alignment horizontal="center" vertical="center"/>
    </xf>
    <xf numFmtId="0" fontId="18" fillId="0" borderId="29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24" xfId="1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13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0" borderId="25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7" fillId="0" borderId="28" xfId="1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0" fillId="0" borderId="0" xfId="1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7" fillId="0" borderId="17" xfId="1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0" fillId="0" borderId="35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36" xfId="1" applyFont="1" applyFill="1" applyBorder="1" applyAlignment="1">
      <alignment horizontal="left" vertical="center"/>
    </xf>
    <xf numFmtId="0" fontId="17" fillId="0" borderId="9" xfId="1" applyFont="1" applyBorder="1" applyAlignment="1">
      <alignment horizontal="left" vertical="center"/>
    </xf>
    <xf numFmtId="0" fontId="17" fillId="0" borderId="10" xfId="1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10" fillId="0" borderId="28" xfId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7" fillId="0" borderId="29" xfId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9" fillId="0" borderId="43" xfId="1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88800"/>
      <color rgb="FFEB6E21"/>
      <color rgb="FFEF8C4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AD82-7C46-4954-A3F1-D486F63146EF}">
  <dimension ref="B1:G286"/>
  <sheetViews>
    <sheetView topLeftCell="A4" workbookViewId="0">
      <selection activeCell="E10" sqref="E10"/>
    </sheetView>
  </sheetViews>
  <sheetFormatPr defaultRowHeight="15" x14ac:dyDescent="0.25"/>
  <cols>
    <col min="2" max="2" width="7.28515625" style="1" bestFit="1" customWidth="1"/>
    <col min="3" max="3" width="28.5703125" bestFit="1" customWidth="1"/>
    <col min="4" max="4" width="51.5703125" style="6" bestFit="1" customWidth="1"/>
    <col min="5" max="5" width="51.7109375" style="3" bestFit="1" customWidth="1"/>
    <col min="6" max="6" width="17.7109375" customWidth="1"/>
    <col min="7" max="7" width="16.140625" customWidth="1"/>
  </cols>
  <sheetData>
    <row r="1" spans="2:7" ht="15.75" thickBot="1" x14ac:dyDescent="0.3"/>
    <row r="2" spans="2:7" s="11" customFormat="1" ht="29.25" thickBot="1" x14ac:dyDescent="0.5">
      <c r="B2" s="97" t="s">
        <v>103</v>
      </c>
      <c r="C2" s="98" t="s">
        <v>85</v>
      </c>
      <c r="D2" s="98" t="s">
        <v>104</v>
      </c>
      <c r="E2" s="99" t="s">
        <v>105</v>
      </c>
      <c r="F2" s="10"/>
      <c r="G2" s="10"/>
    </row>
    <row r="3" spans="2:7" s="11" customFormat="1" ht="29.25" thickBot="1" x14ac:dyDescent="0.5">
      <c r="B3" s="100">
        <v>1</v>
      </c>
      <c r="C3" s="102" t="str">
        <f ca="1">HYPERLINK(CELL("address",LoginWindow!B6),"Login window")</f>
        <v>Login window</v>
      </c>
      <c r="D3" s="105" t="str">
        <f ca="1">HYPERLINK(CELL("address",LoginWindow!C6),"1.Login window")</f>
        <v>1.Login window</v>
      </c>
      <c r="E3" s="106" t="str">
        <f ca="1">HYPERLINK(CELL("address",LoginWindow!D6),"1. Login window")</f>
        <v>1. Login window</v>
      </c>
      <c r="F3" s="10"/>
      <c r="G3" s="10"/>
    </row>
    <row r="4" spans="2:7" s="11" customFormat="1" ht="15.75" customHeight="1" x14ac:dyDescent="0.45">
      <c r="B4" s="112">
        <v>2</v>
      </c>
      <c r="C4" s="129" t="str">
        <f ca="1">HYPERLINK(CELL("address",StartingWindow!B4),"Starting window")</f>
        <v>Starting window</v>
      </c>
      <c r="D4" s="126" t="str">
        <f ca="1">HYPERLINK(CELL("address",StartingWindow!C4),"1. Side panel")</f>
        <v>1. Side panel</v>
      </c>
      <c r="E4" s="90" t="str">
        <f ca="1">HYPERLINK(CELL("address",StartingWindow!D4),"1. User")</f>
        <v>1. User</v>
      </c>
      <c r="F4" s="10"/>
      <c r="G4" s="10"/>
    </row>
    <row r="5" spans="2:7" s="11" customFormat="1" ht="17.25" customHeight="1" x14ac:dyDescent="0.45">
      <c r="B5" s="112"/>
      <c r="C5" s="130"/>
      <c r="D5" s="127"/>
      <c r="E5" s="90" t="str">
        <f ca="1">HYPERLINK(CELL("address",StartingWindow!D5),"2. My API PRO")</f>
        <v>2. My API PRO</v>
      </c>
      <c r="F5" s="10"/>
      <c r="G5" s="10"/>
    </row>
    <row r="6" spans="2:7" s="11" customFormat="1" ht="15.75" customHeight="1" thickBot="1" x14ac:dyDescent="0.5">
      <c r="B6" s="112"/>
      <c r="C6" s="130"/>
      <c r="D6" s="128"/>
      <c r="E6" s="87" t="str">
        <f ca="1">HYPERLINK(CELL("address",StartingWindow!D6),"3. History")</f>
        <v>3. History</v>
      </c>
      <c r="F6" s="10"/>
      <c r="G6" s="10"/>
    </row>
    <row r="7" spans="2:7" s="11" customFormat="1" ht="15.75" customHeight="1" x14ac:dyDescent="0.45">
      <c r="B7" s="112"/>
      <c r="C7" s="130"/>
      <c r="D7" s="131" t="str">
        <f ca="1">HYPERLINK(CELL("address",StartingWindow!C7),"2. Desktop")</f>
        <v>2. Desktop</v>
      </c>
      <c r="E7" s="85" t="str">
        <f ca="1">HYPERLINK(CELL("address",StartingWindow!D7),"1. Add Hotkeys")</f>
        <v>1. Add Hotkeys</v>
      </c>
      <c r="F7" s="10"/>
      <c r="G7" s="10"/>
    </row>
    <row r="8" spans="2:7" s="11" customFormat="1" ht="15.75" customHeight="1" x14ac:dyDescent="0.45">
      <c r="B8" s="112"/>
      <c r="C8" s="130"/>
      <c r="D8" s="127"/>
      <c r="E8" s="86" t="str">
        <f ca="1">HYPERLINK(CELL("address",StartingWindow!D8),"2. Insert Hotkeys")</f>
        <v>2. Insert Hotkeys</v>
      </c>
      <c r="F8" s="10"/>
      <c r="G8" s="10"/>
    </row>
    <row r="9" spans="2:7" s="3" customFormat="1" ht="15" customHeight="1" thickBot="1" x14ac:dyDescent="0.3">
      <c r="B9" s="112"/>
      <c r="C9" s="130"/>
      <c r="D9" s="132"/>
      <c r="E9" s="91" t="str">
        <f ca="1">HYPERLINK(CELL("address",StartingWindow!D9),"3. Properties")</f>
        <v>3. Properties</v>
      </c>
      <c r="F9" s="8"/>
    </row>
    <row r="10" spans="2:7" s="3" customFormat="1" ht="15" customHeight="1" x14ac:dyDescent="0.25">
      <c r="B10" s="134">
        <v>3</v>
      </c>
      <c r="C10" s="137" t="str">
        <f ca="1">HYPERLINK(CELL("address",BasicTab!B5),"Basic tab")</f>
        <v>Basic tab</v>
      </c>
      <c r="D10" s="133" t="str">
        <f ca="1">HYPERLINK(CELL("address", BasicTab!C5),"1. Information searching")</f>
        <v>1. Information searching</v>
      </c>
      <c r="E10" s="85" t="str">
        <f ca="1">HYPERLINK(CELL("address", BasicTab!D5),"1. Plant explorer")</f>
        <v>1. Plant explorer</v>
      </c>
      <c r="F10" s="8"/>
    </row>
    <row r="11" spans="2:7" s="3" customFormat="1" ht="15" customHeight="1" x14ac:dyDescent="0.25">
      <c r="B11" s="135"/>
      <c r="C11" s="138"/>
      <c r="D11" s="121"/>
      <c r="E11" s="86" t="str">
        <f ca="1">HYPERLINK(CELL("address", BasicTab!D6),"2. Graphical navigator")</f>
        <v>2. Graphical navigator</v>
      </c>
      <c r="F11" s="8"/>
    </row>
    <row r="12" spans="2:7" s="3" customFormat="1" ht="15" customHeight="1" x14ac:dyDescent="0.25">
      <c r="B12" s="135"/>
      <c r="C12" s="138"/>
      <c r="D12" s="121"/>
      <c r="E12" s="86" t="str">
        <f ca="1">HYPERLINK(CELL("address", BasicTab!D7),"3. Spare part searching")</f>
        <v>3. Spare part searching</v>
      </c>
      <c r="F12" s="8"/>
    </row>
    <row r="13" spans="2:7" s="3" customFormat="1" ht="15" customHeight="1" x14ac:dyDescent="0.25">
      <c r="B13" s="135"/>
      <c r="C13" s="138"/>
      <c r="D13" s="121"/>
      <c r="E13" s="86" t="str">
        <f ca="1">HYPERLINK(CELL("address", BasicTab!D13),"4. Technical data searching")</f>
        <v>4. Technical data searching</v>
      </c>
      <c r="F13" s="8"/>
    </row>
    <row r="14" spans="2:7" s="3" customFormat="1" ht="15" customHeight="1" x14ac:dyDescent="0.25">
      <c r="B14" s="135"/>
      <c r="C14" s="138"/>
      <c r="D14" s="121"/>
      <c r="E14" s="86" t="str">
        <f ca="1">HYPERLINK(CELL("address",BasicTab!D15),"5. Raw transactions")</f>
        <v>5. Raw transactions</v>
      </c>
      <c r="F14" s="8"/>
    </row>
    <row r="15" spans="2:7" s="3" customFormat="1" ht="15" customHeight="1" thickBot="1" x14ac:dyDescent="0.3">
      <c r="B15" s="135"/>
      <c r="C15" s="138"/>
      <c r="D15" s="122"/>
      <c r="E15" s="87" t="str">
        <f ca="1">HYPERLINK(CELL("address", BasicTab!D16),"6. Raw transactions (financial)")</f>
        <v>6. Raw transactions (financial)</v>
      </c>
      <c r="F15" s="8"/>
    </row>
    <row r="16" spans="2:7" s="3" customFormat="1" ht="15" customHeight="1" x14ac:dyDescent="0.25">
      <c r="B16" s="135"/>
      <c r="C16" s="138"/>
      <c r="D16" s="133" t="str">
        <f ca="1">HYPERLINK(CELL("address", BasicTab!C17),"2. Financial reporting")</f>
        <v>2. Financial reporting</v>
      </c>
      <c r="E16" s="85" t="str">
        <f ca="1">HYPERLINK(CELL("address", BasicTab!D17),"1. Financial transaction report")</f>
        <v>1. Financial transaction report</v>
      </c>
      <c r="F16" s="8"/>
    </row>
    <row r="17" spans="2:6" s="3" customFormat="1" ht="15" customHeight="1" x14ac:dyDescent="0.25">
      <c r="B17" s="135"/>
      <c r="C17" s="138"/>
      <c r="D17" s="140"/>
      <c r="E17" s="86" t="str">
        <f ca="1">HYPERLINK(CELL("address", BasicTab!D18),"2. Budget/cost analysis")</f>
        <v>2. Budget/cost analysis</v>
      </c>
      <c r="F17" s="8"/>
    </row>
    <row r="18" spans="2:6" s="3" customFormat="1" ht="15" customHeight="1" x14ac:dyDescent="0.25">
      <c r="B18" s="135"/>
      <c r="C18" s="138"/>
      <c r="D18" s="140"/>
      <c r="E18" s="86" t="str">
        <f ca="1">HYPERLINK(CELL("address", BasicTab!D20),"3. Budget report")</f>
        <v>3. Budget report</v>
      </c>
      <c r="F18" s="8"/>
    </row>
    <row r="19" spans="2:6" s="3" customFormat="1" ht="15" customHeight="1" thickBot="1" x14ac:dyDescent="0.3">
      <c r="B19" s="135"/>
      <c r="C19" s="138"/>
      <c r="D19" s="141"/>
      <c r="E19" s="87" t="str">
        <f ca="1">HYPERLINK(CELL("address", BasicTab!D21),"4. Balance report")</f>
        <v>4. Balance report</v>
      </c>
      <c r="F19" s="8"/>
    </row>
    <row r="20" spans="2:6" s="3" customFormat="1" ht="15" customHeight="1" x14ac:dyDescent="0.25">
      <c r="B20" s="135"/>
      <c r="C20" s="138"/>
      <c r="D20" s="133" t="str">
        <f ca="1">HYPERLINK(CELL("address", BasicTab!C22),"3. Plan documentation")</f>
        <v>3. Plan documentation</v>
      </c>
      <c r="E20" s="85" t="str">
        <f ca="1">HYPERLINK(CELL("address", BasicTab!D22),"1. Position")</f>
        <v>1. Position</v>
      </c>
      <c r="F20" s="8"/>
    </row>
    <row r="21" spans="2:6" s="3" customFormat="1" ht="15" customHeight="1" x14ac:dyDescent="0.25">
      <c r="B21" s="135"/>
      <c r="C21" s="138"/>
      <c r="D21" s="140"/>
      <c r="E21" s="86" t="str">
        <f ca="1">HYPERLINK(CELL("address", BasicTab!D24),"2. Maintenance object")</f>
        <v>2. Maintenance object</v>
      </c>
      <c r="F21" s="8"/>
    </row>
    <row r="22" spans="2:6" s="3" customFormat="1" ht="15" customHeight="1" x14ac:dyDescent="0.25">
      <c r="B22" s="135"/>
      <c r="C22" s="138"/>
      <c r="D22" s="140"/>
      <c r="E22" s="86" t="str">
        <f ca="1">HYPERLINK(CELL("address", BasicTab!D26),"3. Technical ID")</f>
        <v>3. Technical ID</v>
      </c>
      <c r="F22" s="8"/>
    </row>
    <row r="23" spans="2:6" s="3" customFormat="1" ht="15" customHeight="1" x14ac:dyDescent="0.25">
      <c r="B23" s="135"/>
      <c r="C23" s="138"/>
      <c r="D23" s="140"/>
      <c r="E23" s="86" t="str">
        <f ca="1">HYPERLINK(CELL("address", BasicTab!D28),"4. Counter")</f>
        <v>4. Counter</v>
      </c>
      <c r="F23" s="8"/>
    </row>
    <row r="24" spans="2:6" s="3" customFormat="1" ht="15" customHeight="1" x14ac:dyDescent="0.25">
      <c r="B24" s="135"/>
      <c r="C24" s="138"/>
      <c r="D24" s="140"/>
      <c r="E24" s="86" t="str">
        <f ca="1">HYPERLINK(CELL("address", BasicTab!D30),"5. Counter type")</f>
        <v>5. Counter type</v>
      </c>
      <c r="F24" s="8"/>
    </row>
    <row r="25" spans="2:6" s="3" customFormat="1" ht="15" customHeight="1" x14ac:dyDescent="0.25">
      <c r="B25" s="135"/>
      <c r="C25" s="138"/>
      <c r="D25" s="140"/>
      <c r="E25" s="86" t="str">
        <f ca="1">HYPERLINK(CELL("address", BasicTab!D32),"6. Technical data")</f>
        <v>6. Technical data</v>
      </c>
      <c r="F25" s="8"/>
    </row>
    <row r="26" spans="2:6" s="3" customFormat="1" ht="15" customHeight="1" x14ac:dyDescent="0.25">
      <c r="B26" s="135"/>
      <c r="C26" s="138"/>
      <c r="D26" s="140"/>
      <c r="E26" s="86" t="str">
        <f ca="1">HYPERLINK(CELL("address", BasicTab!D34),"7. Documents (drawnings)")</f>
        <v>7. Documents (drawnings)</v>
      </c>
      <c r="F26" s="8"/>
    </row>
    <row r="27" spans="2:6" s="3" customFormat="1" ht="15" customHeight="1" x14ac:dyDescent="0.25">
      <c r="B27" s="135"/>
      <c r="C27" s="138"/>
      <c r="D27" s="140"/>
      <c r="E27" s="86" t="str">
        <f ca="1">HYPERLINK(CELL("address", BasicTab!D36),"8. Supply type")</f>
        <v>8. Supply type</v>
      </c>
      <c r="F27" s="8"/>
    </row>
    <row r="28" spans="2:6" s="3" customFormat="1" ht="15" customHeight="1" x14ac:dyDescent="0.25">
      <c r="B28" s="135"/>
      <c r="C28" s="138"/>
      <c r="D28" s="140"/>
      <c r="E28" s="86" t="str">
        <f ca="1">HYPERLINK(CELL("address", BasicTab!D38),"9. Criticality")</f>
        <v>9. Criticality</v>
      </c>
      <c r="F28" s="8"/>
    </row>
    <row r="29" spans="2:6" s="3" customFormat="1" ht="15" customHeight="1" x14ac:dyDescent="0.25">
      <c r="B29" s="135"/>
      <c r="C29" s="138"/>
      <c r="D29" s="140"/>
      <c r="E29" s="86" t="str">
        <f ca="1">HYPERLINK(CELL("address", BasicTab!D40),"10. Object status")</f>
        <v>10. Object status</v>
      </c>
      <c r="F29" s="8"/>
    </row>
    <row r="30" spans="2:6" s="3" customFormat="1" ht="15" customHeight="1" x14ac:dyDescent="0.25">
      <c r="B30" s="135"/>
      <c r="C30" s="138"/>
      <c r="D30" s="140"/>
      <c r="E30" s="86" t="str">
        <f ca="1">HYPERLINK(CELL("address", BasicTab!D42),"11. Maintenance object group")</f>
        <v>11. Maintenance object group</v>
      </c>
      <c r="F30" s="8"/>
    </row>
    <row r="31" spans="2:6" s="3" customFormat="1" ht="15" customHeight="1" x14ac:dyDescent="0.25">
      <c r="B31" s="135"/>
      <c r="C31" s="138"/>
      <c r="D31" s="140"/>
      <c r="E31" s="86" t="str">
        <f ca="1">HYPERLINK(CELL("address", BasicTab!D44),"12. Maintenance object code")</f>
        <v>12. Maintenance object code</v>
      </c>
      <c r="F31" s="8"/>
    </row>
    <row r="32" spans="2:6" s="3" customFormat="1" ht="15" customHeight="1" x14ac:dyDescent="0.25">
      <c r="B32" s="135"/>
      <c r="C32" s="138"/>
      <c r="D32" s="140"/>
      <c r="E32" s="86" t="str">
        <f ca="1">HYPERLINK(CELL("address", BasicTab!D46),"13. Maintenance object manual log category")</f>
        <v>13. Maintenance object manual log category</v>
      </c>
      <c r="F32" s="8"/>
    </row>
    <row r="33" spans="2:6" s="3" customFormat="1" ht="15" customHeight="1" x14ac:dyDescent="0.25">
      <c r="B33" s="135"/>
      <c r="C33" s="138"/>
      <c r="D33" s="140"/>
      <c r="E33" s="86" t="str">
        <f ca="1">HYPERLINK(CELL("address", BasicTab!D48),"14. Position group")</f>
        <v>14. Position group</v>
      </c>
      <c r="F33" s="8"/>
    </row>
    <row r="34" spans="2:6" s="3" customFormat="1" ht="15" customHeight="1" x14ac:dyDescent="0.25">
      <c r="B34" s="135"/>
      <c r="C34" s="138"/>
      <c r="D34" s="140"/>
      <c r="E34" s="86" t="str">
        <f ca="1">HYPERLINK(CELL("address", BasicTab!D50),"15. Position code")</f>
        <v>15. Position code</v>
      </c>
      <c r="F34" s="8"/>
    </row>
    <row r="35" spans="2:6" s="3" customFormat="1" ht="15" customHeight="1" x14ac:dyDescent="0.25">
      <c r="B35" s="135"/>
      <c r="C35" s="138"/>
      <c r="D35" s="140"/>
      <c r="E35" s="86" t="str">
        <f ca="1">HYPERLINK(CELL("address", BasicTab!D52),"16. Position/Maintenance object tree copy")</f>
        <v>16. Position/Maintenance object tree copy</v>
      </c>
      <c r="F35" s="8"/>
    </row>
    <row r="36" spans="2:6" s="3" customFormat="1" ht="15" customHeight="1" thickBot="1" x14ac:dyDescent="0.3">
      <c r="B36" s="135"/>
      <c r="C36" s="138"/>
      <c r="D36" s="141"/>
      <c r="E36" s="87" t="str">
        <f ca="1">HYPERLINK(CELL("address", BasicTab!D53),"17. Position/Maintenance object tree delete")</f>
        <v>17. Position/Maintenance object tree delete</v>
      </c>
      <c r="F36" s="8"/>
    </row>
    <row r="37" spans="2:6" s="3" customFormat="1" ht="15" customHeight="1" x14ac:dyDescent="0.25">
      <c r="B37" s="135"/>
      <c r="C37" s="138"/>
      <c r="D37" s="133" t="str">
        <f ca="1">HYPERLINK(CELL("address", BasicTab!C54),"4. Basic data for maintenance")</f>
        <v>4. Basic data for maintenance</v>
      </c>
      <c r="E37" s="85" t="str">
        <f ca="1">HYPERLINK(CELL("address", BasicTab!D54),"1. Work supplier")</f>
        <v>1. Work supplier</v>
      </c>
      <c r="F37" s="8"/>
    </row>
    <row r="38" spans="2:6" s="3" customFormat="1" ht="15" customHeight="1" x14ac:dyDescent="0.25">
      <c r="B38" s="135"/>
      <c r="C38" s="138"/>
      <c r="D38" s="140"/>
      <c r="E38" s="86" t="str">
        <f ca="1">HYPERLINK(CELL("address", BasicTab!D56),"2. Work instruction")</f>
        <v>2. Work instruction</v>
      </c>
      <c r="F38" s="8"/>
    </row>
    <row r="39" spans="2:6" s="3" customFormat="1" ht="15" customHeight="1" x14ac:dyDescent="0.25">
      <c r="B39" s="135"/>
      <c r="C39" s="138"/>
      <c r="D39" s="140"/>
      <c r="E39" s="86" t="str">
        <f ca="1">HYPERLINK(CELL("address", BasicTab!D58),"3. Instruments")</f>
        <v>3. Instruments</v>
      </c>
      <c r="F39" s="8"/>
    </row>
    <row r="40" spans="2:6" s="3" customFormat="1" ht="15" customHeight="1" x14ac:dyDescent="0.25">
      <c r="B40" s="135"/>
      <c r="C40" s="138"/>
      <c r="D40" s="140"/>
      <c r="E40" s="86" t="str">
        <f ca="1">HYPERLINK(CELL("address", BasicTab!D60),"4. Job code")</f>
        <v>4. Job code</v>
      </c>
      <c r="F40" s="8"/>
    </row>
    <row r="41" spans="2:6" s="3" customFormat="1" ht="15" customHeight="1" x14ac:dyDescent="0.25">
      <c r="B41" s="135"/>
      <c r="C41" s="138"/>
      <c r="D41" s="140"/>
      <c r="E41" s="86" t="str">
        <f ca="1">HYPERLINK(CELL("address", BasicTab!D62),"5. Job cluster")</f>
        <v>5. Job cluster</v>
      </c>
      <c r="F41" s="8"/>
    </row>
    <row r="42" spans="2:6" s="3" customFormat="1" ht="15" customHeight="1" x14ac:dyDescent="0.25">
      <c r="B42" s="135"/>
      <c r="C42" s="138"/>
      <c r="D42" s="140"/>
      <c r="E42" s="86" t="str">
        <f ca="1">HYPERLINK(CELL("address", BasicTab!D64),"6. Symptom")</f>
        <v>6. Symptom</v>
      </c>
      <c r="F42" s="8"/>
    </row>
    <row r="43" spans="2:6" s="3" customFormat="1" ht="15" customHeight="1" x14ac:dyDescent="0.25">
      <c r="B43" s="135"/>
      <c r="C43" s="138"/>
      <c r="D43" s="140"/>
      <c r="E43" s="86" t="str">
        <f ca="1">HYPERLINK(CELL("address", BasicTab!D66),"7. Cause")</f>
        <v>7. Cause</v>
      </c>
      <c r="F43" s="8"/>
    </row>
    <row r="44" spans="2:6" s="3" customFormat="1" ht="15" customHeight="1" x14ac:dyDescent="0.25">
      <c r="B44" s="135"/>
      <c r="C44" s="138"/>
      <c r="D44" s="140"/>
      <c r="E44" s="86" t="str">
        <f ca="1">HYPERLINK(CELL("address", BasicTab!D68),"8. Action")</f>
        <v>8. Action</v>
      </c>
      <c r="F44" s="8"/>
    </row>
    <row r="45" spans="2:6" s="3" customFormat="1" ht="15" customHeight="1" x14ac:dyDescent="0.25">
      <c r="B45" s="135"/>
      <c r="C45" s="138"/>
      <c r="D45" s="140"/>
      <c r="E45" s="86" t="str">
        <f ca="1">HYPERLINK(CELL("address", BasicTab!D70),"9. Inspection code")</f>
        <v>9. Inspection code</v>
      </c>
      <c r="F45" s="8"/>
    </row>
    <row r="46" spans="2:6" s="3" customFormat="1" ht="15" customHeight="1" x14ac:dyDescent="0.25">
      <c r="B46" s="135"/>
      <c r="C46" s="138"/>
      <c r="D46" s="140"/>
      <c r="E46" s="86" t="str">
        <f ca="1">HYPERLINK(CELL("address", BasicTab!D72),"10. Inspection check code")</f>
        <v>10. Inspection check code</v>
      </c>
      <c r="F46" s="8"/>
    </row>
    <row r="47" spans="2:6" s="3" customFormat="1" ht="15" customHeight="1" x14ac:dyDescent="0.25">
      <c r="B47" s="135"/>
      <c r="C47" s="138"/>
      <c r="D47" s="140"/>
      <c r="E47" s="86" t="str">
        <f ca="1">HYPERLINK(CELL("address", BasicTab!D74),"11. Job status code")</f>
        <v>11. Job status code</v>
      </c>
      <c r="F47" s="8"/>
    </row>
    <row r="48" spans="2:6" s="3" customFormat="1" ht="15" customHeight="1" x14ac:dyDescent="0.25">
      <c r="B48" s="135"/>
      <c r="C48" s="138"/>
      <c r="D48" s="140"/>
      <c r="E48" s="86" t="str">
        <f ca="1">HYPERLINK(CELL("address", BasicTab!D76),"12. Job priority")</f>
        <v>12. Job priority</v>
      </c>
      <c r="F48" s="8"/>
    </row>
    <row r="49" spans="2:6" s="3" customFormat="1" ht="15" customHeight="1" x14ac:dyDescent="0.25">
      <c r="B49" s="135"/>
      <c r="C49" s="138"/>
      <c r="D49" s="140"/>
      <c r="E49" s="86" t="str">
        <f ca="1">HYPERLINK(CELL("address",BasicTab!D78),"13. Shift calendar")</f>
        <v>13. Shift calendar</v>
      </c>
      <c r="F49" s="8"/>
    </row>
    <row r="50" spans="2:6" s="3" customFormat="1" ht="15" customHeight="1" x14ac:dyDescent="0.25">
      <c r="B50" s="135"/>
      <c r="C50" s="138"/>
      <c r="D50" s="140"/>
      <c r="E50" s="86" t="str">
        <f ca="1">HYPERLINK(CELL("address", BasicTab!D80),"14. Shut down calendar")</f>
        <v>14. Shut down calendar</v>
      </c>
      <c r="F50" s="8"/>
    </row>
    <row r="51" spans="2:6" s="3" customFormat="1" ht="15" customHeight="1" x14ac:dyDescent="0.25">
      <c r="B51" s="135"/>
      <c r="C51" s="138"/>
      <c r="D51" s="140"/>
      <c r="E51" s="86" t="str">
        <f ca="1">HYPERLINK(CELL("address", BasicTab!D82),"15. Work category")</f>
        <v>15. Work category</v>
      </c>
      <c r="F51" s="8"/>
    </row>
    <row r="52" spans="2:6" s="3" customFormat="1" ht="15" customHeight="1" x14ac:dyDescent="0.25">
      <c r="B52" s="135"/>
      <c r="C52" s="138"/>
      <c r="D52" s="140"/>
      <c r="E52" s="86" t="str">
        <f ca="1">HYPERLINK(CELL("address", BasicTab!D84),"16. Shift definitions")</f>
        <v>16. Shift definitions</v>
      </c>
      <c r="F52" s="8"/>
    </row>
    <row r="53" spans="2:6" s="3" customFormat="1" ht="15" customHeight="1" x14ac:dyDescent="0.25">
      <c r="B53" s="135"/>
      <c r="C53" s="138"/>
      <c r="D53" s="140"/>
      <c r="E53" s="86" t="str">
        <f ca="1">HYPERLINK(CELL("address", BasicTab!D86),"17. Shift plan setup")</f>
        <v>17. Shift plan setup</v>
      </c>
      <c r="F53" s="8"/>
    </row>
    <row r="54" spans="2:6" s="3" customFormat="1" ht="15" customHeight="1" x14ac:dyDescent="0.25">
      <c r="B54" s="135"/>
      <c r="C54" s="138"/>
      <c r="D54" s="140"/>
      <c r="E54" s="86" t="str">
        <f ca="1">HYPERLINK(CELL("address", BasicTab!D88),"18. Work supplier group")</f>
        <v>18. Work supplier group</v>
      </c>
      <c r="F54" s="8"/>
    </row>
    <row r="55" spans="2:6" s="3" customFormat="1" ht="15" customHeight="1" x14ac:dyDescent="0.25">
      <c r="B55" s="135"/>
      <c r="C55" s="138"/>
      <c r="D55" s="140"/>
      <c r="E55" s="86" t="str">
        <f ca="1">HYPERLINK(CELL("address", BasicTab!D90),"19. Capacity group")</f>
        <v>19. Capacity group</v>
      </c>
      <c r="F55" s="8"/>
    </row>
    <row r="56" spans="2:6" s="3" customFormat="1" ht="15" customHeight="1" x14ac:dyDescent="0.25">
      <c r="B56" s="135"/>
      <c r="C56" s="138"/>
      <c r="D56" s="140"/>
      <c r="E56" s="86" t="str">
        <f ca="1">HYPERLINK(CELL("address", BasicTab!D92),"20. Project codes")</f>
        <v>20. Project codes</v>
      </c>
      <c r="F56" s="8"/>
    </row>
    <row r="57" spans="2:6" s="3" customFormat="1" ht="15" customHeight="1" x14ac:dyDescent="0.25">
      <c r="B57" s="135"/>
      <c r="C57" s="138"/>
      <c r="D57" s="140"/>
      <c r="E57" s="86" t="str">
        <f ca="1">HYPERLINK(CELL("address", BasicTab!D94),"21. Project groups")</f>
        <v>21. Project groups</v>
      </c>
      <c r="F57" s="8"/>
    </row>
    <row r="58" spans="2:6" s="3" customFormat="1" ht="15" customHeight="1" x14ac:dyDescent="0.25">
      <c r="B58" s="135"/>
      <c r="C58" s="138"/>
      <c r="D58" s="140"/>
      <c r="E58" s="86" t="str">
        <f ca="1">HYPERLINK(CELL("address", BasicTab!D96),"22. Inspection round code")</f>
        <v>22. Inspection round code</v>
      </c>
      <c r="F58" s="8"/>
    </row>
    <row r="59" spans="2:6" s="3" customFormat="1" ht="15" customHeight="1" x14ac:dyDescent="0.25">
      <c r="B59" s="135"/>
      <c r="C59" s="138"/>
      <c r="D59" s="140"/>
      <c r="E59" s="86" t="str">
        <f ca="1">HYPERLINK(CELL("address", BasicTab!D98),"23. Inspection round group")</f>
        <v>23. Inspection round group</v>
      </c>
      <c r="F59" s="8"/>
    </row>
    <row r="60" spans="2:6" s="3" customFormat="1" ht="15" customHeight="1" thickBot="1" x14ac:dyDescent="0.3">
      <c r="B60" s="135"/>
      <c r="C60" s="138"/>
      <c r="D60" s="141"/>
      <c r="E60" s="87" t="str">
        <f ca="1">HYPERLINK(CELL("address", BasicTab!D100),"24. Skill")</f>
        <v>24. Skill</v>
      </c>
      <c r="F60" s="8"/>
    </row>
    <row r="61" spans="2:6" s="3" customFormat="1" ht="15" customHeight="1" x14ac:dyDescent="0.25">
      <c r="B61" s="135"/>
      <c r="C61" s="138"/>
      <c r="D61" s="133" t="str">
        <f ca="1">HYPERLINK(CELL("address", BasicTab!C102),"5. Basic data for stock")</f>
        <v>5. Basic data for stock</v>
      </c>
      <c r="E61" s="85" t="str">
        <f ca="1">HYPERLINK(CELL("address",BasicTab!D102),"1. Spare part")</f>
        <v>1. Spare part</v>
      </c>
      <c r="F61" s="8"/>
    </row>
    <row r="62" spans="2:6" s="3" customFormat="1" ht="15" customHeight="1" x14ac:dyDescent="0.25">
      <c r="B62" s="135"/>
      <c r="C62" s="138"/>
      <c r="D62" s="140"/>
      <c r="E62" s="86" t="str">
        <f ca="1">HYPERLINK(CELL("address", BasicTab!D109),"2. Stock")</f>
        <v>2. Stock</v>
      </c>
      <c r="F62" s="8"/>
    </row>
    <row r="63" spans="2:6" s="3" customFormat="1" ht="15" customHeight="1" x14ac:dyDescent="0.25">
      <c r="B63" s="135"/>
      <c r="C63" s="138"/>
      <c r="D63" s="140"/>
      <c r="E63" s="86" t="str">
        <f ca="1">HYPERLINK(CELL("address", BasicTab!D111),"3. Stock control data")</f>
        <v>3. Stock control data</v>
      </c>
      <c r="F63" s="8"/>
    </row>
    <row r="64" spans="2:6" s="3" customFormat="1" ht="15" customHeight="1" x14ac:dyDescent="0.25">
      <c r="B64" s="135"/>
      <c r="C64" s="138"/>
      <c r="D64" s="140"/>
      <c r="E64" s="86" t="str">
        <f ca="1">HYPERLINK(CELL("address", BasicTab!D113),"4. Manufacturer")</f>
        <v>4. Manufacturer</v>
      </c>
      <c r="F64" s="8"/>
    </row>
    <row r="65" spans="2:6" s="3" customFormat="1" ht="15" customHeight="1" x14ac:dyDescent="0.25">
      <c r="B65" s="135"/>
      <c r="C65" s="138"/>
      <c r="D65" s="140"/>
      <c r="E65" s="86" t="str">
        <f ca="1">HYPERLINK(CELL("address", BasicTab!D1115),"5. Spare part catalogue")</f>
        <v>5. Spare part catalogue</v>
      </c>
      <c r="F65" s="8"/>
    </row>
    <row r="66" spans="2:6" s="3" customFormat="1" ht="15" customHeight="1" x14ac:dyDescent="0.25">
      <c r="B66" s="135"/>
      <c r="C66" s="138"/>
      <c r="D66" s="140"/>
      <c r="E66" s="86" t="str">
        <f ca="1">HYPERLINK(CELL("address", BasicTab!D116),"6. Search spare supplier data/catalogue")</f>
        <v>6. Search spare supplier data/catalogue</v>
      </c>
      <c r="F66" s="8"/>
    </row>
    <row r="67" spans="2:6" s="3" customFormat="1" ht="15" customHeight="1" x14ac:dyDescent="0.25">
      <c r="B67" s="135"/>
      <c r="C67" s="138"/>
      <c r="D67" s="140"/>
      <c r="E67" s="86" t="str">
        <f ca="1">HYPERLINK(CELL("address", BasicTab!D117),"7. Spare part group")</f>
        <v>7. Spare part group</v>
      </c>
      <c r="F67" s="8"/>
    </row>
    <row r="68" spans="2:6" s="3" customFormat="1" ht="15" customHeight="1" x14ac:dyDescent="0.25">
      <c r="B68" s="135"/>
      <c r="C68" s="138"/>
      <c r="D68" s="140"/>
      <c r="E68" s="86" t="str">
        <f ca="1">HYPERLINK(CELL("address", BasicTab!D119),"8. Spare part code")</f>
        <v>8. Spare part code</v>
      </c>
      <c r="F68" s="8"/>
    </row>
    <row r="69" spans="2:6" s="3" customFormat="1" ht="15" customHeight="1" x14ac:dyDescent="0.25">
      <c r="B69" s="135"/>
      <c r="C69" s="138"/>
      <c r="D69" s="140"/>
      <c r="E69" s="86" t="str">
        <f ca="1">HYPERLINK(CELL("address", BasicTab!D121),"9. Classification/ Read classification definition")</f>
        <v>9. Classification/ Read classification definition</v>
      </c>
      <c r="F69" s="8"/>
    </row>
    <row r="70" spans="2:6" s="3" customFormat="1" ht="15" customHeight="1" x14ac:dyDescent="0.25">
      <c r="B70" s="135"/>
      <c r="C70" s="138"/>
      <c r="D70" s="140"/>
      <c r="E70" s="86" t="str">
        <f ca="1">HYPERLINK(CELL("address", BasicTab!D122),"10. Classification/ Classification setup")</f>
        <v>10. Classification/ Classification setup</v>
      </c>
      <c r="F70" s="8"/>
    </row>
    <row r="71" spans="2:6" s="3" customFormat="1" ht="15" customHeight="1" x14ac:dyDescent="0.25">
      <c r="B71" s="135"/>
      <c r="C71" s="138"/>
      <c r="D71" s="140"/>
      <c r="E71" s="86" t="str">
        <f ca="1">HYPERLINK(CELL("address", BasicTab!D124),"11. Classification/ Read supplier spare part classification")</f>
        <v>11. Classification/ Read supplier spare part classification</v>
      </c>
      <c r="F71" s="8"/>
    </row>
    <row r="72" spans="2:6" s="3" customFormat="1" ht="15" customHeight="1" thickBot="1" x14ac:dyDescent="0.3">
      <c r="B72" s="135"/>
      <c r="C72" s="138"/>
      <c r="D72" s="141"/>
      <c r="E72" s="87" t="str">
        <f ca="1">HYPERLINK(CELL("address", BasicTab!D125),"12. Classification/ Read supplier spare part properties")</f>
        <v>12. Classification/ Read supplier spare part properties</v>
      </c>
      <c r="F72" s="8"/>
    </row>
    <row r="73" spans="2:6" s="3" customFormat="1" ht="15" customHeight="1" x14ac:dyDescent="0.25">
      <c r="B73" s="135"/>
      <c r="C73" s="138"/>
      <c r="D73" s="133" t="str">
        <f ca="1">HYPERLINK(CELL("address", BasicTab!C126),"6. Basic data accounting and purch")</f>
        <v>6. Basic data accounting and purch</v>
      </c>
      <c r="E73" s="85" t="str">
        <f ca="1">HYPERLINK(CELL("address", BasicTab!D126),"1. Supplier")</f>
        <v>1. Supplier</v>
      </c>
      <c r="F73" s="8"/>
    </row>
    <row r="74" spans="2:6" s="3" customFormat="1" ht="15" customHeight="1" x14ac:dyDescent="0.25">
      <c r="B74" s="135"/>
      <c r="C74" s="138"/>
      <c r="D74" s="140"/>
      <c r="E74" s="86" t="str">
        <f ca="1">HYPERLINK(CELL("address", BasicTab!D128),"2. Customer")</f>
        <v>2. Customer</v>
      </c>
      <c r="F74" s="8"/>
    </row>
    <row r="75" spans="2:6" s="3" customFormat="1" ht="15" customHeight="1" x14ac:dyDescent="0.25">
      <c r="B75" s="135"/>
      <c r="C75" s="138"/>
      <c r="D75" s="140"/>
      <c r="E75" s="86" t="str">
        <f ca="1">HYPERLINK(CELL("address", BasicTab!D130),"3. Currency")</f>
        <v>3. Currency</v>
      </c>
      <c r="F75" s="8"/>
    </row>
    <row r="76" spans="2:6" s="3" customFormat="1" ht="15" customHeight="1" x14ac:dyDescent="0.25">
      <c r="B76" s="135"/>
      <c r="C76" s="138"/>
      <c r="D76" s="140"/>
      <c r="E76" s="86" t="str">
        <f ca="1">HYPERLINK(CELL("address", BasicTab!D132),"4. Account")</f>
        <v>4. Account</v>
      </c>
      <c r="F76" s="8"/>
    </row>
    <row r="77" spans="2:6" s="3" customFormat="1" ht="15" customHeight="1" x14ac:dyDescent="0.25">
      <c r="B77" s="135"/>
      <c r="C77" s="138"/>
      <c r="D77" s="140"/>
      <c r="E77" s="86" t="str">
        <f ca="1">HYPERLINK(CELL("address", BasicTab!D134),"5. Cost type")</f>
        <v>5. Cost type</v>
      </c>
      <c r="F77" s="8"/>
    </row>
    <row r="78" spans="2:6" s="3" customFormat="1" ht="15" customHeight="1" x14ac:dyDescent="0.25">
      <c r="B78" s="135"/>
      <c r="C78" s="138"/>
      <c r="D78" s="140"/>
      <c r="E78" s="86" t="str">
        <f ca="1">HYPERLINK(CELL("address", BasicTab!D136),"6. Cost prupose")</f>
        <v>6. Cost prupose</v>
      </c>
      <c r="F78" s="8"/>
    </row>
    <row r="79" spans="2:6" s="3" customFormat="1" ht="15" customHeight="1" x14ac:dyDescent="0.25">
      <c r="B79" s="135"/>
      <c r="C79" s="138"/>
      <c r="D79" s="140"/>
      <c r="E79" s="86" t="str">
        <f ca="1">HYPERLINK(CELL("address", BasicTab!D138),"7. Cost carrier")</f>
        <v>7. Cost carrier</v>
      </c>
      <c r="F79" s="8"/>
    </row>
    <row r="80" spans="2:6" s="3" customFormat="1" ht="15" customHeight="1" x14ac:dyDescent="0.25">
      <c r="B80" s="135"/>
      <c r="C80" s="138"/>
      <c r="D80" s="140"/>
      <c r="E80" s="86" t="str">
        <f ca="1">HYPERLINK(CELL("address", BasicTab!D140),"8. Shipment conditions")</f>
        <v>8. Shipment conditions</v>
      </c>
      <c r="F80" s="8"/>
    </row>
    <row r="81" spans="2:6" s="3" customFormat="1" ht="15" customHeight="1" x14ac:dyDescent="0.25">
      <c r="B81" s="135"/>
      <c r="C81" s="138"/>
      <c r="D81" s="140"/>
      <c r="E81" s="86" t="str">
        <f ca="1">HYPERLINK(CELL("address", BasicTab!D142),"9. Delivery conditions")</f>
        <v>9. Delivery conditions</v>
      </c>
      <c r="F81" s="8"/>
    </row>
    <row r="82" spans="2:6" s="3" customFormat="1" ht="15" customHeight="1" x14ac:dyDescent="0.25">
      <c r="B82" s="135"/>
      <c r="C82" s="138"/>
      <c r="D82" s="140"/>
      <c r="E82" s="86" t="str">
        <f ca="1">HYPERLINK(CELL("address", BasicTab!D144),"10. Payment conditions")</f>
        <v>10. Payment conditions</v>
      </c>
      <c r="F82" s="8"/>
    </row>
    <row r="83" spans="2:6" s="3" customFormat="1" ht="15" customHeight="1" x14ac:dyDescent="0.25">
      <c r="B83" s="135"/>
      <c r="C83" s="138"/>
      <c r="D83" s="140"/>
      <c r="E83" s="86" t="str">
        <f ca="1">HYPERLINK(CELL("address", BasicTab!D146),"11. Agreement code")</f>
        <v>11. Agreement code</v>
      </c>
      <c r="F83" s="8"/>
    </row>
    <row r="84" spans="2:6" s="3" customFormat="1" ht="15" customHeight="1" x14ac:dyDescent="0.25">
      <c r="B84" s="135"/>
      <c r="C84" s="138"/>
      <c r="D84" s="140"/>
      <c r="E84" s="86" t="str">
        <f ca="1">HYPERLINK(CELL("address", BasicTab!D148),"12. Supplier code")</f>
        <v>12. Supplier code</v>
      </c>
      <c r="F84" s="8"/>
    </row>
    <row r="85" spans="2:6" s="3" customFormat="1" ht="15" customHeight="1" x14ac:dyDescent="0.25">
      <c r="B85" s="135"/>
      <c r="C85" s="138"/>
      <c r="D85" s="140"/>
      <c r="E85" s="86" t="str">
        <f ca="1">HYPERLINK(CELL("address", BasicTab!D150),"13. Supplier group")</f>
        <v>13. Supplier group</v>
      </c>
      <c r="F85" s="8"/>
    </row>
    <row r="86" spans="2:6" s="3" customFormat="1" ht="15" customHeight="1" x14ac:dyDescent="0.25">
      <c r="B86" s="135"/>
      <c r="C86" s="138"/>
      <c r="D86" s="140"/>
      <c r="E86" s="86" t="str">
        <f ca="1">HYPERLINK(CELL("address", BasicTab!D152),"14. VAT code")</f>
        <v>14. VAT code</v>
      </c>
      <c r="F86" s="8"/>
    </row>
    <row r="87" spans="2:6" s="3" customFormat="1" ht="15" customHeight="1" thickBot="1" x14ac:dyDescent="0.3">
      <c r="B87" s="135"/>
      <c r="C87" s="138"/>
      <c r="D87" s="141"/>
      <c r="E87" s="87" t="str">
        <f ca="1">HYPERLINK(CELL("address", BasicTab!D154),"15. Purchase organization")</f>
        <v>15. Purchase organization</v>
      </c>
      <c r="F87" s="8"/>
    </row>
    <row r="88" spans="2:6" s="3" customFormat="1" ht="15" customHeight="1" x14ac:dyDescent="0.25">
      <c r="B88" s="135"/>
      <c r="C88" s="138"/>
      <c r="D88" s="133" t="str">
        <f ca="1">HYPERLINK(CELL("address", BasicTab!C156),"7. General Basic data")</f>
        <v>7. General Basic data</v>
      </c>
      <c r="E88" s="85" t="str">
        <f ca="1">HYPERLINK(CELL("address", BasicTab!D156),"1. Legal unit")</f>
        <v>1. Legal unit</v>
      </c>
      <c r="F88" s="8"/>
    </row>
    <row r="89" spans="2:6" s="3" customFormat="1" ht="15" customHeight="1" x14ac:dyDescent="0.25">
      <c r="B89" s="135"/>
      <c r="C89" s="138"/>
      <c r="D89" s="140"/>
      <c r="E89" s="86" t="str">
        <f ca="1">HYPERLINK(CELL("address", BasicTab!D158),"2. Plant")</f>
        <v>2. Plant</v>
      </c>
      <c r="F89" s="8"/>
    </row>
    <row r="90" spans="2:6" s="3" customFormat="1" ht="15" customHeight="1" x14ac:dyDescent="0.25">
      <c r="B90" s="135"/>
      <c r="C90" s="138"/>
      <c r="D90" s="140"/>
      <c r="E90" s="86" t="str">
        <f ca="1">HYPERLINK(CELL("address", BasicTab!D160),"3. Site")</f>
        <v>3. Site</v>
      </c>
      <c r="F90" s="8"/>
    </row>
    <row r="91" spans="2:6" s="3" customFormat="1" ht="15" customHeight="1" x14ac:dyDescent="0.25">
      <c r="B91" s="135"/>
      <c r="C91" s="138"/>
      <c r="D91" s="140"/>
      <c r="E91" s="86" t="str">
        <f ca="1">HYPERLINK(CELL("address", BasicTab!D162),"4. Address")</f>
        <v>4. Address</v>
      </c>
      <c r="F91" s="8"/>
    </row>
    <row r="92" spans="2:6" s="3" customFormat="1" ht="15" customHeight="1" x14ac:dyDescent="0.25">
      <c r="B92" s="135"/>
      <c r="C92" s="138"/>
      <c r="D92" s="140"/>
      <c r="E92" s="86" t="str">
        <f ca="1">HYPERLINK(CELL("address", BasicTab!D164),"5. Contact person")</f>
        <v>5. Contact person</v>
      </c>
      <c r="F92" s="8"/>
    </row>
    <row r="93" spans="2:6" s="3" customFormat="1" ht="15" customHeight="1" x14ac:dyDescent="0.25">
      <c r="B93" s="135"/>
      <c r="C93" s="138"/>
      <c r="D93" s="140"/>
      <c r="E93" s="86" t="str">
        <f ca="1">HYPERLINK(CELL("address", BasicTab!D166),"6. Unit")</f>
        <v>6. Unit</v>
      </c>
      <c r="F93" s="8"/>
    </row>
    <row r="94" spans="2:6" s="3" customFormat="1" ht="15" customHeight="1" x14ac:dyDescent="0.25">
      <c r="B94" s="135"/>
      <c r="C94" s="138"/>
      <c r="D94" s="140"/>
      <c r="E94" s="86" t="str">
        <f ca="1">HYPERLINK(CELL("address", BasicTab!D168),"7. Language")</f>
        <v>7. Language</v>
      </c>
      <c r="F94" s="8"/>
    </row>
    <row r="95" spans="2:6" s="3" customFormat="1" ht="15" customHeight="1" x14ac:dyDescent="0.25">
      <c r="B95" s="135"/>
      <c r="C95" s="138"/>
      <c r="D95" s="140"/>
      <c r="E95" s="86" t="str">
        <f ca="1">HYPERLINK(CELL("address", BasicTab!D170),"8. Public holiday")</f>
        <v>8. Public holiday</v>
      </c>
      <c r="F95" s="8"/>
    </row>
    <row r="96" spans="2:6" s="3" customFormat="1" ht="15" customHeight="1" thickBot="1" x14ac:dyDescent="0.3">
      <c r="B96" s="135"/>
      <c r="C96" s="138"/>
      <c r="D96" s="141"/>
      <c r="E96" s="87" t="str">
        <f ca="1">HYPERLINK(CELL("address", BasicTab!D172),"9. Exception code")</f>
        <v>9. Exception code</v>
      </c>
      <c r="F96" s="8"/>
    </row>
    <row r="97" spans="2:6" s="3" customFormat="1" ht="15" customHeight="1" x14ac:dyDescent="0.25">
      <c r="B97" s="135"/>
      <c r="C97" s="138"/>
      <c r="D97" s="133" t="str">
        <f ca="1">HYPERLINK(CELL("address", BasicTab!C174),"8. Other")</f>
        <v>8. Other</v>
      </c>
      <c r="E97" s="85" t="str">
        <f ca="1">HYPERLINK(CELL("address",BasicTab!D174),"1. API messages")</f>
        <v>1. API messages</v>
      </c>
      <c r="F97" s="8"/>
    </row>
    <row r="98" spans="2:6" s="3" customFormat="1" ht="15" customHeight="1" x14ac:dyDescent="0.25">
      <c r="B98" s="135"/>
      <c r="C98" s="138"/>
      <c r="D98" s="140"/>
      <c r="E98" s="86" t="str">
        <f ca="1">HYPERLINK(CELL("address", BasicTab!D176),"2. Approval monitor")</f>
        <v>2. Approval monitor</v>
      </c>
      <c r="F98" s="8"/>
    </row>
    <row r="99" spans="2:6" s="3" customFormat="1" ht="15" customHeight="1" x14ac:dyDescent="0.25">
      <c r="B99" s="135"/>
      <c r="C99" s="138"/>
      <c r="D99" s="140"/>
      <c r="E99" s="86" t="str">
        <f ca="1">HYPERLINK(CELL("address", BasicTab!D178),"3. Calendar")</f>
        <v>3. Calendar</v>
      </c>
      <c r="F99" s="8"/>
    </row>
    <row r="100" spans="2:6" s="3" customFormat="1" ht="15" customHeight="1" x14ac:dyDescent="0.25">
      <c r="B100" s="135"/>
      <c r="C100" s="138"/>
      <c r="D100" s="140"/>
      <c r="E100" s="86" t="str">
        <f ca="1">HYPERLINK(CELL("address", BasicTab!D179),"4. Crystal Reports")</f>
        <v>4. Crystal Reports</v>
      </c>
      <c r="F100" s="8"/>
    </row>
    <row r="101" spans="2:6" s="3" customFormat="1" ht="15" customHeight="1" x14ac:dyDescent="0.25">
      <c r="B101" s="135"/>
      <c r="C101" s="138"/>
      <c r="D101" s="140"/>
      <c r="E101" s="86" t="str">
        <f ca="1">HYPERLINK(CELL("address", BasicTab!D180),"5. Window list")</f>
        <v>5. Window list</v>
      </c>
      <c r="F101" s="8"/>
    </row>
    <row r="102" spans="2:6" s="3" customFormat="1" ht="15" customHeight="1" x14ac:dyDescent="0.25">
      <c r="B102" s="135"/>
      <c r="C102" s="138"/>
      <c r="D102" s="140"/>
      <c r="E102" s="86" t="str">
        <f ca="1">HYPERLINK(CELL("address", BasicTab!D181),"6. Run external")</f>
        <v>6. Run external</v>
      </c>
      <c r="F102" s="8"/>
    </row>
    <row r="103" spans="2:6" s="3" customFormat="1" ht="15" customHeight="1" x14ac:dyDescent="0.25">
      <c r="B103" s="135"/>
      <c r="C103" s="138"/>
      <c r="D103" s="140"/>
      <c r="E103" s="86" t="str">
        <f ca="1">HYPERLINK(CELL("address", BasicTab!D182),"7. Exit")</f>
        <v>7. Exit</v>
      </c>
      <c r="F103" s="8"/>
    </row>
    <row r="104" spans="2:6" s="3" customFormat="1" ht="15.75" customHeight="1" thickBot="1" x14ac:dyDescent="0.3">
      <c r="B104" s="136"/>
      <c r="C104" s="139"/>
      <c r="D104" s="141"/>
      <c r="E104" s="87" t="str">
        <f ca="1">HYPERLINK(CELL("address", BasicTab!D183),"8. History")</f>
        <v>8. History</v>
      </c>
      <c r="F104" s="8"/>
    </row>
    <row r="105" spans="2:6" s="3" customFormat="1" ht="15.75" customHeight="1" x14ac:dyDescent="0.25">
      <c r="B105" s="142">
        <v>4</v>
      </c>
      <c r="C105" s="123" t="s">
        <v>397</v>
      </c>
      <c r="D105" s="144" t="s">
        <v>199</v>
      </c>
      <c r="E105" s="15" t="s">
        <v>206</v>
      </c>
      <c r="F105" s="8"/>
    </row>
    <row r="106" spans="2:6" s="3" customFormat="1" ht="15.75" customHeight="1" x14ac:dyDescent="0.25">
      <c r="B106" s="143"/>
      <c r="C106" s="124"/>
      <c r="D106" s="127"/>
      <c r="E106" s="12" t="s">
        <v>207</v>
      </c>
      <c r="F106" s="8"/>
    </row>
    <row r="107" spans="2:6" s="3" customFormat="1" ht="15.75" customHeight="1" x14ac:dyDescent="0.25">
      <c r="B107" s="143"/>
      <c r="C107" s="124"/>
      <c r="D107" s="127"/>
      <c r="E107" s="12" t="s">
        <v>208</v>
      </c>
      <c r="F107" s="8"/>
    </row>
    <row r="108" spans="2:6" s="3" customFormat="1" ht="15" customHeight="1" thickBot="1" x14ac:dyDescent="0.3">
      <c r="B108" s="143"/>
      <c r="C108" s="124"/>
      <c r="D108" s="128"/>
      <c r="E108" s="13" t="s">
        <v>209</v>
      </c>
      <c r="F108" s="8"/>
    </row>
    <row r="109" spans="2:6" s="3" customFormat="1" ht="15" customHeight="1" x14ac:dyDescent="0.25">
      <c r="B109" s="143"/>
      <c r="C109" s="124"/>
      <c r="D109" s="144" t="s">
        <v>200</v>
      </c>
      <c r="E109" s="15" t="s">
        <v>210</v>
      </c>
      <c r="F109" s="8"/>
    </row>
    <row r="110" spans="2:6" s="3" customFormat="1" ht="15" customHeight="1" x14ac:dyDescent="0.25">
      <c r="B110" s="143"/>
      <c r="C110" s="124"/>
      <c r="D110" s="127"/>
      <c r="E110" s="12" t="s">
        <v>211</v>
      </c>
      <c r="F110" s="8"/>
    </row>
    <row r="111" spans="2:6" s="3" customFormat="1" ht="15" customHeight="1" x14ac:dyDescent="0.25">
      <c r="B111" s="143"/>
      <c r="C111" s="124"/>
      <c r="D111" s="127"/>
      <c r="E111" s="12" t="s">
        <v>212</v>
      </c>
      <c r="F111" s="8"/>
    </row>
    <row r="112" spans="2:6" s="3" customFormat="1" ht="15" customHeight="1" x14ac:dyDescent="0.25">
      <c r="B112" s="143"/>
      <c r="C112" s="124"/>
      <c r="D112" s="127"/>
      <c r="E112" s="12" t="s">
        <v>213</v>
      </c>
      <c r="F112" s="8"/>
    </row>
    <row r="113" spans="2:6" s="3" customFormat="1" ht="15" customHeight="1" x14ac:dyDescent="0.25">
      <c r="B113" s="143"/>
      <c r="C113" s="124"/>
      <c r="D113" s="127"/>
      <c r="E113" s="12" t="s">
        <v>214</v>
      </c>
      <c r="F113" s="8"/>
    </row>
    <row r="114" spans="2:6" s="3" customFormat="1" ht="15" customHeight="1" x14ac:dyDescent="0.25">
      <c r="B114" s="143"/>
      <c r="C114" s="124"/>
      <c r="D114" s="127"/>
      <c r="E114" s="12" t="s">
        <v>215</v>
      </c>
      <c r="F114" s="8"/>
    </row>
    <row r="115" spans="2:6" s="3" customFormat="1" ht="15" customHeight="1" x14ac:dyDescent="0.25">
      <c r="B115" s="143"/>
      <c r="C115" s="124"/>
      <c r="D115" s="127"/>
      <c r="E115" s="12" t="s">
        <v>216</v>
      </c>
      <c r="F115" s="8"/>
    </row>
    <row r="116" spans="2:6" s="3" customFormat="1" ht="15" customHeight="1" x14ac:dyDescent="0.25">
      <c r="B116" s="143"/>
      <c r="C116" s="124"/>
      <c r="D116" s="127"/>
      <c r="E116" s="12" t="s">
        <v>217</v>
      </c>
      <c r="F116" s="8"/>
    </row>
    <row r="117" spans="2:6" s="3" customFormat="1" ht="15" customHeight="1" thickBot="1" x14ac:dyDescent="0.3">
      <c r="B117" s="143"/>
      <c r="C117" s="124"/>
      <c r="D117" s="128"/>
      <c r="E117" s="13" t="s">
        <v>218</v>
      </c>
      <c r="F117" s="8"/>
    </row>
    <row r="118" spans="2:6" s="3" customFormat="1" ht="15" customHeight="1" x14ac:dyDescent="0.25">
      <c r="B118" s="143"/>
      <c r="C118" s="124"/>
      <c r="D118" s="144" t="s">
        <v>201</v>
      </c>
      <c r="E118" s="15" t="s">
        <v>219</v>
      </c>
      <c r="F118" s="8"/>
    </row>
    <row r="119" spans="2:6" s="3" customFormat="1" ht="15" customHeight="1" x14ac:dyDescent="0.25">
      <c r="B119" s="143"/>
      <c r="C119" s="124"/>
      <c r="D119" s="127"/>
      <c r="E119" s="12" t="s">
        <v>220</v>
      </c>
      <c r="F119" s="8"/>
    </row>
    <row r="120" spans="2:6" s="3" customFormat="1" ht="15" customHeight="1" x14ac:dyDescent="0.25">
      <c r="B120" s="143"/>
      <c r="C120" s="124"/>
      <c r="D120" s="127"/>
      <c r="E120" s="12" t="s">
        <v>221</v>
      </c>
      <c r="F120" s="8"/>
    </row>
    <row r="121" spans="2:6" s="3" customFormat="1" ht="15" customHeight="1" x14ac:dyDescent="0.25">
      <c r="B121" s="143"/>
      <c r="C121" s="124"/>
      <c r="D121" s="127"/>
      <c r="E121" s="12" t="s">
        <v>222</v>
      </c>
      <c r="F121" s="8"/>
    </row>
    <row r="122" spans="2:6" s="3" customFormat="1" ht="15" customHeight="1" x14ac:dyDescent="0.25">
      <c r="B122" s="143"/>
      <c r="C122" s="124"/>
      <c r="D122" s="127"/>
      <c r="E122" s="12" t="s">
        <v>223</v>
      </c>
      <c r="F122" s="8"/>
    </row>
    <row r="123" spans="2:6" s="3" customFormat="1" ht="15" customHeight="1" x14ac:dyDescent="0.25">
      <c r="B123" s="143"/>
      <c r="C123" s="124"/>
      <c r="D123" s="127"/>
      <c r="E123" s="12" t="s">
        <v>224</v>
      </c>
      <c r="F123" s="8"/>
    </row>
    <row r="124" spans="2:6" s="3" customFormat="1" ht="15" customHeight="1" x14ac:dyDescent="0.25">
      <c r="B124" s="143"/>
      <c r="C124" s="124"/>
      <c r="D124" s="127"/>
      <c r="E124" s="12" t="s">
        <v>225</v>
      </c>
      <c r="F124" s="8"/>
    </row>
    <row r="125" spans="2:6" s="3" customFormat="1" ht="15" customHeight="1" x14ac:dyDescent="0.25">
      <c r="B125" s="143"/>
      <c r="C125" s="124"/>
      <c r="D125" s="127"/>
      <c r="E125" s="12" t="s">
        <v>226</v>
      </c>
      <c r="F125" s="8"/>
    </row>
    <row r="126" spans="2:6" s="3" customFormat="1" ht="15" customHeight="1" x14ac:dyDescent="0.25">
      <c r="B126" s="143"/>
      <c r="C126" s="124"/>
      <c r="D126" s="127"/>
      <c r="E126" s="12" t="s">
        <v>227</v>
      </c>
      <c r="F126" s="8"/>
    </row>
    <row r="127" spans="2:6" s="3" customFormat="1" ht="15" customHeight="1" thickBot="1" x14ac:dyDescent="0.3">
      <c r="B127" s="143"/>
      <c r="C127" s="124"/>
      <c r="D127" s="128"/>
      <c r="E127" s="13" t="s">
        <v>228</v>
      </c>
      <c r="F127" s="8"/>
    </row>
    <row r="128" spans="2:6" s="3" customFormat="1" ht="15" customHeight="1" x14ac:dyDescent="0.25">
      <c r="B128" s="143"/>
      <c r="C128" s="124"/>
      <c r="D128" s="120" t="s">
        <v>202</v>
      </c>
      <c r="E128" s="15" t="s">
        <v>229</v>
      </c>
      <c r="F128" s="8"/>
    </row>
    <row r="129" spans="2:6" s="3" customFormat="1" ht="15" customHeight="1" thickBot="1" x14ac:dyDescent="0.3">
      <c r="B129" s="143"/>
      <c r="C129" s="124"/>
      <c r="D129" s="122"/>
      <c r="E129" s="13" t="s">
        <v>230</v>
      </c>
      <c r="F129" s="8"/>
    </row>
    <row r="130" spans="2:6" s="3" customFormat="1" ht="15" customHeight="1" x14ac:dyDescent="0.25">
      <c r="B130" s="143"/>
      <c r="C130" s="124"/>
      <c r="D130" s="120" t="s">
        <v>203</v>
      </c>
      <c r="E130" s="15" t="s">
        <v>231</v>
      </c>
      <c r="F130" s="8"/>
    </row>
    <row r="131" spans="2:6" s="3" customFormat="1" ht="15" customHeight="1" x14ac:dyDescent="0.25">
      <c r="B131" s="143"/>
      <c r="C131" s="124"/>
      <c r="D131" s="121"/>
      <c r="E131" s="12" t="s">
        <v>232</v>
      </c>
      <c r="F131" s="8"/>
    </row>
    <row r="132" spans="2:6" s="3" customFormat="1" ht="15" customHeight="1" x14ac:dyDescent="0.25">
      <c r="B132" s="143"/>
      <c r="C132" s="124"/>
      <c r="D132" s="121"/>
      <c r="E132" s="12" t="s">
        <v>233</v>
      </c>
      <c r="F132" s="8"/>
    </row>
    <row r="133" spans="2:6" s="3" customFormat="1" ht="15" customHeight="1" x14ac:dyDescent="0.25">
      <c r="B133" s="143"/>
      <c r="C133" s="124"/>
      <c r="D133" s="121"/>
      <c r="E133" s="12" t="s">
        <v>234</v>
      </c>
      <c r="F133" s="8"/>
    </row>
    <row r="134" spans="2:6" s="3" customFormat="1" ht="15" customHeight="1" x14ac:dyDescent="0.25">
      <c r="B134" s="143"/>
      <c r="C134" s="124"/>
      <c r="D134" s="121"/>
      <c r="E134" s="12" t="s">
        <v>235</v>
      </c>
      <c r="F134" s="8"/>
    </row>
    <row r="135" spans="2:6" s="3" customFormat="1" ht="15" customHeight="1" thickBot="1" x14ac:dyDescent="0.3">
      <c r="B135" s="143"/>
      <c r="C135" s="124"/>
      <c r="D135" s="122"/>
      <c r="E135" s="13" t="s">
        <v>236</v>
      </c>
      <c r="F135" s="8"/>
    </row>
    <row r="136" spans="2:6" s="3" customFormat="1" ht="15" customHeight="1" x14ac:dyDescent="0.25">
      <c r="B136" s="143"/>
      <c r="C136" s="124"/>
      <c r="D136" s="120" t="s">
        <v>204</v>
      </c>
      <c r="E136" s="15" t="s">
        <v>237</v>
      </c>
      <c r="F136" s="8"/>
    </row>
    <row r="137" spans="2:6" s="3" customFormat="1" ht="15" customHeight="1" x14ac:dyDescent="0.25">
      <c r="B137" s="143"/>
      <c r="C137" s="124"/>
      <c r="D137" s="121"/>
      <c r="E137" s="12" t="s">
        <v>238</v>
      </c>
      <c r="F137" s="8"/>
    </row>
    <row r="138" spans="2:6" s="3" customFormat="1" ht="15" customHeight="1" x14ac:dyDescent="0.25">
      <c r="B138" s="143"/>
      <c r="C138" s="124"/>
      <c r="D138" s="121"/>
      <c r="E138" s="12" t="s">
        <v>239</v>
      </c>
      <c r="F138" s="8"/>
    </row>
    <row r="139" spans="2:6" s="3" customFormat="1" ht="15" customHeight="1" x14ac:dyDescent="0.25">
      <c r="B139" s="143"/>
      <c r="C139" s="124"/>
      <c r="D139" s="121"/>
      <c r="E139" s="12" t="s">
        <v>240</v>
      </c>
      <c r="F139" s="8"/>
    </row>
    <row r="140" spans="2:6" s="3" customFormat="1" ht="15" customHeight="1" x14ac:dyDescent="0.25">
      <c r="B140" s="143"/>
      <c r="C140" s="124"/>
      <c r="D140" s="121"/>
      <c r="E140" s="12" t="s">
        <v>241</v>
      </c>
      <c r="F140" s="8"/>
    </row>
    <row r="141" spans="2:6" s="3" customFormat="1" ht="15" customHeight="1" x14ac:dyDescent="0.25">
      <c r="B141" s="143"/>
      <c r="C141" s="124"/>
      <c r="D141" s="121"/>
      <c r="E141" s="12" t="s">
        <v>242</v>
      </c>
      <c r="F141" s="8"/>
    </row>
    <row r="142" spans="2:6" s="3" customFormat="1" ht="15" customHeight="1" x14ac:dyDescent="0.25">
      <c r="B142" s="143"/>
      <c r="C142" s="124"/>
      <c r="D142" s="121"/>
      <c r="E142" s="12" t="s">
        <v>243</v>
      </c>
      <c r="F142" s="8"/>
    </row>
    <row r="143" spans="2:6" s="3" customFormat="1" ht="15" customHeight="1" x14ac:dyDescent="0.25">
      <c r="B143" s="143"/>
      <c r="C143" s="124"/>
      <c r="D143" s="121"/>
      <c r="E143" s="12" t="s">
        <v>244</v>
      </c>
      <c r="F143" s="8"/>
    </row>
    <row r="144" spans="2:6" s="3" customFormat="1" ht="15" customHeight="1" x14ac:dyDescent="0.25">
      <c r="B144" s="143"/>
      <c r="C144" s="124"/>
      <c r="D144" s="121"/>
      <c r="E144" s="12" t="s">
        <v>245</v>
      </c>
      <c r="F144" s="8"/>
    </row>
    <row r="145" spans="2:6" s="3" customFormat="1" ht="15" customHeight="1" x14ac:dyDescent="0.25">
      <c r="B145" s="143"/>
      <c r="C145" s="124"/>
      <c r="D145" s="121"/>
      <c r="E145" s="12" t="s">
        <v>246</v>
      </c>
      <c r="F145" s="8"/>
    </row>
    <row r="146" spans="2:6" s="3" customFormat="1" ht="15" customHeight="1" thickBot="1" x14ac:dyDescent="0.3">
      <c r="B146" s="143"/>
      <c r="C146" s="124"/>
      <c r="D146" s="122"/>
      <c r="E146" s="13" t="s">
        <v>247</v>
      </c>
      <c r="F146" s="8"/>
    </row>
    <row r="147" spans="2:6" s="3" customFormat="1" ht="15" customHeight="1" x14ac:dyDescent="0.25">
      <c r="B147" s="143"/>
      <c r="C147" s="124"/>
      <c r="D147" s="120" t="s">
        <v>205</v>
      </c>
      <c r="E147" s="15" t="s">
        <v>248</v>
      </c>
      <c r="F147" s="8"/>
    </row>
    <row r="148" spans="2:6" s="3" customFormat="1" ht="15" customHeight="1" thickBot="1" x14ac:dyDescent="0.3">
      <c r="B148" s="143"/>
      <c r="C148" s="124"/>
      <c r="D148" s="122"/>
      <c r="E148" s="13" t="s">
        <v>249</v>
      </c>
      <c r="F148" s="8"/>
    </row>
    <row r="149" spans="2:6" s="3" customFormat="1" ht="15" customHeight="1" x14ac:dyDescent="0.25">
      <c r="B149" s="143"/>
      <c r="C149" s="124"/>
      <c r="D149" s="120" t="s">
        <v>116</v>
      </c>
      <c r="E149" s="15" t="s">
        <v>250</v>
      </c>
      <c r="F149" s="8"/>
    </row>
    <row r="150" spans="2:6" s="3" customFormat="1" ht="15" customHeight="1" x14ac:dyDescent="0.25">
      <c r="B150" s="143"/>
      <c r="C150" s="124"/>
      <c r="D150" s="121"/>
      <c r="E150" s="12" t="s">
        <v>251</v>
      </c>
      <c r="F150" s="8"/>
    </row>
    <row r="151" spans="2:6" s="3" customFormat="1" ht="15" customHeight="1" x14ac:dyDescent="0.25">
      <c r="B151" s="143"/>
      <c r="C151" s="124"/>
      <c r="D151" s="121"/>
      <c r="E151" s="12" t="s">
        <v>252</v>
      </c>
      <c r="F151" s="8"/>
    </row>
    <row r="152" spans="2:6" s="3" customFormat="1" ht="15" customHeight="1" x14ac:dyDescent="0.25">
      <c r="B152" s="143"/>
      <c r="C152" s="124"/>
      <c r="D152" s="121"/>
      <c r="E152" s="12" t="s">
        <v>253</v>
      </c>
      <c r="F152" s="8"/>
    </row>
    <row r="153" spans="2:6" s="3" customFormat="1" ht="15" customHeight="1" x14ac:dyDescent="0.25">
      <c r="B153" s="143"/>
      <c r="C153" s="124"/>
      <c r="D153" s="121"/>
      <c r="E153" s="12" t="s">
        <v>254</v>
      </c>
      <c r="F153" s="8"/>
    </row>
    <row r="154" spans="2:6" s="3" customFormat="1" ht="15" customHeight="1" x14ac:dyDescent="0.25">
      <c r="B154" s="143"/>
      <c r="C154" s="124"/>
      <c r="D154" s="121"/>
      <c r="E154" s="12" t="s">
        <v>255</v>
      </c>
      <c r="F154" s="8"/>
    </row>
    <row r="155" spans="2:6" s="3" customFormat="1" ht="15" customHeight="1" x14ac:dyDescent="0.25">
      <c r="B155" s="143"/>
      <c r="C155" s="124"/>
      <c r="D155" s="121"/>
      <c r="E155" s="12" t="s">
        <v>256</v>
      </c>
      <c r="F155" s="8"/>
    </row>
    <row r="156" spans="2:6" s="3" customFormat="1" ht="15" customHeight="1" x14ac:dyDescent="0.25">
      <c r="B156" s="143"/>
      <c r="C156" s="124"/>
      <c r="D156" s="121"/>
      <c r="E156" s="12" t="s">
        <v>257</v>
      </c>
      <c r="F156" s="8"/>
    </row>
    <row r="157" spans="2:6" s="3" customFormat="1" ht="15" customHeight="1" x14ac:dyDescent="0.25">
      <c r="B157" s="143"/>
      <c r="C157" s="124"/>
      <c r="D157" s="121"/>
      <c r="E157" s="12" t="s">
        <v>258</v>
      </c>
      <c r="F157" s="8"/>
    </row>
    <row r="158" spans="2:6" s="3" customFormat="1" ht="15" customHeight="1" x14ac:dyDescent="0.25">
      <c r="B158" s="143"/>
      <c r="C158" s="124"/>
      <c r="D158" s="121"/>
      <c r="E158" s="12" t="s">
        <v>259</v>
      </c>
      <c r="F158" s="8"/>
    </row>
    <row r="159" spans="2:6" s="3" customFormat="1" ht="15" customHeight="1" x14ac:dyDescent="0.25">
      <c r="B159" s="143"/>
      <c r="C159" s="124"/>
      <c r="D159" s="121"/>
      <c r="E159" s="12" t="s">
        <v>260</v>
      </c>
      <c r="F159" s="8"/>
    </row>
    <row r="160" spans="2:6" s="3" customFormat="1" ht="15" customHeight="1" thickBot="1" x14ac:dyDescent="0.3">
      <c r="B160" s="143"/>
      <c r="C160" s="125"/>
      <c r="D160" s="121"/>
      <c r="E160" s="14" t="s">
        <v>261</v>
      </c>
      <c r="F160" s="8"/>
    </row>
    <row r="161" spans="2:6" s="3" customFormat="1" ht="15" customHeight="1" x14ac:dyDescent="0.25">
      <c r="B161" s="111">
        <v>5</v>
      </c>
      <c r="C161" s="114" t="s">
        <v>398</v>
      </c>
      <c r="D161" s="120" t="s">
        <v>270</v>
      </c>
      <c r="E161" s="15" t="s">
        <v>262</v>
      </c>
      <c r="F161" s="8"/>
    </row>
    <row r="162" spans="2:6" s="3" customFormat="1" ht="15" customHeight="1" x14ac:dyDescent="0.25">
      <c r="B162" s="112"/>
      <c r="C162" s="115"/>
      <c r="D162" s="121"/>
      <c r="E162" s="12" t="s">
        <v>263</v>
      </c>
      <c r="F162" s="8"/>
    </row>
    <row r="163" spans="2:6" s="3" customFormat="1" ht="15" customHeight="1" x14ac:dyDescent="0.25">
      <c r="B163" s="112"/>
      <c r="C163" s="115"/>
      <c r="D163" s="121"/>
      <c r="E163" s="12" t="s">
        <v>264</v>
      </c>
      <c r="F163" s="8"/>
    </row>
    <row r="164" spans="2:6" s="3" customFormat="1" ht="15" customHeight="1" x14ac:dyDescent="0.25">
      <c r="B164" s="112"/>
      <c r="C164" s="115"/>
      <c r="D164" s="121"/>
      <c r="E164" s="12" t="s">
        <v>265</v>
      </c>
      <c r="F164" s="8"/>
    </row>
    <row r="165" spans="2:6" s="3" customFormat="1" ht="15" customHeight="1" x14ac:dyDescent="0.25">
      <c r="B165" s="112"/>
      <c r="C165" s="115"/>
      <c r="D165" s="121"/>
      <c r="E165" s="12" t="s">
        <v>266</v>
      </c>
      <c r="F165" s="8"/>
    </row>
    <row r="166" spans="2:6" s="3" customFormat="1" ht="15" customHeight="1" x14ac:dyDescent="0.25">
      <c r="B166" s="112"/>
      <c r="C166" s="115"/>
      <c r="D166" s="121"/>
      <c r="E166" s="12" t="s">
        <v>267</v>
      </c>
      <c r="F166" s="8"/>
    </row>
    <row r="167" spans="2:6" s="3" customFormat="1" ht="15" customHeight="1" x14ac:dyDescent="0.25">
      <c r="B167" s="112"/>
      <c r="C167" s="115"/>
      <c r="D167" s="121"/>
      <c r="E167" s="12" t="s">
        <v>268</v>
      </c>
      <c r="F167" s="8"/>
    </row>
    <row r="168" spans="2:6" s="3" customFormat="1" ht="15.75" thickBot="1" x14ac:dyDescent="0.3">
      <c r="B168" s="112"/>
      <c r="C168" s="115"/>
      <c r="D168" s="121"/>
      <c r="E168" s="14" t="s">
        <v>269</v>
      </c>
      <c r="F168" s="8"/>
    </row>
    <row r="169" spans="2:6" s="3" customFormat="1" x14ac:dyDescent="0.25">
      <c r="B169" s="111">
        <v>6</v>
      </c>
      <c r="C169" s="114" t="s">
        <v>399</v>
      </c>
      <c r="D169" s="120" t="s">
        <v>270</v>
      </c>
      <c r="E169" s="15" t="s">
        <v>271</v>
      </c>
      <c r="F169" s="8"/>
    </row>
    <row r="170" spans="2:6" s="3" customFormat="1" x14ac:dyDescent="0.25">
      <c r="B170" s="112"/>
      <c r="C170" s="115"/>
      <c r="D170" s="121"/>
      <c r="E170" s="12" t="s">
        <v>272</v>
      </c>
      <c r="F170" s="8"/>
    </row>
    <row r="171" spans="2:6" s="3" customFormat="1" x14ac:dyDescent="0.25">
      <c r="B171" s="112"/>
      <c r="C171" s="115"/>
      <c r="D171" s="121"/>
      <c r="E171" s="12" t="s">
        <v>273</v>
      </c>
      <c r="F171" s="8"/>
    </row>
    <row r="172" spans="2:6" s="3" customFormat="1" x14ac:dyDescent="0.25">
      <c r="B172" s="112"/>
      <c r="C172" s="115"/>
      <c r="D172" s="121"/>
      <c r="E172" s="12" t="s">
        <v>274</v>
      </c>
      <c r="F172" s="8"/>
    </row>
    <row r="173" spans="2:6" s="3" customFormat="1" x14ac:dyDescent="0.25">
      <c r="B173" s="112"/>
      <c r="C173" s="115"/>
      <c r="D173" s="121"/>
      <c r="E173" s="12" t="s">
        <v>275</v>
      </c>
      <c r="F173" s="8"/>
    </row>
    <row r="174" spans="2:6" s="3" customFormat="1" x14ac:dyDescent="0.25">
      <c r="B174" s="112"/>
      <c r="C174" s="115"/>
      <c r="D174" s="121"/>
      <c r="E174" s="12" t="s">
        <v>276</v>
      </c>
      <c r="F174" s="8"/>
    </row>
    <row r="175" spans="2:6" s="3" customFormat="1" ht="15.75" thickBot="1" x14ac:dyDescent="0.3">
      <c r="B175" s="113"/>
      <c r="C175" s="116"/>
      <c r="D175" s="121"/>
      <c r="E175" s="14" t="s">
        <v>277</v>
      </c>
      <c r="F175" s="8"/>
    </row>
    <row r="176" spans="2:6" s="3" customFormat="1" x14ac:dyDescent="0.25">
      <c r="B176" s="111">
        <v>7</v>
      </c>
      <c r="C176" s="114" t="s">
        <v>400</v>
      </c>
      <c r="D176" s="120" t="s">
        <v>270</v>
      </c>
      <c r="E176" s="15" t="s">
        <v>279</v>
      </c>
      <c r="F176" s="8"/>
    </row>
    <row r="177" spans="2:6" s="3" customFormat="1" x14ac:dyDescent="0.25">
      <c r="B177" s="112"/>
      <c r="C177" s="115"/>
      <c r="D177" s="121"/>
      <c r="E177" s="12" t="s">
        <v>280</v>
      </c>
      <c r="F177" s="8"/>
    </row>
    <row r="178" spans="2:6" s="3" customFormat="1" x14ac:dyDescent="0.25">
      <c r="B178" s="112"/>
      <c r="C178" s="115"/>
      <c r="D178" s="121"/>
      <c r="E178" s="12" t="s">
        <v>281</v>
      </c>
      <c r="F178" s="8"/>
    </row>
    <row r="179" spans="2:6" s="3" customFormat="1" x14ac:dyDescent="0.25">
      <c r="B179" s="112"/>
      <c r="C179" s="115"/>
      <c r="D179" s="121"/>
      <c r="E179" s="12" t="s">
        <v>282</v>
      </c>
      <c r="F179" s="8"/>
    </row>
    <row r="180" spans="2:6" s="3" customFormat="1" x14ac:dyDescent="0.25">
      <c r="B180" s="112"/>
      <c r="C180" s="115"/>
      <c r="D180" s="121"/>
      <c r="E180" s="12" t="s">
        <v>283</v>
      </c>
      <c r="F180" s="8"/>
    </row>
    <row r="181" spans="2:6" s="3" customFormat="1" x14ac:dyDescent="0.25">
      <c r="B181" s="112"/>
      <c r="C181" s="115"/>
      <c r="D181" s="121"/>
      <c r="E181" s="12" t="s">
        <v>284</v>
      </c>
      <c r="F181" s="8"/>
    </row>
    <row r="182" spans="2:6" s="3" customFormat="1" x14ac:dyDescent="0.25">
      <c r="B182" s="112"/>
      <c r="C182" s="115"/>
      <c r="D182" s="121"/>
      <c r="E182" s="12" t="s">
        <v>285</v>
      </c>
      <c r="F182" s="8"/>
    </row>
    <row r="183" spans="2:6" s="3" customFormat="1" x14ac:dyDescent="0.25">
      <c r="B183" s="112"/>
      <c r="C183" s="115"/>
      <c r="D183" s="121"/>
      <c r="E183" s="12" t="s">
        <v>286</v>
      </c>
      <c r="F183" s="8"/>
    </row>
    <row r="184" spans="2:6" s="3" customFormat="1" x14ac:dyDescent="0.25">
      <c r="B184" s="112"/>
      <c r="C184" s="115"/>
      <c r="D184" s="121"/>
      <c r="E184" s="12" t="s">
        <v>287</v>
      </c>
      <c r="F184" s="8"/>
    </row>
    <row r="185" spans="2:6" s="3" customFormat="1" x14ac:dyDescent="0.25">
      <c r="B185" s="112"/>
      <c r="C185" s="115"/>
      <c r="D185" s="121"/>
      <c r="E185" s="12" t="s">
        <v>288</v>
      </c>
      <c r="F185" s="8"/>
    </row>
    <row r="186" spans="2:6" s="3" customFormat="1" x14ac:dyDescent="0.25">
      <c r="B186" s="112"/>
      <c r="C186" s="115"/>
      <c r="D186" s="121"/>
      <c r="E186" s="12" t="s">
        <v>289</v>
      </c>
      <c r="F186" s="8"/>
    </row>
    <row r="187" spans="2:6" s="3" customFormat="1" x14ac:dyDescent="0.25">
      <c r="B187" s="112"/>
      <c r="C187" s="115"/>
      <c r="D187" s="121"/>
      <c r="E187" s="12" t="s">
        <v>290</v>
      </c>
      <c r="F187" s="8"/>
    </row>
    <row r="188" spans="2:6" s="3" customFormat="1" x14ac:dyDescent="0.25">
      <c r="B188" s="112"/>
      <c r="C188" s="115"/>
      <c r="D188" s="121"/>
      <c r="E188" s="12" t="s">
        <v>291</v>
      </c>
      <c r="F188" s="8"/>
    </row>
    <row r="189" spans="2:6" s="3" customFormat="1" ht="15.75" thickBot="1" x14ac:dyDescent="0.3">
      <c r="B189" s="112"/>
      <c r="C189" s="115"/>
      <c r="D189" s="122"/>
      <c r="E189" s="13" t="s">
        <v>292</v>
      </c>
      <c r="F189" s="8"/>
    </row>
    <row r="190" spans="2:6" s="3" customFormat="1" x14ac:dyDescent="0.25">
      <c r="B190" s="112"/>
      <c r="C190" s="115"/>
      <c r="D190" s="120" t="s">
        <v>278</v>
      </c>
      <c r="E190" s="15" t="s">
        <v>293</v>
      </c>
      <c r="F190" s="8"/>
    </row>
    <row r="191" spans="2:6" s="3" customFormat="1" x14ac:dyDescent="0.25">
      <c r="B191" s="112"/>
      <c r="C191" s="115"/>
      <c r="D191" s="121"/>
      <c r="E191" s="16" t="s">
        <v>294</v>
      </c>
      <c r="F191" s="8"/>
    </row>
    <row r="192" spans="2:6" s="3" customFormat="1" x14ac:dyDescent="0.25">
      <c r="B192" s="112"/>
      <c r="C192" s="115"/>
      <c r="D192" s="121"/>
      <c r="E192" s="16" t="s">
        <v>295</v>
      </c>
      <c r="F192" s="8"/>
    </row>
    <row r="193" spans="2:6" s="3" customFormat="1" x14ac:dyDescent="0.25">
      <c r="B193" s="112"/>
      <c r="C193" s="115"/>
      <c r="D193" s="121"/>
      <c r="E193" s="16" t="s">
        <v>296</v>
      </c>
      <c r="F193" s="8"/>
    </row>
    <row r="194" spans="2:6" s="3" customFormat="1" x14ac:dyDescent="0.25">
      <c r="B194" s="112"/>
      <c r="C194" s="115"/>
      <c r="D194" s="121"/>
      <c r="E194" s="16" t="s">
        <v>297</v>
      </c>
      <c r="F194" s="8"/>
    </row>
    <row r="195" spans="2:6" s="3" customFormat="1" x14ac:dyDescent="0.25">
      <c r="B195" s="112"/>
      <c r="C195" s="115"/>
      <c r="D195" s="121"/>
      <c r="E195" s="16" t="s">
        <v>298</v>
      </c>
      <c r="F195" s="8"/>
    </row>
    <row r="196" spans="2:6" s="3" customFormat="1" x14ac:dyDescent="0.25">
      <c r="B196" s="112"/>
      <c r="C196" s="115"/>
      <c r="D196" s="121"/>
      <c r="E196" s="16" t="s">
        <v>299</v>
      </c>
      <c r="F196" s="8"/>
    </row>
    <row r="197" spans="2:6" s="3" customFormat="1" x14ac:dyDescent="0.25">
      <c r="B197" s="112"/>
      <c r="C197" s="115"/>
      <c r="D197" s="121"/>
      <c r="E197" s="16" t="s">
        <v>300</v>
      </c>
      <c r="F197" s="8"/>
    </row>
    <row r="198" spans="2:6" s="3" customFormat="1" x14ac:dyDescent="0.25">
      <c r="B198" s="112"/>
      <c r="C198" s="115"/>
      <c r="D198" s="121"/>
      <c r="E198" s="16" t="s">
        <v>301</v>
      </c>
      <c r="F198" s="8"/>
    </row>
    <row r="199" spans="2:6" s="3" customFormat="1" x14ac:dyDescent="0.25">
      <c r="B199" s="112"/>
      <c r="C199" s="115"/>
      <c r="D199" s="121"/>
      <c r="E199" s="16" t="s">
        <v>302</v>
      </c>
      <c r="F199" s="8"/>
    </row>
    <row r="200" spans="2:6" s="3" customFormat="1" ht="15.75" thickBot="1" x14ac:dyDescent="0.3">
      <c r="B200" s="112"/>
      <c r="C200" s="115"/>
      <c r="D200" s="121"/>
      <c r="E200" s="17" t="s">
        <v>303</v>
      </c>
      <c r="F200" s="8"/>
    </row>
    <row r="201" spans="2:6" s="3" customFormat="1" x14ac:dyDescent="0.25">
      <c r="B201" s="111">
        <v>8</v>
      </c>
      <c r="C201" s="114" t="s">
        <v>401</v>
      </c>
      <c r="D201" s="120" t="s">
        <v>270</v>
      </c>
      <c r="E201" s="15" t="s">
        <v>305</v>
      </c>
      <c r="F201" s="8"/>
    </row>
    <row r="202" spans="2:6" s="3" customFormat="1" x14ac:dyDescent="0.25">
      <c r="B202" s="112"/>
      <c r="C202" s="115"/>
      <c r="D202" s="121"/>
      <c r="E202" s="12" t="s">
        <v>306</v>
      </c>
      <c r="F202" s="8"/>
    </row>
    <row r="203" spans="2:6" s="3" customFormat="1" x14ac:dyDescent="0.25">
      <c r="B203" s="112"/>
      <c r="C203" s="115"/>
      <c r="D203" s="121"/>
      <c r="E203" s="12" t="s">
        <v>307</v>
      </c>
      <c r="F203" s="8"/>
    </row>
    <row r="204" spans="2:6" s="3" customFormat="1" x14ac:dyDescent="0.25">
      <c r="B204" s="112"/>
      <c r="C204" s="115"/>
      <c r="D204" s="121"/>
      <c r="E204" s="12" t="s">
        <v>308</v>
      </c>
      <c r="F204" s="8"/>
    </row>
    <row r="205" spans="2:6" s="3" customFormat="1" x14ac:dyDescent="0.25">
      <c r="B205" s="112"/>
      <c r="C205" s="115"/>
      <c r="D205" s="121"/>
      <c r="E205" s="12" t="s">
        <v>309</v>
      </c>
      <c r="F205" s="8"/>
    </row>
    <row r="206" spans="2:6" s="3" customFormat="1" x14ac:dyDescent="0.25">
      <c r="B206" s="112"/>
      <c r="C206" s="115"/>
      <c r="D206" s="121"/>
      <c r="E206" s="12" t="s">
        <v>310</v>
      </c>
      <c r="F206" s="8"/>
    </row>
    <row r="207" spans="2:6" s="3" customFormat="1" x14ac:dyDescent="0.25">
      <c r="B207" s="112"/>
      <c r="C207" s="115"/>
      <c r="D207" s="121"/>
      <c r="E207" s="12" t="s">
        <v>311</v>
      </c>
      <c r="F207" s="8"/>
    </row>
    <row r="208" spans="2:6" s="3" customFormat="1" x14ac:dyDescent="0.25">
      <c r="B208" s="112"/>
      <c r="C208" s="115"/>
      <c r="D208" s="121"/>
      <c r="E208" s="12" t="s">
        <v>313</v>
      </c>
      <c r="F208" s="8"/>
    </row>
    <row r="209" spans="2:6" s="3" customFormat="1" x14ac:dyDescent="0.25">
      <c r="B209" s="112"/>
      <c r="C209" s="115"/>
      <c r="D209" s="121"/>
      <c r="E209" s="12" t="s">
        <v>312</v>
      </c>
      <c r="F209" s="8"/>
    </row>
    <row r="210" spans="2:6" s="3" customFormat="1" x14ac:dyDescent="0.25">
      <c r="B210" s="112"/>
      <c r="C210" s="115"/>
      <c r="D210" s="121"/>
      <c r="E210" s="12" t="s">
        <v>314</v>
      </c>
      <c r="F210" s="8"/>
    </row>
    <row r="211" spans="2:6" s="3" customFormat="1" ht="15.75" thickBot="1" x14ac:dyDescent="0.3">
      <c r="B211" s="112"/>
      <c r="C211" s="115"/>
      <c r="D211" s="122"/>
      <c r="E211" s="13" t="s">
        <v>315</v>
      </c>
      <c r="F211" s="8"/>
    </row>
    <row r="212" spans="2:6" s="3" customFormat="1" x14ac:dyDescent="0.25">
      <c r="B212" s="112"/>
      <c r="C212" s="115"/>
      <c r="D212" s="120" t="s">
        <v>304</v>
      </c>
      <c r="E212" s="15" t="s">
        <v>316</v>
      </c>
      <c r="F212" s="8"/>
    </row>
    <row r="213" spans="2:6" s="3" customFormat="1" x14ac:dyDescent="0.25">
      <c r="B213" s="112"/>
      <c r="C213" s="115"/>
      <c r="D213" s="121"/>
      <c r="E213" s="16" t="s">
        <v>317</v>
      </c>
      <c r="F213" s="8"/>
    </row>
    <row r="214" spans="2:6" s="3" customFormat="1" x14ac:dyDescent="0.25">
      <c r="B214" s="112"/>
      <c r="C214" s="115"/>
      <c r="D214" s="121"/>
      <c r="E214" s="16" t="s">
        <v>318</v>
      </c>
      <c r="F214" s="8"/>
    </row>
    <row r="215" spans="2:6" s="3" customFormat="1" x14ac:dyDescent="0.25">
      <c r="B215" s="112"/>
      <c r="C215" s="115"/>
      <c r="D215" s="121"/>
      <c r="E215" s="16" t="s">
        <v>319</v>
      </c>
      <c r="F215" s="8"/>
    </row>
    <row r="216" spans="2:6" s="3" customFormat="1" x14ac:dyDescent="0.25">
      <c r="B216" s="112"/>
      <c r="C216" s="115"/>
      <c r="D216" s="121"/>
      <c r="E216" s="16" t="s">
        <v>320</v>
      </c>
      <c r="F216" s="8"/>
    </row>
    <row r="217" spans="2:6" s="3" customFormat="1" x14ac:dyDescent="0.25">
      <c r="B217" s="112"/>
      <c r="C217" s="115"/>
      <c r="D217" s="121"/>
      <c r="E217" s="16" t="s">
        <v>321</v>
      </c>
      <c r="F217" s="8"/>
    </row>
    <row r="218" spans="2:6" s="3" customFormat="1" x14ac:dyDescent="0.25">
      <c r="B218" s="112"/>
      <c r="C218" s="115"/>
      <c r="D218" s="121"/>
      <c r="E218" s="16" t="s">
        <v>322</v>
      </c>
      <c r="F218" s="8"/>
    </row>
    <row r="219" spans="2:6" s="3" customFormat="1" x14ac:dyDescent="0.25">
      <c r="B219" s="112"/>
      <c r="C219" s="115"/>
      <c r="D219" s="121"/>
      <c r="E219" s="16" t="s">
        <v>323</v>
      </c>
      <c r="F219" s="8"/>
    </row>
    <row r="220" spans="2:6" s="3" customFormat="1" ht="15.75" thickBot="1" x14ac:dyDescent="0.3">
      <c r="B220" s="112"/>
      <c r="C220" s="115"/>
      <c r="D220" s="121"/>
      <c r="E220" s="14" t="s">
        <v>324</v>
      </c>
      <c r="F220" s="8"/>
    </row>
    <row r="221" spans="2:6" s="3" customFormat="1" x14ac:dyDescent="0.25">
      <c r="B221" s="111">
        <v>9</v>
      </c>
      <c r="C221" s="123" t="s">
        <v>402</v>
      </c>
      <c r="D221" s="120" t="s">
        <v>325</v>
      </c>
      <c r="E221" s="15" t="s">
        <v>326</v>
      </c>
      <c r="F221" s="8"/>
    </row>
    <row r="222" spans="2:6" s="3" customFormat="1" ht="15" customHeight="1" thickBot="1" x14ac:dyDescent="0.3">
      <c r="B222" s="112"/>
      <c r="C222" s="124"/>
      <c r="D222" s="122"/>
      <c r="E222" s="13" t="s">
        <v>327</v>
      </c>
      <c r="F222" s="8"/>
    </row>
    <row r="223" spans="2:6" s="3" customFormat="1" x14ac:dyDescent="0.25">
      <c r="B223" s="112"/>
      <c r="C223" s="124"/>
      <c r="D223" s="120" t="s">
        <v>328</v>
      </c>
      <c r="E223" s="15" t="s">
        <v>329</v>
      </c>
      <c r="F223" s="8"/>
    </row>
    <row r="224" spans="2:6" s="3" customFormat="1" ht="15.75" thickBot="1" x14ac:dyDescent="0.3">
      <c r="B224" s="112"/>
      <c r="C224" s="124"/>
      <c r="D224" s="122"/>
      <c r="E224" s="13" t="s">
        <v>330</v>
      </c>
      <c r="F224" s="8"/>
    </row>
    <row r="225" spans="2:6" s="3" customFormat="1" x14ac:dyDescent="0.25">
      <c r="B225" s="112"/>
      <c r="C225" s="124"/>
      <c r="D225" s="120" t="s">
        <v>331</v>
      </c>
      <c r="E225" s="15" t="s">
        <v>333</v>
      </c>
      <c r="F225" s="8"/>
    </row>
    <row r="226" spans="2:6" s="3" customFormat="1" x14ac:dyDescent="0.25">
      <c r="B226" s="112"/>
      <c r="C226" s="124"/>
      <c r="D226" s="121"/>
      <c r="E226" s="12" t="s">
        <v>334</v>
      </c>
      <c r="F226" s="8"/>
    </row>
    <row r="227" spans="2:6" s="3" customFormat="1" x14ac:dyDescent="0.25">
      <c r="B227" s="112"/>
      <c r="C227" s="124"/>
      <c r="D227" s="121"/>
      <c r="E227" s="12" t="s">
        <v>335</v>
      </c>
      <c r="F227" s="8"/>
    </row>
    <row r="228" spans="2:6" s="3" customFormat="1" x14ac:dyDescent="0.25">
      <c r="B228" s="112"/>
      <c r="C228" s="124"/>
      <c r="D228" s="121"/>
      <c r="E228" s="12" t="s">
        <v>336</v>
      </c>
      <c r="F228" s="8"/>
    </row>
    <row r="229" spans="2:6" s="3" customFormat="1" ht="15.75" thickBot="1" x14ac:dyDescent="0.3">
      <c r="B229" s="112"/>
      <c r="C229" s="124"/>
      <c r="D229" s="122"/>
      <c r="E229" s="13" t="s">
        <v>337</v>
      </c>
      <c r="F229" s="8"/>
    </row>
    <row r="230" spans="2:6" s="3" customFormat="1" x14ac:dyDescent="0.25">
      <c r="B230" s="112"/>
      <c r="C230" s="124"/>
      <c r="D230" s="120" t="s">
        <v>332</v>
      </c>
      <c r="E230" s="15" t="s">
        <v>338</v>
      </c>
      <c r="F230" s="8"/>
    </row>
    <row r="231" spans="2:6" s="3" customFormat="1" x14ac:dyDescent="0.25">
      <c r="B231" s="112"/>
      <c r="C231" s="124"/>
      <c r="D231" s="121"/>
      <c r="E231" s="12" t="s">
        <v>339</v>
      </c>
      <c r="F231" s="8"/>
    </row>
    <row r="232" spans="2:6" s="3" customFormat="1" x14ac:dyDescent="0.25">
      <c r="B232" s="112"/>
      <c r="C232" s="124"/>
      <c r="D232" s="121"/>
      <c r="E232" s="12" t="s">
        <v>340</v>
      </c>
      <c r="F232" s="8"/>
    </row>
    <row r="233" spans="2:6" s="3" customFormat="1" x14ac:dyDescent="0.25">
      <c r="B233" s="112"/>
      <c r="C233" s="124"/>
      <c r="D233" s="121"/>
      <c r="E233" s="12" t="s">
        <v>341</v>
      </c>
      <c r="F233" s="8"/>
    </row>
    <row r="234" spans="2:6" s="3" customFormat="1" x14ac:dyDescent="0.25">
      <c r="B234" s="112"/>
      <c r="C234" s="124"/>
      <c r="D234" s="121"/>
      <c r="E234" s="12" t="s">
        <v>342</v>
      </c>
      <c r="F234" s="8"/>
    </row>
    <row r="235" spans="2:6" s="3" customFormat="1" x14ac:dyDescent="0.25">
      <c r="B235" s="112"/>
      <c r="C235" s="124"/>
      <c r="D235" s="121"/>
      <c r="E235" s="12" t="s">
        <v>343</v>
      </c>
      <c r="F235" s="8"/>
    </row>
    <row r="236" spans="2:6" s="3" customFormat="1" ht="15.75" thickBot="1" x14ac:dyDescent="0.3">
      <c r="B236" s="112"/>
      <c r="C236" s="125"/>
      <c r="D236" s="121"/>
      <c r="E236" s="14" t="s">
        <v>344</v>
      </c>
      <c r="F236" s="8"/>
    </row>
    <row r="237" spans="2:6" s="3" customFormat="1" x14ac:dyDescent="0.25">
      <c r="B237" s="111">
        <v>10</v>
      </c>
      <c r="C237" s="114" t="s">
        <v>403</v>
      </c>
      <c r="D237" s="120" t="s">
        <v>106</v>
      </c>
      <c r="E237" s="15" t="s">
        <v>345</v>
      </c>
      <c r="F237" s="8"/>
    </row>
    <row r="238" spans="2:6" s="3" customFormat="1" x14ac:dyDescent="0.25">
      <c r="B238" s="112"/>
      <c r="C238" s="115"/>
      <c r="D238" s="121"/>
      <c r="E238" s="12" t="s">
        <v>346</v>
      </c>
      <c r="F238" s="8"/>
    </row>
    <row r="239" spans="2:6" s="3" customFormat="1" x14ac:dyDescent="0.25">
      <c r="B239" s="112"/>
      <c r="C239" s="115"/>
      <c r="D239" s="121"/>
      <c r="E239" s="12" t="s">
        <v>347</v>
      </c>
      <c r="F239" s="8"/>
    </row>
    <row r="240" spans="2:6" s="3" customFormat="1" x14ac:dyDescent="0.25">
      <c r="B240" s="112"/>
      <c r="C240" s="115"/>
      <c r="D240" s="121"/>
      <c r="E240" s="12" t="s">
        <v>348</v>
      </c>
      <c r="F240" s="8"/>
    </row>
    <row r="241" spans="2:6" s="3" customFormat="1" x14ac:dyDescent="0.25">
      <c r="B241" s="112"/>
      <c r="C241" s="115"/>
      <c r="D241" s="121"/>
      <c r="E241" s="12" t="s">
        <v>349</v>
      </c>
      <c r="F241" s="8"/>
    </row>
    <row r="242" spans="2:6" s="3" customFormat="1" x14ac:dyDescent="0.25">
      <c r="B242" s="112"/>
      <c r="C242" s="115"/>
      <c r="D242" s="121"/>
      <c r="E242" s="12" t="s">
        <v>350</v>
      </c>
      <c r="F242" s="8"/>
    </row>
    <row r="243" spans="2:6" s="3" customFormat="1" x14ac:dyDescent="0.25">
      <c r="B243" s="112"/>
      <c r="C243" s="115"/>
      <c r="D243" s="121"/>
      <c r="E243" s="12" t="s">
        <v>351</v>
      </c>
      <c r="F243" s="8"/>
    </row>
    <row r="244" spans="2:6" s="3" customFormat="1" x14ac:dyDescent="0.25">
      <c r="B244" s="112"/>
      <c r="C244" s="115"/>
      <c r="D244" s="121"/>
      <c r="E244" s="12" t="s">
        <v>352</v>
      </c>
      <c r="F244" s="8"/>
    </row>
    <row r="245" spans="2:6" s="3" customFormat="1" x14ac:dyDescent="0.25">
      <c r="B245" s="112"/>
      <c r="C245" s="115"/>
      <c r="D245" s="121"/>
      <c r="E245" s="12" t="s">
        <v>353</v>
      </c>
      <c r="F245" s="8"/>
    </row>
    <row r="246" spans="2:6" s="3" customFormat="1" x14ac:dyDescent="0.25">
      <c r="B246" s="112"/>
      <c r="C246" s="115"/>
      <c r="D246" s="121"/>
      <c r="E246" s="12" t="s">
        <v>354</v>
      </c>
      <c r="F246" s="8"/>
    </row>
    <row r="247" spans="2:6" s="3" customFormat="1" x14ac:dyDescent="0.25">
      <c r="B247" s="112"/>
      <c r="C247" s="115"/>
      <c r="D247" s="121"/>
      <c r="E247" s="12" t="s">
        <v>355</v>
      </c>
      <c r="F247" s="8"/>
    </row>
    <row r="248" spans="2:6" s="3" customFormat="1" x14ac:dyDescent="0.25">
      <c r="B248" s="112"/>
      <c r="C248" s="115"/>
      <c r="D248" s="121"/>
      <c r="E248" s="12" t="s">
        <v>356</v>
      </c>
      <c r="F248" s="8"/>
    </row>
    <row r="249" spans="2:6" s="3" customFormat="1" x14ac:dyDescent="0.25">
      <c r="B249" s="112"/>
      <c r="C249" s="115"/>
      <c r="D249" s="121"/>
      <c r="E249" s="12" t="s">
        <v>357</v>
      </c>
      <c r="F249" s="8"/>
    </row>
    <row r="250" spans="2:6" s="3" customFormat="1" x14ac:dyDescent="0.25">
      <c r="B250" s="112"/>
      <c r="C250" s="115"/>
      <c r="D250" s="121"/>
      <c r="E250" s="12" t="s">
        <v>358</v>
      </c>
      <c r="F250" s="8"/>
    </row>
    <row r="251" spans="2:6" s="3" customFormat="1" x14ac:dyDescent="0.25">
      <c r="B251" s="112"/>
      <c r="C251" s="115"/>
      <c r="D251" s="121"/>
      <c r="E251" s="12" t="s">
        <v>359</v>
      </c>
      <c r="F251" s="8"/>
    </row>
    <row r="252" spans="2:6" s="3" customFormat="1" ht="15.75" thickBot="1" x14ac:dyDescent="0.3">
      <c r="B252" s="112"/>
      <c r="C252" s="115"/>
      <c r="D252" s="122"/>
      <c r="E252" s="13" t="s">
        <v>360</v>
      </c>
      <c r="F252" s="8"/>
    </row>
    <row r="253" spans="2:6" s="3" customFormat="1" x14ac:dyDescent="0.25">
      <c r="B253" s="112"/>
      <c r="C253" s="115"/>
      <c r="D253" s="120" t="s">
        <v>361</v>
      </c>
      <c r="E253" s="15" t="s">
        <v>362</v>
      </c>
      <c r="F253" s="8"/>
    </row>
    <row r="254" spans="2:6" s="3" customFormat="1" x14ac:dyDescent="0.25">
      <c r="B254" s="112"/>
      <c r="C254" s="115"/>
      <c r="D254" s="121"/>
      <c r="E254" s="16" t="s">
        <v>363</v>
      </c>
      <c r="F254" s="8"/>
    </row>
    <row r="255" spans="2:6" s="3" customFormat="1" x14ac:dyDescent="0.25">
      <c r="B255" s="112"/>
      <c r="C255" s="115"/>
      <c r="D255" s="121"/>
      <c r="E255" s="16" t="s">
        <v>364</v>
      </c>
      <c r="F255" s="8"/>
    </row>
    <row r="256" spans="2:6" s="3" customFormat="1" x14ac:dyDescent="0.25">
      <c r="B256" s="112"/>
      <c r="C256" s="115"/>
      <c r="D256" s="121"/>
      <c r="E256" s="16" t="s">
        <v>365</v>
      </c>
      <c r="F256" s="8"/>
    </row>
    <row r="257" spans="2:6" s="3" customFormat="1" x14ac:dyDescent="0.25">
      <c r="B257" s="112"/>
      <c r="C257" s="115"/>
      <c r="D257" s="121"/>
      <c r="E257" s="16" t="s">
        <v>366</v>
      </c>
      <c r="F257" s="8"/>
    </row>
    <row r="258" spans="2:6" s="3" customFormat="1" x14ac:dyDescent="0.25">
      <c r="B258" s="112"/>
      <c r="C258" s="115"/>
      <c r="D258" s="121"/>
      <c r="E258" s="16" t="s">
        <v>367</v>
      </c>
      <c r="F258" s="8"/>
    </row>
    <row r="259" spans="2:6" s="3" customFormat="1" x14ac:dyDescent="0.25">
      <c r="B259" s="112"/>
      <c r="C259" s="115"/>
      <c r="D259" s="121"/>
      <c r="E259" s="16" t="s">
        <v>368</v>
      </c>
      <c r="F259" s="8"/>
    </row>
    <row r="260" spans="2:6" s="3" customFormat="1" x14ac:dyDescent="0.25">
      <c r="B260" s="112"/>
      <c r="C260" s="115"/>
      <c r="D260" s="121"/>
      <c r="E260" s="16" t="s">
        <v>369</v>
      </c>
      <c r="F260" s="8"/>
    </row>
    <row r="261" spans="2:6" s="3" customFormat="1" x14ac:dyDescent="0.25">
      <c r="B261" s="112"/>
      <c r="C261" s="115"/>
      <c r="D261" s="121"/>
      <c r="E261" s="16" t="s">
        <v>370</v>
      </c>
      <c r="F261" s="8"/>
    </row>
    <row r="262" spans="2:6" s="3" customFormat="1" x14ac:dyDescent="0.25">
      <c r="B262" s="112"/>
      <c r="C262" s="115"/>
      <c r="D262" s="121"/>
      <c r="E262" s="16" t="s">
        <v>371</v>
      </c>
      <c r="F262" s="8"/>
    </row>
    <row r="263" spans="2:6" s="3" customFormat="1" x14ac:dyDescent="0.25">
      <c r="B263" s="112"/>
      <c r="C263" s="115"/>
      <c r="D263" s="121"/>
      <c r="E263" s="16" t="s">
        <v>372</v>
      </c>
      <c r="F263" s="8"/>
    </row>
    <row r="264" spans="2:6" s="3" customFormat="1" x14ac:dyDescent="0.25">
      <c r="B264" s="112"/>
      <c r="C264" s="115"/>
      <c r="D264" s="121"/>
      <c r="E264" s="16" t="s">
        <v>373</v>
      </c>
      <c r="F264" s="8"/>
    </row>
    <row r="265" spans="2:6" s="3" customFormat="1" x14ac:dyDescent="0.25">
      <c r="B265" s="112"/>
      <c r="C265" s="115"/>
      <c r="D265" s="121"/>
      <c r="E265" s="16" t="s">
        <v>374</v>
      </c>
      <c r="F265" s="8"/>
    </row>
    <row r="266" spans="2:6" s="3" customFormat="1" x14ac:dyDescent="0.25">
      <c r="B266" s="112"/>
      <c r="C266" s="115"/>
      <c r="D266" s="121"/>
      <c r="E266" s="16" t="s">
        <v>375</v>
      </c>
      <c r="F266" s="8"/>
    </row>
    <row r="267" spans="2:6" s="3" customFormat="1" x14ac:dyDescent="0.25">
      <c r="B267" s="112"/>
      <c r="C267" s="115"/>
      <c r="D267" s="121"/>
      <c r="E267" s="16" t="s">
        <v>376</v>
      </c>
      <c r="F267" s="8"/>
    </row>
    <row r="268" spans="2:6" s="3" customFormat="1" x14ac:dyDescent="0.25">
      <c r="B268" s="112"/>
      <c r="C268" s="115"/>
      <c r="D268" s="121"/>
      <c r="E268" s="16" t="s">
        <v>377</v>
      </c>
      <c r="F268" s="8"/>
    </row>
    <row r="269" spans="2:6" s="3" customFormat="1" x14ac:dyDescent="0.25">
      <c r="B269" s="112"/>
      <c r="C269" s="115"/>
      <c r="D269" s="121"/>
      <c r="E269" s="16" t="s">
        <v>378</v>
      </c>
      <c r="F269" s="8"/>
    </row>
    <row r="270" spans="2:6" s="3" customFormat="1" x14ac:dyDescent="0.25">
      <c r="B270" s="112"/>
      <c r="C270" s="115"/>
      <c r="D270" s="121"/>
      <c r="E270" s="16" t="s">
        <v>379</v>
      </c>
      <c r="F270" s="8"/>
    </row>
    <row r="271" spans="2:6" s="3" customFormat="1" x14ac:dyDescent="0.25">
      <c r="B271" s="112"/>
      <c r="C271" s="115"/>
      <c r="D271" s="121"/>
      <c r="E271" s="16" t="s">
        <v>380</v>
      </c>
      <c r="F271" s="8"/>
    </row>
    <row r="272" spans="2:6" s="3" customFormat="1" ht="15.75" thickBot="1" x14ac:dyDescent="0.3">
      <c r="B272" s="112"/>
      <c r="C272" s="115"/>
      <c r="D272" s="122"/>
      <c r="E272" s="13" t="s">
        <v>381</v>
      </c>
      <c r="F272" s="8"/>
    </row>
    <row r="273" spans="2:6" s="3" customFormat="1" x14ac:dyDescent="0.25">
      <c r="B273" s="112"/>
      <c r="C273" s="115"/>
      <c r="D273" s="120" t="s">
        <v>382</v>
      </c>
      <c r="E273" s="15" t="s">
        <v>383</v>
      </c>
      <c r="F273" s="8"/>
    </row>
    <row r="274" spans="2:6" s="3" customFormat="1" x14ac:dyDescent="0.25">
      <c r="B274" s="112"/>
      <c r="C274" s="115"/>
      <c r="D274" s="121"/>
      <c r="E274" s="12" t="s">
        <v>384</v>
      </c>
      <c r="F274" s="8"/>
    </row>
    <row r="275" spans="2:6" s="3" customFormat="1" x14ac:dyDescent="0.25">
      <c r="B275" s="112"/>
      <c r="C275" s="115"/>
      <c r="D275" s="121"/>
      <c r="E275" s="12" t="s">
        <v>385</v>
      </c>
      <c r="F275" s="8"/>
    </row>
    <row r="276" spans="2:6" s="3" customFormat="1" x14ac:dyDescent="0.25">
      <c r="B276" s="112"/>
      <c r="C276" s="115"/>
      <c r="D276" s="121"/>
      <c r="E276" s="12" t="s">
        <v>386</v>
      </c>
      <c r="F276" s="8"/>
    </row>
    <row r="277" spans="2:6" s="3" customFormat="1" x14ac:dyDescent="0.25">
      <c r="B277" s="112"/>
      <c r="C277" s="115"/>
      <c r="D277" s="121"/>
      <c r="E277" s="12" t="s">
        <v>387</v>
      </c>
      <c r="F277" s="8"/>
    </row>
    <row r="278" spans="2:6" s="3" customFormat="1" x14ac:dyDescent="0.25">
      <c r="B278" s="112"/>
      <c r="C278" s="115"/>
      <c r="D278" s="121"/>
      <c r="E278" s="12" t="s">
        <v>388</v>
      </c>
      <c r="F278" s="8"/>
    </row>
    <row r="279" spans="2:6" s="3" customFormat="1" x14ac:dyDescent="0.25">
      <c r="B279" s="112"/>
      <c r="C279" s="115"/>
      <c r="D279" s="121"/>
      <c r="E279" s="12" t="s">
        <v>389</v>
      </c>
      <c r="F279" s="8"/>
    </row>
    <row r="280" spans="2:6" s="3" customFormat="1" ht="15.75" thickBot="1" x14ac:dyDescent="0.3">
      <c r="B280" s="112"/>
      <c r="C280" s="115"/>
      <c r="D280" s="121"/>
      <c r="E280" s="14" t="s">
        <v>390</v>
      </c>
      <c r="F280" s="8"/>
    </row>
    <row r="281" spans="2:6" s="3" customFormat="1" x14ac:dyDescent="0.25">
      <c r="B281" s="111">
        <v>11</v>
      </c>
      <c r="C281" s="114" t="s">
        <v>404</v>
      </c>
      <c r="D281" s="117" t="s">
        <v>270</v>
      </c>
      <c r="E281" s="15" t="s">
        <v>391</v>
      </c>
      <c r="F281" s="8"/>
    </row>
    <row r="282" spans="2:6" s="3" customFormat="1" x14ac:dyDescent="0.25">
      <c r="B282" s="112"/>
      <c r="C282" s="115"/>
      <c r="D282" s="118"/>
      <c r="E282" s="12" t="s">
        <v>392</v>
      </c>
      <c r="F282" s="8"/>
    </row>
    <row r="283" spans="2:6" s="3" customFormat="1" x14ac:dyDescent="0.25">
      <c r="B283" s="112"/>
      <c r="C283" s="115"/>
      <c r="D283" s="118"/>
      <c r="E283" s="12" t="s">
        <v>393</v>
      </c>
      <c r="F283" s="8"/>
    </row>
    <row r="284" spans="2:6" s="3" customFormat="1" x14ac:dyDescent="0.25">
      <c r="B284" s="112"/>
      <c r="C284" s="115"/>
      <c r="D284" s="118"/>
      <c r="E284" s="12" t="s">
        <v>394</v>
      </c>
      <c r="F284" s="8"/>
    </row>
    <row r="285" spans="2:6" s="3" customFormat="1" x14ac:dyDescent="0.25">
      <c r="B285" s="112"/>
      <c r="C285" s="115"/>
      <c r="D285" s="118"/>
      <c r="E285" s="12" t="s">
        <v>395</v>
      </c>
      <c r="F285" s="8"/>
    </row>
    <row r="286" spans="2:6" s="3" customFormat="1" ht="15.75" thickBot="1" x14ac:dyDescent="0.3">
      <c r="B286" s="113"/>
      <c r="C286" s="116"/>
      <c r="D286" s="119"/>
      <c r="E286" s="18" t="s">
        <v>396</v>
      </c>
      <c r="F286" s="8"/>
    </row>
  </sheetData>
  <dataConsolidate/>
  <mergeCells count="52">
    <mergeCell ref="B105:B160"/>
    <mergeCell ref="C105:C160"/>
    <mergeCell ref="D105:D108"/>
    <mergeCell ref="D109:D117"/>
    <mergeCell ref="D118:D127"/>
    <mergeCell ref="D128:D129"/>
    <mergeCell ref="D130:D135"/>
    <mergeCell ref="D136:D146"/>
    <mergeCell ref="D147:D148"/>
    <mergeCell ref="D149:D160"/>
    <mergeCell ref="B161:B168"/>
    <mergeCell ref="C161:C168"/>
    <mergeCell ref="D161:D168"/>
    <mergeCell ref="B169:B175"/>
    <mergeCell ref="C169:C175"/>
    <mergeCell ref="D169:D175"/>
    <mergeCell ref="D4:D6"/>
    <mergeCell ref="C4:C9"/>
    <mergeCell ref="D7:D9"/>
    <mergeCell ref="B4:B9"/>
    <mergeCell ref="D10:D15"/>
    <mergeCell ref="B10:B104"/>
    <mergeCell ref="C10:C104"/>
    <mergeCell ref="D16:D19"/>
    <mergeCell ref="D20:D36"/>
    <mergeCell ref="D37:D60"/>
    <mergeCell ref="D61:D72"/>
    <mergeCell ref="D73:D87"/>
    <mergeCell ref="D88:D96"/>
    <mergeCell ref="D97:D104"/>
    <mergeCell ref="C176:C200"/>
    <mergeCell ref="D176:D189"/>
    <mergeCell ref="D190:D200"/>
    <mergeCell ref="B201:B220"/>
    <mergeCell ref="C201:C220"/>
    <mergeCell ref="D201:D211"/>
    <mergeCell ref="D212:D220"/>
    <mergeCell ref="B176:B200"/>
    <mergeCell ref="B281:B286"/>
    <mergeCell ref="C281:C286"/>
    <mergeCell ref="D281:D286"/>
    <mergeCell ref="B221:B236"/>
    <mergeCell ref="B237:B280"/>
    <mergeCell ref="C237:C280"/>
    <mergeCell ref="D237:D252"/>
    <mergeCell ref="D253:D272"/>
    <mergeCell ref="D273:D280"/>
    <mergeCell ref="D221:D222"/>
    <mergeCell ref="D223:D224"/>
    <mergeCell ref="D225:D229"/>
    <mergeCell ref="D230:D236"/>
    <mergeCell ref="C221:C236"/>
  </mergeCells>
  <hyperlinks>
    <hyperlink ref="C105" location="'Maintenance tab'!A1" display="Maintenance tab functionality" xr:uid="{1A20953E-C317-40C8-A8EA-8013C3BAC386}"/>
    <hyperlink ref="C201" location="'Purchase tab'!A1" display="Purchase tab functionality" xr:uid="{BC23A9B8-28A9-4936-892F-50CB20829C5D}"/>
    <hyperlink ref="C221" location="'Special tab'!A1" display="Special tab functionality" xr:uid="{5836896F-08C7-41CE-9A73-235CEBA9DDB3}"/>
    <hyperlink ref="C237" location="'System tab'!A1" display="System tab functionality" xr:uid="{59031375-4181-4016-8E6E-70A2DB305BF9}"/>
    <hyperlink ref="C161" location="'Inspection tab'!A1" display="Inspection tab functionality" xr:uid="{1BA24761-541C-416F-A928-41C71C0458D9}"/>
    <hyperlink ref="C169" location="'Calibration tab'!A1" display="Calibration tab functionality" xr:uid="{57F7867F-F86E-4BB9-97B1-DB1AF6056A51}"/>
    <hyperlink ref="C176" location="'Stock tab'!A1" display="Stock tab functionality" xr:uid="{23F649E7-A780-4436-8A07-FF4DA0E869A1}"/>
    <hyperlink ref="C281" location="'Help tab'!A1" display="Help tab functionality" xr:uid="{959EBBE7-28ED-421B-AA12-47875620F50C}"/>
    <hyperlink ref="C10:C104" location="BasicTab!A1" display="Basic tab" xr:uid="{BFED6D3F-5965-427D-8DA4-04779540CDE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7A0C-4D1C-4977-9079-72FFF944474C}">
  <dimension ref="C4:D10"/>
  <sheetViews>
    <sheetView workbookViewId="0">
      <selection activeCell="D18" sqref="D18"/>
    </sheetView>
  </sheetViews>
  <sheetFormatPr defaultRowHeight="15" x14ac:dyDescent="0.25"/>
  <cols>
    <col min="4" max="4" width="28.85546875" bestFit="1" customWidth="1"/>
  </cols>
  <sheetData>
    <row r="4" spans="3:4" x14ac:dyDescent="0.25">
      <c r="C4" s="2">
        <v>8</v>
      </c>
      <c r="D4" s="3" t="s">
        <v>88</v>
      </c>
    </row>
    <row r="5" spans="3:4" x14ac:dyDescent="0.25">
      <c r="C5" s="4">
        <v>8.1</v>
      </c>
      <c r="D5" s="5" t="s">
        <v>74</v>
      </c>
    </row>
    <row r="6" spans="3:4" x14ac:dyDescent="0.25">
      <c r="C6" s="6" t="s">
        <v>94</v>
      </c>
      <c r="D6" s="7" t="s">
        <v>78</v>
      </c>
    </row>
    <row r="7" spans="3:4" x14ac:dyDescent="0.25">
      <c r="C7" s="1" t="s">
        <v>95</v>
      </c>
      <c r="D7" t="s">
        <v>75</v>
      </c>
    </row>
    <row r="8" spans="3:4" x14ac:dyDescent="0.25">
      <c r="C8" s="1" t="s">
        <v>96</v>
      </c>
      <c r="D8" t="s">
        <v>76</v>
      </c>
    </row>
    <row r="9" spans="3:4" x14ac:dyDescent="0.25">
      <c r="C9" s="1" t="s">
        <v>97</v>
      </c>
      <c r="D9" t="s">
        <v>77</v>
      </c>
    </row>
    <row r="10" spans="3:4" x14ac:dyDescent="0.25">
      <c r="C10" s="1" t="s">
        <v>98</v>
      </c>
      <c r="D10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8B4C-1FF9-4532-BB3F-0100B68ED1EA}">
  <dimension ref="C4:D9"/>
  <sheetViews>
    <sheetView workbookViewId="0">
      <selection activeCell="J21" sqref="J21"/>
    </sheetView>
  </sheetViews>
  <sheetFormatPr defaultRowHeight="15" x14ac:dyDescent="0.25"/>
  <cols>
    <col min="4" max="4" width="31.42578125" bestFit="1" customWidth="1"/>
  </cols>
  <sheetData>
    <row r="4" spans="3:4" x14ac:dyDescent="0.25">
      <c r="C4" s="2">
        <v>9</v>
      </c>
      <c r="D4" s="3" t="s">
        <v>89</v>
      </c>
    </row>
    <row r="5" spans="3:4" x14ac:dyDescent="0.25">
      <c r="C5" s="4">
        <v>9.1</v>
      </c>
      <c r="D5" s="5" t="s">
        <v>80</v>
      </c>
    </row>
    <row r="6" spans="3:4" x14ac:dyDescent="0.25">
      <c r="C6" s="1" t="s">
        <v>99</v>
      </c>
      <c r="D6" t="s">
        <v>81</v>
      </c>
    </row>
    <row r="7" spans="3:4" x14ac:dyDescent="0.25">
      <c r="C7" s="1" t="s">
        <v>100</v>
      </c>
      <c r="D7" t="s">
        <v>83</v>
      </c>
    </row>
    <row r="8" spans="3:4" x14ac:dyDescent="0.25">
      <c r="C8" s="1" t="s">
        <v>101</v>
      </c>
      <c r="D8" t="s">
        <v>84</v>
      </c>
    </row>
    <row r="9" spans="3:4" x14ac:dyDescent="0.25">
      <c r="C9" s="1" t="s">
        <v>102</v>
      </c>
      <c r="D9" t="s"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6441-6667-46E7-812B-98E8AFFCED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1FCF-2F60-477E-9C94-4DF4687AC257}">
  <dimension ref="B3:F6"/>
  <sheetViews>
    <sheetView workbookViewId="0">
      <selection activeCell="E6" sqref="E6"/>
    </sheetView>
  </sheetViews>
  <sheetFormatPr defaultRowHeight="15" x14ac:dyDescent="0.25"/>
  <cols>
    <col min="2" max="2" width="28.140625" bestFit="1" customWidth="1"/>
    <col min="3" max="3" width="25.140625" bestFit="1" customWidth="1"/>
    <col min="4" max="4" width="15.85546875" bestFit="1" customWidth="1"/>
    <col min="5" max="5" width="25.7109375" customWidth="1"/>
    <col min="6" max="6" width="29.5703125" customWidth="1"/>
  </cols>
  <sheetData>
    <row r="3" spans="2:6" ht="15.75" thickBot="1" x14ac:dyDescent="0.3"/>
    <row r="4" spans="2:6" ht="57" customHeight="1" x14ac:dyDescent="0.25">
      <c r="B4" s="145" t="s">
        <v>428</v>
      </c>
      <c r="C4" s="147" t="s">
        <v>104</v>
      </c>
      <c r="D4" s="149" t="s">
        <v>105</v>
      </c>
      <c r="E4" s="96" t="s">
        <v>424</v>
      </c>
      <c r="F4" s="95" t="s">
        <v>425</v>
      </c>
    </row>
    <row r="5" spans="2:6" ht="29.25" customHeight="1" thickBot="1" x14ac:dyDescent="0.3">
      <c r="B5" s="146"/>
      <c r="C5" s="148"/>
      <c r="D5" s="150"/>
      <c r="E5" s="72" t="s">
        <v>426</v>
      </c>
      <c r="F5" s="88" t="s">
        <v>426</v>
      </c>
    </row>
    <row r="6" spans="2:6" ht="40.5" customHeight="1" thickBot="1" x14ac:dyDescent="0.3">
      <c r="B6" s="104" t="str">
        <f>HYPERLINK("LoginWindow\LoginWindow.xlsx","1. Login Window")</f>
        <v>1. Login Window</v>
      </c>
      <c r="C6" s="105" t="str">
        <f>HYPERLINK("LoginWindow\LoginWindow.xlsx","1. Login Window")</f>
        <v>1. Login Window</v>
      </c>
      <c r="D6" s="103" t="str">
        <f>HYPERLINK("LoginWindow\LoginWindow.xlsx","1. Login Window")</f>
        <v>1. Login Window</v>
      </c>
      <c r="E6" s="101" t="str">
        <f>HYPERLINK("[LoginWindow\LoginWindow.xlsx]DesktopLogin!B3","link")</f>
        <v>link</v>
      </c>
      <c r="F6" s="107" t="str">
        <f>HYPERLINK("[LoginWindow\LoginWindow.xlsx]WebLogin!B3","link")</f>
        <v>link</v>
      </c>
    </row>
  </sheetData>
  <mergeCells count="3">
    <mergeCell ref="B4:B5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B126-345F-4769-B445-02974D089600}">
  <dimension ref="B1:F9"/>
  <sheetViews>
    <sheetView workbookViewId="0">
      <selection activeCell="C7" sqref="C7:C9"/>
    </sheetView>
  </sheetViews>
  <sheetFormatPr defaultRowHeight="15" x14ac:dyDescent="0.25"/>
  <cols>
    <col min="2" max="2" width="28.42578125" bestFit="1" customWidth="1"/>
    <col min="3" max="3" width="38" bestFit="1" customWidth="1"/>
    <col min="4" max="4" width="34.5703125" bestFit="1" customWidth="1"/>
    <col min="5" max="5" width="32.85546875" customWidth="1"/>
    <col min="6" max="6" width="28.85546875" customWidth="1"/>
  </cols>
  <sheetData>
    <row r="1" spans="2:6" ht="15.75" thickBot="1" x14ac:dyDescent="0.3"/>
    <row r="2" spans="2:6" ht="44.25" customHeight="1" x14ac:dyDescent="0.25">
      <c r="B2" s="145" t="s">
        <v>428</v>
      </c>
      <c r="C2" s="147" t="s">
        <v>104</v>
      </c>
      <c r="D2" s="149" t="s">
        <v>105</v>
      </c>
      <c r="E2" s="96" t="s">
        <v>424</v>
      </c>
      <c r="F2" s="95" t="s">
        <v>425</v>
      </c>
    </row>
    <row r="3" spans="2:6" ht="45" customHeight="1" thickBot="1" x14ac:dyDescent="0.3">
      <c r="B3" s="146"/>
      <c r="C3" s="148"/>
      <c r="D3" s="150"/>
      <c r="E3" s="72" t="s">
        <v>426</v>
      </c>
      <c r="F3" s="88" t="s">
        <v>426</v>
      </c>
    </row>
    <row r="4" spans="2:6" ht="15" customHeight="1" x14ac:dyDescent="0.25">
      <c r="B4" s="151" t="str">
        <f>HYPERLINK("[StartingWindow\StartingWindow.xlsx]GeneralFunctionality!B3","Starting window")</f>
        <v>Starting window</v>
      </c>
      <c r="C4" s="126" t="str">
        <f>HYPERLINK("[StartingWindow\StartingWindow.xlsx]SIdeBar!B1","1. Side Bar")</f>
        <v>1. Side Bar</v>
      </c>
      <c r="D4" s="108" t="s">
        <v>106</v>
      </c>
      <c r="E4" s="55" t="str">
        <f>HYPERLINK("[StartingWindow\StartingWindow.xlsx]SIdeBar!B4","link")</f>
        <v>link</v>
      </c>
      <c r="F4" s="92" t="s">
        <v>427</v>
      </c>
    </row>
    <row r="5" spans="2:6" ht="15" customHeight="1" x14ac:dyDescent="0.25">
      <c r="B5" s="152"/>
      <c r="C5" s="127"/>
      <c r="D5" s="109" t="s">
        <v>107</v>
      </c>
      <c r="E5" s="57" t="str">
        <f>HYPERLINK("[StartingWindow\StartingWindow.xlsx]SIdeBar!B22","link")</f>
        <v>link</v>
      </c>
      <c r="F5" s="93" t="s">
        <v>427</v>
      </c>
    </row>
    <row r="6" spans="2:6" ht="15.75" customHeight="1" thickBot="1" x14ac:dyDescent="0.3">
      <c r="B6" s="152"/>
      <c r="C6" s="127"/>
      <c r="D6" s="110" t="s">
        <v>108</v>
      </c>
      <c r="E6" s="67" t="str">
        <f>HYPERLINK("[StartingWindow\StartingWindow.xlsx]SIdeBar!B27","link")</f>
        <v>link</v>
      </c>
      <c r="F6" s="94" t="s">
        <v>427</v>
      </c>
    </row>
    <row r="7" spans="2:6" x14ac:dyDescent="0.25">
      <c r="B7" s="152"/>
      <c r="C7" s="154" t="str">
        <f>HYPERLINK("[StartingWindow\StartingWindow.xlsx]DeskTop!B1","2. Desktop")</f>
        <v>2. Desktop</v>
      </c>
      <c r="D7" s="89" t="s">
        <v>109</v>
      </c>
      <c r="E7" s="55" t="str">
        <f>HYPERLINK("[StartingWindow\StartingWindow.xlsx]DeskTop!B13","link")</f>
        <v>link</v>
      </c>
      <c r="F7" s="92" t="s">
        <v>427</v>
      </c>
    </row>
    <row r="8" spans="2:6" x14ac:dyDescent="0.25">
      <c r="B8" s="152"/>
      <c r="C8" s="155"/>
      <c r="D8" s="34" t="s">
        <v>117</v>
      </c>
      <c r="E8" s="57" t="str">
        <f>HYPERLINK("[StartingWindow\StartingWindow.xlsx]DeskTop!B23","link")</f>
        <v>link</v>
      </c>
      <c r="F8" s="93" t="s">
        <v>427</v>
      </c>
    </row>
    <row r="9" spans="2:6" ht="15.75" thickBot="1" x14ac:dyDescent="0.3">
      <c r="B9" s="153"/>
      <c r="C9" s="156"/>
      <c r="D9" s="35" t="s">
        <v>118</v>
      </c>
      <c r="E9" s="67" t="str">
        <f>HYPERLINK("[StartingWindow\StartingWindow.xlsx]DeskTop!B40","link")</f>
        <v>link</v>
      </c>
      <c r="F9" s="94" t="s">
        <v>427</v>
      </c>
    </row>
  </sheetData>
  <mergeCells count="6">
    <mergeCell ref="D2:D3"/>
    <mergeCell ref="B2:B3"/>
    <mergeCell ref="B4:B9"/>
    <mergeCell ref="C4:C6"/>
    <mergeCell ref="C7:C9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8FD3-5101-419D-8D88-845ACD5F65EE}">
  <dimension ref="A2:J186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RowHeight="15" x14ac:dyDescent="0.25"/>
  <cols>
    <col min="2" max="2" width="26.7109375" customWidth="1"/>
    <col min="3" max="3" width="51.5703125" style="9" bestFit="1" customWidth="1"/>
    <col min="4" max="4" width="71.42578125" bestFit="1" customWidth="1"/>
    <col min="5" max="5" width="33.42578125" style="24" bestFit="1" customWidth="1"/>
    <col min="6" max="6" width="20.42578125" style="24" bestFit="1" customWidth="1"/>
    <col min="7" max="7" width="32.28515625" style="24" bestFit="1" customWidth="1"/>
    <col min="8" max="8" width="32.42578125" customWidth="1"/>
    <col min="9" max="9" width="19.85546875" customWidth="1"/>
    <col min="10" max="10" width="31" customWidth="1"/>
  </cols>
  <sheetData>
    <row r="2" spans="2:10" ht="15.75" thickBot="1" x14ac:dyDescent="0.3">
      <c r="B2" s="19"/>
      <c r="C2" s="23"/>
      <c r="D2" s="20"/>
    </row>
    <row r="3" spans="2:10" ht="23.25" x14ac:dyDescent="0.25">
      <c r="B3" s="145" t="s">
        <v>428</v>
      </c>
      <c r="C3" s="145" t="s">
        <v>104</v>
      </c>
      <c r="D3" s="172" t="s">
        <v>105</v>
      </c>
      <c r="E3" s="168" t="s">
        <v>424</v>
      </c>
      <c r="F3" s="166"/>
      <c r="G3" s="169"/>
      <c r="H3" s="165" t="s">
        <v>425</v>
      </c>
      <c r="I3" s="166"/>
      <c r="J3" s="167"/>
    </row>
    <row r="4" spans="2:10" s="25" customFormat="1" ht="63.75" thickBot="1" x14ac:dyDescent="0.3">
      <c r="B4" s="146"/>
      <c r="C4" s="146"/>
      <c r="D4" s="173"/>
      <c r="E4" s="33" t="s">
        <v>405</v>
      </c>
      <c r="F4" s="33" t="s">
        <v>407</v>
      </c>
      <c r="G4" s="37" t="s">
        <v>406</v>
      </c>
      <c r="H4" s="46" t="s">
        <v>405</v>
      </c>
      <c r="I4" s="47" t="s">
        <v>407</v>
      </c>
      <c r="J4" s="48" t="s">
        <v>406</v>
      </c>
    </row>
    <row r="5" spans="2:10" ht="24.95" customHeight="1" x14ac:dyDescent="0.25">
      <c r="B5" s="157" t="str">
        <f>HYPERLINK("[BasicTab\BasicTab.xlsx]DeskTop!B3","Basic tab")</f>
        <v>Basic tab</v>
      </c>
      <c r="C5" s="126" t="str">
        <f>HYPERLINK("[BasicTab\InformationSearching.xlsx]BasicFunctionality!B4","1. Information searching")</f>
        <v>1. Information searching</v>
      </c>
      <c r="D5" s="32" t="s">
        <v>119</v>
      </c>
      <c r="E5" s="56" t="str">
        <f>HYPERLINK("[DesignTable.xlsx]GroupDesign!B618","Maintenance_object_tree")</f>
        <v>Maintenance_object_tree</v>
      </c>
      <c r="F5" s="55" t="str">
        <f>HYPERLINK("[DesignTable.xlsx]GroupDesign!C618","Tree/Apicbf")</f>
        <v>Tree/Apicbf</v>
      </c>
      <c r="G5" s="63" t="str">
        <f>HYPERLINK("[DesignTable.xlsx]GroupDesign!E618","-")</f>
        <v>-</v>
      </c>
      <c r="H5" s="52"/>
      <c r="I5" s="53"/>
      <c r="J5" s="54"/>
    </row>
    <row r="6" spans="2:10" ht="24.95" customHeight="1" x14ac:dyDescent="0.25">
      <c r="B6" s="158"/>
      <c r="C6" s="127"/>
      <c r="D6" s="27" t="s">
        <v>120</v>
      </c>
      <c r="E6" s="57" t="str">
        <f>HYPERLINK("[DesignTable.xlsx]GroupDesign!B386","Grac")</f>
        <v>Grac</v>
      </c>
      <c r="F6" s="57" t="str">
        <f>HYPERLINK("[DesignTable.xlsx]GroupDesign!C386","Web apicbf/Apicbf")</f>
        <v>Web apicbf/Apicbf</v>
      </c>
      <c r="G6" s="58" t="str">
        <f>HYPERLINK("[DesignTable.xlsx]GroupDesign!E386","1")</f>
        <v>1</v>
      </c>
      <c r="H6" s="41"/>
      <c r="I6" s="40"/>
      <c r="J6" s="42"/>
    </row>
    <row r="7" spans="2:10" ht="24.95" customHeight="1" x14ac:dyDescent="0.25">
      <c r="B7" s="158"/>
      <c r="C7" s="127"/>
      <c r="D7" s="170" t="s">
        <v>121</v>
      </c>
      <c r="E7" s="57" t="str">
        <f>HYPERLINK("[DesignTable.xlsx]GroupDesign!B1074","Spare_part")</f>
        <v>Spare_part</v>
      </c>
      <c r="F7" s="57" t="str">
        <f>HYPERLINK("[DesignTable.xlsx]GroupDesign!C1074","Browse/Browse")</f>
        <v>Browse/Browse</v>
      </c>
      <c r="G7" s="58" t="str">
        <f>HYPERLINK("[DesignTable.xlsx]GroupDesign!E1074","CalledFromMenu")</f>
        <v>CalledFromMenu</v>
      </c>
      <c r="H7" s="41"/>
      <c r="I7" s="40"/>
      <c r="J7" s="42"/>
    </row>
    <row r="8" spans="2:10" ht="24.95" customHeight="1" x14ac:dyDescent="0.25">
      <c r="B8" s="158"/>
      <c r="C8" s="127"/>
      <c r="D8" s="170"/>
      <c r="E8" s="57" t="str">
        <f>HYPERLINK("[DesignTable.xlsx]GroupDesign!B1057","SP_supplier_combination")</f>
        <v>SP_supplier_combination</v>
      </c>
      <c r="F8" s="57" t="str">
        <f>HYPERLINK("[DesignTable.xlsx]GroupDesign!C1057","Browse/Browse")</f>
        <v>Browse/Browse</v>
      </c>
      <c r="G8" s="58" t="str">
        <f>HYPERLINK("[DesignTable.xlsx]GroupDesign!E1057","CalledFromMenu" )</f>
        <v>CalledFromMenu</v>
      </c>
      <c r="H8" s="41"/>
      <c r="I8" s="40"/>
      <c r="J8" s="42"/>
    </row>
    <row r="9" spans="2:10" ht="24.95" customHeight="1" x14ac:dyDescent="0.25">
      <c r="B9" s="158"/>
      <c r="C9" s="127"/>
      <c r="D9" s="170"/>
      <c r="E9" s="57" t="str">
        <f>HYPERLINK("[DesignTable.xlsx]GroupDesign!B1027","SP_Manuf_combination")</f>
        <v>SP_Manuf_combination</v>
      </c>
      <c r="F9" s="57" t="str">
        <f>HYPERLINK("[DesignTable.xlsx]GroupDesign!C1027","Browse/Browse")</f>
        <v>Browse/Browse</v>
      </c>
      <c r="G9" s="58" t="str">
        <f>HYPERLINK("[DesignTable.xlsx]GroupDesign!E1027","-")</f>
        <v>-</v>
      </c>
      <c r="H9" s="41"/>
      <c r="I9" s="40"/>
      <c r="J9" s="42"/>
    </row>
    <row r="10" spans="2:10" ht="24.95" customHeight="1" x14ac:dyDescent="0.25">
      <c r="B10" s="158"/>
      <c r="C10" s="127"/>
      <c r="D10" s="170"/>
      <c r="E10" s="57" t="str">
        <f>HYPERLINK("[DesignTable.xlsx]GroupDesign!B1106","Stock_control")</f>
        <v>Stock_control</v>
      </c>
      <c r="F10" s="57" t="str">
        <f>HYPERLINK("[DesignTable.xlsx]GroupDesign!C1106","Browse/Browse")</f>
        <v>Browse/Browse</v>
      </c>
      <c r="G10" s="58" t="str">
        <f>HYPERLINK("[DesignTable.xlsx]GroupDesign!E1106","CalledFromMenu")</f>
        <v>CalledFromMenu</v>
      </c>
      <c r="H10" s="41"/>
      <c r="I10" s="40"/>
      <c r="J10" s="42"/>
    </row>
    <row r="11" spans="2:10" ht="24.95" customHeight="1" x14ac:dyDescent="0.25">
      <c r="B11" s="158"/>
      <c r="C11" s="127"/>
      <c r="D11" s="170"/>
      <c r="E11" s="57" t="str">
        <f>HYPERLINK("[DesignTable.xlsx]GroupDesign!B1062","SP_TI_combination")</f>
        <v>SP_TI_combination</v>
      </c>
      <c r="F11" s="57" t="str">
        <f>HYPERLINK("[DesignTable.xlsx]GroupDesign!C1062","Browse/Browse")</f>
        <v>Browse/Browse</v>
      </c>
      <c r="G11" s="58" t="str">
        <f>HYPERLINK("[DesignTable.xlsx]GroupDesign!E1062","-")</f>
        <v>-</v>
      </c>
      <c r="H11" s="41"/>
      <c r="I11" s="40"/>
      <c r="J11" s="42"/>
    </row>
    <row r="12" spans="2:10" ht="24.95" customHeight="1" x14ac:dyDescent="0.25">
      <c r="B12" s="158"/>
      <c r="C12" s="127"/>
      <c r="D12" s="170"/>
      <c r="E12" s="57" t="str">
        <f>HYPERLINK("[DesignTable.xlsx]GroupDesign!B157","Class_tree")</f>
        <v>Class_tree</v>
      </c>
      <c r="F12" s="57" t="str">
        <f>HYPERLINK("[DesignTable.xlsx]GroupDesign!C157","Tree/Apicbf")</f>
        <v>Tree/Apicbf</v>
      </c>
      <c r="G12" s="58" t="str">
        <f>HYPERLINK("[DesignTable.xlsx]GroupDesign!E157","Spare_part")</f>
        <v>Spare_part</v>
      </c>
      <c r="H12" s="41"/>
      <c r="I12" s="40"/>
      <c r="J12" s="42"/>
    </row>
    <row r="13" spans="2:10" ht="24.95" customHeight="1" x14ac:dyDescent="0.25">
      <c r="B13" s="158"/>
      <c r="C13" s="127"/>
      <c r="D13" s="170" t="s">
        <v>122</v>
      </c>
      <c r="E13" s="57" t="str">
        <f>HYPERLINK("[DesignTable.xlsx]GroupDesign!B1206","TDM_search")</f>
        <v>TDM_search</v>
      </c>
      <c r="F13" s="57" t="str">
        <f>HYPERLINK("[DesignTable.xlsx]GroupDesign!C1206","Maint/Maint")</f>
        <v>Maint/Maint</v>
      </c>
      <c r="G13" s="58" t="str">
        <f>HYPERLINK("[DesignTable.xlsx]GroupDesign!E1206","-")</f>
        <v>-</v>
      </c>
      <c r="H13" s="41"/>
      <c r="I13" s="40"/>
      <c r="J13" s="42"/>
    </row>
    <row r="14" spans="2:10" ht="24.95" customHeight="1" x14ac:dyDescent="0.25">
      <c r="B14" s="158"/>
      <c r="C14" s="127"/>
      <c r="D14" s="170"/>
      <c r="E14" s="57" t="str">
        <f>HYPERLINK("[DesignTable.xlsx]GroupDesign!B1203","TDM_search")</f>
        <v>TDM_search</v>
      </c>
      <c r="F14" s="57" t="str">
        <f>HYPERLINK("[DesignTable.xlsx]GroupDesign!C1203","Browse/Browse")</f>
        <v>Browse/Browse</v>
      </c>
      <c r="G14" s="58" t="str">
        <f>HYPERLINK("[DesignTable.xlsx]GroupDesign!E1203","1")</f>
        <v>1</v>
      </c>
      <c r="H14" s="41"/>
      <c r="I14" s="40"/>
      <c r="J14" s="42"/>
    </row>
    <row r="15" spans="2:10" ht="24.95" customHeight="1" x14ac:dyDescent="0.25">
      <c r="B15" s="158"/>
      <c r="C15" s="127"/>
      <c r="D15" s="27" t="s">
        <v>123</v>
      </c>
      <c r="E15" s="57" t="str">
        <f>HYPERLINK("[DesignTable.xlsx]GroupDesign!B1255","Transactions")</f>
        <v>Transactions</v>
      </c>
      <c r="F15" s="57" t="str">
        <f>HYPERLINK("[DesignTable.xlsx]GroupDesign!C1255","Browse/Browse")</f>
        <v>Browse/Browse</v>
      </c>
      <c r="G15" s="58" t="str">
        <f>HYPERLINK("[DesignTable.xlsx]GroupDesign!E1255","Raw")</f>
        <v>Raw</v>
      </c>
      <c r="H15" s="41"/>
      <c r="I15" s="40"/>
      <c r="J15" s="42"/>
    </row>
    <row r="16" spans="2:10" ht="24.95" customHeight="1" thickBot="1" x14ac:dyDescent="0.3">
      <c r="B16" s="158"/>
      <c r="C16" s="132"/>
      <c r="D16" s="30" t="s">
        <v>124</v>
      </c>
      <c r="E16" s="59" t="str">
        <f>HYPERLINK("[DesignTable.xlsx]GroupDesign!B379","Financial_transactions")</f>
        <v>Financial_transactions</v>
      </c>
      <c r="F16" s="59" t="str">
        <f>HYPERLINK("[DesignTable.xlsx]GroupDesign!C379","Browse/Browse")</f>
        <v>Browse/Browse</v>
      </c>
      <c r="G16" s="60" t="str">
        <f>HYPERLINK("[DesignTable.xlsx]GroupDesign!E379","Raw")</f>
        <v>Raw</v>
      </c>
      <c r="H16" s="64"/>
      <c r="I16" s="65"/>
      <c r="J16" s="66"/>
    </row>
    <row r="17" spans="1:10" ht="24.95" customHeight="1" x14ac:dyDescent="0.25">
      <c r="B17" s="158"/>
      <c r="C17" s="144" t="s">
        <v>110</v>
      </c>
      <c r="D17" s="31" t="s">
        <v>125</v>
      </c>
      <c r="E17" s="61" t="str">
        <f>HYPERLINK("[DesignTable.xlsx]GroupDesign!B1134","stock_report")</f>
        <v>stock_report</v>
      </c>
      <c r="F17" s="61" t="str">
        <f>HYPERLINK("[DesignTable.xlsx]GroupDesign!C1134","Select/Select")</f>
        <v>Select/Select</v>
      </c>
      <c r="G17" s="62" t="str">
        <f>HYPERLINK("[DesignTable.xlsx]GroupDesign!E1134","14")</f>
        <v>14</v>
      </c>
      <c r="H17" s="52"/>
      <c r="I17" s="53"/>
      <c r="J17" s="54"/>
    </row>
    <row r="18" spans="1:10" ht="24.95" customHeight="1" x14ac:dyDescent="0.25">
      <c r="B18" s="158"/>
      <c r="C18" s="171"/>
      <c r="D18" s="160" t="s">
        <v>126</v>
      </c>
      <c r="E18" s="57" t="str">
        <f>HYPERLINK("[DesignTable.xlsx]GroupDesign!B320","Error_batch")</f>
        <v>Error_batch</v>
      </c>
      <c r="F18" s="55" t="str">
        <f>HYPERLINK("[DesignTable.xlsx]GroupDesign!C320","Browse/Browse")</f>
        <v>Browse/Browse</v>
      </c>
      <c r="G18" s="63" t="str">
        <f>HYPERLINK("[DesignTable.xlsx]GroupDesign!E320","ACCOUNT")</f>
        <v>ACCOUNT</v>
      </c>
      <c r="H18" s="41"/>
      <c r="I18" s="40"/>
      <c r="J18" s="42"/>
    </row>
    <row r="19" spans="1:10" ht="24.95" customHeight="1" x14ac:dyDescent="0.25">
      <c r="B19" s="158"/>
      <c r="C19" s="127"/>
      <c r="D19" s="161"/>
      <c r="E19" s="57" t="str">
        <f>HYPERLINK("[DesignTable.xlsx]GroupDesign!B326","Error_batch")</f>
        <v>Error_batch</v>
      </c>
      <c r="F19" s="57" t="str">
        <f>HYPERLINK("[DesignTable.xlsx]GroupDesign!C326","Maint/Maint")</f>
        <v>Maint/Maint</v>
      </c>
      <c r="G19" s="58" t="str">
        <f>HYPERLINK("[DesignTable.xlsx]GroupDesign!E326","-")</f>
        <v>-</v>
      </c>
      <c r="H19" s="41"/>
      <c r="I19" s="40"/>
      <c r="J19" s="42"/>
    </row>
    <row r="20" spans="1:10" ht="24.95" customHeight="1" x14ac:dyDescent="0.25">
      <c r="B20" s="158"/>
      <c r="C20" s="127"/>
      <c r="D20" s="27" t="s">
        <v>127</v>
      </c>
      <c r="E20" s="57" t="str">
        <f>HYPERLINK("[DesignTable.xlsx]GroupDesign!B14","account_report")</f>
        <v>account_report</v>
      </c>
      <c r="F20" s="57" t="str">
        <f>HYPERLINK("[DesignTable.xlsx]GroupDesign!C14","Select/Select")</f>
        <v>Select/Select</v>
      </c>
      <c r="G20" s="58" t="str">
        <f>HYPERLINK("[DesignTable.xlsx]GroupDesign!E14","2")</f>
        <v>2</v>
      </c>
      <c r="H20" s="41"/>
      <c r="I20" s="40"/>
      <c r="J20" s="42"/>
    </row>
    <row r="21" spans="1:10" ht="24.95" customHeight="1" thickBot="1" x14ac:dyDescent="0.3">
      <c r="B21" s="158"/>
      <c r="C21" s="128"/>
      <c r="D21" s="28" t="s">
        <v>128</v>
      </c>
      <c r="E21" s="67" t="str">
        <f>HYPERLINK("[DesignTable.xlsx]GroupDesign!B15","account_report")</f>
        <v>account_report</v>
      </c>
      <c r="F21" s="67" t="str">
        <f>HYPERLINK("[DesignTable.xlsx]GroupDesign!C15","Select/Select")</f>
        <v>Select/Select</v>
      </c>
      <c r="G21" s="68" t="str">
        <f>HYPERLINK("[DesignTable.xlsx]GroupDesign!E15","1")</f>
        <v>1</v>
      </c>
      <c r="H21" s="43"/>
      <c r="I21" s="44"/>
      <c r="J21" s="45"/>
    </row>
    <row r="22" spans="1:10" ht="24.95" customHeight="1" x14ac:dyDescent="0.25">
      <c r="B22" s="158"/>
      <c r="C22" s="144" t="s">
        <v>111</v>
      </c>
      <c r="D22" s="163" t="s">
        <v>129</v>
      </c>
      <c r="E22" s="69" t="str">
        <f>HYPERLINK("[DesignTable.xlsx]GroupDesign!B793","Position")</f>
        <v>Position</v>
      </c>
      <c r="F22" s="61" t="str">
        <f>HYPERLINK("[DesignTable.xlsx]GroupDesign!C793","Browse/Browse")</f>
        <v>Browse/Browse</v>
      </c>
      <c r="G22" s="62" t="str">
        <f>HYPERLINK("[DesignTable.xlsx]GroupDesign!B793","-")</f>
        <v>-</v>
      </c>
      <c r="H22" s="52"/>
      <c r="I22" s="53"/>
      <c r="J22" s="54"/>
    </row>
    <row r="23" spans="1:10" ht="24.95" customHeight="1" x14ac:dyDescent="0.25">
      <c r="B23" s="158"/>
      <c r="C23" s="171"/>
      <c r="D23" s="161"/>
      <c r="E23" s="57" t="str">
        <f>HYPERLINK("[DesignTable.xlsx]GroupDesign!B799","Position")</f>
        <v>Position</v>
      </c>
      <c r="F23" s="55" t="str">
        <f>HYPERLINK("[DesignTable.xlsx]GroupDesign!C799","Maint/Maint")</f>
        <v>Maint/Maint</v>
      </c>
      <c r="G23" s="63" t="str">
        <f>HYPERLINK("[DesignTable.xlsx]GroupDesign!E799","-")</f>
        <v>-</v>
      </c>
      <c r="H23" s="41"/>
      <c r="I23" s="40"/>
      <c r="J23" s="42"/>
    </row>
    <row r="24" spans="1:10" ht="24.95" customHeight="1" x14ac:dyDescent="0.25">
      <c r="B24" s="158"/>
      <c r="C24" s="171"/>
      <c r="D24" s="160" t="s">
        <v>130</v>
      </c>
      <c r="E24" s="59" t="str">
        <f>HYPERLINK("[DesignTable.xlsx]GroupDesign!B591","Maintenance_object")</f>
        <v>Maintenance_object</v>
      </c>
      <c r="F24" s="55" t="str">
        <f>HYPERLINK("[DesignTable.xlsx]GroupDesign!C591","Browse/Browse")</f>
        <v>Browse/Browse</v>
      </c>
      <c r="G24" s="63" t="str">
        <f>HYPERLINK("[DesignTable.xlsx]GroupDesign!E591","-")</f>
        <v>-</v>
      </c>
      <c r="H24" s="41"/>
      <c r="I24" s="40"/>
      <c r="J24" s="42"/>
    </row>
    <row r="25" spans="1:10" ht="24.95" customHeight="1" x14ac:dyDescent="0.25">
      <c r="B25" s="158"/>
      <c r="C25" s="127"/>
      <c r="D25" s="161"/>
      <c r="E25" s="59" t="str">
        <f>HYPERLINK("[DesignTable.xlsx]GroupDesign!B603","Maintenance_object")</f>
        <v>Maintenance_object</v>
      </c>
      <c r="F25" s="57" t="str">
        <f>HYPERLINK("[DesignTable.xlsx]GroupDesign!C603","Maint/Maint")</f>
        <v>Maint/Maint</v>
      </c>
      <c r="G25" s="58" t="str">
        <f>HYPERLINK("[DesignTable.xlsx]GroupDesign!E603","-")</f>
        <v>-</v>
      </c>
      <c r="H25" s="41"/>
      <c r="I25" s="40"/>
      <c r="J25" s="42"/>
    </row>
    <row r="26" spans="1:10" ht="24.95" customHeight="1" x14ac:dyDescent="0.25">
      <c r="B26" s="158"/>
      <c r="C26" s="127"/>
      <c r="D26" s="160" t="s">
        <v>409</v>
      </c>
      <c r="E26" s="57" t="str">
        <f>HYPERLINK("[DesignTable.xlsx]GroupDesign!B1213", "Technical_id")</f>
        <v>Technical_id</v>
      </c>
      <c r="F26" s="57" t="str">
        <f>HYPERLINK("[DesignTable.xlsx]GroupDesign!C1213","Browse/Browse")</f>
        <v>Browse/Browse</v>
      </c>
      <c r="G26" s="58" t="str">
        <f>HYPERLINK("[DesignTable.xlsx]GroupDesign!E1213","-")</f>
        <v>-</v>
      </c>
      <c r="H26" s="41"/>
      <c r="I26" s="40"/>
      <c r="J26" s="42"/>
    </row>
    <row r="27" spans="1:10" ht="24.95" customHeight="1" x14ac:dyDescent="0.25">
      <c r="A27" s="4"/>
      <c r="B27" s="158"/>
      <c r="C27" s="127"/>
      <c r="D27" s="161"/>
      <c r="E27" s="57" t="str">
        <f>HYPERLINK("[DesignTable.xlsx]GroupDesign!B1215", "Technical_id")</f>
        <v>Technical_id</v>
      </c>
      <c r="F27" s="57" t="str">
        <f>HYPERLINK("[DesignTable.xlsx]GroupDesign!C1215","Maint/Maint")</f>
        <v>Maint/Maint</v>
      </c>
      <c r="G27" s="58" t="str">
        <f>HYPERLINK("[DesignTable.xlsx]GroupDesign!E1215","-")</f>
        <v>-</v>
      </c>
      <c r="H27" s="41"/>
      <c r="I27" s="40"/>
      <c r="J27" s="42"/>
    </row>
    <row r="28" spans="1:10" ht="24.95" customHeight="1" x14ac:dyDescent="0.25">
      <c r="A28" s="4"/>
      <c r="B28" s="158"/>
      <c r="C28" s="127"/>
      <c r="D28" s="160" t="s">
        <v>410</v>
      </c>
      <c r="E28" s="57" t="str">
        <f>HYPERLINK("[DesignTable.xlsx]GroupDesign!B221","Counter")</f>
        <v>Counter</v>
      </c>
      <c r="F28" s="57" t="str">
        <f>HYPERLINK("[DesignTable.xlsx]GroupDesign!C221","Browse/Browse")</f>
        <v>Browse/Browse</v>
      </c>
      <c r="G28" s="58" t="str">
        <f>HYPERLINK("[DesignTable.xlsx]GroupDesign!E221","-")</f>
        <v>-</v>
      </c>
      <c r="H28" s="41"/>
      <c r="I28" s="40"/>
      <c r="J28" s="42"/>
    </row>
    <row r="29" spans="1:10" ht="24.95" customHeight="1" x14ac:dyDescent="0.25">
      <c r="A29" s="4"/>
      <c r="B29" s="158"/>
      <c r="C29" s="127"/>
      <c r="D29" s="161"/>
      <c r="E29" s="57" t="str">
        <f>HYPERLINK("[DesignTable.xlsx]GroupDesign!B223","Counter")</f>
        <v>Counter</v>
      </c>
      <c r="F29" s="57" t="str">
        <f>HYPERLINK("[DesignTable.xlsx]GroupDesign!C223","Maint/Maint")</f>
        <v>Maint/Maint</v>
      </c>
      <c r="G29" s="58" t="str">
        <f>HYPERLINK("[DesignTable.xlsx]GroupDesign!E223","-")</f>
        <v>-</v>
      </c>
      <c r="H29" s="41"/>
      <c r="I29" s="40"/>
      <c r="J29" s="42"/>
    </row>
    <row r="30" spans="1:10" ht="24.95" customHeight="1" x14ac:dyDescent="0.25">
      <c r="A30" s="4"/>
      <c r="B30" s="158"/>
      <c r="C30" s="127"/>
      <c r="D30" s="160" t="s">
        <v>411</v>
      </c>
      <c r="E30" s="59" t="str">
        <f>HYPERLINK("[DesignTable.xlsx]GroupDesign!B230","Counter_type")</f>
        <v>Counter_type</v>
      </c>
      <c r="F30" s="57" t="str">
        <f>HYPERLINK("[DesignTable.xlsx]GroupDesign!C230","Browse/Browse")</f>
        <v>Browse/Browse</v>
      </c>
      <c r="G30" s="58" t="str">
        <f>HYPERLINK("[DesignTable.xlsx]GroupDesign!E230","-")</f>
        <v>-</v>
      </c>
      <c r="H30" s="41"/>
      <c r="I30" s="40"/>
      <c r="J30" s="42"/>
    </row>
    <row r="31" spans="1:10" ht="24.95" customHeight="1" x14ac:dyDescent="0.25">
      <c r="A31" s="4"/>
      <c r="B31" s="158"/>
      <c r="C31" s="127"/>
      <c r="D31" s="161"/>
      <c r="E31" s="59" t="str">
        <f>HYPERLINK("[DesignTable.xlsx]GroupDesign!B232","Counter_type")</f>
        <v>Counter_type</v>
      </c>
      <c r="F31" s="57" t="str">
        <f>HYPERLINK("[DesignTable.xlsx]GroupDesign!C232","Maint/Maint")</f>
        <v>Maint/Maint</v>
      </c>
      <c r="G31" s="58" t="str">
        <f>HYPERLINK("[DesignTable.xlsx]GroupDesign!E232","-")</f>
        <v>-</v>
      </c>
      <c r="H31" s="41"/>
      <c r="I31" s="40"/>
      <c r="J31" s="42"/>
    </row>
    <row r="32" spans="1:10" ht="24.95" customHeight="1" x14ac:dyDescent="0.25">
      <c r="A32" s="4"/>
      <c r="B32" s="158"/>
      <c r="C32" s="127"/>
      <c r="D32" s="160" t="s">
        <v>412</v>
      </c>
      <c r="E32" s="57" t="str">
        <f>HYPERLINK("[DesignTable.xlsx]GroupDesign!B1207","TDM_type")</f>
        <v>TDM_type</v>
      </c>
      <c r="F32" s="57" t="str">
        <f>HYPERLINK("[DesignTable.xlsx]GroupDesign!C1207","Browse/Browse")</f>
        <v>Browse/Browse</v>
      </c>
      <c r="G32" s="58" t="str">
        <f>HYPERLINK("[DesignTable.xlsx]GroupDesign!E1207","-")</f>
        <v>-</v>
      </c>
      <c r="H32" s="41"/>
      <c r="I32" s="40"/>
      <c r="J32" s="42"/>
    </row>
    <row r="33" spans="1:10" ht="24.95" customHeight="1" x14ac:dyDescent="0.25">
      <c r="A33" s="4"/>
      <c r="B33" s="158"/>
      <c r="C33" s="127"/>
      <c r="D33" s="161"/>
      <c r="E33" s="57" t="str">
        <f>HYPERLINK("[DesignTable.xlsx]GroupDesign!B1209","TDM_type")</f>
        <v>TDM_type</v>
      </c>
      <c r="F33" s="57" t="str">
        <f>HYPERLINK("[DesignTable.xlsx]GroupDesign!С1209","Maint/Maint")</f>
        <v>Maint/Maint</v>
      </c>
      <c r="G33" s="58" t="str">
        <f>HYPERLINK("[DesignTable.xlsx]GroupDesign!С1209","-")</f>
        <v>-</v>
      </c>
      <c r="H33" s="41"/>
      <c r="I33" s="40"/>
      <c r="J33" s="42"/>
    </row>
    <row r="34" spans="1:10" ht="24.95" customHeight="1" x14ac:dyDescent="0.25">
      <c r="A34" s="4"/>
      <c r="B34" s="158"/>
      <c r="C34" s="127"/>
      <c r="D34" s="160" t="s">
        <v>413</v>
      </c>
      <c r="E34" s="57" t="str">
        <f>HYPERLINK("[DesignTable.xlsx]GroupDesign!B298","Drawing")</f>
        <v>Drawing</v>
      </c>
      <c r="F34" s="57" t="str">
        <f>HYPERLINK("[DesignTable.xlsx]GroupDesign!C298","Browse/Browse")</f>
        <v>Browse/Browse</v>
      </c>
      <c r="G34" s="58" t="str">
        <f>HYPERLINK("[DesignTable.xlsx]GroupDesign!B298","-")</f>
        <v>-</v>
      </c>
      <c r="H34" s="41"/>
      <c r="I34" s="40"/>
      <c r="J34" s="42"/>
    </row>
    <row r="35" spans="1:10" ht="24.95" customHeight="1" x14ac:dyDescent="0.25">
      <c r="B35" s="158"/>
      <c r="C35" s="127"/>
      <c r="D35" s="161"/>
      <c r="E35" s="57" t="str">
        <f>HYPERLINK("[DesignTable.xlsx]GroupDesign!B301","Drawing")</f>
        <v>Drawing</v>
      </c>
      <c r="F35" s="57" t="str">
        <f>HYPERLINK("[DesignTable.xlsx]GroupDesign!C301","Maint/Maint")</f>
        <v>Maint/Maint</v>
      </c>
      <c r="G35" s="58" t="str">
        <f>HYPERLINK("[DesignTable.xlsx]GroupDesign!B1209","-")</f>
        <v>-</v>
      </c>
      <c r="H35" s="41"/>
      <c r="I35" s="40"/>
      <c r="J35" s="42"/>
    </row>
    <row r="36" spans="1:10" ht="24.95" customHeight="1" x14ac:dyDescent="0.25">
      <c r="B36" s="158"/>
      <c r="C36" s="127"/>
      <c r="D36" s="160" t="s">
        <v>414</v>
      </c>
      <c r="E36" s="57" t="str">
        <f>HYPERLINK("[DesignTable.xlsx]GroupDesign!B1160","Supply_type")</f>
        <v>Supply_type</v>
      </c>
      <c r="F36" s="57" t="str">
        <f>HYPERLINK("[DesignTable.xlsx]GroupDesign!C1160","Browse/Browse")</f>
        <v>Browse/Browse</v>
      </c>
      <c r="G36" s="58" t="str">
        <f>HYPERLINK("[DesignTable.xlsx]GroupDesign!E1160","-")</f>
        <v>-</v>
      </c>
      <c r="H36" s="41"/>
      <c r="I36" s="40"/>
      <c r="J36" s="42"/>
    </row>
    <row r="37" spans="1:10" ht="24.95" customHeight="1" x14ac:dyDescent="0.25">
      <c r="B37" s="158"/>
      <c r="C37" s="127"/>
      <c r="D37" s="161"/>
      <c r="E37" s="57" t="str">
        <f>HYPERLINK("[DesignTable.xlsx]GroupDesign!B1162","Supply_type")</f>
        <v>Supply_type</v>
      </c>
      <c r="F37" s="57" t="str">
        <f>HYPERLINK("[DesignTable.xlsx]GroupDesign!B1162","Maint/Maint")</f>
        <v>Maint/Maint</v>
      </c>
      <c r="G37" s="58" t="str">
        <f>HYPERLINK("[DesignTable.xlsx]GroupDesign!B1162","-")</f>
        <v>-</v>
      </c>
      <c r="H37" s="41"/>
      <c r="I37" s="40"/>
      <c r="J37" s="42"/>
    </row>
    <row r="38" spans="1:10" ht="24.95" customHeight="1" x14ac:dyDescent="0.25">
      <c r="B38" s="158"/>
      <c r="C38" s="127"/>
      <c r="D38" s="160" t="s">
        <v>415</v>
      </c>
      <c r="E38" s="57" t="str">
        <f>HYPERLINK("[DesignTable.xlsx]GroupDesign!B242","Criticality")</f>
        <v>Criticality</v>
      </c>
      <c r="F38" s="57" t="str">
        <f>HYPERLINK("[DesignTable.xlsx]GroupDesign!C242","Browse/Browse")</f>
        <v>Browse/Browse</v>
      </c>
      <c r="G38" s="58" t="str">
        <f>HYPERLINK("[DesignTable.xlsx]GroupDesign!E242","-")</f>
        <v>-</v>
      </c>
      <c r="H38" s="41"/>
      <c r="I38" s="40"/>
      <c r="J38" s="42"/>
    </row>
    <row r="39" spans="1:10" ht="24.95" customHeight="1" x14ac:dyDescent="0.25">
      <c r="B39" s="158"/>
      <c r="C39" s="127"/>
      <c r="D39" s="161"/>
      <c r="E39" s="57" t="str">
        <f>HYPERLINK("[DesignTable.xlsx]GroupDesign!B243","Criticality")</f>
        <v>Criticality</v>
      </c>
      <c r="F39" s="57" t="str">
        <f>HYPERLINK("[DesignTable.xlsx]GroupDesign!C243","Maint/Maint")</f>
        <v>Maint/Maint</v>
      </c>
      <c r="G39" s="58" t="str">
        <f>HYPERLINK("[DesignTable.xlsx]GroupDesign!E243","-")</f>
        <v>-</v>
      </c>
      <c r="H39" s="41"/>
      <c r="I39" s="40"/>
      <c r="J39" s="42"/>
    </row>
    <row r="40" spans="1:10" ht="24.95" customHeight="1" x14ac:dyDescent="0.25">
      <c r="B40" s="158"/>
      <c r="C40" s="127"/>
      <c r="D40" s="160" t="s">
        <v>416</v>
      </c>
      <c r="E40" s="57" t="str">
        <f>HYPERLINK("[DesignTable.xlsx]GroupDesign!B694","Object_status")</f>
        <v>Object_status</v>
      </c>
      <c r="F40" s="57" t="str">
        <f>HYPERLINK("[DesignTable.xlsx]GroupDesign!C694","Browse/Browse")</f>
        <v>Browse/Browse</v>
      </c>
      <c r="G40" s="58" t="str">
        <f>HYPERLINK("[DesignTable.xlsx]GroupDesign!E694","-")</f>
        <v>-</v>
      </c>
      <c r="H40" s="41"/>
      <c r="I40" s="40"/>
      <c r="J40" s="42"/>
    </row>
    <row r="41" spans="1:10" ht="24.95" customHeight="1" x14ac:dyDescent="0.25">
      <c r="B41" s="158"/>
      <c r="C41" s="127"/>
      <c r="D41" s="161"/>
      <c r="E41" s="57" t="str">
        <f>HYPERLINK("[DesignTable.xlsx]GroupDesign!B696","Object_status")</f>
        <v>Object_status</v>
      </c>
      <c r="F41" s="57" t="str">
        <f>HYPERLINK("[DesignTable.xlsx]GroupDesign!C696","Maint/Maint")</f>
        <v>Maint/Maint</v>
      </c>
      <c r="G41" s="58" t="str">
        <f>HYPERLINK("[DesignTable.xlsx]GroupDesign!E696","-")</f>
        <v>-</v>
      </c>
      <c r="H41" s="41"/>
      <c r="I41" s="40"/>
      <c r="J41" s="42"/>
    </row>
    <row r="42" spans="1:10" ht="24.95" customHeight="1" x14ac:dyDescent="0.25">
      <c r="B42" s="158"/>
      <c r="C42" s="127"/>
      <c r="D42" s="160" t="s">
        <v>417</v>
      </c>
      <c r="E42" s="57" t="str">
        <f>HYPERLINK("[DesignTable.xlsx]GroupDesign!B640","MO_group")</f>
        <v>MO_group</v>
      </c>
      <c r="F42" s="57" t="str">
        <f>HYPERLINK("[DesignTable.xlsx]GroupDesign!C640","Browse/Browse")</f>
        <v>Browse/Browse</v>
      </c>
      <c r="G42" s="58" t="str">
        <f>HYPERLINK("[DesignTable.xlsx]GroupDesign!E640","-")</f>
        <v>-</v>
      </c>
      <c r="H42" s="41"/>
      <c r="I42" s="40"/>
      <c r="J42" s="42"/>
    </row>
    <row r="43" spans="1:10" ht="24.95" customHeight="1" x14ac:dyDescent="0.25">
      <c r="B43" s="158"/>
      <c r="C43" s="127"/>
      <c r="D43" s="161"/>
      <c r="E43" s="57" t="str">
        <f>HYPERLINK("[DesignTable.xlsx]GroupDesign!B642","MO_group")</f>
        <v>MO_group</v>
      </c>
      <c r="F43" s="57" t="str">
        <f>HYPERLINK("[DesignTable.xlsx]GroupDesign!C642","Maint/Maint")</f>
        <v>Maint/Maint</v>
      </c>
      <c r="G43" s="58" t="str">
        <f>HYPERLINK("[DesignTable.xlsx]GroupDesign!B642","-")</f>
        <v>-</v>
      </c>
      <c r="H43" s="41"/>
      <c r="I43" s="40"/>
      <c r="J43" s="42"/>
    </row>
    <row r="44" spans="1:10" ht="24.95" customHeight="1" x14ac:dyDescent="0.25">
      <c r="B44" s="158"/>
      <c r="C44" s="127"/>
      <c r="D44" s="160" t="s">
        <v>418</v>
      </c>
      <c r="E44" s="59" t="str">
        <f>HYPERLINK("[DesignTable.xlsx]GroupDesign!B634","MO_code")</f>
        <v>MO_code</v>
      </c>
      <c r="F44" s="57" t="str">
        <f>HYPERLINK("[DesignTable.xlsx]GroupDesign!C634","Browse/Browse")</f>
        <v>Browse/Browse</v>
      </c>
      <c r="G44" s="58" t="str">
        <f>HYPERLINK("[DesignTable.xlsx]GroupDesign!E634","-")</f>
        <v>-</v>
      </c>
      <c r="H44" s="41"/>
      <c r="I44" s="40"/>
      <c r="J44" s="42"/>
    </row>
    <row r="45" spans="1:10" ht="24.95" customHeight="1" x14ac:dyDescent="0.25">
      <c r="B45" s="158"/>
      <c r="C45" s="127"/>
      <c r="D45" s="161"/>
      <c r="E45" s="59" t="str">
        <f>HYPERLINK("[DesignTable.xlsx]GroupDesign!B636","MO_code")</f>
        <v>MO_code</v>
      </c>
      <c r="F45" s="57" t="str">
        <f>HYPERLINK("[DesignTable.xlsx]GroupDesign!C636","Maint/Maint")</f>
        <v>Maint/Maint</v>
      </c>
      <c r="G45" s="58" t="str">
        <f>HYPERLINK("[DesignTable.xlsx]GroupDesign!E636","-")</f>
        <v>-</v>
      </c>
      <c r="H45" s="41"/>
      <c r="I45" s="40"/>
      <c r="J45" s="42"/>
    </row>
    <row r="46" spans="1:10" ht="24.95" customHeight="1" x14ac:dyDescent="0.25">
      <c r="B46" s="158"/>
      <c r="C46" s="127"/>
      <c r="D46" s="160" t="s">
        <v>419</v>
      </c>
      <c r="E46" s="59" t="str">
        <f>HYPERLINK("[DesignTable.xlsx]GroupDesign!B621","MAN_LOG_Category")</f>
        <v>MAN_LOG_Category</v>
      </c>
      <c r="F46" s="57" t="str">
        <f>HYPERLINK("[DesignTable.xlsx]GroupDesign!C621","Browse/Browse")</f>
        <v>Browse/Browse</v>
      </c>
      <c r="G46" s="58" t="str">
        <f>HYPERLINK("[DesignTable.xlsx]GroupDesign!E621","-")</f>
        <v>-</v>
      </c>
      <c r="H46" s="41"/>
      <c r="I46" s="40"/>
      <c r="J46" s="42"/>
    </row>
    <row r="47" spans="1:10" ht="24.95" customHeight="1" x14ac:dyDescent="0.25">
      <c r="B47" s="158"/>
      <c r="C47" s="127"/>
      <c r="D47" s="161"/>
      <c r="E47" s="59" t="str">
        <f>HYPERLINK("[DesignTable.xlsx]GroupDesign!B623","MAN_LOG_Category")</f>
        <v>MAN_LOG_Category</v>
      </c>
      <c r="F47" s="57" t="str">
        <f>HYPERLINK("[DesignTable.xlsx]GroupDesign!B623","Maint/Maint")</f>
        <v>Maint/Maint</v>
      </c>
      <c r="G47" s="58" t="str">
        <f>HYPERLINK("[DesignTable.xlsx]GroupDesign!B623","-")</f>
        <v>-</v>
      </c>
      <c r="H47" s="41"/>
      <c r="I47" s="40"/>
      <c r="J47" s="42"/>
    </row>
    <row r="48" spans="1:10" ht="24.95" customHeight="1" x14ac:dyDescent="0.25">
      <c r="B48" s="158"/>
      <c r="C48" s="127"/>
      <c r="D48" s="160" t="s">
        <v>420</v>
      </c>
      <c r="E48" s="57" t="str">
        <f>HYPERLINK("[DesignTable.xlsx]GroupDesign!B787","POS_group")</f>
        <v>POS_group</v>
      </c>
      <c r="F48" s="57" t="str">
        <f>HYPERLINK("[DesignTable.xlsx]GroupDesign!C787","Browse/Browse")</f>
        <v>Browse/Browse</v>
      </c>
      <c r="G48" s="58" t="str">
        <f>HYPERLINK("[DesignTable.xlsx]GroupDesign!E787","-")</f>
        <v>-</v>
      </c>
      <c r="H48" s="41"/>
      <c r="I48" s="40"/>
      <c r="J48" s="42"/>
    </row>
    <row r="49" spans="2:10" ht="24.95" customHeight="1" x14ac:dyDescent="0.25">
      <c r="B49" s="158"/>
      <c r="C49" s="127"/>
      <c r="D49" s="161"/>
      <c r="E49" s="57" t="str">
        <f>HYPERLINK("[DesignTable.xlsx]GroupDesign!B789","POS_group")</f>
        <v>POS_group</v>
      </c>
      <c r="F49" s="57" t="str">
        <f>HYPERLINK("[DesignTable.xlsx]GroupDesign!c789","Maint/Maint")</f>
        <v>Maint/Maint</v>
      </c>
      <c r="G49" s="58" t="str">
        <f>HYPERLINK("[DesignTable.xlsx]GroupDesign!E789","-")</f>
        <v>-</v>
      </c>
      <c r="H49" s="41"/>
      <c r="I49" s="40"/>
      <c r="J49" s="42"/>
    </row>
    <row r="50" spans="2:10" ht="24.95" customHeight="1" x14ac:dyDescent="0.25">
      <c r="B50" s="158"/>
      <c r="C50" s="127"/>
      <c r="D50" s="160" t="s">
        <v>421</v>
      </c>
      <c r="E50" s="57" t="str">
        <f>HYPERLINK("[DesignTable.xlsx]GroupDesign!B781","POS_code")</f>
        <v>POS_code</v>
      </c>
      <c r="F50" s="57" t="str">
        <f>HYPERLINK("[DesignTable.xlsx]GroupDesign!C781","Browse/Browse")</f>
        <v>Browse/Browse</v>
      </c>
      <c r="G50" s="58" t="str">
        <f>HYPERLINK("[DesignTable.xlsx]GroupDesign!E781","-")</f>
        <v>-</v>
      </c>
      <c r="H50" s="41"/>
      <c r="I50" s="40"/>
      <c r="J50" s="42"/>
    </row>
    <row r="51" spans="2:10" ht="24.95" customHeight="1" x14ac:dyDescent="0.25">
      <c r="B51" s="158"/>
      <c r="C51" s="127"/>
      <c r="D51" s="161"/>
      <c r="E51" s="57" t="str">
        <f>HYPERLINK("[DesignTable.xlsx]GroupDesign!B783","POS_code")</f>
        <v>POS_code</v>
      </c>
      <c r="F51" s="57" t="str">
        <f>HYPERLINK("[DesignTable.xlsx]GroupDesign!C783","Maint/Maint")</f>
        <v>Maint/Maint</v>
      </c>
      <c r="G51" s="58" t="str">
        <f>HYPERLINK("[DesignTable.xlsx]GroupDesign!E783","-")</f>
        <v>-</v>
      </c>
      <c r="H51" s="41"/>
      <c r="I51" s="40"/>
      <c r="J51" s="42"/>
    </row>
    <row r="52" spans="2:10" ht="24.95" customHeight="1" x14ac:dyDescent="0.25">
      <c r="B52" s="158"/>
      <c r="C52" s="127"/>
      <c r="D52" s="27" t="s">
        <v>422</v>
      </c>
      <c r="E52" s="57" t="str">
        <f>HYPERLINK("[DesignTable.xlsx]GroupDesign!B193","copy_tree")</f>
        <v>copy_tree</v>
      </c>
      <c r="F52" s="57" t="str">
        <f>HYPERLINK("[DesignTable.xlsx]GroupDesign!C193","Select/Select")</f>
        <v>Select/Select</v>
      </c>
      <c r="G52" s="58" t="str">
        <f>HYPERLINK("[DesignTable.xlsx]GroupDesign!E193","-")</f>
        <v>-</v>
      </c>
      <c r="H52" s="41"/>
      <c r="I52" s="40"/>
      <c r="J52" s="42"/>
    </row>
    <row r="53" spans="2:10" ht="24.95" customHeight="1" thickBot="1" x14ac:dyDescent="0.3">
      <c r="B53" s="158"/>
      <c r="C53" s="132"/>
      <c r="D53" s="30" t="s">
        <v>423</v>
      </c>
      <c r="E53" s="59" t="str">
        <f>HYPERLINK("[DesignTable.xlsx]GroupDesign!B283","delete_tree")</f>
        <v>delete_tree</v>
      </c>
      <c r="F53" s="59" t="str">
        <f>HYPERLINK("[DesignTable.xlsx]GroupDesign!B283","Select/Select")</f>
        <v>Select/Select</v>
      </c>
      <c r="G53" s="60" t="str">
        <f>HYPERLINK("[DesignTable.xlsx]GroupDesign!B283","-")</f>
        <v>-</v>
      </c>
      <c r="H53" s="43"/>
      <c r="I53" s="44"/>
      <c r="J53" s="45"/>
    </row>
    <row r="54" spans="2:10" ht="24.95" customHeight="1" x14ac:dyDescent="0.25">
      <c r="B54" s="158"/>
      <c r="C54" s="144" t="s">
        <v>112</v>
      </c>
      <c r="D54" s="163" t="s">
        <v>131</v>
      </c>
      <c r="E54" s="69" t="str">
        <f>HYPERLINK("[DesignTable.xlsx]GroupDesign!B1485","Work_supplier")</f>
        <v>Work_supplier</v>
      </c>
      <c r="F54" s="61" t="str">
        <f>HYPERLINK("[DesignTable.xlsx]GroupDesign!C1485","Browse/Browse")</f>
        <v>Browse/Browse</v>
      </c>
      <c r="G54" s="62" t="str">
        <f>HYPERLINK("[DesignTable.xlsx]GroupDesign!E1485","-")</f>
        <v>-</v>
      </c>
      <c r="H54" s="52"/>
      <c r="I54" s="53"/>
      <c r="J54" s="54"/>
    </row>
    <row r="55" spans="2:10" ht="24.95" customHeight="1" x14ac:dyDescent="0.25">
      <c r="B55" s="158"/>
      <c r="C55" s="171"/>
      <c r="D55" s="161"/>
      <c r="E55" s="57" t="str">
        <f>HYPERLINK("[DesignTable.xlsx]GroupDesign!B1491","Work_supplier")</f>
        <v>Work_supplier</v>
      </c>
      <c r="F55" s="55" t="str">
        <f>HYPERLINK("[DesignTable.xlsx]GroupDesign!C1491","Maint/Maint")</f>
        <v>Maint/Maint</v>
      </c>
      <c r="G55" s="63" t="str">
        <f>HYPERLINK("[DesignTable.xlsx]GroupDesign!E1491","-")</f>
        <v>-</v>
      </c>
      <c r="H55" s="41"/>
      <c r="I55" s="40"/>
      <c r="J55" s="42"/>
    </row>
    <row r="56" spans="2:10" ht="24.95" customHeight="1" x14ac:dyDescent="0.25">
      <c r="B56" s="158"/>
      <c r="C56" s="171"/>
      <c r="D56" s="160" t="s">
        <v>132</v>
      </c>
      <c r="E56" s="57" t="str">
        <f>HYPERLINK("[DesignTable.xlsx]GroupDesign!B1409","Work_note")</f>
        <v>Work_note</v>
      </c>
      <c r="F56" s="55" t="str">
        <f>HYPERLINK("[DesignTable.xlsx]GroupDesign!C1409","Browse/Browse")</f>
        <v>Browse/Browse</v>
      </c>
      <c r="G56" s="63" t="str">
        <f>HYPERLINK("[DesignTable.xlsx]GroupDesign!E1409","-")</f>
        <v>-</v>
      </c>
      <c r="H56" s="41"/>
      <c r="I56" s="40"/>
      <c r="J56" s="42"/>
    </row>
    <row r="57" spans="2:10" ht="24.95" customHeight="1" x14ac:dyDescent="0.25">
      <c r="B57" s="158"/>
      <c r="C57" s="127"/>
      <c r="D57" s="161"/>
      <c r="E57" s="57" t="str">
        <f>HYPERLINK("[DesignTable.xlsx]GroupDesign!B1413","Work_note")</f>
        <v>Work_note</v>
      </c>
      <c r="F57" s="57" t="str">
        <f>HYPERLINK("[DesignTable.xlsx]GroupDesign!C1413","Maint/Maint")</f>
        <v>Maint/Maint</v>
      </c>
      <c r="G57" s="58" t="str">
        <f>HYPERLINK("[DesignTable.xlsx]GroupDesign!E1413","-")</f>
        <v>-</v>
      </c>
      <c r="H57" s="41"/>
      <c r="I57" s="40"/>
      <c r="J57" s="42"/>
    </row>
    <row r="58" spans="2:10" ht="24.95" customHeight="1" x14ac:dyDescent="0.25">
      <c r="B58" s="158"/>
      <c r="C58" s="127"/>
      <c r="D58" s="160" t="s">
        <v>133</v>
      </c>
      <c r="E58" s="57" t="str">
        <f>HYPERLINK("[DesignTable.xlsx]GroupDesign!B473","Instrumen")</f>
        <v>Instrumen</v>
      </c>
      <c r="F58" s="57" t="str">
        <f>HYPERLINK("[DesignTable.xlsx]GroupDesign!C473","Browse/Browse")</f>
        <v>Browse/Browse</v>
      </c>
      <c r="G58" s="58" t="str">
        <f>HYPERLINK("[DesignTable.xlsx]GroupDesign!E473","-")</f>
        <v>-</v>
      </c>
      <c r="H58" s="41"/>
      <c r="I58" s="40"/>
      <c r="J58" s="42"/>
    </row>
    <row r="59" spans="2:10" ht="24.95" customHeight="1" x14ac:dyDescent="0.25">
      <c r="B59" s="158"/>
      <c r="C59" s="127"/>
      <c r="D59" s="161"/>
      <c r="E59" s="57" t="str">
        <f>HYPERLINK("[DesignTable.xlsx]GroupDesign!B475","Instrumen")</f>
        <v>Instrumen</v>
      </c>
      <c r="F59" s="57" t="str">
        <f>HYPERLINK("[DesignTable.xlsx]GroupDesign!C475","Maint/Maint")</f>
        <v>Maint/Maint</v>
      </c>
      <c r="G59" s="58" t="str">
        <f>HYPERLINK("[DesignTable.xlsx]GroupDesign!E475","-")</f>
        <v>-</v>
      </c>
      <c r="H59" s="41"/>
      <c r="I59" s="40"/>
      <c r="J59" s="42"/>
    </row>
    <row r="60" spans="2:10" ht="24.95" customHeight="1" x14ac:dyDescent="0.25">
      <c r="B60" s="158"/>
      <c r="C60" s="127"/>
      <c r="D60" s="160" t="s">
        <v>134</v>
      </c>
      <c r="E60" s="57" t="str">
        <f>HYPERLINK("[DesignTable.xlsx]GroupDesign!B522","Jobcode")</f>
        <v>Jobcode</v>
      </c>
      <c r="F60" s="57" t="str">
        <f>HYPERLINK("[DesignTable.xlsx]GroupDesign!C522","Browse/Browse")</f>
        <v>Browse/Browse</v>
      </c>
      <c r="G60" s="58" t="str">
        <f>HYPERLINK("[DesignTable.xlsx]GroupDesign!E522","-")</f>
        <v>-</v>
      </c>
      <c r="H60" s="41"/>
      <c r="I60" s="40"/>
      <c r="J60" s="42"/>
    </row>
    <row r="61" spans="2:10" ht="24.95" customHeight="1" x14ac:dyDescent="0.25">
      <c r="B61" s="158"/>
      <c r="C61" s="127"/>
      <c r="D61" s="161"/>
      <c r="E61" s="57" t="str">
        <f>HYPERLINK("[DesignTable.xlsx]GroupDesign!B526","Jobcode")</f>
        <v>Jobcode</v>
      </c>
      <c r="F61" s="57" t="str">
        <f>HYPERLINK("[DesignTable.xlsx]GroupDesign!C526","Maint/Maint")</f>
        <v>Maint/Maint</v>
      </c>
      <c r="G61" s="58" t="str">
        <f>HYPERLINK("[DesignTable.xlsx]GroupDesign!E526","-")</f>
        <v>-</v>
      </c>
      <c r="H61" s="41"/>
      <c r="I61" s="40"/>
      <c r="J61" s="42"/>
    </row>
    <row r="62" spans="2:10" ht="24.95" customHeight="1" x14ac:dyDescent="0.25">
      <c r="B62" s="158"/>
      <c r="C62" s="127"/>
      <c r="D62" s="160" t="s">
        <v>135</v>
      </c>
      <c r="E62" s="57" t="str">
        <f>HYPERLINK("[DesignTable.xlsx]GroupDesign!B513","Jobcluster")</f>
        <v>Jobcluster</v>
      </c>
      <c r="F62" s="57" t="str">
        <f>HYPERLINK("[DesignTable.xlsx]GroupDesign!C513","Browse/Browse")</f>
        <v>Browse/Browse</v>
      </c>
      <c r="G62" s="71" t="str">
        <f>HYPERLINK("[DesignTable.xlsx]GroupDesign!E513","-")</f>
        <v>-</v>
      </c>
      <c r="H62" s="41"/>
      <c r="I62" s="40"/>
      <c r="J62" s="42"/>
    </row>
    <row r="63" spans="2:10" ht="24.95" customHeight="1" x14ac:dyDescent="0.25">
      <c r="B63" s="158"/>
      <c r="C63" s="127"/>
      <c r="D63" s="161"/>
      <c r="E63" s="57" t="str">
        <f>HYPERLINK("[DesignTable.xlsx]GroupDesign!B517","Jobcluster")</f>
        <v>Jobcluster</v>
      </c>
      <c r="F63" s="57" t="str">
        <f>HYPERLINK("[DesignTable.xlsx]GroupDesign!C517","Maint/Maint")</f>
        <v>Maint/Maint</v>
      </c>
      <c r="G63" s="71" t="str">
        <f>HYPERLINK("[DesignTable.xlsx]GroupDesign!E517","-")</f>
        <v>-</v>
      </c>
      <c r="H63" s="41"/>
      <c r="I63" s="40"/>
      <c r="J63" s="42"/>
    </row>
    <row r="64" spans="2:10" ht="24.95" customHeight="1" x14ac:dyDescent="0.25">
      <c r="B64" s="158"/>
      <c r="C64" s="127"/>
      <c r="D64" s="160" t="s">
        <v>136</v>
      </c>
      <c r="E64" s="57" t="str">
        <f>HYPERLINK("[DesignTable.xlsx]GroupDesign!B335","Error_code1")</f>
        <v>Error_code1</v>
      </c>
      <c r="F64" s="57" t="str">
        <f>HYPERLINK("[DesignTable.xlsx]GroupDesign!C335","Browse/Browse")</f>
        <v>Browse/Browse</v>
      </c>
      <c r="G64" s="71" t="str">
        <f>HYPERLINK("[DesignTable.xlsx]GroupDesign!E335","-")</f>
        <v>-</v>
      </c>
      <c r="H64" s="41"/>
      <c r="I64" s="40"/>
      <c r="J64" s="42"/>
    </row>
    <row r="65" spans="2:10" ht="24.95" customHeight="1" x14ac:dyDescent="0.25">
      <c r="B65" s="158"/>
      <c r="C65" s="127"/>
      <c r="D65" s="161"/>
      <c r="E65" s="57" t="str">
        <f>HYPERLINK("[DesignTable.xlsx]GroupDesign!B339","Error_code1")</f>
        <v>Error_code1</v>
      </c>
      <c r="F65" s="57" t="str">
        <f>HYPERLINK("[DesignTable.xlsx]GroupDesign!C339","Maint/Maint")</f>
        <v>Maint/Maint</v>
      </c>
      <c r="G65" s="71" t="str">
        <f>HYPERLINK("[DesignTable.xlsx]GroupDesign!E339","-")</f>
        <v>-</v>
      </c>
      <c r="H65" s="41"/>
      <c r="I65" s="40"/>
      <c r="J65" s="42"/>
    </row>
    <row r="66" spans="2:10" ht="24.95" customHeight="1" x14ac:dyDescent="0.25">
      <c r="B66" s="158"/>
      <c r="C66" s="127"/>
      <c r="D66" s="160" t="s">
        <v>137</v>
      </c>
      <c r="E66" s="57" t="str">
        <f>HYPERLINK("[DesignTable.xlsx]GroupDesign!B343","Error_code2")</f>
        <v>Error_code2</v>
      </c>
      <c r="F66" s="57" t="str">
        <f>HYPERLINK("[DesignTable.xlsx]GroupDesign!C343","Browse/Browse")</f>
        <v>Browse/Browse</v>
      </c>
      <c r="G66" s="71" t="str">
        <f>HYPERLINK("[DesignTable.xlsx]GroupDesign!E343","-")</f>
        <v>-</v>
      </c>
      <c r="H66" s="41"/>
      <c r="I66" s="40"/>
      <c r="J66" s="42"/>
    </row>
    <row r="67" spans="2:10" ht="24.95" customHeight="1" x14ac:dyDescent="0.25">
      <c r="B67" s="158"/>
      <c r="C67" s="127"/>
      <c r="D67" s="161"/>
      <c r="E67" s="57" t="str">
        <f>HYPERLINK("[DesignTable.xlsx]GroupDesign!B347","Error_code2")</f>
        <v>Error_code2</v>
      </c>
      <c r="F67" s="57" t="str">
        <f>HYPERLINK("[DesignTable.xlsx]GroupDesign!C347","Maint/Maint")</f>
        <v>Maint/Maint</v>
      </c>
      <c r="G67" s="71" t="str">
        <f>HYPERLINK("[DesignTable.xlsx]GroupDesign!E347","-")</f>
        <v>-</v>
      </c>
      <c r="H67" s="41"/>
      <c r="I67" s="40"/>
      <c r="J67" s="42"/>
    </row>
    <row r="68" spans="2:10" ht="24.95" customHeight="1" x14ac:dyDescent="0.25">
      <c r="B68" s="158"/>
      <c r="C68" s="127"/>
      <c r="D68" s="160" t="s">
        <v>138</v>
      </c>
      <c r="E68" s="57" t="str">
        <f>HYPERLINK("[DesignTable.xlsx]GroupDesign!B350","Error_code3")</f>
        <v>Error_code3</v>
      </c>
      <c r="F68" s="57" t="str">
        <f>HYPERLINK("[DesignTable.xlsx]GroupDesign!C350","Browse/Browse")</f>
        <v>Browse/Browse</v>
      </c>
      <c r="G68" s="71" t="str">
        <f>HYPERLINK("[DesignTable.xlsx]GroupDesign!B350","-")</f>
        <v>-</v>
      </c>
      <c r="H68" s="41"/>
      <c r="I68" s="40"/>
      <c r="J68" s="42"/>
    </row>
    <row r="69" spans="2:10" ht="24.95" customHeight="1" x14ac:dyDescent="0.25">
      <c r="B69" s="158"/>
      <c r="C69" s="127"/>
      <c r="D69" s="161"/>
      <c r="E69" s="57" t="str">
        <f>HYPERLINK("[DesignTable.xlsx]GroupDesign!B354","Error_code3")</f>
        <v>Error_code3</v>
      </c>
      <c r="F69" s="57" t="str">
        <f>HYPERLINK("[DesignTable.xlsx]GroupDesign!C354","Maint/Maint")</f>
        <v>Maint/Maint</v>
      </c>
      <c r="G69" s="71" t="str">
        <f>HYPERLINK("[DesignTable.xlsx]GroupDesign!E354","-")</f>
        <v>-</v>
      </c>
      <c r="H69" s="41"/>
      <c r="I69" s="40"/>
      <c r="J69" s="42"/>
    </row>
    <row r="70" spans="2:10" ht="24.95" customHeight="1" x14ac:dyDescent="0.25">
      <c r="B70" s="158"/>
      <c r="C70" s="127"/>
      <c r="D70" s="160" t="s">
        <v>139</v>
      </c>
      <c r="E70" s="57" t="str">
        <f>HYPERLINK("[DesignTable.xlsx]GroupDesign!B422","Inspection_code")</f>
        <v>Inspection_code</v>
      </c>
      <c r="F70" s="57" t="str">
        <f>HYPERLINK("[DesignTable.xlsx]GroupDesign!C422","Browse/Browse")</f>
        <v>Browse/Browse</v>
      </c>
      <c r="G70" s="71" t="str">
        <f>HYPERLINK("[DesignTable.xlsx]GroupDesign!E422","-")</f>
        <v>-</v>
      </c>
      <c r="H70" s="41"/>
      <c r="I70" s="40"/>
      <c r="J70" s="42"/>
    </row>
    <row r="71" spans="2:10" ht="24.95" customHeight="1" x14ac:dyDescent="0.25">
      <c r="B71" s="158"/>
      <c r="C71" s="127"/>
      <c r="D71" s="161"/>
      <c r="E71" s="57" t="str">
        <f>HYPERLINK("[DesignTable.xlsx]GroupDesign!B424","Inspection_code")</f>
        <v>Inspection_code</v>
      </c>
      <c r="F71" s="57" t="str">
        <f>HYPERLINK("[DesignTable.xlsx]GroupDesign!C424","Maint/Maint")</f>
        <v>Maint/Maint</v>
      </c>
      <c r="G71" s="71" t="str">
        <f>HYPERLINK("[DesignTable.xlsx]GroupDesign!E424","-")</f>
        <v>-</v>
      </c>
      <c r="H71" s="41"/>
      <c r="I71" s="40"/>
      <c r="J71" s="42"/>
    </row>
    <row r="72" spans="2:10" ht="24.95" customHeight="1" x14ac:dyDescent="0.25">
      <c r="B72" s="158"/>
      <c r="C72" s="127"/>
      <c r="D72" s="160" t="s">
        <v>140</v>
      </c>
      <c r="E72" s="59" t="str">
        <f>HYPERLINK("[DesignTable.xlsx]GroupDesign!B410","Insp_check_code")</f>
        <v>Insp_check_code</v>
      </c>
      <c r="F72" s="57" t="str">
        <f>HYPERLINK("[DesignTable.xlsx]GroupDesign!C410","Browse/Browse")</f>
        <v>Browse/Browse</v>
      </c>
      <c r="G72" s="71" t="str">
        <f>HYPERLINK("[DesignTable.xlsx]GroupDesign!E410","-")</f>
        <v>-</v>
      </c>
      <c r="H72" s="41"/>
      <c r="I72" s="40"/>
      <c r="J72" s="42"/>
    </row>
    <row r="73" spans="2:10" ht="24.95" customHeight="1" x14ac:dyDescent="0.25">
      <c r="B73" s="158"/>
      <c r="C73" s="127"/>
      <c r="D73" s="161"/>
      <c r="E73" s="59" t="str">
        <f>HYPERLINK("[DesignTable.xlsx]GroupDesign!B412","Insp_check_code")</f>
        <v>Insp_check_code</v>
      </c>
      <c r="F73" s="57" t="str">
        <f>HYPERLINK("[DesignTable.xlsx]GroupDesign!C412","Maint/Maint")</f>
        <v>Maint/Maint</v>
      </c>
      <c r="G73" s="71" t="str">
        <f>HYPERLINK("[DesignTable.xlsx]GroupDesign!E412","-")</f>
        <v>-</v>
      </c>
      <c r="H73" s="41"/>
      <c r="I73" s="40"/>
      <c r="J73" s="42"/>
    </row>
    <row r="74" spans="2:10" ht="24.95" customHeight="1" x14ac:dyDescent="0.25">
      <c r="B74" s="158"/>
      <c r="C74" s="127"/>
      <c r="D74" s="160" t="s">
        <v>141</v>
      </c>
      <c r="E74" s="57" t="str">
        <f>HYPERLINK("[DesignTable.xlsx]GroupDesign!B548","Jobstatus")</f>
        <v>Jobstatus</v>
      </c>
      <c r="F74" s="57" t="str">
        <f>HYPERLINK("[DesignTable.xlsx]GroupDesign!C548","Browse/Browse")</f>
        <v>Browse/Browse</v>
      </c>
      <c r="G74" s="71" t="str">
        <f>HYPERLINK("[DesignTable.xlsx]GroupDesign!E548","-")</f>
        <v>-</v>
      </c>
      <c r="H74" s="41"/>
      <c r="I74" s="40"/>
      <c r="J74" s="42"/>
    </row>
    <row r="75" spans="2:10" ht="24.95" customHeight="1" x14ac:dyDescent="0.25">
      <c r="B75" s="158"/>
      <c r="C75" s="127"/>
      <c r="D75" s="161"/>
      <c r="E75" s="57" t="str">
        <f>HYPERLINK("[DesignTable.xlsx]GroupDesign!B550","Jobstatus")</f>
        <v>Jobstatus</v>
      </c>
      <c r="F75" s="57" t="str">
        <f>HYPERLINK("[DesignTable.xlsx]GroupDesign!C550","Maint/Maint")</f>
        <v>Maint/Maint</v>
      </c>
      <c r="G75" s="71" t="str">
        <f>HYPERLINK("[DesignTable.xlsx]GroupDesign!E550","-")</f>
        <v>-</v>
      </c>
      <c r="H75" s="41"/>
      <c r="I75" s="40"/>
      <c r="J75" s="42"/>
    </row>
    <row r="76" spans="2:10" ht="24.95" customHeight="1" x14ac:dyDescent="0.25">
      <c r="B76" s="158"/>
      <c r="C76" s="127"/>
      <c r="D76" s="160" t="s">
        <v>142</v>
      </c>
      <c r="E76" s="57" t="str">
        <f>HYPERLINK("[DesignTable.xlsx]GroupDesign!B814","Priority")</f>
        <v>Priority</v>
      </c>
      <c r="F76" s="57" t="str">
        <f>HYPERLINK("[DesignTable.xlsx]GroupDesign!C814","Browse/Browse")</f>
        <v>Browse/Browse</v>
      </c>
      <c r="G76" s="71" t="str">
        <f>HYPERLINK("[DesignTable.xlsx]GroupDesign!E814","-")</f>
        <v>-</v>
      </c>
      <c r="H76" s="41"/>
      <c r="I76" s="40"/>
      <c r="J76" s="42"/>
    </row>
    <row r="77" spans="2:10" ht="24.95" customHeight="1" x14ac:dyDescent="0.25">
      <c r="B77" s="158"/>
      <c r="C77" s="127"/>
      <c r="D77" s="161"/>
      <c r="E77" s="57" t="str">
        <f>HYPERLINK("[DesignTable.xlsx]GroupDesign!B818","Priority")</f>
        <v>Priority</v>
      </c>
      <c r="F77" s="57" t="str">
        <f>HYPERLINK("[DesignTable.xlsx]GroupDesign!C818","Maint/Maint")</f>
        <v>Maint/Maint</v>
      </c>
      <c r="G77" s="71" t="str">
        <f>HYPERLINK("[DesignTable.xlsx]GroupDesign!E818","-")</f>
        <v>-</v>
      </c>
      <c r="H77" s="41"/>
      <c r="I77" s="40"/>
      <c r="J77" s="42"/>
    </row>
    <row r="78" spans="2:10" ht="24.95" customHeight="1" x14ac:dyDescent="0.25">
      <c r="B78" s="158"/>
      <c r="C78" s="127"/>
      <c r="D78" s="160" t="s">
        <v>143</v>
      </c>
      <c r="E78" s="57" t="str">
        <f>HYPERLINK("[DesignTable.xlsx]GroupDesign!B952","Shift_calendar")</f>
        <v>Shift_calendar</v>
      </c>
      <c r="F78" s="57" t="str">
        <f>HYPERLINK("[DesignTable.xlsx]GroupDesign!C952","Browse/Browse")</f>
        <v>Browse/Browse</v>
      </c>
      <c r="G78" s="71" t="str">
        <f>HYPERLINK("[DesignTable.xlsx]GroupDesign!E952","-")</f>
        <v>-</v>
      </c>
      <c r="H78" s="41"/>
      <c r="I78" s="40"/>
      <c r="J78" s="42"/>
    </row>
    <row r="79" spans="2:10" ht="24.95" customHeight="1" x14ac:dyDescent="0.25">
      <c r="B79" s="158"/>
      <c r="C79" s="127"/>
      <c r="D79" s="161"/>
      <c r="E79" s="57" t="str">
        <f>HYPERLINK("[DesignTable.xlsx]GroupDesign!B954","Shift_calendar")</f>
        <v>Shift_calendar</v>
      </c>
      <c r="F79" s="57" t="str">
        <f>HYPERLINK("[DesignTable.xlsx]GroupDesign!C954","Maint/Maint")</f>
        <v>Maint/Maint</v>
      </c>
      <c r="G79" s="71" t="str">
        <f>HYPERLINK("[DesignTable.xlsx]GroupDesign!E954","-")</f>
        <v>-</v>
      </c>
      <c r="H79" s="41"/>
      <c r="I79" s="40"/>
      <c r="J79" s="42"/>
    </row>
    <row r="80" spans="2:10" ht="24.95" customHeight="1" x14ac:dyDescent="0.25">
      <c r="B80" s="158"/>
      <c r="C80" s="127"/>
      <c r="D80" s="160" t="s">
        <v>144</v>
      </c>
      <c r="E80" s="57" t="str">
        <f>HYPERLINK("[DesignTable.xlsx]GroupDesign!B398","Holiday")</f>
        <v>Holiday</v>
      </c>
      <c r="F80" s="57" t="str">
        <f>HYPERLINK("[DesignTable.xlsx]GroupDesign!C398","Browse/Browse")</f>
        <v>Browse/Browse</v>
      </c>
      <c r="G80" s="71" t="str">
        <f>HYPERLINK("[DesignTable.xlsx]GroupDesign!E398","-")</f>
        <v>-</v>
      </c>
      <c r="H80" s="41"/>
      <c r="I80" s="40"/>
      <c r="J80" s="42"/>
    </row>
    <row r="81" spans="2:10" ht="24.95" customHeight="1" x14ac:dyDescent="0.25">
      <c r="B81" s="158"/>
      <c r="C81" s="127"/>
      <c r="D81" s="161"/>
      <c r="E81" s="57" t="str">
        <f>HYPERLINK("[DesignTable.xlsx]GroupDesign!B400","Holiday")</f>
        <v>Holiday</v>
      </c>
      <c r="F81" s="57" t="str">
        <f>HYPERLINK("[DesignTable.xlsx]GroupDesign!C400","Maint/Maint")</f>
        <v>Maint/Maint</v>
      </c>
      <c r="G81" s="71" t="str">
        <f>HYPERLINK("[DesignTable.xlsx]GroupDesign!E400","-")</f>
        <v>-</v>
      </c>
      <c r="H81" s="41"/>
      <c r="I81" s="40"/>
      <c r="J81" s="42"/>
    </row>
    <row r="82" spans="2:10" ht="24.95" customHeight="1" x14ac:dyDescent="0.25">
      <c r="B82" s="158"/>
      <c r="C82" s="127"/>
      <c r="D82" s="160" t="s">
        <v>145</v>
      </c>
      <c r="E82" s="57" t="str">
        <f>HYPERLINK("[DesignTable.xlsx]GroupDesign!B1391","Work_category")</f>
        <v>Work_category</v>
      </c>
      <c r="F82" s="57" t="str">
        <f>HYPERLINK("[DesignTable.xlsx]GroupDesign!C1391","Browse/Browse")</f>
        <v>Browse/Browse</v>
      </c>
      <c r="G82" s="71" t="str">
        <f>HYPERLINK("[DesignTable.xlsx]GroupDesign!E1391","-")</f>
        <v>-</v>
      </c>
      <c r="H82" s="41"/>
      <c r="I82" s="40"/>
      <c r="J82" s="42"/>
    </row>
    <row r="83" spans="2:10" ht="24.95" customHeight="1" x14ac:dyDescent="0.25">
      <c r="B83" s="158"/>
      <c r="C83" s="127"/>
      <c r="D83" s="161"/>
      <c r="E83" s="57" t="str">
        <f>HYPERLINK("[DesignTable.xlsx]GroupDesign!B1393","Work_category")</f>
        <v>Work_category</v>
      </c>
      <c r="F83" s="57" t="str">
        <f>HYPERLINK("[DesignTable.xlsx]GroupDesign!C1393","Maint/Maint")</f>
        <v>Maint/Maint</v>
      </c>
      <c r="G83" s="71" t="str">
        <f>HYPERLINK("[DesignTable.xlsx]GroupDesign!E1393","-")</f>
        <v>-</v>
      </c>
      <c r="H83" s="41"/>
      <c r="I83" s="40"/>
      <c r="J83" s="42"/>
    </row>
    <row r="84" spans="2:10" ht="24.95" customHeight="1" x14ac:dyDescent="0.25">
      <c r="B84" s="158"/>
      <c r="C84" s="127"/>
      <c r="D84" s="160" t="s">
        <v>146</v>
      </c>
      <c r="E84" s="57" t="str">
        <f>HYPERLINK("[DesignTable.xlsx]GroupDesign!B949","Shift")</f>
        <v>Shift</v>
      </c>
      <c r="F84" s="57" t="str">
        <f>HYPERLINK("[DesignTable.xlsx]GroupDesign!C949","Browse/Browse")</f>
        <v>Browse/Browse</v>
      </c>
      <c r="G84" s="71" t="str">
        <f>HYPERLINK("[DesignTable.xlsx]GroupDesign!E949","-")</f>
        <v>-</v>
      </c>
      <c r="H84" s="41"/>
      <c r="I84" s="40"/>
      <c r="J84" s="42"/>
    </row>
    <row r="85" spans="2:10" ht="24.95" customHeight="1" x14ac:dyDescent="0.25">
      <c r="B85" s="158"/>
      <c r="C85" s="127"/>
      <c r="D85" s="161"/>
      <c r="E85" s="57" t="str">
        <f>HYPERLINK("[DesignTable.xlsx]GroupDesign!B951","Shift")</f>
        <v>Shift</v>
      </c>
      <c r="F85" s="57" t="str">
        <f>HYPERLINK("[DesignTable.xlsx]GroupDesign!C951","Maint/Maint")</f>
        <v>Maint/Maint</v>
      </c>
      <c r="G85" s="71" t="str">
        <f>HYPERLINK("[DesignTable.xlsx]GroupDesign!E951","-")</f>
        <v>-</v>
      </c>
      <c r="H85" s="41"/>
      <c r="I85" s="40"/>
      <c r="J85" s="42"/>
    </row>
    <row r="86" spans="2:10" ht="24.95" customHeight="1" x14ac:dyDescent="0.25">
      <c r="B86" s="158"/>
      <c r="C86" s="127"/>
      <c r="D86" s="160" t="s">
        <v>147</v>
      </c>
      <c r="E86" s="57" t="str">
        <f>HYPERLINK("[DesignTable.xlsx]GroupDesign!B969","Shift_plan")</f>
        <v>Shift_plan</v>
      </c>
      <c r="F86" s="57" t="str">
        <f>HYPERLINK("[DesignTable.xlsx]GroupDesign!C969","Browse/Browse")</f>
        <v>Browse/Browse</v>
      </c>
      <c r="G86" s="71" t="str">
        <f>HYPERLINK("[DesignTable.xlsx]GroupDesign!E969","-")</f>
        <v>-</v>
      </c>
      <c r="H86" s="41"/>
      <c r="I86" s="40"/>
      <c r="J86" s="42"/>
    </row>
    <row r="87" spans="2:10" ht="24.95" customHeight="1" x14ac:dyDescent="0.25">
      <c r="B87" s="158"/>
      <c r="C87" s="127"/>
      <c r="D87" s="161"/>
      <c r="E87" s="57" t="str">
        <f>HYPERLINK("[DesignTable.xlsx]GroupDesign!B971","Shift_plan")</f>
        <v>Shift_plan</v>
      </c>
      <c r="F87" s="57" t="str">
        <f>HYPERLINK("[DesignTable.xlsx]GroupDesign!C971","Maint/Maint")</f>
        <v>Maint/Maint</v>
      </c>
      <c r="G87" s="71" t="str">
        <f>HYPERLINK("[DesignTable.xlsx]GroupDesign!E971","-")</f>
        <v>-</v>
      </c>
      <c r="H87" s="41"/>
      <c r="I87" s="40"/>
      <c r="J87" s="42"/>
    </row>
    <row r="88" spans="2:10" ht="24.95" customHeight="1" x14ac:dyDescent="0.25">
      <c r="B88" s="158"/>
      <c r="C88" s="127"/>
      <c r="D88" s="160" t="s">
        <v>148</v>
      </c>
      <c r="E88" s="57" t="str">
        <f>HYPERLINK("[DesignTable.xlsx]GroupDesign!B1522","WS_group")</f>
        <v>WS_group</v>
      </c>
      <c r="F88" s="57" t="str">
        <f>HYPERLINK("[DesignTable.xlsx]GroupDesign!C1522","Browse/Browse")</f>
        <v>Browse/Browse</v>
      </c>
      <c r="G88" s="71" t="str">
        <f>HYPERLINK("[DesignTable.xlsx]GroupDesign!E1522","-")</f>
        <v>-</v>
      </c>
      <c r="H88" s="41"/>
      <c r="I88" s="40"/>
      <c r="J88" s="42"/>
    </row>
    <row r="89" spans="2:10" ht="24.95" customHeight="1" x14ac:dyDescent="0.25">
      <c r="B89" s="158"/>
      <c r="C89" s="127"/>
      <c r="D89" s="161"/>
      <c r="E89" s="57" t="str">
        <f>HYPERLINK("[DesignTable.xlsx]GroupDesign!B1524","WS_group")</f>
        <v>WS_group</v>
      </c>
      <c r="F89" s="57" t="str">
        <f>HYPERLINK("[DesignTable.xlsx]GroupDesign!C1524","Maint/Maint")</f>
        <v>Maint/Maint</v>
      </c>
      <c r="G89" s="71" t="str">
        <f>HYPERLINK("[DesignTable.xlsx]GroupDesign!E1524","-")</f>
        <v>-</v>
      </c>
      <c r="H89" s="41"/>
      <c r="I89" s="40"/>
      <c r="J89" s="42"/>
    </row>
    <row r="90" spans="2:10" ht="24.95" customHeight="1" x14ac:dyDescent="0.25">
      <c r="B90" s="158"/>
      <c r="C90" s="127"/>
      <c r="D90" s="160" t="s">
        <v>149</v>
      </c>
      <c r="E90" s="57" t="str">
        <f>HYPERLINK("[DesignTable.xlsx]GroupDesign!B137","Capacity_group")</f>
        <v>Capacity_group</v>
      </c>
      <c r="F90" s="57" t="str">
        <f>HYPERLINK("[DesignTable.xlsx]GroupDesign!C137","Browse/Browse")</f>
        <v>Browse/Browse</v>
      </c>
      <c r="G90" s="71" t="str">
        <f>HYPERLINK("[DesignTable.xlsx]GroupDesign!E137","-")</f>
        <v>-</v>
      </c>
      <c r="H90" s="41"/>
      <c r="I90" s="40"/>
      <c r="J90" s="42"/>
    </row>
    <row r="91" spans="2:10" ht="24.95" customHeight="1" x14ac:dyDescent="0.25">
      <c r="B91" s="158"/>
      <c r="C91" s="127"/>
      <c r="D91" s="161"/>
      <c r="E91" s="57" t="str">
        <f>HYPERLINK("[DesignTable.xlsx]GroupDesign!B138","Capacity_group")</f>
        <v>Capacity_group</v>
      </c>
      <c r="F91" s="57" t="str">
        <f>HYPERLINK("[DesignTable.xlsx]GroupDesign!C138","Maint/Maint")</f>
        <v>Maint/Maint</v>
      </c>
      <c r="G91" s="71" t="str">
        <f>HYPERLINK("[DesignTable.xlsx]GroupDesign!E138","-")</f>
        <v>-</v>
      </c>
      <c r="H91" s="41"/>
      <c r="I91" s="40"/>
      <c r="J91" s="42"/>
    </row>
    <row r="92" spans="2:10" ht="24.95" customHeight="1" x14ac:dyDescent="0.25">
      <c r="B92" s="158"/>
      <c r="C92" s="127"/>
      <c r="D92" s="160" t="s">
        <v>150</v>
      </c>
      <c r="E92" s="57" t="str">
        <f>HYPERLINK("[DesignTable.xlsx]GroupDesign!B833","Project_code")</f>
        <v>Project_code</v>
      </c>
      <c r="F92" s="57" t="str">
        <f>HYPERLINK("[DesignTable.xlsx]GroupDesign!C833","Browse/Browse")</f>
        <v>Browse/Browse</v>
      </c>
      <c r="G92" s="71" t="str">
        <f>HYPERLINK("[DesignTable.xlsx]GroupDesign!E833","-")</f>
        <v>-</v>
      </c>
      <c r="H92" s="41"/>
      <c r="I92" s="40"/>
      <c r="J92" s="42"/>
    </row>
    <row r="93" spans="2:10" ht="24.95" customHeight="1" x14ac:dyDescent="0.25">
      <c r="B93" s="158"/>
      <c r="C93" s="127"/>
      <c r="D93" s="161"/>
      <c r="E93" s="57" t="str">
        <f>HYPERLINK("[DesignTable.xlsx]GroupDesign!B835","Project_code")</f>
        <v>Project_code</v>
      </c>
      <c r="F93" s="57" t="str">
        <f>HYPERLINK("[DesignTable.xlsx]GroupDesign!C835","Maint/Maint")</f>
        <v>Maint/Maint</v>
      </c>
      <c r="G93" s="71" t="str">
        <f>HYPERLINK("[DesignTable.xlsx]GroupDesign!E835","-")</f>
        <v>-</v>
      </c>
      <c r="H93" s="41"/>
      <c r="I93" s="40"/>
      <c r="J93" s="42"/>
    </row>
    <row r="94" spans="2:10" ht="24.95" customHeight="1" x14ac:dyDescent="0.25">
      <c r="B94" s="158"/>
      <c r="C94" s="127"/>
      <c r="D94" s="160" t="s">
        <v>151</v>
      </c>
      <c r="E94" s="57" t="str">
        <f>HYPERLINK("[DesignTable.xlsx]GroupDesign!B837","Project_group")</f>
        <v>Project_group</v>
      </c>
      <c r="F94" s="57" t="str">
        <f>HYPERLINK("[DesignTable.xlsx]GroupDesign!C837","Browse/Browse")</f>
        <v>Browse/Browse</v>
      </c>
      <c r="G94" s="71" t="str">
        <f>HYPERLINK("[DesignTable.xlsx]GroupDesign!BE37","-")</f>
        <v>-</v>
      </c>
      <c r="H94" s="41"/>
      <c r="I94" s="40"/>
      <c r="J94" s="42"/>
    </row>
    <row r="95" spans="2:10" ht="24.95" customHeight="1" x14ac:dyDescent="0.25">
      <c r="B95" s="158"/>
      <c r="C95" s="127"/>
      <c r="D95" s="161"/>
      <c r="E95" s="57" t="str">
        <f>HYPERLINK("[DesignTable.xlsx]GroupDesign!B839","Project_group")</f>
        <v>Project_group</v>
      </c>
      <c r="F95" s="57" t="str">
        <f>HYPERLINK("[DesignTable.xlsx]GroupDesign!C839","Maint/Maint")</f>
        <v>Maint/Maint</v>
      </c>
      <c r="G95" s="71" t="str">
        <f>HYPERLINK("[DesignTable.xlsx]GroupDesign!C839","-")</f>
        <v>-</v>
      </c>
      <c r="H95" s="41"/>
      <c r="I95" s="40"/>
      <c r="J95" s="42"/>
    </row>
    <row r="96" spans="2:10" ht="24.95" customHeight="1" x14ac:dyDescent="0.25">
      <c r="B96" s="158"/>
      <c r="C96" s="127"/>
      <c r="D96" s="160" t="s">
        <v>152</v>
      </c>
      <c r="E96" s="57" t="str">
        <f>HYPERLINK("[DesignTable.xlsx]GroupDesign!B429","Inspection_header_code")</f>
        <v>Inspection_header_code</v>
      </c>
      <c r="F96" s="57" t="str">
        <f>HYPERLINK("[DesignTable.xlsx]GroupDesign!C429","Browse/Browse")</f>
        <v>Browse/Browse</v>
      </c>
      <c r="G96" s="71" t="str">
        <f>HYPERLINK("[DesignTable.xlsx]GroupDesign!E429","-")</f>
        <v>-</v>
      </c>
      <c r="H96" s="41"/>
      <c r="I96" s="40"/>
      <c r="J96" s="42"/>
    </row>
    <row r="97" spans="1:10" ht="24.95" customHeight="1" x14ac:dyDescent="0.25">
      <c r="B97" s="158"/>
      <c r="C97" s="127"/>
      <c r="D97" s="161"/>
      <c r="E97" s="57" t="str">
        <f>HYPERLINK("[DesignTable.xlsx]GroupDesign!B431","Inspection_header_code")</f>
        <v>Inspection_header_code</v>
      </c>
      <c r="F97" s="57" t="str">
        <f>HYPERLINK("[DesignTable.xlsx]GroupDesign!C431","Maint/Maint")</f>
        <v>Maint/Maint</v>
      </c>
      <c r="G97" s="70" t="s">
        <v>408</v>
      </c>
      <c r="H97" s="41"/>
      <c r="I97" s="40"/>
      <c r="J97" s="42"/>
    </row>
    <row r="98" spans="1:10" ht="24.95" customHeight="1" x14ac:dyDescent="0.25">
      <c r="B98" s="158"/>
      <c r="C98" s="127"/>
      <c r="D98" s="160" t="s">
        <v>153</v>
      </c>
      <c r="E98" s="57" t="str">
        <f>HYPERLINK("[DesignTable.xlsx]GroupDesign!B432","Inspection_header_group")</f>
        <v>Inspection_header_group</v>
      </c>
      <c r="F98" s="57" t="str">
        <f>HYPERLINK("[DesignTable.xlsx]GroupDesign!C432","Browse/Browse")</f>
        <v>Browse/Browse</v>
      </c>
      <c r="G98" s="71" t="str">
        <f>HYPERLINK("[DesignTable.xlsx]GroupDesign!E432","-")</f>
        <v>-</v>
      </c>
      <c r="H98" s="41"/>
      <c r="I98" s="40"/>
      <c r="J98" s="42"/>
    </row>
    <row r="99" spans="1:10" ht="24.95" customHeight="1" x14ac:dyDescent="0.25">
      <c r="B99" s="158"/>
      <c r="C99" s="127"/>
      <c r="D99" s="161"/>
      <c r="E99" s="57" t="str">
        <f>HYPERLINK("[DesignTable.xlsx]GroupDesign!B434","Inspection_header_group")</f>
        <v>Inspection_header_group</v>
      </c>
      <c r="F99" s="57" t="str">
        <f>HYPERLINK("[DesignTable.xlsx]GroupDesign!C434","Maint/Maint")</f>
        <v>Maint/Maint</v>
      </c>
      <c r="G99" s="71" t="str">
        <f>HYPERLINK("[DesignTable.xlsx]GroupDesign!E434","-")</f>
        <v>-</v>
      </c>
      <c r="H99" s="41"/>
      <c r="I99" s="40"/>
      <c r="J99" s="42"/>
    </row>
    <row r="100" spans="1:10" ht="24.95" customHeight="1" x14ac:dyDescent="0.25">
      <c r="B100" s="158"/>
      <c r="C100" s="132"/>
      <c r="D100" s="160" t="s">
        <v>154</v>
      </c>
      <c r="E100" s="57" t="str">
        <f>HYPERLINK("[DesignTable.xlsx]GroupDesign!B1001","Skill")</f>
        <v>Skill</v>
      </c>
      <c r="F100" s="59" t="str">
        <f>HYPERLINK("[DesignTable.xlsx]GroupDesign!C1001","Browse/Browse")</f>
        <v>Browse/Browse</v>
      </c>
      <c r="G100" s="73" t="str">
        <f>HYPERLINK("[DesignTable.xlsx]GroupDesign!E1001","-")</f>
        <v>-</v>
      </c>
      <c r="H100" s="41"/>
      <c r="I100" s="40"/>
      <c r="J100" s="42"/>
    </row>
    <row r="101" spans="1:10" ht="24.95" customHeight="1" thickBot="1" x14ac:dyDescent="0.3">
      <c r="A101" s="4"/>
      <c r="B101" s="158"/>
      <c r="C101" s="132"/>
      <c r="D101" s="164"/>
      <c r="E101" s="59" t="str">
        <f>HYPERLINK("[DesignTable.xlsx]GroupDesign!B1002","Skill")</f>
        <v>Skill</v>
      </c>
      <c r="F101" s="59" t="str">
        <f>HYPERLINK("[DesignTable.xlsx]GroupDesign!C1002","Maint/Maint")</f>
        <v>Maint/Maint</v>
      </c>
      <c r="G101" s="73" t="str">
        <f>HYPERLINK("[DesignTable.xlsx]GroupDesign!E1002","-")</f>
        <v>-</v>
      </c>
      <c r="H101" s="64"/>
      <c r="I101" s="65"/>
      <c r="J101" s="66"/>
    </row>
    <row r="102" spans="1:10" ht="24.95" customHeight="1" x14ac:dyDescent="0.25">
      <c r="B102" s="158"/>
      <c r="C102" s="144" t="s">
        <v>113</v>
      </c>
      <c r="D102" s="163" t="s">
        <v>155</v>
      </c>
      <c r="E102" s="69" t="str">
        <f>HYPERLINK("[DesignTable.xlsx]GroupDesign!B1076","Spare_part")</f>
        <v>Spare_part</v>
      </c>
      <c r="F102" s="61" t="str">
        <f>HYPERLINK("[DesignTable.xlsx]GroupDesign!C1076","Maint/Maint")</f>
        <v>Maint/Maint</v>
      </c>
      <c r="G102" s="79" t="str">
        <f>HYPERLINK("[DesignTable.xlsx]GroupDesign!E1076","-")</f>
        <v>-</v>
      </c>
      <c r="H102" s="77"/>
      <c r="I102" s="53"/>
      <c r="J102" s="54"/>
    </row>
    <row r="103" spans="1:10" ht="24.95" customHeight="1" x14ac:dyDescent="0.25">
      <c r="B103" s="158"/>
      <c r="C103" s="171"/>
      <c r="D103" s="164"/>
      <c r="E103" s="57" t="str">
        <f>HYPERLINK("[DesignTable.xlsx]GroupDesign!B1068","Spare_part")</f>
        <v>Spare_part</v>
      </c>
      <c r="F103" s="57" t="str">
        <f>HYPERLINK("[DesignTable.xlsx]GroupDesign!C1068","Browse/Browse")</f>
        <v>Browse/Browse</v>
      </c>
      <c r="G103" s="80" t="str">
        <f>HYPERLINK("[DesignTable.xlsx]GroupDesign!E1068","-")</f>
        <v>-</v>
      </c>
      <c r="H103" s="76"/>
      <c r="I103" s="40"/>
      <c r="J103" s="42"/>
    </row>
    <row r="104" spans="1:10" ht="24.95" customHeight="1" x14ac:dyDescent="0.25">
      <c r="B104" s="158"/>
      <c r="C104" s="171"/>
      <c r="D104" s="164"/>
      <c r="E104" s="57" t="str">
        <f>HYPERLINK("[DesignTable.xlsx]GroupDesign!B1049","SP_supplier_combination")</f>
        <v>SP_supplier_combination</v>
      </c>
      <c r="F104" s="57" t="str">
        <f>HYPERLINK("[DesignTable.xlsx]GroupDesign!C1049","Browse/Browse")</f>
        <v>Browse/Browse</v>
      </c>
      <c r="G104" s="82" t="str">
        <f>HYPERLINK("[DesignTable.xlsx]GroupDesign!E1049","-")</f>
        <v>-</v>
      </c>
      <c r="H104" s="76"/>
      <c r="I104" s="40"/>
      <c r="J104" s="42"/>
    </row>
    <row r="105" spans="1:10" ht="24.95" customHeight="1" x14ac:dyDescent="0.25">
      <c r="B105" s="158"/>
      <c r="C105" s="171"/>
      <c r="D105" s="164"/>
      <c r="E105" s="57" t="str">
        <f>HYPERLINK("[DesignTable.xlsx]GroupDesign!B1027","SP_Manuf_combination")</f>
        <v>SP_Manuf_combination</v>
      </c>
      <c r="F105" s="57" t="str">
        <f>HYPERLINK("[DesignTable.xlsx]GroupDesign!C1027","Browse/Browse")</f>
        <v>Browse/Browse</v>
      </c>
      <c r="G105" s="82" t="str">
        <f>HYPERLINK("[DesignTable.xlsx]GroupDesign!E1027","-")</f>
        <v>-</v>
      </c>
      <c r="H105" s="76"/>
      <c r="I105" s="40"/>
      <c r="J105" s="42"/>
    </row>
    <row r="106" spans="1:10" ht="24.95" customHeight="1" x14ac:dyDescent="0.25">
      <c r="B106" s="158"/>
      <c r="C106" s="171"/>
      <c r="D106" s="164"/>
      <c r="E106" s="57" t="str">
        <f>HYPERLINK("[DesignTable.xlsx]GroupDesign!B1100","Stock_control")</f>
        <v>Stock_control</v>
      </c>
      <c r="F106" s="57" t="str">
        <f>HYPERLINK("[DesignTable.xlsx]GroupDesign!C1100","Browse/Browse")</f>
        <v>Browse/Browse</v>
      </c>
      <c r="G106" s="82" t="str">
        <f>HYPERLINK("[DesignTable.xlsx]GroupDesign!E1100","-")</f>
        <v>-</v>
      </c>
      <c r="H106" s="76"/>
      <c r="I106" s="40"/>
      <c r="J106" s="42"/>
    </row>
    <row r="107" spans="1:10" ht="24.95" customHeight="1" x14ac:dyDescent="0.25">
      <c r="B107" s="158"/>
      <c r="C107" s="171"/>
      <c r="D107" s="164"/>
      <c r="E107" s="57" t="str">
        <f>HYPERLINK("[DesignTable.xlsx]GroupDesign!B1062","SP_TI_combination")</f>
        <v>SP_TI_combination</v>
      </c>
      <c r="F107" s="57" t="str">
        <f>HYPERLINK("[DesignTable.xlsx]GroupDesign!C1062","Browse/Browse")</f>
        <v>Browse/Browse</v>
      </c>
      <c r="G107" s="82" t="str">
        <f>HYPERLINK("[DesignTable.xlsx]GroupDesign!E1062","-")</f>
        <v>-</v>
      </c>
      <c r="H107" s="76"/>
      <c r="I107" s="40"/>
      <c r="J107" s="42"/>
    </row>
    <row r="108" spans="1:10" ht="24.95" customHeight="1" x14ac:dyDescent="0.25">
      <c r="B108" s="158"/>
      <c r="C108" s="171"/>
      <c r="D108" s="161"/>
      <c r="E108" s="57" t="str">
        <f>HYPERLINK("[DesignTable.xlsx]GroupDesign!B157","Class_tree")</f>
        <v>Class_tree</v>
      </c>
      <c r="F108" s="57" t="str">
        <f>HYPERLINK("[DesignTable.xlsx]GroupDesign!B157","Tree/Apicbf")</f>
        <v>Tree/Apicbf</v>
      </c>
      <c r="G108" s="82" t="str">
        <f>HYPERLINK("[DesignTable.xlsx]GroupDesign!B157","Spare_part")</f>
        <v>Spare_part</v>
      </c>
      <c r="H108" s="76"/>
      <c r="I108" s="40"/>
      <c r="J108" s="42"/>
    </row>
    <row r="109" spans="1:10" ht="24.95" customHeight="1" x14ac:dyDescent="0.25">
      <c r="B109" s="158"/>
      <c r="C109" s="171"/>
      <c r="D109" s="160" t="s">
        <v>156</v>
      </c>
      <c r="E109" s="57" t="str">
        <f>HYPERLINK("[DesignTable.xlsx]GroupDesign!B1088","Stock")</f>
        <v>Stock</v>
      </c>
      <c r="F109" s="57" t="str">
        <f>HYPERLINK("[DesignTable.xlsx]GroupDesign!C1088","Browse/Browse")</f>
        <v>Browse/Browse</v>
      </c>
      <c r="G109" s="82" t="str">
        <f>HYPERLINK("[DesignTable.xlsx]GroupDesign!E1088","-")</f>
        <v>-</v>
      </c>
      <c r="H109" s="76"/>
      <c r="I109" s="40"/>
      <c r="J109" s="42"/>
    </row>
    <row r="110" spans="1:10" ht="24.95" customHeight="1" x14ac:dyDescent="0.25">
      <c r="B110" s="158"/>
      <c r="C110" s="127"/>
      <c r="D110" s="161"/>
      <c r="E110" s="57" t="str">
        <f>HYPERLINK("[DesignTable.xlsx]GroupDesign!B1092","Stock")</f>
        <v>Stock</v>
      </c>
      <c r="F110" s="57" t="str">
        <f>HYPERLINK("[DesignTable.xlsx]GroupDesign!C1092","Maint/Maint")</f>
        <v>Maint/Maint</v>
      </c>
      <c r="G110" s="80" t="str">
        <f>HYPERLINK("[DesignTable.xlsx]GroupDesign!E1092","-")</f>
        <v>-</v>
      </c>
      <c r="H110" s="76"/>
      <c r="I110" s="40"/>
      <c r="J110" s="42"/>
    </row>
    <row r="111" spans="1:10" ht="24.95" customHeight="1" x14ac:dyDescent="0.25">
      <c r="B111" s="158"/>
      <c r="C111" s="127"/>
      <c r="D111" s="160" t="s">
        <v>157</v>
      </c>
      <c r="E111" s="57" t="str">
        <f>HYPERLINK("[DesignTable.xlsx]GroupDesign!B1100","Stock_control")</f>
        <v>Stock_control</v>
      </c>
      <c r="F111" s="57" t="str">
        <f>HYPERLINK("[DesignTable.xlsx]GroupDesign!C1100","Browse/Browse")</f>
        <v>Browse/Browse</v>
      </c>
      <c r="G111" s="82" t="str">
        <f>HYPERLINK("[DesignTable.xlsx]GroupDesign!E1100","-")</f>
        <v>-</v>
      </c>
      <c r="H111" s="76"/>
      <c r="I111" s="40"/>
      <c r="J111" s="42"/>
    </row>
    <row r="112" spans="1:10" ht="24.95" customHeight="1" x14ac:dyDescent="0.25">
      <c r="B112" s="158"/>
      <c r="C112" s="127"/>
      <c r="D112" s="161"/>
      <c r="E112" s="57" t="str">
        <f>HYPERLINK("[DesignTable.xlsx]GroupDesign!B1109","Stock_control")</f>
        <v>Stock_control</v>
      </c>
      <c r="F112" s="57" t="str">
        <f>HYPERLINK("[DesignTable.xlsx]GroupDesign!C1109","Maint/Maint")</f>
        <v>Maint/Maint</v>
      </c>
      <c r="G112" s="80" t="str">
        <f>HYPERLINK("[DesignTable.xlsx]GroupDesign!E1109","-")</f>
        <v>-</v>
      </c>
      <c r="H112" s="76"/>
      <c r="I112" s="40"/>
      <c r="J112" s="42"/>
    </row>
    <row r="113" spans="1:10" ht="24.95" customHeight="1" x14ac:dyDescent="0.25">
      <c r="B113" s="158"/>
      <c r="C113" s="127"/>
      <c r="D113" s="160" t="s">
        <v>158</v>
      </c>
      <c r="E113" s="57" t="str">
        <f>HYPERLINK("[DesignTable.xlsx]GroupDesign!B627","Manufacturer")</f>
        <v>Manufacturer</v>
      </c>
      <c r="F113" s="57" t="str">
        <f>HYPERLINK("[DesignTable.xlsx]GroupDesign!C627","Browse/Browse")</f>
        <v>Browse/Browse</v>
      </c>
      <c r="G113" s="80" t="str">
        <f>HYPERLINK("[DesignTable.xlsx]GroupDesign!E627","-")</f>
        <v>-</v>
      </c>
      <c r="H113" s="76"/>
      <c r="I113" s="40"/>
      <c r="J113" s="42"/>
    </row>
    <row r="114" spans="1:10" ht="24.95" customHeight="1" x14ac:dyDescent="0.25">
      <c r="B114" s="158"/>
      <c r="C114" s="127"/>
      <c r="D114" s="161"/>
      <c r="E114" s="57" t="str">
        <f>HYPERLINK("[DesignTable.xlsx]GroupDesign!B629","Manufacturer")</f>
        <v>Manufacturer</v>
      </c>
      <c r="F114" s="57" t="str">
        <f>HYPERLINK("[DesignTable.xlsx]GroupDesign!C629","Maint/Maint")</f>
        <v>Maint/Maint</v>
      </c>
      <c r="G114" s="80" t="str">
        <f>HYPERLINK("[DesignTable.xlsx]GroupDesign!E629","-")</f>
        <v>-</v>
      </c>
      <c r="H114" s="76"/>
      <c r="I114" s="40"/>
      <c r="J114" s="42"/>
    </row>
    <row r="115" spans="1:10" ht="24.95" customHeight="1" x14ac:dyDescent="0.25">
      <c r="A115" s="4"/>
      <c r="B115" s="158"/>
      <c r="C115" s="127"/>
      <c r="D115" s="36" t="s">
        <v>159</v>
      </c>
      <c r="E115" s="57" t="str">
        <f>HYPERLINK("[DesignTable.xlsx]GroupDesign!B1058","SP_supplier_combination")</f>
        <v>SP_supplier_combination</v>
      </c>
      <c r="F115" s="57" t="str">
        <f>HYPERLINK("[DesignTable.xlsx]GroupDesign!B1058","Browse/Browse")</f>
        <v>Browse/Browse</v>
      </c>
      <c r="G115" s="82" t="str">
        <f>HYPERLINK("[DesignTable.xlsx]GroupDesign!E1058","Catalog")</f>
        <v>Catalog</v>
      </c>
      <c r="H115" s="76"/>
      <c r="I115" s="40"/>
      <c r="J115" s="42"/>
    </row>
    <row r="116" spans="1:10" ht="24.95" customHeight="1" x14ac:dyDescent="0.25">
      <c r="B116" s="158"/>
      <c r="C116" s="127"/>
      <c r="D116" s="36" t="s">
        <v>160</v>
      </c>
      <c r="E116" s="57" t="str">
        <f>HYPERLINK("[DesignTable.xlsx]GroupDesign!B1057","SP_supplier_combination")</f>
        <v>SP_supplier_combination</v>
      </c>
      <c r="F116" s="57" t="str">
        <f>HYPERLINK("[DesignTable.xlsx]GroupDesign!B1057","Browse/Browse")</f>
        <v>Browse/Browse</v>
      </c>
      <c r="G116" s="82" t="str">
        <f>HYPERLINK("[DesignTable.xlsx]GroupDesign!E1057","CalledFromMenu")</f>
        <v>CalledFromMenu</v>
      </c>
      <c r="H116" s="76"/>
      <c r="I116" s="40"/>
      <c r="J116" s="42"/>
    </row>
    <row r="117" spans="1:10" ht="24.95" customHeight="1" x14ac:dyDescent="0.25">
      <c r="B117" s="158"/>
      <c r="C117" s="127"/>
      <c r="D117" s="160" t="s">
        <v>161</v>
      </c>
      <c r="E117" s="59" t="str">
        <f>HYPERLINK("[DesignTable.xlsx]GroupDesign!B1022","SP_group")</f>
        <v>SP_group</v>
      </c>
      <c r="F117" s="57" t="str">
        <f>HYPERLINK("[DesignTable.xlsx]GroupDesign!C1022","Browse/Browse")</f>
        <v>Browse/Browse</v>
      </c>
      <c r="G117" s="82" t="str">
        <f>HYPERLINK("[DesignTable.xlsx]GroupDesign!E1022","-")</f>
        <v>-</v>
      </c>
      <c r="H117" s="76"/>
      <c r="I117" s="40"/>
      <c r="J117" s="42"/>
    </row>
    <row r="118" spans="1:10" ht="24.95" customHeight="1" x14ac:dyDescent="0.25">
      <c r="B118" s="158"/>
      <c r="C118" s="127"/>
      <c r="D118" s="161"/>
      <c r="E118" s="59" t="str">
        <f>HYPERLINK("[DesignTable.xlsx]GroupDesign!B1024","SP_group")</f>
        <v>SP_group</v>
      </c>
      <c r="F118" s="57" t="str">
        <f>HYPERLINK("[DesignTable.xlsx]GroupDesign!C1024","Maint/Maint")</f>
        <v>Maint/Maint</v>
      </c>
      <c r="G118" s="80" t="str">
        <f>HYPERLINK("[DesignTable.xlsx]GroupDesign!E1024","-")</f>
        <v>-</v>
      </c>
      <c r="H118" s="76"/>
      <c r="I118" s="40"/>
      <c r="J118" s="42"/>
    </row>
    <row r="119" spans="1:10" ht="24.95" customHeight="1" x14ac:dyDescent="0.25">
      <c r="B119" s="158"/>
      <c r="C119" s="127"/>
      <c r="D119" s="160" t="s">
        <v>162</v>
      </c>
      <c r="E119" s="57" t="str">
        <f>HYPERLINK("[DesignTable.xlsx]GroupDesign!B1019","SP_code")</f>
        <v>SP_code</v>
      </c>
      <c r="F119" s="57" t="str">
        <f>HYPERLINK("[DesignTable.xlsx]GroupDesign!C1019","Browse/Browse")</f>
        <v>Browse/Browse</v>
      </c>
      <c r="G119" s="80" t="str">
        <f>HYPERLINK("[DesignTable.xlsx]GroupDesign!E1019","-")</f>
        <v>-</v>
      </c>
      <c r="H119" s="76"/>
      <c r="I119" s="40"/>
      <c r="J119" s="42"/>
    </row>
    <row r="120" spans="1:10" ht="24.95" customHeight="1" x14ac:dyDescent="0.25">
      <c r="B120" s="158"/>
      <c r="C120" s="127"/>
      <c r="D120" s="161"/>
      <c r="E120" s="57" t="str">
        <f>HYPERLINK("[DesignTable.xlsx]GroupDesign!B1021","SP_code")</f>
        <v>SP_code</v>
      </c>
      <c r="F120" s="57" t="str">
        <f>HYPERLINK("[DesignTable.xlsx]GroupDesign!C1021","Maint/Maint")</f>
        <v>Maint/Maint</v>
      </c>
      <c r="G120" s="80" t="str">
        <f>HYPERLINK("[DesignTable.xlsx]GroupDesign!E1021","-")</f>
        <v>-</v>
      </c>
      <c r="H120" s="76"/>
      <c r="I120" s="40"/>
      <c r="J120" s="42"/>
    </row>
    <row r="121" spans="1:10" ht="24.95" customHeight="1" x14ac:dyDescent="0.25">
      <c r="B121" s="158"/>
      <c r="C121" s="127"/>
      <c r="D121" s="36" t="s">
        <v>163</v>
      </c>
      <c r="E121" s="57" t="str">
        <f>HYPERLINK("[DesignTable.xlsx]GroupDesign!B941","read-class")</f>
        <v>read-class</v>
      </c>
      <c r="F121" s="57" t="str">
        <f>HYPERLINK("[DesignTable.xlsx]GroupDesign!B941","Select/Select")</f>
        <v>Select/Select</v>
      </c>
      <c r="G121" s="80" t="str">
        <f>HYPERLINK("[DesignTable.xlsx]GroupDesign!B941","-")</f>
        <v>-</v>
      </c>
      <c r="H121" s="76"/>
      <c r="I121" s="40"/>
      <c r="J121" s="42"/>
    </row>
    <row r="122" spans="1:10" ht="24.95" customHeight="1" x14ac:dyDescent="0.25">
      <c r="B122" s="158"/>
      <c r="C122" s="127"/>
      <c r="D122" s="160" t="s">
        <v>164</v>
      </c>
      <c r="E122" s="57" t="str">
        <f>HYPERLINK("[DesignTable.xlsx]GroupDesign!B149","Class")</f>
        <v>Class</v>
      </c>
      <c r="F122" s="57" t="str">
        <f>HYPERLINK("[DesignTable.xlsx]GroupDesign!C149","Browse/Browse")</f>
        <v>Browse/Browse</v>
      </c>
      <c r="G122" s="80" t="str">
        <f>HYPERLINK("[DesignTable.xlsx]GroupDesign!E149","-")</f>
        <v>-</v>
      </c>
      <c r="H122" s="76"/>
      <c r="I122" s="40"/>
      <c r="J122" s="42"/>
    </row>
    <row r="123" spans="1:10" ht="24.95" customHeight="1" x14ac:dyDescent="0.25">
      <c r="B123" s="158"/>
      <c r="C123" s="127"/>
      <c r="D123" s="161"/>
      <c r="E123" s="57" t="str">
        <f>HYPERLINK("[DesignTable.xlsx]GroupDesign!B151","Class")</f>
        <v>Class</v>
      </c>
      <c r="F123" s="57" t="str">
        <f>HYPERLINK("[DesignTable.xlsx]GroupDesign!C151","Maint/Maint")</f>
        <v>Maint/Maint</v>
      </c>
      <c r="G123" s="80" t="str">
        <f>HYPERLINK("[DesignTable.xlsx]GroupDesign!E151","-")</f>
        <v>-</v>
      </c>
      <c r="H123" s="76"/>
      <c r="I123" s="40"/>
      <c r="J123" s="42"/>
    </row>
    <row r="124" spans="1:10" ht="24.95" customHeight="1" x14ac:dyDescent="0.25">
      <c r="B124" s="158"/>
      <c r="C124" s="127"/>
      <c r="D124" s="36" t="s">
        <v>165</v>
      </c>
      <c r="E124" s="57" t="str">
        <f>HYPERLINK("[DesignTable.xlsx]GroupDesign!B942","read-sp_supplier_class")</f>
        <v>read-sp_supplier_class</v>
      </c>
      <c r="F124" s="57" t="str">
        <f>HYPERLINK("[DesignTable.xlsx]GroupDesign!C942","Select/Select")</f>
        <v>Select/Select</v>
      </c>
      <c r="G124" s="80" t="str">
        <f>HYPERLINK("[DesignTable.xlsx]GroupDesign!E942","-")</f>
        <v>-</v>
      </c>
      <c r="H124" s="76"/>
      <c r="I124" s="40"/>
      <c r="J124" s="42"/>
    </row>
    <row r="125" spans="1:10" ht="24.95" customHeight="1" thickBot="1" x14ac:dyDescent="0.3">
      <c r="A125" s="4"/>
      <c r="B125" s="158"/>
      <c r="C125" s="128"/>
      <c r="D125" s="28" t="s">
        <v>166</v>
      </c>
      <c r="E125" s="67" t="str">
        <f>HYPERLINK("[DesignTable.xlsx]GroupDesign!B943","read-sp_supplier_class_property")</f>
        <v>read-sp_supplier_class_property</v>
      </c>
      <c r="F125" s="67" t="str">
        <f>HYPERLINK("[DesignTable.xlsx]GroupDesign!C943","Select/Select")</f>
        <v>Select/Select</v>
      </c>
      <c r="G125" s="83" t="str">
        <f>HYPERLINK("[DesignTable.xlsx]GroupDesign!E943","-")</f>
        <v>-</v>
      </c>
      <c r="H125" s="78"/>
      <c r="I125" s="44"/>
      <c r="J125" s="45"/>
    </row>
    <row r="126" spans="1:10" ht="24.95" customHeight="1" x14ac:dyDescent="0.25">
      <c r="B126" s="158"/>
      <c r="C126" s="144" t="s">
        <v>114</v>
      </c>
      <c r="D126" s="163" t="s">
        <v>167</v>
      </c>
      <c r="E126" s="69" t="str">
        <f>HYPERLINK("[DesignTable.xlsx]GroupDesign!B1143","Supplier")</f>
        <v>Supplier</v>
      </c>
      <c r="F126" s="61" t="str">
        <f>HYPERLINK("[DesignTable.xlsx]GroupDesign!C1143","Browse/Browse")</f>
        <v>Browse/Browse</v>
      </c>
      <c r="G126" s="74" t="str">
        <f>HYPERLINK("[DesignTable.xlsx]GroupDesign!E1143","-")</f>
        <v>-</v>
      </c>
      <c r="H126" s="52"/>
      <c r="I126" s="53"/>
      <c r="J126" s="54"/>
    </row>
    <row r="127" spans="1:10" ht="24.95" customHeight="1" x14ac:dyDescent="0.25">
      <c r="B127" s="158"/>
      <c r="C127" s="171"/>
      <c r="D127" s="161"/>
      <c r="E127" s="57" t="str">
        <f>HYPERLINK("[DesignTable.xlsx]GroupDesign!B1146","Supplier")</f>
        <v>Supplier</v>
      </c>
      <c r="F127" s="55" t="str">
        <f>HYPERLINK("[DesignTable.xlsx]GroupDesign!C1146","Maint/Maint")</f>
        <v>Maint/Maint</v>
      </c>
      <c r="G127" s="75" t="str">
        <f>HYPERLINK("[DesignTable.xlsx]GroupDesign!E1146","-")</f>
        <v>-</v>
      </c>
      <c r="H127" s="41"/>
      <c r="I127" s="40"/>
      <c r="J127" s="42"/>
    </row>
    <row r="128" spans="1:10" ht="24.95" customHeight="1" x14ac:dyDescent="0.25">
      <c r="B128" s="158"/>
      <c r="C128" s="171"/>
      <c r="D128" s="160" t="s">
        <v>168</v>
      </c>
      <c r="E128" s="57" t="str">
        <f>HYPERLINK("[DesignTable.xlsx]GroupDesign!B265","Customer")</f>
        <v>Customer</v>
      </c>
      <c r="F128" s="55" t="str">
        <f>HYPERLINK("[DesignTable.xlsx]GroupDesign!C265","Browse/Browse")</f>
        <v>Browse/Browse</v>
      </c>
      <c r="G128" s="75" t="str">
        <f>HYPERLINK("[DesignTable.xlsx]GroupDesign!E265","-")</f>
        <v>-</v>
      </c>
      <c r="H128" s="41"/>
      <c r="I128" s="40"/>
      <c r="J128" s="42"/>
    </row>
    <row r="129" spans="2:10" ht="24.95" customHeight="1" x14ac:dyDescent="0.25">
      <c r="B129" s="158"/>
      <c r="C129" s="127"/>
      <c r="D129" s="161"/>
      <c r="E129" s="57" t="str">
        <f>HYPERLINK("[DesignTable.xlsx]GroupDesign!B267","Customer")</f>
        <v>Customer</v>
      </c>
      <c r="F129" s="57" t="str">
        <f>HYPERLINK("[DesignTable.xlsx]GroupDesign!C267","Maint/Maint")</f>
        <v>Maint/Maint</v>
      </c>
      <c r="G129" s="71" t="str">
        <f>HYPERLINK("[DesignTable.xlsx]GroupDesign!E267","-")</f>
        <v>-</v>
      </c>
      <c r="H129" s="41"/>
      <c r="I129" s="40"/>
      <c r="J129" s="42"/>
    </row>
    <row r="130" spans="2:10" ht="24.95" customHeight="1" x14ac:dyDescent="0.25">
      <c r="B130" s="158"/>
      <c r="C130" s="127"/>
      <c r="D130" s="160" t="s">
        <v>169</v>
      </c>
      <c r="E130" s="57" t="str">
        <f>HYPERLINK("[DesignTable.xlsx]GroupDesign!B258","Currency")</f>
        <v>Currency</v>
      </c>
      <c r="F130" s="57" t="str">
        <f>HYPERLINK("[DesignTable.xlsx]GroupDesign!C258","Browse/Browse")</f>
        <v>Browse/Browse</v>
      </c>
      <c r="G130" s="71" t="str">
        <f>HYPERLINK("[DesignTable.xlsx]GroupDesign!E258","-")</f>
        <v>-</v>
      </c>
      <c r="H130" s="41"/>
      <c r="I130" s="40"/>
      <c r="J130" s="42"/>
    </row>
    <row r="131" spans="2:10" ht="24.95" customHeight="1" x14ac:dyDescent="0.25">
      <c r="B131" s="158"/>
      <c r="C131" s="127"/>
      <c r="D131" s="161"/>
      <c r="E131" s="57" t="str">
        <f>HYPERLINK("[DesignTable.xlsx]GroupDesign!B260","Currency")</f>
        <v>Currency</v>
      </c>
      <c r="F131" s="57" t="str">
        <f>HYPERLINK("[DesignTable.xlsx]GroupDesign!C260","Maint/Maint")</f>
        <v>Maint/Maint</v>
      </c>
      <c r="G131" s="71" t="str">
        <f>HYPERLINK("[DesignTable.xlsx]GroupDesign!E260","-")</f>
        <v>-</v>
      </c>
      <c r="H131" s="41"/>
      <c r="I131" s="40"/>
      <c r="J131" s="42"/>
    </row>
    <row r="132" spans="2:10" ht="24.95" customHeight="1" x14ac:dyDescent="0.25">
      <c r="B132" s="158"/>
      <c r="C132" s="127"/>
      <c r="D132" s="160" t="s">
        <v>170</v>
      </c>
      <c r="E132" s="57" t="str">
        <f>HYPERLINK("[DesignTable.xlsx]GroupDesign!B3","Account")</f>
        <v>Account</v>
      </c>
      <c r="F132" s="57" t="str">
        <f>HYPERLINK("[DesignTable.xlsx]GroupDesign!C3","Browse/Browse")</f>
        <v>Browse/Browse</v>
      </c>
      <c r="G132" s="71" t="str">
        <f>HYPERLINK("[DesignTable.xlsx]GroupDesign!E3","-")</f>
        <v>-</v>
      </c>
      <c r="H132" s="41"/>
      <c r="I132" s="40"/>
      <c r="J132" s="42"/>
    </row>
    <row r="133" spans="2:10" ht="24.95" customHeight="1" x14ac:dyDescent="0.25">
      <c r="B133" s="158"/>
      <c r="C133" s="127"/>
      <c r="D133" s="161"/>
      <c r="E133" s="57" t="str">
        <f>HYPERLINK("[DesignTable.xlsx]GroupDesign!B7","Account")</f>
        <v>Account</v>
      </c>
      <c r="F133" s="57" t="str">
        <f>HYPERLINK("[DesignTable.xlsx]GroupDesign!C7","Maint/Maint")</f>
        <v>Maint/Maint</v>
      </c>
      <c r="G133" s="71" t="str">
        <f>HYPERLINK("[DesignTable.xlsx]GroupDesign!E7","-")</f>
        <v>-</v>
      </c>
      <c r="H133" s="41"/>
      <c r="I133" s="40"/>
      <c r="J133" s="42"/>
    </row>
    <row r="134" spans="2:10" ht="24.95" customHeight="1" x14ac:dyDescent="0.25">
      <c r="B134" s="158"/>
      <c r="C134" s="127"/>
      <c r="D134" s="160" t="s">
        <v>171</v>
      </c>
      <c r="E134" s="57" t="str">
        <f>HYPERLINK("[DesignTable.xlsx]GroupDesign!B211","Cost_type")</f>
        <v>Cost_type</v>
      </c>
      <c r="F134" s="57" t="str">
        <f>HYPERLINK("[DesignTable.xlsx]GroupDesign!C211","Browse/Browse")</f>
        <v>Browse/Browse</v>
      </c>
      <c r="G134" s="71" t="str">
        <f>HYPERLINK("[DesignTable.xlsx]GroupDesign!E211","-")</f>
        <v>-</v>
      </c>
      <c r="H134" s="41"/>
      <c r="I134" s="40"/>
      <c r="J134" s="42"/>
    </row>
    <row r="135" spans="2:10" ht="24.95" customHeight="1" x14ac:dyDescent="0.25">
      <c r="B135" s="158"/>
      <c r="C135" s="127"/>
      <c r="D135" s="161"/>
      <c r="E135" s="57" t="str">
        <f>HYPERLINK("[DesignTable.xlsx]GroupDesign!B215","Cost_type")</f>
        <v>Cost_type</v>
      </c>
      <c r="F135" s="57" t="str">
        <f>HYPERLINK("[DesignTable.xlsx]GroupDesign!C215","Maint/Maint")</f>
        <v>Maint/Maint</v>
      </c>
      <c r="G135" s="71" t="str">
        <f>HYPERLINK("[DesignTable.xlsx]GroupDesign!E215","-")</f>
        <v>-</v>
      </c>
      <c r="H135" s="41"/>
      <c r="I135" s="40"/>
      <c r="J135" s="42"/>
    </row>
    <row r="136" spans="2:10" ht="24.95" customHeight="1" x14ac:dyDescent="0.25">
      <c r="B136" s="158"/>
      <c r="C136" s="127"/>
      <c r="D136" s="160" t="s">
        <v>172</v>
      </c>
      <c r="E136" s="57" t="str">
        <f>HYPERLINK("[DesignTable.xlsx]GroupDesign!B202","Cost_purpose")</f>
        <v>Cost_purpose</v>
      </c>
      <c r="F136" s="57" t="str">
        <f>HYPERLINK("[DesignTable.xlsx]GroupDesign!C202","Browse/Browse")</f>
        <v>Browse/Browse</v>
      </c>
      <c r="G136" s="71" t="str">
        <f>HYPERLINK("[DesignTable.xlsx]GroupDesign!E202","-")</f>
        <v>-</v>
      </c>
      <c r="H136" s="41"/>
      <c r="I136" s="40"/>
      <c r="J136" s="42"/>
    </row>
    <row r="137" spans="2:10" ht="24.95" customHeight="1" x14ac:dyDescent="0.25">
      <c r="B137" s="158"/>
      <c r="C137" s="127"/>
      <c r="D137" s="161"/>
      <c r="E137" s="57" t="str">
        <f>HYPERLINK("[DesignTable.xlsx]GroupDesign!B204","Cost_purpose")</f>
        <v>Cost_purpose</v>
      </c>
      <c r="F137" s="57" t="str">
        <f>HYPERLINK("[DesignTable.xlsx]GroupDesign!C204","Maint/Maint")</f>
        <v>Maint/Maint</v>
      </c>
      <c r="G137" s="71" t="str">
        <f>HYPERLINK("[DesignTable.xlsx]GroupDesign!E204","-")</f>
        <v>-</v>
      </c>
      <c r="H137" s="41"/>
      <c r="I137" s="40"/>
      <c r="J137" s="42"/>
    </row>
    <row r="138" spans="2:10" ht="24.95" customHeight="1" x14ac:dyDescent="0.25">
      <c r="B138" s="158"/>
      <c r="C138" s="127"/>
      <c r="D138" s="160" t="s">
        <v>173</v>
      </c>
      <c r="E138" s="57" t="str">
        <f>HYPERLINK("[DesignTable.xlsx]GroupDesign!B195","Cost_carrier")</f>
        <v>Cost_carrier</v>
      </c>
      <c r="F138" s="57" t="str">
        <f>HYPERLINK("[DesignTable.xlsx]GroupDesign!C195","Browse/Browse")</f>
        <v>Browse/Browse</v>
      </c>
      <c r="G138" s="71" t="str">
        <f>HYPERLINK("[DesignTable.xlsx]GroupDesign!E195","-")</f>
        <v>-</v>
      </c>
      <c r="H138" s="41"/>
      <c r="I138" s="40"/>
      <c r="J138" s="42"/>
    </row>
    <row r="139" spans="2:10" ht="24.95" customHeight="1" x14ac:dyDescent="0.25">
      <c r="B139" s="158"/>
      <c r="C139" s="127"/>
      <c r="D139" s="161"/>
      <c r="E139" s="57" t="str">
        <f>HYPERLINK("[DesignTable.xlsx]GroupDesign!B196","Cost_carrier")</f>
        <v>Cost_carrier</v>
      </c>
      <c r="F139" s="57" t="str">
        <f>HYPERLINK("[DesignTable.xlsx]GroupDesign!C196","Maint/Maint")</f>
        <v>Maint/Maint</v>
      </c>
      <c r="G139" s="71" t="str">
        <f>HYPERLINK("[DesignTable.xlsx]GroupDesign!196","-")</f>
        <v>-</v>
      </c>
      <c r="H139" s="41"/>
      <c r="I139" s="40"/>
      <c r="J139" s="42"/>
    </row>
    <row r="140" spans="2:10" ht="24.95" customHeight="1" x14ac:dyDescent="0.25">
      <c r="B140" s="158"/>
      <c r="C140" s="127"/>
      <c r="D140" s="160" t="s">
        <v>174</v>
      </c>
      <c r="E140" s="57" t="str">
        <f>HYPERLINK("[DesignTable.xlsx]GroupDesign!B987","Ship_condition")</f>
        <v>Ship_condition</v>
      </c>
      <c r="F140" s="57" t="str">
        <f>HYPERLINK("[DesignTable.xlsx]GroupDesign!C987","Browse/Browse")</f>
        <v>Browse/Browse</v>
      </c>
      <c r="G140" s="71" t="str">
        <f>HYPERLINK("[DesignTable.xlsx]GroupDesign!E987","-")</f>
        <v>-</v>
      </c>
      <c r="H140" s="41"/>
      <c r="I140" s="40"/>
      <c r="J140" s="42"/>
    </row>
    <row r="141" spans="2:10" ht="24.95" customHeight="1" x14ac:dyDescent="0.25">
      <c r="B141" s="158"/>
      <c r="C141" s="127"/>
      <c r="D141" s="161"/>
      <c r="E141" s="57" t="str">
        <f>HYPERLINK("[DesignTable.xlsx]GroupDesign!B989","Ship_condition")</f>
        <v>Ship_condition</v>
      </c>
      <c r="F141" s="57" t="str">
        <f>HYPERLINK("[DesignTable.xlsx]GroupDesign!C989","Maint/Maint")</f>
        <v>Maint/Maint</v>
      </c>
      <c r="G141" s="71" t="str">
        <f>HYPERLINK("[DesignTable.xlsx]GroupDesign!E989","-")</f>
        <v>-</v>
      </c>
      <c r="H141" s="41"/>
      <c r="I141" s="40"/>
      <c r="J141" s="42"/>
    </row>
    <row r="142" spans="2:10" ht="24.95" customHeight="1" x14ac:dyDescent="0.25">
      <c r="B142" s="158"/>
      <c r="C142" s="127"/>
      <c r="D142" s="160" t="s">
        <v>175</v>
      </c>
      <c r="E142" s="57" t="str">
        <f>HYPERLINK("[DesignTable.xlsx]GroupDesign!B277","Del_condition")</f>
        <v>Del_condition</v>
      </c>
      <c r="F142" s="57" t="str">
        <f>HYPERLINK("[DesignTable.xlsx]GroupDesign!C277","Browse/Browse")</f>
        <v>Browse/Browse</v>
      </c>
      <c r="G142" s="71" t="str">
        <f>HYPERLINK("[DesignTable.xlsx]GroupDesign!E277","-")</f>
        <v>-</v>
      </c>
      <c r="H142" s="41"/>
      <c r="I142" s="40"/>
      <c r="J142" s="42"/>
    </row>
    <row r="143" spans="2:10" ht="24.95" customHeight="1" x14ac:dyDescent="0.25">
      <c r="B143" s="158"/>
      <c r="C143" s="127"/>
      <c r="D143" s="161"/>
      <c r="E143" s="57" t="str">
        <f>HYPERLINK("[DesignTable.xlsx]GroupDesign!B279","Del_condition")</f>
        <v>Del_condition</v>
      </c>
      <c r="F143" s="57" t="str">
        <f>HYPERLINK("[DesignTable.xlsx]GroupDesign!C279","Maint/Maint")</f>
        <v>Maint/Maint</v>
      </c>
      <c r="G143" s="71" t="str">
        <f>HYPERLINK("[DesignTable.xlsx]GroupDesign!E279","-")</f>
        <v>-</v>
      </c>
      <c r="H143" s="41"/>
      <c r="I143" s="40"/>
      <c r="J143" s="42"/>
    </row>
    <row r="144" spans="2:10" ht="24.95" customHeight="1" x14ac:dyDescent="0.25">
      <c r="B144" s="158"/>
      <c r="C144" s="127"/>
      <c r="D144" s="160" t="s">
        <v>176</v>
      </c>
      <c r="E144" s="57" t="str">
        <f>HYPERLINK("[DesignTable.xlsx]GroupDesign!B707","Pay_condition")</f>
        <v>Pay_condition</v>
      </c>
      <c r="F144" s="57" t="str">
        <f>HYPERLINK("[DesignTable.xlsx]GroupDesign!C707","Browse/Browse")</f>
        <v>Browse/Browse</v>
      </c>
      <c r="G144" s="71" t="str">
        <f>HYPERLINK("[DesignTable.xlsx]GroupDesign!E707","-")</f>
        <v>-</v>
      </c>
      <c r="H144" s="41"/>
      <c r="I144" s="40"/>
      <c r="J144" s="42"/>
    </row>
    <row r="145" spans="2:10" ht="24.95" customHeight="1" x14ac:dyDescent="0.25">
      <c r="B145" s="158"/>
      <c r="C145" s="127"/>
      <c r="D145" s="161"/>
      <c r="E145" s="57" t="str">
        <f>HYPERLINK("[DesignTable.xlsx]GroupDesign!B709","Pay_condition")</f>
        <v>Pay_condition</v>
      </c>
      <c r="F145" s="57" t="str">
        <f>HYPERLINK("[DesignTable.xlsx]GroupDesign!C709","Maint/Maint")</f>
        <v>Maint/Maint</v>
      </c>
      <c r="G145" s="71" t="str">
        <f>HYPERLINK("[DesignTable.xlsx]GroupDesign!E709","-")</f>
        <v>-</v>
      </c>
      <c r="H145" s="41"/>
      <c r="I145" s="40"/>
      <c r="J145" s="42"/>
    </row>
    <row r="146" spans="2:10" ht="24.95" customHeight="1" x14ac:dyDescent="0.25">
      <c r="B146" s="158"/>
      <c r="C146" s="127"/>
      <c r="D146" s="160" t="s">
        <v>177</v>
      </c>
      <c r="E146" s="57" t="str">
        <f>HYPERLINK("[DesignTable.xlsx]GroupDesign!B34","Agreement_code")</f>
        <v>Agreement_code</v>
      </c>
      <c r="F146" s="57" t="str">
        <f>HYPERLINK("[DesignTable.xlsx]GroupDesign!C34","Browse/Browse")</f>
        <v>Browse/Browse</v>
      </c>
      <c r="G146" s="71" t="str">
        <f>HYPERLINK("[DesignTable.xlsx]GroupDesign!E34","-")</f>
        <v>-</v>
      </c>
      <c r="H146" s="41"/>
      <c r="I146" s="40"/>
      <c r="J146" s="42"/>
    </row>
    <row r="147" spans="2:10" ht="24.95" customHeight="1" x14ac:dyDescent="0.25">
      <c r="B147" s="158"/>
      <c r="C147" s="127"/>
      <c r="D147" s="161"/>
      <c r="E147" s="57" t="str">
        <f>HYPERLINK("[DesignTable.xlsx]GroupDesign!B36","Agreement_code")</f>
        <v>Agreement_code</v>
      </c>
      <c r="F147" s="57" t="str">
        <f>HYPERLINK("[DesignTable.xlsx]GroupDesign!C36","Maint/Maint")</f>
        <v>Maint/Maint</v>
      </c>
      <c r="G147" s="71" t="str">
        <f>HYPERLINK("[DesignTable.xlsx]GroupDesign!E36","-")</f>
        <v>-</v>
      </c>
      <c r="H147" s="41"/>
      <c r="I147" s="40"/>
      <c r="J147" s="42"/>
    </row>
    <row r="148" spans="2:10" ht="24.95" customHeight="1" x14ac:dyDescent="0.25">
      <c r="B148" s="158"/>
      <c r="C148" s="127"/>
      <c r="D148" s="160" t="s">
        <v>178</v>
      </c>
      <c r="E148" s="57" t="str">
        <f>HYPERLINK("[DesignTable.xlsx]GroupDesign!B1151","Supplier_code")</f>
        <v>Supplier_code</v>
      </c>
      <c r="F148" s="57" t="str">
        <f>HYPERLINK("[DesignTable.xlsx]GroupDesign!C1151","Browse/Browse")</f>
        <v>Browse/Browse</v>
      </c>
      <c r="G148" s="71" t="str">
        <f>HYPERLINK("[DesignTable.xlsx]GroupDesign!E1151","-")</f>
        <v>-</v>
      </c>
      <c r="H148" s="41"/>
      <c r="I148" s="40"/>
      <c r="J148" s="42"/>
    </row>
    <row r="149" spans="2:10" ht="24.95" customHeight="1" x14ac:dyDescent="0.25">
      <c r="B149" s="158"/>
      <c r="C149" s="127"/>
      <c r="D149" s="161"/>
      <c r="E149" s="57" t="str">
        <f>HYPERLINK("[DesignTable.xlsx]GroupDesign!B1153","Supplier_code")</f>
        <v>Supplier_code</v>
      </c>
      <c r="F149" s="57" t="str">
        <f>HYPERLINK("[DesignTable.xlsx]GroupDesign!C1153","Maint/Maint")</f>
        <v>Maint/Maint</v>
      </c>
      <c r="G149" s="71" t="str">
        <f>HYPERLINK("[DesignTable.xlsx]GroupDesign!E1153","-")</f>
        <v>-</v>
      </c>
      <c r="H149" s="41"/>
      <c r="I149" s="40"/>
      <c r="J149" s="42"/>
    </row>
    <row r="150" spans="2:10" ht="24.95" customHeight="1" x14ac:dyDescent="0.25">
      <c r="B150" s="158"/>
      <c r="C150" s="127"/>
      <c r="D150" s="160" t="s">
        <v>179</v>
      </c>
      <c r="E150" s="57" t="str">
        <f>HYPERLINK("[DesignTable.xlsx]GroupDesign!B1154","Supplier_group")</f>
        <v>Supplier_group</v>
      </c>
      <c r="F150" s="57" t="str">
        <f>HYPERLINK("[DesignTable.xlsx]GroupDesign!C1154","Browse/Browse")</f>
        <v>Browse/Browse</v>
      </c>
      <c r="G150" s="71" t="str">
        <f>HYPERLINK("[DesignTable.xlsx]GroupDesign!E1154","-")</f>
        <v>-</v>
      </c>
      <c r="H150" s="41"/>
      <c r="I150" s="40"/>
      <c r="J150" s="42"/>
    </row>
    <row r="151" spans="2:10" ht="24.95" customHeight="1" x14ac:dyDescent="0.25">
      <c r="B151" s="158"/>
      <c r="C151" s="127"/>
      <c r="D151" s="161"/>
      <c r="E151" s="57" t="str">
        <f>HYPERLINK("[DesignTable.xlsx]GroupDesign!B1156","Supplier_group")</f>
        <v>Supplier_group</v>
      </c>
      <c r="F151" s="57" t="str">
        <f>HYPERLINK("[DesignTable.xlsx]GroupDesign!С1156","Maint/Maint")</f>
        <v>Maint/Maint</v>
      </c>
      <c r="G151" s="71" t="str">
        <f>HYPERLINK("[DesignTable.xlsx]GroupDesign!E1156","-")</f>
        <v>-</v>
      </c>
      <c r="H151" s="41"/>
      <c r="I151" s="40"/>
      <c r="J151" s="42"/>
    </row>
    <row r="152" spans="2:10" ht="24.95" customHeight="1" x14ac:dyDescent="0.25">
      <c r="B152" s="158"/>
      <c r="C152" s="127"/>
      <c r="D152" s="160" t="s">
        <v>180</v>
      </c>
      <c r="E152" s="57" t="str">
        <f>HYPERLINK("[DesignTable.xlsx]GroupDesign!B1360","VAT_code")</f>
        <v>VAT_code</v>
      </c>
      <c r="F152" s="57" t="str">
        <f>HYPERLINK("[DesignTable.xlsx]GroupDesign!C1360","Browse/Browse")</f>
        <v>Browse/Browse</v>
      </c>
      <c r="G152" s="71" t="str">
        <f>HYPERLINK("[DesignTable.xlsx]GroupDesign!E1360","-")</f>
        <v>-</v>
      </c>
      <c r="H152" s="41"/>
      <c r="I152" s="40"/>
      <c r="J152" s="42"/>
    </row>
    <row r="153" spans="2:10" ht="24.95" customHeight="1" x14ac:dyDescent="0.25">
      <c r="B153" s="158"/>
      <c r="C153" s="127"/>
      <c r="D153" s="161"/>
      <c r="E153" s="57" t="str">
        <f>HYPERLINK("[DesignTable.xlsx]GroupDesign!B1361","VAT_code")</f>
        <v>VAT_code</v>
      </c>
      <c r="F153" s="57" t="str">
        <f>HYPERLINK("[DesignTable.xlsx]GroupDesign!C1361","Maint/Maint")</f>
        <v>Maint/Maint</v>
      </c>
      <c r="G153" s="71" t="str">
        <f>HYPERLINK("[DesignTable.xlsx]GroupDesign!E1361","-")</f>
        <v>-</v>
      </c>
      <c r="H153" s="41"/>
      <c r="I153" s="40"/>
      <c r="J153" s="42"/>
    </row>
    <row r="154" spans="2:10" ht="24.95" customHeight="1" x14ac:dyDescent="0.25">
      <c r="B154" s="158"/>
      <c r="C154" s="132"/>
      <c r="D154" s="160" t="s">
        <v>181</v>
      </c>
      <c r="E154" s="57" t="str">
        <f>HYPERLINK("[DesignTable.xlsx]GroupDesign!B920","Purchase_organization")</f>
        <v>Purchase_organization</v>
      </c>
      <c r="F154" s="59" t="str">
        <f>HYPERLINK("[DesignTable.xlsx]GroupDesign!C920","Browse/Browse")</f>
        <v>Browse/Browse</v>
      </c>
      <c r="G154" s="73" t="str">
        <f>HYPERLINK("[DesignTable.xlsx]GroupDesign!E920","-")</f>
        <v>-</v>
      </c>
      <c r="H154" s="41"/>
      <c r="I154" s="40"/>
      <c r="J154" s="42"/>
    </row>
    <row r="155" spans="2:10" ht="24.95" customHeight="1" thickBot="1" x14ac:dyDescent="0.3">
      <c r="B155" s="158"/>
      <c r="C155" s="132"/>
      <c r="D155" s="164"/>
      <c r="E155" s="59" t="str">
        <f>HYPERLINK("[DesignTable.xlsx]GroupDesign!B921","Purchase_organization")</f>
        <v>Purchase_organization</v>
      </c>
      <c r="F155" s="59" t="str">
        <f>HYPERLINK("[DesignTable.xlsx]GroupDesign!C921","Maint/Maint")</f>
        <v>Maint/Maint</v>
      </c>
      <c r="G155" s="73" t="str">
        <f>HYPERLINK("[DesignTable.xlsx]GroupDesign!E921","-")</f>
        <v>-</v>
      </c>
      <c r="H155" s="64"/>
      <c r="I155" s="65"/>
      <c r="J155" s="66"/>
    </row>
    <row r="156" spans="2:10" ht="24.95" customHeight="1" x14ac:dyDescent="0.25">
      <c r="B156" s="158"/>
      <c r="C156" s="144" t="s">
        <v>115</v>
      </c>
      <c r="D156" s="163" t="s">
        <v>182</v>
      </c>
      <c r="E156" s="69" t="str">
        <f>HYPERLINK("[DesignTable.xlsx]GroupDesign!B567","Legal_unit")</f>
        <v>Legal_unit</v>
      </c>
      <c r="F156" s="61" t="str">
        <f>HYPERLINK("[DesignTable.xlsx]GroupDesign!C567","Browse/Browse")</f>
        <v>Browse/Browse</v>
      </c>
      <c r="G156" s="79" t="str">
        <f>HYPERLINK("[DesignTable.xlsx]GroupDesign!E567","-")</f>
        <v>-</v>
      </c>
      <c r="H156" s="77"/>
      <c r="I156" s="53"/>
      <c r="J156" s="54"/>
    </row>
    <row r="157" spans="2:10" ht="24.95" customHeight="1" x14ac:dyDescent="0.25">
      <c r="B157" s="158"/>
      <c r="C157" s="171"/>
      <c r="D157" s="161"/>
      <c r="E157" s="57" t="str">
        <f>HYPERLINK("[DesignTable.xlsx]GroupDesign!B568","Legal_unit")</f>
        <v>Legal_unit</v>
      </c>
      <c r="F157" s="55" t="str">
        <f>HYPERLINK("[DesignTable.xlsx]GroupDesign!C568","Maint/Maint")</f>
        <v>Maint/Maint</v>
      </c>
      <c r="G157" s="80" t="str">
        <f>HYPERLINK("[DesignTable.xlsx]GroupDesign!E568","-")</f>
        <v>-</v>
      </c>
      <c r="H157" s="76"/>
      <c r="I157" s="40"/>
      <c r="J157" s="42"/>
    </row>
    <row r="158" spans="2:10" ht="24.95" customHeight="1" x14ac:dyDescent="0.25">
      <c r="B158" s="158"/>
      <c r="C158" s="171"/>
      <c r="D158" s="160" t="s">
        <v>183</v>
      </c>
      <c r="E158" s="57" t="str">
        <f>HYPERLINK("[DesignTable.xlsx]GroupDesign!B776","Plant")</f>
        <v>Plant</v>
      </c>
      <c r="F158" s="55" t="str">
        <f>HYPERLINK("[DesignTable.xlsx]GroupDesign!C776","Browse/Browse")</f>
        <v>Browse/Browse</v>
      </c>
      <c r="G158" s="81" t="str">
        <f>HYPERLINK("[DesignTable.xlsx]GroupDesign!E776","-")</f>
        <v>-</v>
      </c>
      <c r="H158" s="76"/>
      <c r="I158" s="40"/>
      <c r="J158" s="42"/>
    </row>
    <row r="159" spans="2:10" ht="24.95" customHeight="1" x14ac:dyDescent="0.25">
      <c r="B159" s="158"/>
      <c r="C159" s="127"/>
      <c r="D159" s="161"/>
      <c r="E159" s="57" t="str">
        <f>HYPERLINK("[DesignTable.xlsx]GroupDesign!B777","Plant")</f>
        <v>Plant</v>
      </c>
      <c r="F159" s="57" t="str">
        <f>HYPERLINK("[DesignTable.xlsx]GroupDesign!C777","Maint/Maint")</f>
        <v>Maint/Maint</v>
      </c>
      <c r="G159" s="81" t="str">
        <f>HYPERLINK("[DesignTable.xlsx]GroupDesign!E777","-")</f>
        <v>-</v>
      </c>
      <c r="H159" s="76"/>
      <c r="I159" s="40"/>
      <c r="J159" s="42"/>
    </row>
    <row r="160" spans="2:10" ht="24.95" customHeight="1" x14ac:dyDescent="0.25">
      <c r="B160" s="158"/>
      <c r="C160" s="127"/>
      <c r="D160" s="160" t="s">
        <v>184</v>
      </c>
      <c r="E160" s="57" t="str">
        <f>HYPERLINK("[DesignTable.xlsx]GroupDesign!B994","Site")</f>
        <v>Site</v>
      </c>
      <c r="F160" s="57" t="str">
        <f>HYPERLINK("[DesignTable.xlsx]GroupDesign!C994","Browse/Browse")</f>
        <v>Browse/Browse</v>
      </c>
      <c r="G160" s="80" t="str">
        <f>HYPERLINK("[DesignTable.xlsx]GroupDesign!E994","-")</f>
        <v>-</v>
      </c>
      <c r="H160" s="76"/>
      <c r="I160" s="40"/>
      <c r="J160" s="42"/>
    </row>
    <row r="161" spans="2:10" ht="24.95" customHeight="1" x14ac:dyDescent="0.25">
      <c r="B161" s="158"/>
      <c r="C161" s="127"/>
      <c r="D161" s="161"/>
      <c r="E161" s="57" t="str">
        <f>HYPERLINK("[DesignTable.xlsx]GroupDesign!B996","Site")</f>
        <v>Site</v>
      </c>
      <c r="F161" s="57" t="str">
        <f>HYPERLINK("[DesignTable.xlsx]GroupDesign!C996","Maint/Maint")</f>
        <v>Maint/Maint</v>
      </c>
      <c r="G161" s="80" t="str">
        <f>HYPERLINK("[DesignTable.xlsx]GroupDesign!E996","-")</f>
        <v>-</v>
      </c>
      <c r="H161" s="76"/>
      <c r="I161" s="40"/>
      <c r="J161" s="42"/>
    </row>
    <row r="162" spans="2:10" ht="24.95" customHeight="1" x14ac:dyDescent="0.25">
      <c r="B162" s="158"/>
      <c r="C162" s="127"/>
      <c r="D162" s="160" t="s">
        <v>185</v>
      </c>
      <c r="E162" s="57" t="str">
        <f>HYPERLINK("[DesignTable.xlsx]GroupDesign!B573","Location")</f>
        <v>Location</v>
      </c>
      <c r="F162" s="57" t="str">
        <f>HYPERLINK("[DesignTable.xlsx]GroupDesign!C573","Browse/Browse")</f>
        <v>Browse/Browse</v>
      </c>
      <c r="G162" s="80" t="str">
        <f>HYPERLINK("[DesignTable.xlsx]GroupDesign!E573","-")</f>
        <v>-</v>
      </c>
      <c r="H162" s="76"/>
      <c r="I162" s="40"/>
      <c r="J162" s="42"/>
    </row>
    <row r="163" spans="2:10" ht="24.95" customHeight="1" x14ac:dyDescent="0.25">
      <c r="B163" s="158"/>
      <c r="C163" s="127"/>
      <c r="D163" s="161"/>
      <c r="E163" s="57" t="str">
        <f>HYPERLINK("[DesignTable.xlsx]GroupDesign!B575","Location")</f>
        <v>Location</v>
      </c>
      <c r="F163" s="57" t="str">
        <f>HYPERLINK("[DesignTable.xlsx]GroupDesign!C575","Maint/Maint")</f>
        <v>Maint/Maint</v>
      </c>
      <c r="G163" s="80" t="str">
        <f>HYPERLINK("[DesignTable.xlsx]GroupDesign!E575","-")</f>
        <v>-</v>
      </c>
      <c r="H163" s="76"/>
      <c r="I163" s="40"/>
      <c r="J163" s="42"/>
    </row>
    <row r="164" spans="2:10" ht="24.95" customHeight="1" x14ac:dyDescent="0.25">
      <c r="B164" s="158"/>
      <c r="C164" s="127"/>
      <c r="D164" s="160" t="s">
        <v>186</v>
      </c>
      <c r="E164" s="57" t="str">
        <f>HYPERLINK("[DesignTable.xlsx]GroupDesign!B181","Contact_person")</f>
        <v>Contact_person</v>
      </c>
      <c r="F164" s="57" t="str">
        <f>HYPERLINK("[DesignTable.xlsx]GroupDesign!C181","Browse/Browse")</f>
        <v>Browse/Browse</v>
      </c>
      <c r="G164" s="80" t="str">
        <f>HYPERLINK("[DesignTable.xlsx]GroupDesign!E181","-")</f>
        <v>-</v>
      </c>
      <c r="H164" s="76"/>
      <c r="I164" s="40"/>
      <c r="J164" s="42"/>
    </row>
    <row r="165" spans="2:10" ht="24.95" customHeight="1" x14ac:dyDescent="0.25">
      <c r="B165" s="158"/>
      <c r="C165" s="127"/>
      <c r="D165" s="161"/>
      <c r="E165" s="57" t="str">
        <f>HYPERLINK("[DesignTable.xlsx]GroupDesign!B184","Contact_person")</f>
        <v>Contact_person</v>
      </c>
      <c r="F165" s="57" t="str">
        <f>HYPERLINK("[DesignTable.xlsx]GroupDesign!C184","Maint/Maint")</f>
        <v>Maint/Maint</v>
      </c>
      <c r="G165" s="80" t="str">
        <f>HYPERLINK("[DesignTable.xlsx]GroupDesign!E184","-")</f>
        <v>-</v>
      </c>
      <c r="H165" s="76"/>
      <c r="I165" s="40"/>
      <c r="J165" s="42"/>
    </row>
    <row r="166" spans="2:10" ht="24.95" customHeight="1" x14ac:dyDescent="0.25">
      <c r="B166" s="158"/>
      <c r="C166" s="127"/>
      <c r="D166" s="160" t="s">
        <v>187</v>
      </c>
      <c r="E166" s="57" t="str">
        <f>HYPERLINK("[DesignTable.xlsx]GroupDesign!B1328","Unit")</f>
        <v>Unit</v>
      </c>
      <c r="F166" s="57" t="str">
        <f>HYPERLINK("[DesignTable.xlsx]GroupDesign!C1328","Browse/Browse")</f>
        <v>Browse/Browse</v>
      </c>
      <c r="G166" s="80" t="str">
        <f>HYPERLINK("[DesignTable.xlsx]GroupDesign!E1328","-")</f>
        <v>-</v>
      </c>
      <c r="H166" s="76"/>
      <c r="I166" s="40"/>
      <c r="J166" s="42"/>
    </row>
    <row r="167" spans="2:10" ht="24.95" customHeight="1" x14ac:dyDescent="0.25">
      <c r="B167" s="158"/>
      <c r="C167" s="127"/>
      <c r="D167" s="161"/>
      <c r="E167" s="57" t="str">
        <f>HYPERLINK("[DesignTable.xlsx]GroupDesign!B1330","Unit")</f>
        <v>Unit</v>
      </c>
      <c r="F167" s="57" t="str">
        <f>HYPERLINK("[DesignTable.xlsx]GroupDesign!C1330","Maint/Maint")</f>
        <v>Maint/Maint</v>
      </c>
      <c r="G167" s="80" t="str">
        <f>HYPERLINK("[DesignTable.xlsx]GroupDesign!E1330","-")</f>
        <v>-</v>
      </c>
      <c r="H167" s="76"/>
      <c r="I167" s="40"/>
      <c r="J167" s="42"/>
    </row>
    <row r="168" spans="2:10" ht="24.95" customHeight="1" x14ac:dyDescent="0.25">
      <c r="B168" s="158"/>
      <c r="C168" s="127"/>
      <c r="D168" s="160" t="s">
        <v>188</v>
      </c>
      <c r="E168" s="57" t="str">
        <f>HYPERLINK("[DesignTable.xlsx]GroupDesign!B557","Language")</f>
        <v>Language</v>
      </c>
      <c r="F168" s="57" t="str">
        <f>HYPERLINK("[DesignTable.xlsx]GroupDesign!C557","Browse/Browse")</f>
        <v>Browse/Browse</v>
      </c>
      <c r="G168" s="80" t="str">
        <f>HYPERLINK("[DesignTable.xlsx]GroupDesign!E557","-")</f>
        <v>-</v>
      </c>
      <c r="H168" s="76"/>
      <c r="I168" s="40"/>
      <c r="J168" s="42"/>
    </row>
    <row r="169" spans="2:10" ht="24.95" customHeight="1" x14ac:dyDescent="0.25">
      <c r="B169" s="158"/>
      <c r="C169" s="127"/>
      <c r="D169" s="161"/>
      <c r="E169" s="57" t="str">
        <f>HYPERLINK("[DesignTable.xlsx]GroupDesign!B559","Language")</f>
        <v>Language</v>
      </c>
      <c r="F169" s="57" t="str">
        <f>HYPERLINK("[DesignTable.xlsx]GroupDesign!C559","Maint/Maint")</f>
        <v>Maint/Maint</v>
      </c>
      <c r="G169" s="80" t="str">
        <f>HYPERLINK("[DesignTable.xlsx]GroupDesign!E559","-")</f>
        <v>-</v>
      </c>
      <c r="H169" s="76"/>
      <c r="I169" s="40"/>
      <c r="J169" s="42"/>
    </row>
    <row r="170" spans="2:10" ht="24.95" customHeight="1" x14ac:dyDescent="0.25">
      <c r="B170" s="158"/>
      <c r="C170" s="127"/>
      <c r="D170" s="160" t="s">
        <v>189</v>
      </c>
      <c r="E170" s="57" t="str">
        <f>HYPERLINK("[DesignTable.xlsx]GroupDesign!B359","Exception")</f>
        <v>Exception</v>
      </c>
      <c r="F170" s="57" t="str">
        <f>HYPERLINK("[DesignTable.xlsx]GroupDesign!C359","Browse/Browse")</f>
        <v>Browse/Browse</v>
      </c>
      <c r="G170" s="80" t="str">
        <f>HYPERLINK("[DesignTable.xlsx]GroupDesign!E359","-")</f>
        <v>-</v>
      </c>
      <c r="H170" s="76"/>
      <c r="I170" s="40"/>
      <c r="J170" s="42"/>
    </row>
    <row r="171" spans="2:10" ht="24.95" customHeight="1" x14ac:dyDescent="0.25">
      <c r="B171" s="158"/>
      <c r="C171" s="127"/>
      <c r="D171" s="161"/>
      <c r="E171" s="57" t="str">
        <f>HYPERLINK("[DesignTable.xlsx]GroupDesign!B363","Exception")</f>
        <v>Exception</v>
      </c>
      <c r="F171" s="57" t="str">
        <f>HYPERLINK("[DesignTable.xlsx]GroupDesign!C363","Maint/Maint")</f>
        <v>Maint/Maint</v>
      </c>
      <c r="G171" s="80" t="str">
        <f>HYPERLINK("[DesignTable.xlsx]GroupDesign!E363","-")</f>
        <v>-</v>
      </c>
      <c r="H171" s="76"/>
      <c r="I171" s="40"/>
      <c r="J171" s="42"/>
    </row>
    <row r="172" spans="2:10" ht="24.95" customHeight="1" x14ac:dyDescent="0.25">
      <c r="B172" s="158"/>
      <c r="C172" s="132"/>
      <c r="D172" s="160" t="s">
        <v>190</v>
      </c>
      <c r="E172" s="57" t="str">
        <f>HYPERLINK("[DesignTable.xlsx]GroupDesign!B365","Exception_Code")</f>
        <v>Exception_Code</v>
      </c>
      <c r="F172" s="59" t="str">
        <f>HYPERLINK("[DesignTable.xlsx]GroupDesign!C365","Browse/Browse")</f>
        <v>Browse/Browse</v>
      </c>
      <c r="G172" s="84" t="str">
        <f>HYPERLINK("[DesignTable.xlsx]GroupDesign!E365","-")</f>
        <v>-</v>
      </c>
      <c r="H172" s="76"/>
      <c r="I172" s="40"/>
      <c r="J172" s="42"/>
    </row>
    <row r="173" spans="2:10" ht="24.95" customHeight="1" thickBot="1" x14ac:dyDescent="0.3">
      <c r="B173" s="158"/>
      <c r="C173" s="128"/>
      <c r="D173" s="162"/>
      <c r="E173" s="57" t="str">
        <f>HYPERLINK("[DesignTable.xlsx]GroupDesign!B367","Exception_Code")</f>
        <v>Exception_Code</v>
      </c>
      <c r="F173" s="67" t="str">
        <f>HYPERLINK("[DesignTable.xlsx]GroupDesign!C367","Maint/Maint")</f>
        <v>Maint/Maint</v>
      </c>
      <c r="G173" s="84" t="str">
        <f>HYPERLINK("[DesignTable.xlsx]GroupDesign!E367","-")</f>
        <v>-</v>
      </c>
      <c r="H173" s="78"/>
      <c r="I173" s="44"/>
      <c r="J173" s="45"/>
    </row>
    <row r="174" spans="2:10" ht="24.95" customHeight="1" x14ac:dyDescent="0.25">
      <c r="B174" s="158"/>
      <c r="C174" s="144" t="s">
        <v>116</v>
      </c>
      <c r="D174" s="163" t="s">
        <v>191</v>
      </c>
      <c r="E174" s="69" t="str">
        <f>HYPERLINK("[DesignTable.xlsx]GroupDesign!B60","API_message")</f>
        <v>API_message</v>
      </c>
      <c r="F174" s="61" t="str">
        <f>HYPERLINK("[DesignTable.xlsx]GroupDesign!C60","Browse/Browse")</f>
        <v>Browse/Browse</v>
      </c>
      <c r="G174" s="62" t="str">
        <f>HYPERLINK("[DesignTable.xlsx]GroupDesign!e60","1")</f>
        <v>1</v>
      </c>
      <c r="H174" s="49"/>
      <c r="I174" s="50"/>
      <c r="J174" s="51"/>
    </row>
    <row r="175" spans="2:10" ht="24.95" customHeight="1" x14ac:dyDescent="0.25">
      <c r="B175" s="158"/>
      <c r="C175" s="171"/>
      <c r="D175" s="161"/>
      <c r="E175" s="57" t="str">
        <f>HYPERLINK("[DesignTable.xlsx]GroupDesign!B61","API_message")</f>
        <v>API_message</v>
      </c>
      <c r="F175" s="55" t="str">
        <f>HYPERLINK("[DesignTable.xlsx]GroupDesign!C61","Maint/Maint")</f>
        <v>Maint/Maint</v>
      </c>
      <c r="G175" s="63" t="str">
        <f>HYPERLINK("[DesignTable.xlsx]GroupDesign!E61","Uuser_id")</f>
        <v>Uuser_id</v>
      </c>
      <c r="H175" s="41"/>
      <c r="I175" s="40"/>
      <c r="J175" s="42"/>
    </row>
    <row r="176" spans="2:10" ht="24.95" customHeight="1" x14ac:dyDescent="0.25">
      <c r="B176" s="158"/>
      <c r="C176" s="127"/>
      <c r="D176" s="170" t="s">
        <v>192</v>
      </c>
      <c r="E176" s="57" t="str">
        <f>HYPERLINK("[DesignTable.xlsx]GroupDesign!B97","Approval_monitor_filter")</f>
        <v>Approval_monitor_filter</v>
      </c>
      <c r="F176" s="57" t="str">
        <f>HYPERLINK("[DesignTable.xlsx]GroupDesign!C97","Select/Select")</f>
        <v>Select/Select</v>
      </c>
      <c r="G176" s="58" t="str">
        <f>HYPERLINK("[DesignTable.xlsx]GroupDesign!E97","-")</f>
        <v>-</v>
      </c>
      <c r="H176" s="41"/>
      <c r="I176" s="40"/>
      <c r="J176" s="42"/>
    </row>
    <row r="177" spans="2:10" ht="24.95" customHeight="1" x14ac:dyDescent="0.25">
      <c r="B177" s="158"/>
      <c r="C177" s="127"/>
      <c r="D177" s="170"/>
      <c r="E177" s="57" t="str">
        <f>HYPERLINK("[DesignTable.xlsx]GroupDesign!B96","Approval_monitor")</f>
        <v>Approval_monitor</v>
      </c>
      <c r="F177" s="57" t="str">
        <f>HYPERLINK("[DesignTable.xlsx]GroupDesign!C96","Browse/Browse")</f>
        <v>Browse/Browse</v>
      </c>
      <c r="G177" s="58" t="str">
        <f>HYPERLINK("[DesignTable.xlsx]GroupDesign!E96","1")</f>
        <v>1</v>
      </c>
      <c r="H177" s="41"/>
      <c r="I177" s="40"/>
      <c r="J177" s="42"/>
    </row>
    <row r="178" spans="2:10" ht="24.95" customHeight="1" x14ac:dyDescent="0.25">
      <c r="B178" s="158"/>
      <c r="C178" s="127"/>
      <c r="D178" s="27" t="s">
        <v>193</v>
      </c>
      <c r="E178" s="26" t="s">
        <v>408</v>
      </c>
      <c r="F178" s="26" t="s">
        <v>408</v>
      </c>
      <c r="G178" s="38" t="s">
        <v>408</v>
      </c>
      <c r="H178" s="41"/>
      <c r="I178" s="40"/>
      <c r="J178" s="42"/>
    </row>
    <row r="179" spans="2:10" ht="24.95" customHeight="1" x14ac:dyDescent="0.25">
      <c r="B179" s="158"/>
      <c r="C179" s="127"/>
      <c r="D179" s="27" t="s">
        <v>194</v>
      </c>
      <c r="E179" s="57" t="str">
        <f>HYPERLINK("[DesignTable.xlsx]GroupDesign!B252","Crystal_report")</f>
        <v>Crystal_report</v>
      </c>
      <c r="F179" s="57" t="str">
        <f>HYPERLINK("[DesignTable.xlsx]GroupDesign!C252","Browse/Browse")</f>
        <v>Browse/Browse</v>
      </c>
      <c r="G179" s="71" t="str">
        <f>HYPERLINK("[DesignTable.xlsx]GroupDesign!E252","-")</f>
        <v>-</v>
      </c>
      <c r="H179" s="41"/>
      <c r="I179" s="40"/>
      <c r="J179" s="42"/>
    </row>
    <row r="180" spans="2:10" ht="24.95" customHeight="1" x14ac:dyDescent="0.25">
      <c r="B180" s="158"/>
      <c r="C180" s="127"/>
      <c r="D180" s="27" t="s">
        <v>195</v>
      </c>
      <c r="E180" s="26" t="s">
        <v>408</v>
      </c>
      <c r="F180" s="26" t="s">
        <v>408</v>
      </c>
      <c r="G180" s="38" t="s">
        <v>408</v>
      </c>
      <c r="H180" s="41"/>
      <c r="I180" s="40"/>
      <c r="J180" s="42"/>
    </row>
    <row r="181" spans="2:10" ht="24.95" customHeight="1" x14ac:dyDescent="0.25">
      <c r="B181" s="158"/>
      <c r="C181" s="127"/>
      <c r="D181" s="27" t="s">
        <v>196</v>
      </c>
      <c r="E181" s="26" t="s">
        <v>408</v>
      </c>
      <c r="F181" s="26" t="s">
        <v>408</v>
      </c>
      <c r="G181" s="38" t="s">
        <v>408</v>
      </c>
      <c r="H181" s="41"/>
      <c r="I181" s="40"/>
      <c r="J181" s="42"/>
    </row>
    <row r="182" spans="2:10" ht="24.95" customHeight="1" x14ac:dyDescent="0.25">
      <c r="B182" s="158"/>
      <c r="C182" s="127"/>
      <c r="D182" s="27" t="s">
        <v>197</v>
      </c>
      <c r="E182" s="26" t="s">
        <v>408</v>
      </c>
      <c r="F182" s="26" t="s">
        <v>408</v>
      </c>
      <c r="G182" s="38" t="s">
        <v>408</v>
      </c>
      <c r="H182" s="41"/>
      <c r="I182" s="40"/>
      <c r="J182" s="42"/>
    </row>
    <row r="183" spans="2:10" ht="24.95" customHeight="1" thickBot="1" x14ac:dyDescent="0.3">
      <c r="B183" s="159"/>
      <c r="C183" s="128"/>
      <c r="D183" s="28" t="s">
        <v>198</v>
      </c>
      <c r="E183" s="29" t="s">
        <v>408</v>
      </c>
      <c r="F183" s="29" t="s">
        <v>408</v>
      </c>
      <c r="G183" s="39" t="s">
        <v>408</v>
      </c>
      <c r="H183" s="43"/>
      <c r="I183" s="44"/>
      <c r="J183" s="45"/>
    </row>
    <row r="184" spans="2:10" ht="18.75" x14ac:dyDescent="0.3">
      <c r="B184" s="21"/>
      <c r="C184" s="22"/>
      <c r="D184" s="22"/>
    </row>
    <row r="185" spans="2:10" ht="18.75" x14ac:dyDescent="0.3">
      <c r="B185" s="21"/>
      <c r="C185" s="22"/>
      <c r="D185" s="22"/>
    </row>
    <row r="186" spans="2:10" ht="18.75" x14ac:dyDescent="0.3">
      <c r="B186" s="21"/>
      <c r="C186" s="22"/>
      <c r="D186" s="22"/>
    </row>
  </sheetData>
  <mergeCells count="89">
    <mergeCell ref="D86:D87"/>
    <mergeCell ref="D100:D101"/>
    <mergeCell ref="C3:C4"/>
    <mergeCell ref="D3:D4"/>
    <mergeCell ref="D74:D75"/>
    <mergeCell ref="D64:D65"/>
    <mergeCell ref="D66:D67"/>
    <mergeCell ref="D68:D69"/>
    <mergeCell ref="D58:D59"/>
    <mergeCell ref="D60:D61"/>
    <mergeCell ref="D62:D63"/>
    <mergeCell ref="D176:D177"/>
    <mergeCell ref="D18:D19"/>
    <mergeCell ref="D22:D23"/>
    <mergeCell ref="D24:D25"/>
    <mergeCell ref="D26:D27"/>
    <mergeCell ref="D28:D29"/>
    <mergeCell ref="D30:D31"/>
    <mergeCell ref="D70:D71"/>
    <mergeCell ref="D111:D112"/>
    <mergeCell ref="D76:D77"/>
    <mergeCell ref="D78:D79"/>
    <mergeCell ref="D80:D81"/>
    <mergeCell ref="D72:D73"/>
    <mergeCell ref="D38:D39"/>
    <mergeCell ref="D82:D83"/>
    <mergeCell ref="D84:D85"/>
    <mergeCell ref="C156:C173"/>
    <mergeCell ref="C174:C183"/>
    <mergeCell ref="C5:C16"/>
    <mergeCell ref="C17:C21"/>
    <mergeCell ref="C22:C53"/>
    <mergeCell ref="C54:C101"/>
    <mergeCell ref="C102:C125"/>
    <mergeCell ref="C126:C155"/>
    <mergeCell ref="H3:J3"/>
    <mergeCell ref="D50:D51"/>
    <mergeCell ref="D54:D55"/>
    <mergeCell ref="D56:D57"/>
    <mergeCell ref="D44:D45"/>
    <mergeCell ref="D46:D47"/>
    <mergeCell ref="D48:D49"/>
    <mergeCell ref="D40:D41"/>
    <mergeCell ref="D42:D43"/>
    <mergeCell ref="D32:D33"/>
    <mergeCell ref="D34:D35"/>
    <mergeCell ref="D36:D37"/>
    <mergeCell ref="E3:G3"/>
    <mergeCell ref="D7:D12"/>
    <mergeCell ref="D13:D14"/>
    <mergeCell ref="D128:D129"/>
    <mergeCell ref="D130:D131"/>
    <mergeCell ref="D132:D133"/>
    <mergeCell ref="D88:D89"/>
    <mergeCell ref="D90:D91"/>
    <mergeCell ref="D92:D93"/>
    <mergeCell ref="D122:D123"/>
    <mergeCell ref="D126:D127"/>
    <mergeCell ref="D113:D114"/>
    <mergeCell ref="D117:D118"/>
    <mergeCell ref="D109:D110"/>
    <mergeCell ref="D102:D108"/>
    <mergeCell ref="D94:D95"/>
    <mergeCell ref="D96:D97"/>
    <mergeCell ref="D98:D99"/>
    <mergeCell ref="D119:D120"/>
    <mergeCell ref="D150:D151"/>
    <mergeCell ref="D140:D141"/>
    <mergeCell ref="D142:D143"/>
    <mergeCell ref="D144:D145"/>
    <mergeCell ref="D134:D135"/>
    <mergeCell ref="D136:D137"/>
    <mergeCell ref="D138:D139"/>
    <mergeCell ref="B5:B183"/>
    <mergeCell ref="B3:B4"/>
    <mergeCell ref="D170:D171"/>
    <mergeCell ref="D172:D173"/>
    <mergeCell ref="D174:D175"/>
    <mergeCell ref="D164:D165"/>
    <mergeCell ref="D166:D167"/>
    <mergeCell ref="D168:D169"/>
    <mergeCell ref="D158:D159"/>
    <mergeCell ref="D160:D161"/>
    <mergeCell ref="D162:D163"/>
    <mergeCell ref="D152:D153"/>
    <mergeCell ref="D154:D155"/>
    <mergeCell ref="D156:D157"/>
    <mergeCell ref="D146:D147"/>
    <mergeCell ref="D148:D14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0960-0840-4E43-9221-9F8625355F07}">
  <dimension ref="B4:C42"/>
  <sheetViews>
    <sheetView workbookViewId="0"/>
  </sheetViews>
  <sheetFormatPr defaultRowHeight="15" x14ac:dyDescent="0.25"/>
  <cols>
    <col min="3" max="3" width="66" bestFit="1" customWidth="1"/>
  </cols>
  <sheetData>
    <row r="4" spans="2:3" x14ac:dyDescent="0.25">
      <c r="B4" s="2">
        <v>3</v>
      </c>
      <c r="C4" s="3" t="s">
        <v>86</v>
      </c>
    </row>
    <row r="5" spans="2:3" x14ac:dyDescent="0.25">
      <c r="B5" s="4">
        <v>3.1</v>
      </c>
      <c r="C5" s="5" t="s">
        <v>0</v>
      </c>
    </row>
    <row r="6" spans="2:3" x14ac:dyDescent="0.25">
      <c r="B6" s="1" t="s">
        <v>1</v>
      </c>
      <c r="C6" t="s">
        <v>2</v>
      </c>
    </row>
    <row r="7" spans="2:3" x14ac:dyDescent="0.25">
      <c r="B7" s="1" t="s">
        <v>3</v>
      </c>
      <c r="C7" t="s">
        <v>4</v>
      </c>
    </row>
    <row r="8" spans="2:3" x14ac:dyDescent="0.25">
      <c r="B8" s="1" t="s">
        <v>5</v>
      </c>
      <c r="C8" t="s">
        <v>6</v>
      </c>
    </row>
    <row r="9" spans="2:3" x14ac:dyDescent="0.25">
      <c r="B9" s="1" t="s">
        <v>7</v>
      </c>
      <c r="C9" t="s">
        <v>8</v>
      </c>
    </row>
    <row r="10" spans="2:3" x14ac:dyDescent="0.25">
      <c r="B10" s="4">
        <v>3.2</v>
      </c>
      <c r="C10" s="5" t="s">
        <v>9</v>
      </c>
    </row>
    <row r="11" spans="2:3" x14ac:dyDescent="0.25">
      <c r="B11" s="1" t="s">
        <v>10</v>
      </c>
      <c r="C11" t="s">
        <v>19</v>
      </c>
    </row>
    <row r="12" spans="2:3" x14ac:dyDescent="0.25">
      <c r="B12" s="1" t="s">
        <v>11</v>
      </c>
      <c r="C12" t="s">
        <v>12</v>
      </c>
    </row>
    <row r="13" spans="2:3" x14ac:dyDescent="0.25">
      <c r="B13" s="1" t="s">
        <v>13</v>
      </c>
      <c r="C13" t="s">
        <v>14</v>
      </c>
    </row>
    <row r="14" spans="2:3" x14ac:dyDescent="0.25">
      <c r="B14" s="1" t="s">
        <v>15</v>
      </c>
      <c r="C14" t="s">
        <v>16</v>
      </c>
    </row>
    <row r="15" spans="2:3" x14ac:dyDescent="0.25">
      <c r="B15" s="4">
        <v>3.3</v>
      </c>
      <c r="C15" s="5" t="s">
        <v>17</v>
      </c>
    </row>
    <row r="16" spans="2:3" x14ac:dyDescent="0.25">
      <c r="B16" s="1" t="s">
        <v>18</v>
      </c>
      <c r="C16" t="s">
        <v>20</v>
      </c>
    </row>
    <row r="17" spans="2:3" x14ac:dyDescent="0.25">
      <c r="B17" s="1" t="s">
        <v>21</v>
      </c>
      <c r="C17" t="s">
        <v>22</v>
      </c>
    </row>
    <row r="18" spans="2:3" x14ac:dyDescent="0.25">
      <c r="B18" s="1" t="s">
        <v>23</v>
      </c>
      <c r="C18" t="s">
        <v>24</v>
      </c>
    </row>
    <row r="19" spans="2:3" x14ac:dyDescent="0.25">
      <c r="B19" s="1" t="s">
        <v>25</v>
      </c>
      <c r="C19" t="s">
        <v>26</v>
      </c>
    </row>
    <row r="20" spans="2:3" x14ac:dyDescent="0.25">
      <c r="B20" s="4">
        <v>3.4</v>
      </c>
      <c r="C20" s="5" t="s">
        <v>27</v>
      </c>
    </row>
    <row r="21" spans="2:3" x14ac:dyDescent="0.25">
      <c r="B21" s="1" t="s">
        <v>28</v>
      </c>
      <c r="C21" t="s">
        <v>29</v>
      </c>
    </row>
    <row r="22" spans="2:3" x14ac:dyDescent="0.25">
      <c r="B22" s="1" t="s">
        <v>30</v>
      </c>
      <c r="C22" t="s">
        <v>31</v>
      </c>
    </row>
    <row r="23" spans="2:3" x14ac:dyDescent="0.25">
      <c r="B23" s="1" t="s">
        <v>32</v>
      </c>
      <c r="C23" t="s">
        <v>34</v>
      </c>
    </row>
    <row r="24" spans="2:3" x14ac:dyDescent="0.25">
      <c r="B24" s="1" t="s">
        <v>33</v>
      </c>
      <c r="C24" t="s">
        <v>35</v>
      </c>
    </row>
    <row r="25" spans="2:3" x14ac:dyDescent="0.25">
      <c r="B25" s="1" t="s">
        <v>36</v>
      </c>
      <c r="C25" t="s">
        <v>37</v>
      </c>
    </row>
    <row r="26" spans="2:3" x14ac:dyDescent="0.25">
      <c r="B26" s="4">
        <v>3.5</v>
      </c>
      <c r="C26" s="5" t="s">
        <v>38</v>
      </c>
    </row>
    <row r="27" spans="2:3" x14ac:dyDescent="0.25">
      <c r="B27" s="1" t="s">
        <v>39</v>
      </c>
      <c r="C27" t="s">
        <v>40</v>
      </c>
    </row>
    <row r="28" spans="2:3" x14ac:dyDescent="0.25">
      <c r="B28" s="1" t="s">
        <v>41</v>
      </c>
      <c r="C28" t="s">
        <v>45</v>
      </c>
    </row>
    <row r="29" spans="2:3" x14ac:dyDescent="0.25">
      <c r="B29" s="1" t="s">
        <v>42</v>
      </c>
      <c r="C29" t="s">
        <v>44</v>
      </c>
    </row>
    <row r="30" spans="2:3" x14ac:dyDescent="0.25">
      <c r="B30" s="1" t="s">
        <v>43</v>
      </c>
      <c r="C30" t="s">
        <v>46</v>
      </c>
    </row>
    <row r="31" spans="2:3" x14ac:dyDescent="0.25">
      <c r="B31" s="1" t="s">
        <v>47</v>
      </c>
      <c r="C31" t="s">
        <v>48</v>
      </c>
    </row>
    <row r="32" spans="2:3" x14ac:dyDescent="0.25">
      <c r="B32" s="1" t="s">
        <v>49</v>
      </c>
      <c r="C32" t="s">
        <v>50</v>
      </c>
    </row>
    <row r="33" spans="2:3" x14ac:dyDescent="0.25">
      <c r="B33" s="4">
        <v>3.6</v>
      </c>
      <c r="C33" s="5" t="s">
        <v>51</v>
      </c>
    </row>
    <row r="34" spans="2:3" x14ac:dyDescent="0.25">
      <c r="B34" s="1" t="s">
        <v>52</v>
      </c>
      <c r="C34" t="s">
        <v>53</v>
      </c>
    </row>
    <row r="35" spans="2:3" x14ac:dyDescent="0.25">
      <c r="B35" s="1" t="s">
        <v>55</v>
      </c>
      <c r="C35" t="s">
        <v>54</v>
      </c>
    </row>
    <row r="36" spans="2:3" x14ac:dyDescent="0.25">
      <c r="B36" s="1" t="s">
        <v>56</v>
      </c>
      <c r="C36" t="s">
        <v>57</v>
      </c>
    </row>
    <row r="37" spans="2:3" x14ac:dyDescent="0.25">
      <c r="B37" s="1" t="s">
        <v>58</v>
      </c>
      <c r="C37" t="s">
        <v>59</v>
      </c>
    </row>
    <row r="38" spans="2:3" x14ac:dyDescent="0.25">
      <c r="B38" s="4">
        <v>3.7</v>
      </c>
      <c r="C38" s="5" t="s">
        <v>60</v>
      </c>
    </row>
    <row r="39" spans="2:3" x14ac:dyDescent="0.25">
      <c r="B39" s="1" t="s">
        <v>61</v>
      </c>
      <c r="C39" t="s">
        <v>62</v>
      </c>
    </row>
    <row r="40" spans="2:3" x14ac:dyDescent="0.25">
      <c r="B40" s="1" t="s">
        <v>63</v>
      </c>
      <c r="C40" t="s">
        <v>65</v>
      </c>
    </row>
    <row r="41" spans="2:3" x14ac:dyDescent="0.25">
      <c r="B41" s="1" t="s">
        <v>64</v>
      </c>
      <c r="C41" t="s">
        <v>66</v>
      </c>
    </row>
    <row r="42" spans="2:3" x14ac:dyDescent="0.25">
      <c r="B42" s="1" t="s">
        <v>67</v>
      </c>
      <c r="C42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2218-C925-4A33-9075-89F8595775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137F-6237-40FA-BA88-3EF6650BB1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2228-2371-43F6-ADC3-9F7C409CE7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C951-A79F-432F-8532-82D5279B667D}">
  <dimension ref="B4:C9"/>
  <sheetViews>
    <sheetView workbookViewId="0"/>
  </sheetViews>
  <sheetFormatPr defaultRowHeight="15" x14ac:dyDescent="0.25"/>
  <cols>
    <col min="3" max="3" width="37.7109375" bestFit="1" customWidth="1"/>
  </cols>
  <sheetData>
    <row r="4" spans="2:3" x14ac:dyDescent="0.25">
      <c r="B4" s="2">
        <v>7</v>
      </c>
      <c r="C4" s="3" t="s">
        <v>87</v>
      </c>
    </row>
    <row r="5" spans="2:3" x14ac:dyDescent="0.25">
      <c r="B5" s="4">
        <v>7.1</v>
      </c>
      <c r="C5" s="5" t="s">
        <v>69</v>
      </c>
    </row>
    <row r="6" spans="2:3" x14ac:dyDescent="0.25">
      <c r="B6" s="1" t="s">
        <v>90</v>
      </c>
      <c r="C6" t="s">
        <v>70</v>
      </c>
    </row>
    <row r="7" spans="2:3" x14ac:dyDescent="0.25">
      <c r="B7" s="1" t="s">
        <v>91</v>
      </c>
      <c r="C7" t="s">
        <v>71</v>
      </c>
    </row>
    <row r="8" spans="2:3" x14ac:dyDescent="0.25">
      <c r="B8" s="1" t="s">
        <v>92</v>
      </c>
      <c r="C8" t="s">
        <v>72</v>
      </c>
    </row>
    <row r="9" spans="2:3" x14ac:dyDescent="0.25">
      <c r="B9" s="1" t="s">
        <v>93</v>
      </c>
      <c r="C9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ListOfItems</vt:lpstr>
      <vt:lpstr>LoginWindow</vt:lpstr>
      <vt:lpstr>StartingWindow</vt:lpstr>
      <vt:lpstr>BasicTab</vt:lpstr>
      <vt:lpstr>Maintenance tab</vt:lpstr>
      <vt:lpstr>Inspection tab</vt:lpstr>
      <vt:lpstr>Calibration tab</vt:lpstr>
      <vt:lpstr>Stock tab</vt:lpstr>
      <vt:lpstr>Purchase tab</vt:lpstr>
      <vt:lpstr>Special tab</vt:lpstr>
      <vt:lpstr>System tab</vt:lpstr>
      <vt:lpstr>Help tab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Bezuhlyi</dc:creator>
  <cp:lastModifiedBy>Serhii Bezuhlyi</cp:lastModifiedBy>
  <dcterms:created xsi:type="dcterms:W3CDTF">2018-10-09T07:50:33Z</dcterms:created>
  <dcterms:modified xsi:type="dcterms:W3CDTF">2018-11-23T16:16:33Z</dcterms:modified>
</cp:coreProperties>
</file>