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ytax\switchdrive\BEST-COST\best-cost_WPs\r_package\testing\input\noise_niph\"/>
    </mc:Choice>
  </mc:AlternateContent>
  <xr:revisionPtr revIDLastSave="0" documentId="13_ncr:1_{F8BAE96C-9C7D-4090-8DBF-A98195835AEE}" xr6:coauthVersionLast="47" xr6:coauthVersionMax="47" xr10:uidLastSave="{00000000-0000-0000-0000-000000000000}"/>
  <bookViews>
    <workbookView xWindow="9510" yWindow="0" windowWidth="9780" windowHeight="12090" tabRatio="895" firstSheet="1" activeTab="2" xr2:uid="{00000000-000D-0000-FFFF-FFFF00000000}"/>
  </bookViews>
  <sheets>
    <sheet name="Absolute_risk_HA" sheetId="21" r:id="rId1"/>
    <sheet name="Absolute_risk_HA_WS1_WP5" sheetId="24" r:id="rId2"/>
    <sheet name="Sheet2" sheetId="25" r:id="rId3"/>
    <sheet name="Absolute_risk_HSD" sheetId="18" r:id="rId4"/>
    <sheet name="geo_id_1_rr_IHD_WHO_2003a" sheetId="22" r:id="rId5"/>
    <sheet name="geo_id_2_rr_IHD_WHO_2003a" sheetId="19" r:id="rId6"/>
    <sheet name="geo_id_3_rr_IHD_WHO_2003a (2)" sheetId="23" r:id="rId7"/>
    <sheet name="Relative_risk_IHD_WHO_2003b" sheetId="2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4" l="1"/>
  <c r="C8" i="24"/>
  <c r="F7" i="24"/>
  <c r="E7" i="24"/>
  <c r="F6" i="24"/>
  <c r="E6" i="24"/>
  <c r="F5" i="24"/>
  <c r="E5" i="24"/>
  <c r="G5" i="24" s="1"/>
  <c r="H5" i="24" s="1"/>
  <c r="F4" i="24"/>
  <c r="E4" i="24"/>
  <c r="F3" i="24"/>
  <c r="E3" i="24"/>
  <c r="D8" i="23"/>
  <c r="C8" i="23"/>
  <c r="E7" i="23"/>
  <c r="F7" i="23" s="1"/>
  <c r="B7" i="23"/>
  <c r="G7" i="23" s="1"/>
  <c r="F6" i="23"/>
  <c r="E6" i="23"/>
  <c r="B6" i="23"/>
  <c r="G6" i="23" s="1"/>
  <c r="E5" i="23"/>
  <c r="F5" i="23" s="1"/>
  <c r="B5" i="23"/>
  <c r="G5" i="23" s="1"/>
  <c r="E4" i="23"/>
  <c r="F4" i="23" s="1"/>
  <c r="B4" i="23"/>
  <c r="G4" i="23" s="1"/>
  <c r="G3" i="23"/>
  <c r="E3" i="23"/>
  <c r="F3" i="23" s="1"/>
  <c r="B3" i="23"/>
  <c r="G2" i="23"/>
  <c r="B2" i="23"/>
  <c r="G6" i="24" l="1"/>
  <c r="H6" i="24" s="1"/>
  <c r="G3" i="24"/>
  <c r="E8" i="24"/>
  <c r="E2" i="24" s="1"/>
  <c r="G7" i="24"/>
  <c r="H7" i="24" s="1"/>
  <c r="H3" i="24"/>
  <c r="G4" i="24"/>
  <c r="H4" i="24" s="1"/>
  <c r="H5" i="23"/>
  <c r="H6" i="23"/>
  <c r="H4" i="23"/>
  <c r="H3" i="23"/>
  <c r="H7" i="23"/>
  <c r="E8" i="23"/>
  <c r="D8" i="22"/>
  <c r="C8" i="22"/>
  <c r="G7" i="22"/>
  <c r="E7" i="22"/>
  <c r="F7" i="22" s="1"/>
  <c r="G6" i="22"/>
  <c r="E6" i="22"/>
  <c r="F6" i="22" s="1"/>
  <c r="H6" i="22" s="1"/>
  <c r="G5" i="22"/>
  <c r="E5" i="22"/>
  <c r="F5" i="22" s="1"/>
  <c r="G4" i="22"/>
  <c r="E4" i="22"/>
  <c r="F4" i="22" s="1"/>
  <c r="H4" i="22" s="1"/>
  <c r="G3" i="22"/>
  <c r="E3" i="22"/>
  <c r="F3" i="22" s="1"/>
  <c r="H3" i="22" s="1"/>
  <c r="G2" i="22"/>
  <c r="G8" i="24" l="1"/>
  <c r="H8" i="24" s="1"/>
  <c r="H7" i="22"/>
  <c r="H5" i="22"/>
  <c r="E8" i="22"/>
  <c r="E2" i="22" s="1"/>
  <c r="F2" i="22" s="1"/>
  <c r="H8" i="22" s="1"/>
  <c r="F8" i="23"/>
  <c r="E2" i="23"/>
  <c r="F2" i="23" s="1"/>
  <c r="F9" i="22"/>
  <c r="H2" i="22"/>
  <c r="F8" i="22"/>
  <c r="B7" i="19"/>
  <c r="B6" i="19"/>
  <c r="B5" i="19"/>
  <c r="B4" i="19"/>
  <c r="B3" i="19"/>
  <c r="B2" i="19"/>
  <c r="H8" i="23" l="1"/>
  <c r="H2" i="23"/>
  <c r="F9" i="23"/>
  <c r="J8" i="22"/>
  <c r="I8" i="22"/>
  <c r="D8" i="21"/>
  <c r="C8" i="21"/>
  <c r="F7" i="21"/>
  <c r="E7" i="21"/>
  <c r="F6" i="21"/>
  <c r="E6" i="21"/>
  <c r="F5" i="21"/>
  <c r="E5" i="21"/>
  <c r="F4" i="21"/>
  <c r="E4" i="21"/>
  <c r="F3" i="21"/>
  <c r="E3" i="21"/>
  <c r="J8" i="23" l="1"/>
  <c r="I8" i="23"/>
  <c r="K8" i="22"/>
  <c r="G3" i="21"/>
  <c r="G7" i="21"/>
  <c r="H7" i="21" s="1"/>
  <c r="G4" i="21"/>
  <c r="H4" i="21" s="1"/>
  <c r="G5" i="21"/>
  <c r="H5" i="21" s="1"/>
  <c r="G6" i="21"/>
  <c r="H6" i="21" s="1"/>
  <c r="G8" i="21"/>
  <c r="H8" i="21" s="1"/>
  <c r="H3" i="21"/>
  <c r="E8" i="21"/>
  <c r="E2" i="21" s="1"/>
  <c r="D8" i="20"/>
  <c r="C8" i="20"/>
  <c r="G7" i="20"/>
  <c r="H7" i="20" s="1"/>
  <c r="E7" i="20"/>
  <c r="F7" i="20" s="1"/>
  <c r="G6" i="20"/>
  <c r="H6" i="20" s="1"/>
  <c r="E6" i="20"/>
  <c r="F6" i="20" s="1"/>
  <c r="G5" i="20"/>
  <c r="H5" i="20" s="1"/>
  <c r="E5" i="20"/>
  <c r="F5" i="20" s="1"/>
  <c r="G4" i="20"/>
  <c r="H4" i="20" s="1"/>
  <c r="E4" i="20"/>
  <c r="F4" i="20" s="1"/>
  <c r="G3" i="20"/>
  <c r="H3" i="20" s="1"/>
  <c r="E3" i="20"/>
  <c r="G2" i="20"/>
  <c r="H2" i="20" s="1"/>
  <c r="G2" i="19"/>
  <c r="D8" i="19"/>
  <c r="C8" i="19"/>
  <c r="G7" i="19"/>
  <c r="E7" i="19"/>
  <c r="F7" i="19" s="1"/>
  <c r="G6" i="19"/>
  <c r="E6" i="19"/>
  <c r="F6" i="19" s="1"/>
  <c r="G5" i="19"/>
  <c r="E5" i="19"/>
  <c r="F5" i="19" s="1"/>
  <c r="G4" i="19"/>
  <c r="E4" i="19"/>
  <c r="F4" i="19" s="1"/>
  <c r="G3" i="19"/>
  <c r="E3" i="19"/>
  <c r="F3" i="19" s="1"/>
  <c r="K8" i="23" l="1"/>
  <c r="E8" i="20"/>
  <c r="E2" i="20" s="1"/>
  <c r="F2" i="20" s="1"/>
  <c r="K5" i="20"/>
  <c r="I5" i="20"/>
  <c r="K7" i="20"/>
  <c r="I7" i="20"/>
  <c r="K4" i="20"/>
  <c r="I4" i="20"/>
  <c r="K6" i="20"/>
  <c r="I6" i="20"/>
  <c r="F3" i="20"/>
  <c r="H3" i="19"/>
  <c r="H6" i="19"/>
  <c r="H5" i="19"/>
  <c r="E8" i="19"/>
  <c r="F8" i="19" s="1"/>
  <c r="H7" i="19"/>
  <c r="F8" i="20" l="1"/>
  <c r="K2" i="20"/>
  <c r="I2" i="20"/>
  <c r="F9" i="20"/>
  <c r="K8" i="20"/>
  <c r="I3" i="20"/>
  <c r="K3" i="20"/>
  <c r="H4" i="19"/>
  <c r="E2" i="19"/>
  <c r="F2" i="19" s="1"/>
  <c r="H8" i="19" l="1"/>
  <c r="J8" i="19" s="1"/>
  <c r="H2" i="19"/>
  <c r="L8" i="20"/>
  <c r="M8" i="20"/>
  <c r="I8" i="20"/>
  <c r="J8" i="20" s="1"/>
  <c r="F9" i="19"/>
  <c r="D8" i="18"/>
  <c r="E5" i="18"/>
  <c r="E3" i="18"/>
  <c r="N8" i="20" l="1"/>
  <c r="I8" i="19"/>
  <c r="K8" i="19" s="1"/>
  <c r="C8" i="18"/>
  <c r="F3" i="18" l="1"/>
  <c r="F7" i="18" l="1"/>
  <c r="E7" i="18"/>
  <c r="F6" i="18"/>
  <c r="E6" i="18"/>
  <c r="F5" i="18"/>
  <c r="F4" i="18"/>
  <c r="E4" i="18"/>
  <c r="G7" i="18" l="1"/>
  <c r="H7" i="18" s="1"/>
  <c r="E8" i="18"/>
  <c r="G5" i="18"/>
  <c r="H5" i="18" s="1"/>
  <c r="G4" i="18"/>
  <c r="H4" i="18" s="1"/>
  <c r="G6" i="18"/>
  <c r="H6" i="18" s="1"/>
  <c r="G3" i="18"/>
  <c r="E2" i="18" l="1"/>
  <c r="G8" i="18"/>
  <c r="H3" i="18"/>
  <c r="H8" i="18" l="1"/>
</calcChain>
</file>

<file path=xl/sharedStrings.xml><?xml version="1.0" encoding="utf-8"?>
<sst xmlns="http://schemas.openxmlformats.org/spreadsheetml/2006/main" count="160" uniqueCount="35">
  <si>
    <t>&lt; 55</t>
  </si>
  <si>
    <t>55-59</t>
  </si>
  <si>
    <t>60-64</t>
  </si>
  <si>
    <t>65-69</t>
  </si>
  <si>
    <t>70-74</t>
  </si>
  <si>
    <t>≥ 75</t>
  </si>
  <si>
    <t>Total exposed</t>
  </si>
  <si>
    <t>Total Norway**</t>
  </si>
  <si>
    <t>&lt; 50</t>
  </si>
  <si>
    <t>50-54</t>
  </si>
  <si>
    <t>≥ 70</t>
  </si>
  <si>
    <t>Total Norway</t>
  </si>
  <si>
    <t>population_exposed_total</t>
  </si>
  <si>
    <t>population_exposed_rural</t>
  </si>
  <si>
    <t>population_exposed_urban</t>
  </si>
  <si>
    <t>exposure_category</t>
  </si>
  <si>
    <t>exposure_mean</t>
  </si>
  <si>
    <t>erf_percent</t>
  </si>
  <si>
    <t>number</t>
  </si>
  <si>
    <t>yld</t>
  </si>
  <si>
    <t>prop_exposed</t>
  </si>
  <si>
    <t>erf</t>
  </si>
  <si>
    <t>paf</t>
  </si>
  <si>
    <t>yll</t>
  </si>
  <si>
    <t>daly</t>
  </si>
  <si>
    <t>gbd_daly</t>
  </si>
  <si>
    <t>gbd_yld</t>
  </si>
  <si>
    <t>gbd_yll</t>
  </si>
  <si>
    <t>excess_risk</t>
  </si>
  <si>
    <t>prop_exposed_x_excess_risk</t>
  </si>
  <si>
    <t>total</t>
  </si>
  <si>
    <t>Exp increase</t>
  </si>
  <si>
    <t>Prop pop exp increase</t>
  </si>
  <si>
    <t>number HA</t>
  </si>
  <si>
    <t>prop_pop_exp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</si>
</sst>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0" tint="-0.499984740745262"/>
      <name val="Calibri"/>
      <family val="2"/>
    </font>
    <font>
      <b/>
      <sz val="12"/>
      <color rgb="FF000000"/>
      <name val="Calibri"/>
      <family val="2"/>
    </font>
    <font>
      <b/>
      <sz val="12"/>
      <color rgb="FF808080"/>
      <name val="Calibri"/>
      <family val="2"/>
    </font>
    <font>
      <sz val="12"/>
      <color rgb="FF808080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rgb="FFBFBFBF"/>
      <name val="Calibri"/>
      <family val="2"/>
    </font>
    <font>
      <sz val="11"/>
      <color rgb="FF808080"/>
      <name val="Calibri"/>
      <family val="2"/>
    </font>
    <font>
      <sz val="12"/>
      <color rgb="FFFF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C6E0B4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165" fontId="0" fillId="0" borderId="0" xfId="0" applyNumberFormat="1"/>
    <xf numFmtId="0" fontId="5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164" fontId="0" fillId="0" borderId="0" xfId="0" applyNumberFormat="1"/>
    <xf numFmtId="0" fontId="1" fillId="0" borderId="0" xfId="0" applyFont="1" applyAlignment="1">
      <alignment vertical="top"/>
    </xf>
    <xf numFmtId="4" fontId="0" fillId="0" borderId="0" xfId="0" applyNumberFormat="1"/>
    <xf numFmtId="3" fontId="0" fillId="0" borderId="0" xfId="0" applyNumberFormat="1"/>
    <xf numFmtId="2" fontId="1" fillId="0" borderId="0" xfId="0" applyNumberFormat="1" applyFont="1"/>
    <xf numFmtId="165" fontId="5" fillId="0" borderId="0" xfId="0" applyNumberFormat="1" applyFont="1"/>
    <xf numFmtId="0" fontId="4" fillId="0" borderId="0" xfId="0" applyFont="1"/>
    <xf numFmtId="3" fontId="5" fillId="0" borderId="0" xfId="0" applyNumberFormat="1" applyFont="1"/>
    <xf numFmtId="3" fontId="2" fillId="0" borderId="0" xfId="0" applyNumberFormat="1" applyFont="1"/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/>
    </xf>
    <xf numFmtId="0" fontId="8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6" fillId="0" borderId="0" xfId="0" applyFont="1"/>
    <xf numFmtId="3" fontId="6" fillId="0" borderId="0" xfId="0" applyNumberFormat="1" applyFont="1"/>
    <xf numFmtId="0" fontId="10" fillId="0" borderId="0" xfId="0" applyFont="1"/>
    <xf numFmtId="0" fontId="10" fillId="0" borderId="2" xfId="0" applyFont="1" applyBorder="1"/>
    <xf numFmtId="0" fontId="10" fillId="0" borderId="4" xfId="0" applyFont="1" applyBorder="1"/>
    <xf numFmtId="3" fontId="9" fillId="0" borderId="4" xfId="0" applyNumberFormat="1" applyFont="1" applyBorder="1"/>
    <xf numFmtId="0" fontId="7" fillId="2" borderId="3" xfId="0" applyFont="1" applyFill="1" applyBorder="1" applyAlignment="1">
      <alignment horizontal="left" vertical="top"/>
    </xf>
    <xf numFmtId="3" fontId="6" fillId="0" borderId="2" xfId="0" applyNumberFormat="1" applyFont="1" applyBorder="1"/>
    <xf numFmtId="3" fontId="7" fillId="0" borderId="2" xfId="0" applyNumberFormat="1" applyFont="1" applyBorder="1"/>
    <xf numFmtId="3" fontId="6" fillId="0" borderId="4" xfId="0" applyNumberFormat="1" applyFont="1" applyBorder="1"/>
    <xf numFmtId="3" fontId="11" fillId="0" borderId="2" xfId="0" applyNumberFormat="1" applyFont="1" applyBorder="1"/>
    <xf numFmtId="3" fontId="11" fillId="0" borderId="0" xfId="0" applyNumberFormat="1" applyFont="1" applyAlignment="1">
      <alignment vertical="top"/>
    </xf>
    <xf numFmtId="3" fontId="11" fillId="0" borderId="0" xfId="0" applyNumberFormat="1" applyFont="1"/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164" fontId="6" fillId="0" borderId="0" xfId="0" applyNumberFormat="1" applyFont="1"/>
    <xf numFmtId="164" fontId="13" fillId="0" borderId="0" xfId="0" applyNumberFormat="1" applyFont="1" applyAlignment="1">
      <alignment vertical="top"/>
    </xf>
    <xf numFmtId="164" fontId="7" fillId="0" borderId="2" xfId="0" applyNumberFormat="1" applyFont="1" applyBorder="1"/>
    <xf numFmtId="0" fontId="6" fillId="0" borderId="2" xfId="0" applyFont="1" applyBorder="1"/>
    <xf numFmtId="164" fontId="6" fillId="0" borderId="2" xfId="0" applyNumberFormat="1" applyFont="1" applyBorder="1"/>
    <xf numFmtId="2" fontId="7" fillId="0" borderId="2" xfId="0" applyNumberFormat="1" applyFont="1" applyBorder="1"/>
    <xf numFmtId="164" fontId="6" fillId="0" borderId="4" xfId="0" applyNumberFormat="1" applyFont="1" applyBorder="1"/>
    <xf numFmtId="0" fontId="6" fillId="0" borderId="4" xfId="0" applyFont="1" applyBorder="1"/>
    <xf numFmtId="4" fontId="12" fillId="0" borderId="0" xfId="0" applyNumberFormat="1" applyFont="1"/>
    <xf numFmtId="0" fontId="14" fillId="0" borderId="0" xfId="0" applyFont="1" applyAlignment="1">
      <alignment horizontal="right"/>
    </xf>
    <xf numFmtId="2" fontId="15" fillId="0" borderId="0" xfId="0" applyNumberFormat="1" applyFont="1" applyAlignment="1">
      <alignment vertical="top"/>
    </xf>
    <xf numFmtId="0" fontId="15" fillId="0" borderId="0" xfId="0" applyFont="1" applyAlignment="1">
      <alignment vertical="top"/>
    </xf>
    <xf numFmtId="0" fontId="16" fillId="2" borderId="1" xfId="0" applyFont="1" applyFill="1" applyBorder="1" applyAlignment="1">
      <alignment horizontal="left" vertical="top" wrapText="1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wrapText="1"/>
    </xf>
    <xf numFmtId="3" fontId="14" fillId="0" borderId="0" xfId="0" applyNumberFormat="1" applyFont="1"/>
    <xf numFmtId="3" fontId="14" fillId="0" borderId="2" xfId="0" applyNumberFormat="1" applyFont="1" applyBorder="1"/>
    <xf numFmtId="3" fontId="14" fillId="0" borderId="4" xfId="0" applyNumberFormat="1" applyFont="1" applyBorder="1"/>
    <xf numFmtId="2" fontId="11" fillId="0" borderId="0" xfId="0" applyNumberFormat="1" applyFont="1"/>
    <xf numFmtId="2" fontId="11" fillId="0" borderId="4" xfId="0" applyNumberFormat="1" applyFont="1" applyBorder="1"/>
    <xf numFmtId="3" fontId="11" fillId="0" borderId="4" xfId="0" applyNumberFormat="1" applyFont="1" applyBorder="1"/>
    <xf numFmtId="3" fontId="17" fillId="0" borderId="4" xfId="0" applyNumberFormat="1" applyFont="1" applyBorder="1"/>
    <xf numFmtId="0" fontId="14" fillId="0" borderId="0" xfId="0" applyFont="1" applyAlignment="1">
      <alignment vertical="top" wrapText="1"/>
    </xf>
    <xf numFmtId="0" fontId="1" fillId="0" borderId="0" xfId="0" applyFont="1"/>
    <xf numFmtId="0" fontId="19" fillId="0" borderId="4" xfId="0" applyFont="1" applyBorder="1"/>
    <xf numFmtId="0" fontId="14" fillId="0" borderId="0" xfId="0" applyFont="1" applyAlignment="1">
      <alignment wrapText="1"/>
    </xf>
    <xf numFmtId="0" fontId="14" fillId="0" borderId="0" xfId="0" applyFont="1"/>
    <xf numFmtId="0" fontId="19" fillId="0" borderId="0" xfId="0" applyFont="1"/>
    <xf numFmtId="0" fontId="10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/>
    <xf numFmtId="3" fontId="1" fillId="0" borderId="0" xfId="0" applyNumberFormat="1" applyFont="1"/>
    <xf numFmtId="165" fontId="11" fillId="0" borderId="0" xfId="0" applyNumberFormat="1" applyFont="1"/>
    <xf numFmtId="0" fontId="7" fillId="3" borderId="1" xfId="0" applyFont="1" applyFill="1" applyBorder="1" applyAlignment="1">
      <alignment horizontal="left" vertical="top" wrapText="1"/>
    </xf>
    <xf numFmtId="164" fontId="0" fillId="0" borderId="5" xfId="0" applyNumberFormat="1" applyBorder="1"/>
    <xf numFmtId="0" fontId="0" fillId="0" borderId="5" xfId="0" applyBorder="1"/>
    <xf numFmtId="0" fontId="18" fillId="0" borderId="0" xfId="0" quotePrefix="1" applyFont="1"/>
    <xf numFmtId="164" fontId="18" fillId="0" borderId="0" xfId="0" applyNumberFormat="1" applyFont="1"/>
    <xf numFmtId="0" fontId="18" fillId="0" borderId="0" xfId="0" applyFont="1"/>
    <xf numFmtId="164" fontId="14" fillId="0" borderId="0" xfId="0" applyNumberFormat="1" applyFont="1" applyAlignment="1">
      <alignment vertical="top"/>
    </xf>
    <xf numFmtId="164" fontId="16" fillId="0" borderId="2" xfId="0" applyNumberFormat="1" applyFont="1" applyBorder="1"/>
    <xf numFmtId="0" fontId="20" fillId="4" borderId="1" xfId="0" applyFont="1" applyFill="1" applyBorder="1" applyAlignment="1">
      <alignment horizontal="left" vertical="top" wrapText="1"/>
    </xf>
    <xf numFmtId="0" fontId="21" fillId="4" borderId="1" xfId="0" applyFont="1" applyFill="1" applyBorder="1" applyAlignment="1">
      <alignment horizontal="left" vertical="top" wrapText="1"/>
    </xf>
    <xf numFmtId="0" fontId="20" fillId="4" borderId="1" xfId="0" applyFont="1" applyFill="1" applyBorder="1" applyAlignment="1">
      <alignment horizontal="left" vertical="top"/>
    </xf>
    <xf numFmtId="0" fontId="20" fillId="5" borderId="1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1" fillId="0" borderId="0" xfId="0" applyFont="1" applyAlignment="1">
      <alignment vertical="top" wrapText="1"/>
    </xf>
    <xf numFmtId="0" fontId="21" fillId="0" borderId="0" xfId="0" applyFont="1" applyAlignment="1">
      <alignment wrapText="1"/>
    </xf>
    <xf numFmtId="3" fontId="23" fillId="0" borderId="0" xfId="0" applyNumberFormat="1" applyFont="1" applyAlignment="1">
      <alignment vertical="top"/>
    </xf>
    <xf numFmtId="164" fontId="24" fillId="0" borderId="0" xfId="0" applyNumberFormat="1" applyFont="1"/>
    <xf numFmtId="165" fontId="23" fillId="0" borderId="0" xfId="0" applyNumberFormat="1" applyFont="1"/>
    <xf numFmtId="164" fontId="25" fillId="0" borderId="0" xfId="0" applyNumberFormat="1" applyFont="1" applyAlignment="1">
      <alignment vertical="top"/>
    </xf>
    <xf numFmtId="0" fontId="24" fillId="0" borderId="0" xfId="0" applyFont="1"/>
    <xf numFmtId="3" fontId="23" fillId="0" borderId="0" xfId="0" applyNumberFormat="1" applyFont="1"/>
    <xf numFmtId="0" fontId="22" fillId="0" borderId="0" xfId="0" applyFont="1"/>
    <xf numFmtId="3" fontId="22" fillId="0" borderId="0" xfId="0" applyNumberFormat="1" applyFont="1"/>
    <xf numFmtId="4" fontId="26" fillId="0" borderId="0" xfId="0" applyNumberFormat="1" applyFont="1"/>
    <xf numFmtId="3" fontId="24" fillId="0" borderId="0" xfId="0" applyNumberFormat="1" applyFont="1"/>
    <xf numFmtId="0" fontId="24" fillId="0" borderId="2" xfId="0" applyFont="1" applyBorder="1"/>
    <xf numFmtId="3" fontId="22" fillId="0" borderId="2" xfId="0" applyNumberFormat="1" applyFont="1" applyBorder="1"/>
    <xf numFmtId="3" fontId="23" fillId="0" borderId="2" xfId="0" applyNumberFormat="1" applyFont="1" applyBorder="1"/>
    <xf numFmtId="164" fontId="20" fillId="0" borderId="2" xfId="0" applyNumberFormat="1" applyFont="1" applyBorder="1"/>
    <xf numFmtId="2" fontId="20" fillId="0" borderId="2" xfId="0" applyNumberFormat="1" applyFont="1" applyBorder="1"/>
    <xf numFmtId="0" fontId="24" fillId="0" borderId="4" xfId="0" applyFont="1" applyBorder="1"/>
    <xf numFmtId="3" fontId="27" fillId="0" borderId="4" xfId="0" applyNumberFormat="1" applyFont="1" applyBorder="1"/>
    <xf numFmtId="3" fontId="22" fillId="0" borderId="4" xfId="0" applyNumberFormat="1" applyFont="1" applyBorder="1"/>
    <xf numFmtId="164" fontId="24" fillId="0" borderId="4" xfId="0" applyNumberFormat="1" applyFont="1" applyBorder="1"/>
    <xf numFmtId="0" fontId="28" fillId="0" borderId="0" xfId="0" applyFont="1"/>
    <xf numFmtId="3" fontId="29" fillId="0" borderId="0" xfId="0" applyNumberFormat="1" applyFont="1"/>
    <xf numFmtId="164" fontId="4" fillId="0" borderId="0" xfId="0" applyNumberFormat="1" applyFont="1"/>
    <xf numFmtId="164" fontId="4" fillId="0" borderId="5" xfId="0" applyNumberFormat="1" applyFont="1" applyBorder="1"/>
    <xf numFmtId="0" fontId="4" fillId="0" borderId="5" xfId="0" applyFont="1" applyBorder="1"/>
    <xf numFmtId="0" fontId="30" fillId="0" borderId="0" xfId="0" quotePrefix="1" applyFont="1"/>
    <xf numFmtId="164" fontId="30" fillId="0" borderId="0" xfId="0" applyNumberFormat="1" applyFont="1"/>
    <xf numFmtId="0" fontId="3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zoomScale="85" zoomScaleNormal="85" workbookViewId="0">
      <selection sqref="A1:XFD1048576"/>
    </sheetView>
  </sheetViews>
  <sheetFormatPr defaultColWidth="11.453125" defaultRowHeight="14.5" x14ac:dyDescent="0.35"/>
  <cols>
    <col min="1" max="1" width="12" customWidth="1"/>
    <col min="2" max="2" width="15.81640625" customWidth="1"/>
    <col min="3" max="3" width="18.453125" customWidth="1"/>
    <col min="4" max="4" width="19.54296875" customWidth="1"/>
    <col min="5" max="5" width="15.453125" customWidth="1"/>
    <col min="6" max="6" width="15.7265625" customWidth="1"/>
    <col min="7" max="7" width="15.453125" customWidth="1"/>
    <col min="8" max="8" width="13.54296875" customWidth="1"/>
    <col min="11" max="11" width="13.1796875" customWidth="1"/>
    <col min="12" max="12" width="23.54296875" customWidth="1"/>
    <col min="13" max="13" width="21.54296875" customWidth="1"/>
    <col min="14" max="14" width="21.453125" customWidth="1"/>
    <col min="15" max="15" width="12.453125" customWidth="1"/>
    <col min="17" max="17" width="10.453125" customWidth="1"/>
  </cols>
  <sheetData>
    <row r="1" spans="1:17" ht="31" x14ac:dyDescent="0.35">
      <c r="A1" s="14" t="s">
        <v>15</v>
      </c>
      <c r="B1" s="45" t="s">
        <v>16</v>
      </c>
      <c r="C1" s="14" t="s">
        <v>14</v>
      </c>
      <c r="D1" s="14" t="s">
        <v>13</v>
      </c>
      <c r="E1" s="14" t="s">
        <v>12</v>
      </c>
      <c r="F1" s="14" t="s">
        <v>17</v>
      </c>
      <c r="G1" s="14" t="s">
        <v>18</v>
      </c>
      <c r="H1" s="24" t="s">
        <v>19</v>
      </c>
      <c r="I1" s="3"/>
      <c r="J1" s="3"/>
      <c r="K1" s="3"/>
      <c r="L1" s="3"/>
      <c r="M1" s="3"/>
      <c r="N1" s="3"/>
      <c r="O1" s="4"/>
      <c r="P1" s="4"/>
      <c r="Q1" s="4"/>
    </row>
    <row r="2" spans="1:17" ht="15.5" x14ac:dyDescent="0.35">
      <c r="A2" s="61" t="s">
        <v>0</v>
      </c>
      <c r="B2" s="58"/>
      <c r="C2" s="46"/>
      <c r="D2" s="47"/>
      <c r="E2" s="29">
        <f>E9-E8</f>
        <v>4268785</v>
      </c>
      <c r="F2" s="44"/>
      <c r="G2" s="17"/>
      <c r="H2" s="17"/>
      <c r="J2" s="6"/>
      <c r="K2" s="6"/>
      <c r="O2" s="7"/>
      <c r="P2" s="7"/>
      <c r="Q2" s="7"/>
    </row>
    <row r="3" spans="1:17" ht="15.5" x14ac:dyDescent="0.35">
      <c r="A3" s="18" t="s">
        <v>1</v>
      </c>
      <c r="B3" s="59">
        <v>57.5</v>
      </c>
      <c r="C3" s="48">
        <v>327900</v>
      </c>
      <c r="D3" s="48">
        <v>59600</v>
      </c>
      <c r="E3" s="30">
        <f>C3+D3</f>
        <v>387500</v>
      </c>
      <c r="F3" s="51">
        <f>78.927-3.1162*B3+0.0342*B3^2</f>
        <v>12.819250000000011</v>
      </c>
      <c r="G3" s="19">
        <f>E3*F3/100</f>
        <v>49674.593750000044</v>
      </c>
      <c r="H3" s="19">
        <f>G3*0.02</f>
        <v>993.49187500000085</v>
      </c>
      <c r="I3" s="1"/>
    </row>
    <row r="4" spans="1:17" ht="15.5" x14ac:dyDescent="0.35">
      <c r="A4" s="18" t="s">
        <v>2</v>
      </c>
      <c r="B4" s="59">
        <v>62.5</v>
      </c>
      <c r="C4" s="48">
        <v>236500</v>
      </c>
      <c r="D4" s="48">
        <v>49500</v>
      </c>
      <c r="E4" s="30">
        <f t="shared" ref="E4:E7" si="0">C4+D4</f>
        <v>286000</v>
      </c>
      <c r="F4" s="51">
        <f>78.927-3.1162*B4+0.0342*B4^2</f>
        <v>17.75824999999999</v>
      </c>
      <c r="G4" s="19">
        <f>E4*F4/100</f>
        <v>50788.594999999972</v>
      </c>
      <c r="H4" s="19">
        <f t="shared" ref="H4:H6" si="1">G4*0.02</f>
        <v>1015.7718999999995</v>
      </c>
      <c r="I4" s="1"/>
    </row>
    <row r="5" spans="1:17" ht="15.5" x14ac:dyDescent="0.35">
      <c r="A5" s="18" t="s">
        <v>3</v>
      </c>
      <c r="B5" s="59">
        <v>67.5</v>
      </c>
      <c r="C5" s="48">
        <v>167300</v>
      </c>
      <c r="D5" s="48">
        <v>24500</v>
      </c>
      <c r="E5" s="30">
        <f t="shared" si="0"/>
        <v>191800</v>
      </c>
      <c r="F5" s="51">
        <f>78.927-3.1162*B5+0.0342*B5^2</f>
        <v>24.407250000000033</v>
      </c>
      <c r="G5" s="19">
        <f>E5*F5/100</f>
        <v>46813.105500000063</v>
      </c>
      <c r="H5" s="19">
        <f t="shared" si="1"/>
        <v>936.26211000000126</v>
      </c>
      <c r="I5" s="1"/>
    </row>
    <row r="6" spans="1:17" ht="15.5" x14ac:dyDescent="0.35">
      <c r="A6" s="18" t="s">
        <v>4</v>
      </c>
      <c r="B6" s="59">
        <v>72.5</v>
      </c>
      <c r="C6" s="48">
        <v>69400</v>
      </c>
      <c r="D6" s="48">
        <v>2800</v>
      </c>
      <c r="E6" s="30">
        <f t="shared" si="0"/>
        <v>72200</v>
      </c>
      <c r="F6" s="51">
        <f>78.927-3.1162*B6+0.0342*B6^2</f>
        <v>32.766250000000014</v>
      </c>
      <c r="G6" s="19">
        <f>E6*F6/100</f>
        <v>23657.232500000009</v>
      </c>
      <c r="H6" s="19">
        <f t="shared" si="1"/>
        <v>473.14465000000018</v>
      </c>
      <c r="I6" s="1"/>
      <c r="M6" s="8"/>
    </row>
    <row r="7" spans="1:17" ht="15.5" x14ac:dyDescent="0.35">
      <c r="A7" s="20" t="s">
        <v>5</v>
      </c>
      <c r="B7" s="60">
        <v>77.5</v>
      </c>
      <c r="C7" s="48">
        <v>7700</v>
      </c>
      <c r="D7" s="48">
        <v>0</v>
      </c>
      <c r="E7" s="30">
        <f t="shared" si="0"/>
        <v>7700</v>
      </c>
      <c r="F7" s="51">
        <f>78.927-3.1162*B7+0.0342*B7^2</f>
        <v>42.835250000000002</v>
      </c>
      <c r="G7" s="19">
        <f>E7*F7/100</f>
        <v>3298.3142499999999</v>
      </c>
      <c r="H7" s="19">
        <f>G7*0.02</f>
        <v>65.966284999999999</v>
      </c>
      <c r="I7" s="1"/>
    </row>
    <row r="8" spans="1:17" ht="15.5" x14ac:dyDescent="0.35">
      <c r="A8" s="21" t="s">
        <v>6</v>
      </c>
      <c r="B8" s="21"/>
      <c r="C8" s="49">
        <f>SUM(C3:C7)</f>
        <v>808800</v>
      </c>
      <c r="D8" s="49">
        <f>SUM(D3:D7)</f>
        <v>136400</v>
      </c>
      <c r="E8" s="28">
        <f>SUM(E3:E7)</f>
        <v>945200</v>
      </c>
      <c r="F8" s="25"/>
      <c r="G8" s="25">
        <f>SUM(G3:G7)</f>
        <v>174231.8410000001</v>
      </c>
      <c r="H8" s="26">
        <f>G8*0.02</f>
        <v>3484.636820000002</v>
      </c>
      <c r="J8" s="5"/>
      <c r="K8" s="5"/>
      <c r="L8" s="9"/>
      <c r="M8" s="9"/>
      <c r="N8" s="9"/>
    </row>
    <row r="9" spans="1:17" ht="15.5" x14ac:dyDescent="0.35">
      <c r="A9" s="57" t="s">
        <v>11</v>
      </c>
      <c r="B9" s="22"/>
      <c r="C9" s="50"/>
      <c r="D9" s="50"/>
      <c r="E9" s="50">
        <v>5213985</v>
      </c>
      <c r="F9" s="27"/>
      <c r="G9" s="27"/>
      <c r="H9" s="27"/>
      <c r="I9" s="10"/>
    </row>
    <row r="10" spans="1:17" ht="15.5" x14ac:dyDescent="0.35">
      <c r="A10" s="20"/>
      <c r="B10" s="20"/>
      <c r="C10" s="19"/>
      <c r="D10" s="19"/>
      <c r="E10" s="19"/>
      <c r="F10" s="19"/>
      <c r="G10" s="19"/>
      <c r="H10" s="19"/>
    </row>
    <row r="11" spans="1:17" ht="15.5" x14ac:dyDescent="0.35">
      <c r="A11" s="20"/>
      <c r="B11" s="20"/>
      <c r="C11" s="19"/>
      <c r="D11" s="19"/>
      <c r="E11" s="19"/>
      <c r="F11" s="19"/>
      <c r="G11" s="19"/>
      <c r="H11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A2A8-1AEA-4C93-844A-28A4CEB1CB59}">
  <dimension ref="A1:Q11"/>
  <sheetViews>
    <sheetView workbookViewId="0">
      <selection activeCell="C16" sqref="C16"/>
    </sheetView>
  </sheetViews>
  <sheetFormatPr defaultColWidth="11.453125" defaultRowHeight="14.5" x14ac:dyDescent="0.35"/>
  <cols>
    <col min="1" max="1" width="10.54296875" customWidth="1"/>
    <col min="2" max="2" width="10.26953125" style="113" customWidth="1"/>
    <col min="3" max="3" width="18.453125" customWidth="1"/>
    <col min="4" max="4" width="19.54296875" customWidth="1"/>
    <col min="5" max="5" width="17.6328125" customWidth="1"/>
    <col min="6" max="6" width="14.08984375" customWidth="1"/>
    <col min="7" max="7" width="7.90625" customWidth="1"/>
    <col min="8" max="8" width="13.54296875" hidden="1" customWidth="1"/>
    <col min="11" max="11" width="13.1796875" customWidth="1"/>
    <col min="12" max="12" width="23.54296875" customWidth="1"/>
    <col min="13" max="13" width="21.54296875" customWidth="1"/>
    <col min="14" max="14" width="21.453125" customWidth="1"/>
    <col min="15" max="15" width="12.453125" customWidth="1"/>
    <col min="17" max="17" width="10.453125" customWidth="1"/>
  </cols>
  <sheetData>
    <row r="1" spans="1:17" ht="36.5" customHeight="1" x14ac:dyDescent="0.35">
      <c r="A1" s="14" t="s">
        <v>15</v>
      </c>
      <c r="B1" s="14" t="s">
        <v>16</v>
      </c>
      <c r="C1" s="14" t="s">
        <v>14</v>
      </c>
      <c r="D1" s="14" t="s">
        <v>13</v>
      </c>
      <c r="E1" s="14" t="s">
        <v>12</v>
      </c>
      <c r="F1" s="14" t="s">
        <v>17</v>
      </c>
      <c r="G1" s="14" t="s">
        <v>33</v>
      </c>
      <c r="H1" s="24" t="s">
        <v>19</v>
      </c>
      <c r="I1" s="14" t="s">
        <v>34</v>
      </c>
      <c r="J1" s="3"/>
      <c r="K1" s="3"/>
      <c r="L1" s="3"/>
      <c r="M1" s="3"/>
      <c r="N1" s="3"/>
      <c r="O1" s="4"/>
      <c r="P1" s="4"/>
      <c r="Q1" s="4"/>
    </row>
    <row r="2" spans="1:17" ht="15.5" x14ac:dyDescent="0.35">
      <c r="A2" s="61" t="s">
        <v>0</v>
      </c>
      <c r="B2" s="112"/>
      <c r="C2" s="46"/>
      <c r="D2" s="47"/>
      <c r="E2" s="29">
        <f>E9-E8</f>
        <v>4268785</v>
      </c>
      <c r="F2" s="44"/>
      <c r="G2" s="17"/>
      <c r="H2" s="17"/>
      <c r="J2" s="6"/>
      <c r="K2" s="6"/>
      <c r="O2" s="7"/>
      <c r="P2" s="7"/>
      <c r="Q2" s="7"/>
    </row>
    <row r="3" spans="1:17" ht="15.5" x14ac:dyDescent="0.35">
      <c r="A3" s="18" t="s">
        <v>1</v>
      </c>
      <c r="B3" s="18">
        <v>57.5</v>
      </c>
      <c r="C3" s="48">
        <v>327900</v>
      </c>
      <c r="D3" s="48">
        <v>59600</v>
      </c>
      <c r="E3" s="30">
        <f>C3+D3</f>
        <v>387500</v>
      </c>
      <c r="F3" s="51">
        <f>78.927-3.1162*B3+0.0342*B3^2</f>
        <v>12.819250000000011</v>
      </c>
      <c r="G3" s="19">
        <f>E3*F3/100</f>
        <v>49674.593750000044</v>
      </c>
      <c r="H3" s="19">
        <f>G3*0.02</f>
        <v>993.49187500000085</v>
      </c>
      <c r="I3" s="1">
        <v>0.409966145</v>
      </c>
    </row>
    <row r="4" spans="1:17" ht="15.5" x14ac:dyDescent="0.35">
      <c r="A4" s="18" t="s">
        <v>2</v>
      </c>
      <c r="B4" s="18">
        <v>62.5</v>
      </c>
      <c r="C4" s="48">
        <v>236500</v>
      </c>
      <c r="D4" s="48">
        <v>49500</v>
      </c>
      <c r="E4" s="30">
        <f t="shared" ref="E4:E7" si="0">C4+D4</f>
        <v>286000</v>
      </c>
      <c r="F4" s="51">
        <f>78.927-3.1162*B4+0.0342*B4^2</f>
        <v>17.75824999999999</v>
      </c>
      <c r="G4" s="19">
        <f>E4*F4/100</f>
        <v>50788.594999999972</v>
      </c>
      <c r="H4" s="19">
        <f t="shared" ref="H4:H6" si="1">G4*0.02</f>
        <v>1015.7718999999995</v>
      </c>
      <c r="I4" s="1">
        <v>0.30258146400000002</v>
      </c>
    </row>
    <row r="5" spans="1:17" ht="15.5" x14ac:dyDescent="0.35">
      <c r="A5" s="18" t="s">
        <v>3</v>
      </c>
      <c r="B5" s="18">
        <v>67.5</v>
      </c>
      <c r="C5" s="48">
        <v>167300</v>
      </c>
      <c r="D5" s="48">
        <v>24500</v>
      </c>
      <c r="E5" s="30">
        <f t="shared" si="0"/>
        <v>191800</v>
      </c>
      <c r="F5" s="51">
        <f>78.927-3.1162*B5+0.0342*B5^2</f>
        <v>24.407250000000033</v>
      </c>
      <c r="G5" s="19">
        <f>E5*F5/100</f>
        <v>46813.105500000063</v>
      </c>
      <c r="H5" s="19">
        <f t="shared" si="1"/>
        <v>936.26211000000126</v>
      </c>
      <c r="I5" s="1">
        <v>0.20292001700000001</v>
      </c>
    </row>
    <row r="6" spans="1:17" ht="15.5" x14ac:dyDescent="0.35">
      <c r="A6" s="18" t="s">
        <v>4</v>
      </c>
      <c r="B6" s="18">
        <v>72.5</v>
      </c>
      <c r="C6" s="48">
        <v>69400</v>
      </c>
      <c r="D6" s="48">
        <v>2800</v>
      </c>
      <c r="E6" s="30">
        <f t="shared" si="0"/>
        <v>72200</v>
      </c>
      <c r="F6" s="51">
        <f>78.927-3.1162*B6+0.0342*B6^2</f>
        <v>32.766250000000014</v>
      </c>
      <c r="G6" s="19">
        <f>E6*F6/100</f>
        <v>23657.232500000009</v>
      </c>
      <c r="H6" s="19">
        <f t="shared" si="1"/>
        <v>473.14465000000018</v>
      </c>
      <c r="I6" s="1">
        <v>7.6385949999999994E-2</v>
      </c>
      <c r="M6" s="8"/>
    </row>
    <row r="7" spans="1:17" ht="15.5" x14ac:dyDescent="0.35">
      <c r="A7" s="20" t="s">
        <v>5</v>
      </c>
      <c r="B7" s="20">
        <v>77.5</v>
      </c>
      <c r="C7" s="48">
        <v>7700</v>
      </c>
      <c r="D7" s="48">
        <v>0</v>
      </c>
      <c r="E7" s="30">
        <f t="shared" si="0"/>
        <v>7700</v>
      </c>
      <c r="F7" s="51">
        <f>78.927-3.1162*B7+0.0342*B7^2</f>
        <v>42.835250000000002</v>
      </c>
      <c r="G7" s="19">
        <f>E7*F7/100</f>
        <v>3298.3142499999999</v>
      </c>
      <c r="H7" s="19">
        <f>G7*0.02</f>
        <v>65.966284999999999</v>
      </c>
      <c r="I7" s="1">
        <v>8.1464239999999993E-3</v>
      </c>
    </row>
    <row r="8" spans="1:17" ht="15.5" x14ac:dyDescent="0.35">
      <c r="A8" s="21" t="s">
        <v>6</v>
      </c>
      <c r="B8" s="21"/>
      <c r="C8" s="49">
        <f>SUM(C3:C7)</f>
        <v>808800</v>
      </c>
      <c r="D8" s="49">
        <f>SUM(D3:D7)</f>
        <v>136400</v>
      </c>
      <c r="E8" s="28">
        <f>SUM(E3:E7)</f>
        <v>945200</v>
      </c>
      <c r="F8" s="25"/>
      <c r="G8" s="25">
        <f>SUM(G3:G7)</f>
        <v>174231.8410000001</v>
      </c>
      <c r="H8" s="26">
        <f>G8*0.02</f>
        <v>3484.636820000002</v>
      </c>
      <c r="J8" s="5"/>
      <c r="K8" s="5"/>
      <c r="L8" s="9"/>
      <c r="M8" s="9"/>
      <c r="N8" s="9"/>
    </row>
    <row r="9" spans="1:17" ht="15.5" hidden="1" x14ac:dyDescent="0.35">
      <c r="A9" s="57" t="s">
        <v>11</v>
      </c>
      <c r="B9" s="22"/>
      <c r="C9" s="50"/>
      <c r="D9" s="50"/>
      <c r="E9" s="50">
        <v>5213985</v>
      </c>
      <c r="F9" s="27"/>
      <c r="G9" s="27"/>
      <c r="H9" s="27"/>
      <c r="I9" s="10"/>
    </row>
    <row r="10" spans="1:17" ht="15.5" x14ac:dyDescent="0.35">
      <c r="A10" s="20"/>
      <c r="B10" s="20"/>
      <c r="C10" s="19"/>
      <c r="D10" s="19"/>
      <c r="E10" s="19"/>
      <c r="F10" s="19"/>
      <c r="G10" s="19"/>
      <c r="H10" s="19"/>
    </row>
    <row r="11" spans="1:17" ht="15.5" x14ac:dyDescent="0.35">
      <c r="A11" s="20"/>
      <c r="B11" s="20"/>
      <c r="C11" s="19"/>
      <c r="D11" s="19"/>
      <c r="E11" s="19"/>
      <c r="F11" s="19"/>
      <c r="G11" s="19"/>
      <c r="H11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139F8-AB47-402D-A7E6-875CE74C3AF2}">
  <dimension ref="A1:I8"/>
  <sheetViews>
    <sheetView tabSelected="1" workbookViewId="0">
      <selection activeCell="C13" sqref="C13"/>
    </sheetView>
  </sheetViews>
  <sheetFormatPr defaultRowHeight="14.5" x14ac:dyDescent="0.35"/>
  <sheetData>
    <row r="1" spans="1:9" x14ac:dyDescent="0.35">
      <c r="A1" t="s">
        <v>15</v>
      </c>
      <c r="B1" t="s">
        <v>16</v>
      </c>
      <c r="C1" t="s">
        <v>14</v>
      </c>
      <c r="D1" t="s">
        <v>13</v>
      </c>
      <c r="E1" t="s">
        <v>12</v>
      </c>
      <c r="F1" t="s">
        <v>17</v>
      </c>
      <c r="G1" t="s">
        <v>33</v>
      </c>
      <c r="H1" t="s">
        <v>19</v>
      </c>
      <c r="I1" t="s">
        <v>34</v>
      </c>
    </row>
    <row r="2" spans="1:9" x14ac:dyDescent="0.35">
      <c r="A2" t="s">
        <v>0</v>
      </c>
      <c r="E2">
        <v>4268785</v>
      </c>
    </row>
    <row r="3" spans="1:9" x14ac:dyDescent="0.35">
      <c r="A3" t="s">
        <v>1</v>
      </c>
      <c r="B3">
        <v>57.5</v>
      </c>
      <c r="C3">
        <v>327900</v>
      </c>
      <c r="D3">
        <v>59600</v>
      </c>
      <c r="E3">
        <v>387500</v>
      </c>
      <c r="F3">
        <v>12.819250000000011</v>
      </c>
      <c r="G3">
        <v>49674.593750000044</v>
      </c>
      <c r="H3">
        <v>993.49187500000085</v>
      </c>
      <c r="I3">
        <v>0.409966145</v>
      </c>
    </row>
    <row r="4" spans="1:9" x14ac:dyDescent="0.35">
      <c r="A4" t="s">
        <v>2</v>
      </c>
      <c r="B4">
        <v>62.5</v>
      </c>
      <c r="C4">
        <v>236500</v>
      </c>
      <c r="D4">
        <v>49500</v>
      </c>
      <c r="E4">
        <v>286000</v>
      </c>
      <c r="F4">
        <v>17.75824999999999</v>
      </c>
      <c r="G4">
        <v>50788.594999999972</v>
      </c>
      <c r="H4">
        <v>1015.7718999999995</v>
      </c>
      <c r="I4">
        <v>0.30258146400000002</v>
      </c>
    </row>
    <row r="5" spans="1:9" x14ac:dyDescent="0.35">
      <c r="A5" t="s">
        <v>3</v>
      </c>
      <c r="B5">
        <v>67.5</v>
      </c>
      <c r="C5">
        <v>167300</v>
      </c>
      <c r="D5">
        <v>24500</v>
      </c>
      <c r="E5">
        <v>191800</v>
      </c>
      <c r="F5">
        <v>24.407250000000033</v>
      </c>
      <c r="G5">
        <v>46813.105500000063</v>
      </c>
      <c r="H5">
        <v>936.26211000000126</v>
      </c>
      <c r="I5">
        <v>0.20292001700000001</v>
      </c>
    </row>
    <row r="6" spans="1:9" x14ac:dyDescent="0.35">
      <c r="A6" t="s">
        <v>4</v>
      </c>
      <c r="B6">
        <v>72.5</v>
      </c>
      <c r="C6">
        <v>69400</v>
      </c>
      <c r="D6">
        <v>2800</v>
      </c>
      <c r="E6">
        <v>72200</v>
      </c>
      <c r="F6">
        <v>32.766250000000014</v>
      </c>
      <c r="G6">
        <v>23657.232500000009</v>
      </c>
      <c r="H6">
        <v>473.14465000000018</v>
      </c>
      <c r="I6">
        <v>7.6385949999999994E-2</v>
      </c>
    </row>
    <row r="7" spans="1:9" x14ac:dyDescent="0.35">
      <c r="A7" t="s">
        <v>5</v>
      </c>
      <c r="B7">
        <v>77.5</v>
      </c>
      <c r="C7">
        <v>7700</v>
      </c>
      <c r="D7">
        <v>0</v>
      </c>
      <c r="E7">
        <v>7700</v>
      </c>
      <c r="F7">
        <v>42.835250000000002</v>
      </c>
      <c r="G7">
        <v>3298.3142499999999</v>
      </c>
      <c r="H7">
        <v>65.966284999999999</v>
      </c>
      <c r="I7">
        <v>8.1464239999999993E-3</v>
      </c>
    </row>
    <row r="8" spans="1:9" x14ac:dyDescent="0.35">
      <c r="A8" t="s">
        <v>6</v>
      </c>
      <c r="C8">
        <v>808800</v>
      </c>
      <c r="D8">
        <v>136400</v>
      </c>
      <c r="E8">
        <v>945200</v>
      </c>
      <c r="G8">
        <v>174231.8410000001</v>
      </c>
      <c r="H8">
        <v>3484.636820000002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"/>
  <sheetViews>
    <sheetView zoomScale="85" zoomScaleNormal="85" workbookViewId="0">
      <selection activeCell="A10" sqref="A10:XFD16"/>
    </sheetView>
  </sheetViews>
  <sheetFormatPr defaultColWidth="11.453125" defaultRowHeight="14.5" x14ac:dyDescent="0.35"/>
  <cols>
    <col min="1" max="1" width="12" customWidth="1"/>
    <col min="2" max="2" width="15.81640625" customWidth="1"/>
    <col min="3" max="3" width="18.453125" customWidth="1"/>
    <col min="4" max="4" width="19.54296875" customWidth="1"/>
    <col min="5" max="5" width="15.453125" customWidth="1"/>
    <col min="6" max="6" width="15.7265625" customWidth="1"/>
    <col min="7" max="7" width="15.453125" customWidth="1"/>
    <col min="8" max="8" width="13.54296875" customWidth="1"/>
    <col min="11" max="11" width="13.1796875" customWidth="1"/>
    <col min="12" max="12" width="23.54296875" customWidth="1"/>
    <col min="13" max="13" width="21.54296875" customWidth="1"/>
    <col min="14" max="14" width="21.453125" customWidth="1"/>
    <col min="15" max="15" width="12.453125" customWidth="1"/>
    <col min="17" max="17" width="10.453125" customWidth="1"/>
  </cols>
  <sheetData>
    <row r="1" spans="1:18" ht="31" x14ac:dyDescent="0.35">
      <c r="A1" s="14" t="s">
        <v>15</v>
      </c>
      <c r="B1" s="45" t="s">
        <v>16</v>
      </c>
      <c r="C1" s="14" t="s">
        <v>14</v>
      </c>
      <c r="D1" s="14" t="s">
        <v>13</v>
      </c>
      <c r="E1" s="14" t="s">
        <v>12</v>
      </c>
      <c r="F1" s="14" t="s">
        <v>17</v>
      </c>
      <c r="G1" s="14" t="s">
        <v>18</v>
      </c>
      <c r="H1" s="24" t="s">
        <v>19</v>
      </c>
      <c r="I1" s="12"/>
    </row>
    <row r="2" spans="1:18" ht="15.5" x14ac:dyDescent="0.35">
      <c r="A2" s="18" t="s">
        <v>8</v>
      </c>
      <c r="B2" s="59"/>
      <c r="C2" s="55"/>
      <c r="D2" s="55"/>
      <c r="E2" s="29">
        <f>E9-E8</f>
        <v>4546185</v>
      </c>
      <c r="F2" s="43"/>
      <c r="G2" s="31"/>
      <c r="H2" s="32"/>
    </row>
    <row r="3" spans="1:18" ht="15.5" x14ac:dyDescent="0.35">
      <c r="A3" s="18" t="s">
        <v>9</v>
      </c>
      <c r="B3" s="59">
        <v>52.5</v>
      </c>
      <c r="C3" s="48">
        <v>264300</v>
      </c>
      <c r="D3" s="48">
        <v>50700</v>
      </c>
      <c r="E3" s="30">
        <f>C3+D3</f>
        <v>315000</v>
      </c>
      <c r="F3" s="51">
        <f>19.4312-0.9336*B3+0.0126*B3^2</f>
        <v>5.1459500000000027</v>
      </c>
      <c r="G3" s="30">
        <f>E3*F3/100</f>
        <v>16209.742500000009</v>
      </c>
      <c r="H3" s="30">
        <f t="shared" ref="H3:H7" si="0">G3*0.07</f>
        <v>1134.6819750000009</v>
      </c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.5" x14ac:dyDescent="0.35">
      <c r="A4" s="18" t="s">
        <v>1</v>
      </c>
      <c r="B4" s="59">
        <v>57.5</v>
      </c>
      <c r="C4" s="48">
        <v>184700</v>
      </c>
      <c r="D4" s="48">
        <v>32800</v>
      </c>
      <c r="E4" s="30">
        <f>C4+D4</f>
        <v>217500</v>
      </c>
      <c r="F4" s="51">
        <f>19.4312-0.9336*B4+0.0126*B4^2</f>
        <v>7.4079499999999996</v>
      </c>
      <c r="G4" s="30">
        <f>E4*F4/100</f>
        <v>16112.29125</v>
      </c>
      <c r="H4" s="30">
        <f t="shared" si="0"/>
        <v>1127.8603875000001</v>
      </c>
    </row>
    <row r="5" spans="1:18" ht="15.5" x14ac:dyDescent="0.35">
      <c r="A5" s="18" t="s">
        <v>2</v>
      </c>
      <c r="B5" s="59">
        <v>62.5</v>
      </c>
      <c r="C5" s="48">
        <v>107200</v>
      </c>
      <c r="D5" s="48">
        <v>4300</v>
      </c>
      <c r="E5" s="30">
        <f>C5+D5</f>
        <v>111500</v>
      </c>
      <c r="F5" s="51">
        <f>19.4312-0.9336*B5+0.0126*B5^2</f>
        <v>10.299949999999995</v>
      </c>
      <c r="G5" s="30">
        <f>E5*F5/100</f>
        <v>11484.444249999995</v>
      </c>
      <c r="H5" s="30">
        <f t="shared" si="0"/>
        <v>803.91109749999976</v>
      </c>
    </row>
    <row r="6" spans="1:18" ht="15.5" x14ac:dyDescent="0.35">
      <c r="A6" s="18" t="s">
        <v>3</v>
      </c>
      <c r="B6" s="59">
        <v>67.5</v>
      </c>
      <c r="C6" s="48">
        <v>21600</v>
      </c>
      <c r="D6" s="48">
        <v>800</v>
      </c>
      <c r="E6" s="30">
        <f>C6+D6</f>
        <v>22400</v>
      </c>
      <c r="F6" s="51">
        <f>19.4312-0.9336*B6+0.0126*B6^2</f>
        <v>13.821950000000001</v>
      </c>
      <c r="G6" s="30">
        <f>E6*F6/100</f>
        <v>3096.1168000000007</v>
      </c>
      <c r="H6" s="30">
        <f t="shared" si="0"/>
        <v>216.72817600000008</v>
      </c>
    </row>
    <row r="7" spans="1:18" ht="15.5" x14ac:dyDescent="0.35">
      <c r="A7" s="20" t="s">
        <v>10</v>
      </c>
      <c r="B7" s="60">
        <v>72.5</v>
      </c>
      <c r="C7" s="48">
        <v>1400</v>
      </c>
      <c r="D7" s="48">
        <v>0</v>
      </c>
      <c r="E7" s="30">
        <f>C7+D7</f>
        <v>1400</v>
      </c>
      <c r="F7" s="51">
        <f>19.4312-0.9336*B7+0.0126*B7^2</f>
        <v>17.973950000000016</v>
      </c>
      <c r="G7" s="30">
        <f>E7*F7/100</f>
        <v>251.63530000000026</v>
      </c>
      <c r="H7" s="30">
        <f t="shared" si="0"/>
        <v>17.61447100000002</v>
      </c>
    </row>
    <row r="8" spans="1:18" ht="15.5" x14ac:dyDescent="0.35">
      <c r="A8" s="22" t="s">
        <v>6</v>
      </c>
      <c r="B8" s="22"/>
      <c r="C8" s="49">
        <f>SUM(C3:C7)</f>
        <v>579200</v>
      </c>
      <c r="D8" s="49">
        <f>SUM(D3:D7)</f>
        <v>88600</v>
      </c>
      <c r="E8" s="28">
        <f>SUM(E3:E7)</f>
        <v>667800</v>
      </c>
      <c r="F8" s="52"/>
      <c r="G8" s="53">
        <f>SUM(G3:G7)</f>
        <v>47154.230100000008</v>
      </c>
      <c r="H8" s="54">
        <f>G8*0.07</f>
        <v>3300.796107000001</v>
      </c>
    </row>
    <row r="9" spans="1:18" ht="15.5" x14ac:dyDescent="0.35">
      <c r="A9" s="22" t="s">
        <v>7</v>
      </c>
      <c r="B9" s="22"/>
      <c r="C9" s="53"/>
      <c r="D9" s="53"/>
      <c r="E9" s="50">
        <v>5213985</v>
      </c>
      <c r="F9" s="53"/>
      <c r="G9" s="53"/>
      <c r="H9" s="5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zoomScale="80" zoomScaleNormal="80" workbookViewId="0">
      <selection activeCell="H8" sqref="H8"/>
    </sheetView>
  </sheetViews>
  <sheetFormatPr defaultRowHeight="14.5" x14ac:dyDescent="0.35"/>
  <cols>
    <col min="1" max="14" width="16.08984375" customWidth="1"/>
  </cols>
  <sheetData>
    <row r="1" spans="1:14" ht="31" x14ac:dyDescent="0.35">
      <c r="A1" s="75" t="s">
        <v>15</v>
      </c>
      <c r="B1" s="76" t="s">
        <v>16</v>
      </c>
      <c r="C1" s="75" t="s">
        <v>14</v>
      </c>
      <c r="D1" s="75" t="s">
        <v>13</v>
      </c>
      <c r="E1" s="75" t="s">
        <v>12</v>
      </c>
      <c r="F1" s="77" t="s">
        <v>20</v>
      </c>
      <c r="G1" s="77" t="s">
        <v>21</v>
      </c>
      <c r="H1" s="75" t="s">
        <v>22</v>
      </c>
      <c r="I1" s="77" t="s">
        <v>19</v>
      </c>
      <c r="J1" s="77" t="s">
        <v>23</v>
      </c>
      <c r="K1" s="77" t="s">
        <v>24</v>
      </c>
      <c r="L1" s="78" t="s">
        <v>26</v>
      </c>
      <c r="M1" s="78" t="s">
        <v>27</v>
      </c>
      <c r="N1" s="78" t="s">
        <v>25</v>
      </c>
    </row>
    <row r="2" spans="1:14" ht="15.5" x14ac:dyDescent="0.35">
      <c r="A2" s="79" t="s">
        <v>0</v>
      </c>
      <c r="B2" s="80">
        <v>53</v>
      </c>
      <c r="C2" s="81"/>
      <c r="D2" s="82"/>
      <c r="E2" s="83">
        <f>E9-E8</f>
        <v>4268785</v>
      </c>
      <c r="F2" s="84">
        <f>E2/E9</f>
        <v>0.81871831238486492</v>
      </c>
      <c r="G2" s="85">
        <f>EXP((LN(1.08)/10)*(B2-53))</f>
        <v>1</v>
      </c>
      <c r="H2" s="86">
        <f>F2*G2</f>
        <v>0.81871831238486492</v>
      </c>
      <c r="I2" s="87"/>
      <c r="J2" s="87"/>
      <c r="K2" s="87"/>
      <c r="L2" s="88">
        <v>5269.46</v>
      </c>
      <c r="M2" s="88">
        <v>80092.63</v>
      </c>
      <c r="N2" s="88">
        <v>85362.08</v>
      </c>
    </row>
    <row r="3" spans="1:14" ht="15.5" x14ac:dyDescent="0.35">
      <c r="A3" s="87" t="s">
        <v>1</v>
      </c>
      <c r="B3" s="89">
        <v>57.5</v>
      </c>
      <c r="C3" s="90">
        <v>327900</v>
      </c>
      <c r="D3" s="90">
        <v>59600</v>
      </c>
      <c r="E3" s="88">
        <f>C3+D3</f>
        <v>387500</v>
      </c>
      <c r="F3" s="84">
        <f>E3/E9</f>
        <v>7.4319354581956029E-2</v>
      </c>
      <c r="G3" s="85">
        <f>EXP((LN(1.08)/10)*(B3-53))</f>
        <v>1.0352391558831511</v>
      </c>
      <c r="H3" s="86">
        <f>F3*G3</f>
        <v>7.6938305903204759E-2</v>
      </c>
      <c r="I3" s="87"/>
      <c r="J3" s="87"/>
      <c r="K3" s="87"/>
      <c r="L3" s="11"/>
      <c r="M3" s="11"/>
      <c r="N3" s="11"/>
    </row>
    <row r="4" spans="1:14" ht="15.5" x14ac:dyDescent="0.35">
      <c r="A4" s="87" t="s">
        <v>2</v>
      </c>
      <c r="B4" s="89">
        <v>62.5</v>
      </c>
      <c r="C4" s="90">
        <v>236500</v>
      </c>
      <c r="D4" s="90">
        <v>49500</v>
      </c>
      <c r="E4" s="88">
        <f t="shared" ref="E4:E7" si="0">C4+D4</f>
        <v>286000</v>
      </c>
      <c r="F4" s="84">
        <f>E4/E9</f>
        <v>5.4852478478553353E-2</v>
      </c>
      <c r="G4" s="85">
        <f t="shared" ref="G4:G7" si="1">EXP((LN(1.08)/10)*(B4-53))</f>
        <v>1.0758520895846009</v>
      </c>
      <c r="H4" s="86">
        <f t="shared" ref="H4:H7" si="2">F4*G4</f>
        <v>5.9013153590045976E-2</v>
      </c>
      <c r="I4" s="87"/>
      <c r="J4" s="87"/>
      <c r="K4" s="11"/>
      <c r="L4" s="91"/>
      <c r="M4" s="91"/>
      <c r="N4" s="91"/>
    </row>
    <row r="5" spans="1:14" ht="15.5" x14ac:dyDescent="0.35">
      <c r="A5" s="87" t="s">
        <v>3</v>
      </c>
      <c r="B5" s="89">
        <v>67.5</v>
      </c>
      <c r="C5" s="90">
        <v>167300</v>
      </c>
      <c r="D5" s="90">
        <v>24500</v>
      </c>
      <c r="E5" s="88">
        <f t="shared" si="0"/>
        <v>191800</v>
      </c>
      <c r="F5" s="84">
        <f>E5/E9</f>
        <v>3.6785683119533334E-2</v>
      </c>
      <c r="G5" s="85">
        <f t="shared" si="1"/>
        <v>1.1180582883538033</v>
      </c>
      <c r="H5" s="86">
        <f t="shared" si="2"/>
        <v>4.1128537904550837E-2</v>
      </c>
      <c r="I5" s="87"/>
      <c r="J5" s="87"/>
      <c r="K5" s="11"/>
      <c r="L5" s="91"/>
      <c r="M5" s="91"/>
      <c r="N5" s="91"/>
    </row>
    <row r="6" spans="1:14" ht="15.5" x14ac:dyDescent="0.35">
      <c r="A6" s="87" t="s">
        <v>4</v>
      </c>
      <c r="B6" s="89">
        <v>72.5</v>
      </c>
      <c r="C6" s="90">
        <v>69400</v>
      </c>
      <c r="D6" s="90">
        <v>2800</v>
      </c>
      <c r="E6" s="88">
        <f t="shared" si="0"/>
        <v>72200</v>
      </c>
      <c r="F6" s="84">
        <f>E6/E9</f>
        <v>1.384737393759284E-2</v>
      </c>
      <c r="G6" s="85">
        <f t="shared" si="1"/>
        <v>1.1619202567513689</v>
      </c>
      <c r="H6" s="86">
        <f t="shared" si="2"/>
        <v>1.6089544280900085E-2</v>
      </c>
      <c r="I6" s="87"/>
      <c r="J6" s="92"/>
      <c r="K6" s="87"/>
      <c r="L6" s="11"/>
      <c r="M6" s="11"/>
      <c r="N6" s="11"/>
    </row>
    <row r="7" spans="1:14" ht="15.5" x14ac:dyDescent="0.35">
      <c r="A7" s="87" t="s">
        <v>5</v>
      </c>
      <c r="B7" s="89">
        <v>77.5</v>
      </c>
      <c r="C7" s="90">
        <v>7700</v>
      </c>
      <c r="D7" s="90">
        <v>0</v>
      </c>
      <c r="E7" s="88">
        <f t="shared" si="0"/>
        <v>7700</v>
      </c>
      <c r="F7" s="84">
        <f>E7/E9</f>
        <v>1.4767974974995133E-3</v>
      </c>
      <c r="G7" s="85">
        <f t="shared" si="1"/>
        <v>1.2075029514221076</v>
      </c>
      <c r="H7" s="86">
        <f t="shared" si="2"/>
        <v>1.783237336883445E-3</v>
      </c>
      <c r="I7" s="87"/>
      <c r="J7" s="87"/>
      <c r="K7" s="87"/>
      <c r="L7" s="11"/>
      <c r="M7" s="11"/>
      <c r="N7" s="11"/>
    </row>
    <row r="8" spans="1:14" ht="15.5" x14ac:dyDescent="0.35">
      <c r="A8" s="93" t="s">
        <v>6</v>
      </c>
      <c r="B8" s="93"/>
      <c r="C8" s="94">
        <f>SUM(C3:C7)</f>
        <v>808800</v>
      </c>
      <c r="D8" s="94">
        <f>SUM(D3:D7)</f>
        <v>136400</v>
      </c>
      <c r="E8" s="95">
        <f>SUM(E3:E7)</f>
        <v>945200</v>
      </c>
      <c r="F8" s="96">
        <f>E8/E9</f>
        <v>0.18128168761513505</v>
      </c>
      <c r="G8" s="93"/>
      <c r="H8" s="96">
        <f>SUM((F2*G2+F3*G3+F4*G4+F5*G5+F6*G6+F7*G7)-1)/(F2*G2+F3*G3+F4*G4+F5*G5+F6*G6+F7*G7)*100</f>
        <v>1.3486713310095881</v>
      </c>
      <c r="I8" s="97">
        <f>L2*H8/100</f>
        <v>71.067696319017841</v>
      </c>
      <c r="J8" s="97">
        <f>M2*H8/100</f>
        <v>1080.1863390615847</v>
      </c>
      <c r="K8" s="97">
        <f>I8+J8</f>
        <v>1151.2540353806025</v>
      </c>
      <c r="L8" s="11"/>
      <c r="M8" s="11"/>
      <c r="N8" s="11"/>
    </row>
    <row r="9" spans="1:14" ht="15.5" x14ac:dyDescent="0.35">
      <c r="A9" s="98" t="s">
        <v>7</v>
      </c>
      <c r="B9" s="98"/>
      <c r="C9" s="99"/>
      <c r="D9" s="99"/>
      <c r="E9" s="100">
        <v>5213985</v>
      </c>
      <c r="F9" s="101">
        <f>SUM(F2:F7)</f>
        <v>1</v>
      </c>
      <c r="G9" s="98"/>
      <c r="H9" s="98"/>
      <c r="I9" s="98"/>
      <c r="J9" s="98"/>
      <c r="K9" s="98"/>
      <c r="L9" s="11"/>
      <c r="M9" s="11"/>
      <c r="N9" s="11"/>
    </row>
    <row r="10" spans="1:14" x14ac:dyDescent="0.35">
      <c r="A10" s="102"/>
      <c r="B10" s="102"/>
      <c r="C10" s="103"/>
      <c r="D10" s="103"/>
      <c r="E10" s="103"/>
      <c r="F10" s="104"/>
      <c r="G10" s="11"/>
      <c r="H10" s="11"/>
      <c r="I10" s="11"/>
      <c r="J10" s="11"/>
      <c r="K10" s="11"/>
      <c r="L10" s="11"/>
      <c r="M10" s="11"/>
      <c r="N10" s="11"/>
    </row>
    <row r="11" spans="1:14" x14ac:dyDescent="0.35">
      <c r="A11" s="102"/>
      <c r="B11" s="102"/>
      <c r="C11" s="103"/>
      <c r="D11" s="103"/>
      <c r="E11" s="103"/>
      <c r="F11" s="105"/>
      <c r="G11" s="106"/>
      <c r="H11" s="106"/>
      <c r="I11" s="11"/>
      <c r="J11" s="11"/>
      <c r="K11" s="11"/>
      <c r="L11" s="11"/>
      <c r="M11" s="11"/>
      <c r="N11" s="11"/>
    </row>
    <row r="12" spans="1:14" x14ac:dyDescent="0.35">
      <c r="A12" s="102"/>
      <c r="B12" s="102"/>
      <c r="C12" s="103"/>
      <c r="D12" s="103"/>
      <c r="E12" s="103"/>
      <c r="F12" s="107"/>
      <c r="G12" s="107"/>
      <c r="H12" s="108"/>
      <c r="I12" s="11"/>
      <c r="J12" s="11"/>
      <c r="K12" s="11"/>
      <c r="L12" s="11"/>
      <c r="M12" s="11"/>
      <c r="N12" s="11"/>
    </row>
    <row r="13" spans="1:14" x14ac:dyDescent="0.35">
      <c r="A13" s="109"/>
      <c r="B13" s="109"/>
      <c r="C13" s="109"/>
      <c r="D13" s="11"/>
      <c r="E13" s="11"/>
      <c r="F13" s="107"/>
      <c r="G13" s="107"/>
      <c r="H13" s="108"/>
      <c r="I13" s="11"/>
      <c r="J13" s="11"/>
      <c r="K13" s="11"/>
      <c r="L13" s="11"/>
      <c r="M13" s="11"/>
      <c r="N13" s="11"/>
    </row>
  </sheetData>
  <mergeCells count="1">
    <mergeCell ref="A13:C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3"/>
  <sheetViews>
    <sheetView zoomScale="85" zoomScaleNormal="85" workbookViewId="0">
      <selection activeCell="A17" sqref="A17"/>
    </sheetView>
  </sheetViews>
  <sheetFormatPr defaultColWidth="11.453125" defaultRowHeight="14.5" x14ac:dyDescent="0.35"/>
  <cols>
    <col min="1" max="1" width="12" customWidth="1"/>
    <col min="2" max="2" width="15.81640625" customWidth="1"/>
    <col min="3" max="3" width="18.453125" customWidth="1"/>
    <col min="4" max="4" width="19.54296875" customWidth="1"/>
    <col min="5" max="5" width="15.453125" customWidth="1"/>
    <col min="6" max="6" width="15.7265625" customWidth="1"/>
    <col min="7" max="7" width="21.26953125" customWidth="1"/>
    <col min="8" max="8" width="16.81640625" customWidth="1"/>
    <col min="11" max="11" width="13.1796875" customWidth="1"/>
    <col min="12" max="12" width="23.54296875" customWidth="1"/>
    <col min="13" max="13" width="21.54296875" customWidth="1"/>
    <col min="14" max="14" width="21.453125" customWidth="1"/>
    <col min="15" max="15" width="12.453125" customWidth="1"/>
    <col min="17" max="17" width="10.453125" customWidth="1"/>
  </cols>
  <sheetData>
    <row r="1" spans="1:15" ht="31" x14ac:dyDescent="0.35">
      <c r="A1" s="14" t="s">
        <v>15</v>
      </c>
      <c r="B1" s="45" t="s">
        <v>16</v>
      </c>
      <c r="C1" s="14" t="s">
        <v>14</v>
      </c>
      <c r="D1" s="14" t="s">
        <v>13</v>
      </c>
      <c r="E1" s="14" t="s">
        <v>12</v>
      </c>
      <c r="F1" s="15" t="s">
        <v>20</v>
      </c>
      <c r="G1" s="15" t="s">
        <v>21</v>
      </c>
      <c r="H1" s="14" t="s">
        <v>22</v>
      </c>
      <c r="I1" s="15" t="s">
        <v>19</v>
      </c>
      <c r="J1" s="15" t="s">
        <v>23</v>
      </c>
      <c r="K1" s="15" t="s">
        <v>24</v>
      </c>
      <c r="L1" s="67" t="s">
        <v>26</v>
      </c>
      <c r="M1" s="67" t="s">
        <v>27</v>
      </c>
      <c r="N1" s="67" t="s">
        <v>25</v>
      </c>
    </row>
    <row r="2" spans="1:15" ht="15.5" x14ac:dyDescent="0.35">
      <c r="A2" s="16" t="s">
        <v>0</v>
      </c>
      <c r="B2" s="58">
        <f>53 + A12</f>
        <v>58</v>
      </c>
      <c r="C2" s="46"/>
      <c r="D2" s="47"/>
      <c r="E2" s="29">
        <f>E9-E8</f>
        <v>4268785</v>
      </c>
      <c r="F2" s="33">
        <f>(E2/E9) + A16</f>
        <v>0.81871831238486492</v>
      </c>
      <c r="G2" s="66">
        <f>EXP((LN(1.08)/10)*(B2-53))</f>
        <v>1.0392304845413265</v>
      </c>
      <c r="H2" s="34">
        <f>F2*G2</f>
        <v>0.85083702848258025</v>
      </c>
      <c r="I2" s="18"/>
      <c r="J2" s="18"/>
      <c r="K2" s="18"/>
      <c r="L2" s="30">
        <v>5269.46</v>
      </c>
      <c r="M2" s="30">
        <v>80092.63</v>
      </c>
      <c r="N2" s="30">
        <v>85362.08</v>
      </c>
    </row>
    <row r="3" spans="1:15" ht="15.5" x14ac:dyDescent="0.35">
      <c r="A3" s="18" t="s">
        <v>1</v>
      </c>
      <c r="B3" s="59">
        <f xml:space="preserve"> 57.5 + A12</f>
        <v>62.5</v>
      </c>
      <c r="C3" s="48">
        <v>327900</v>
      </c>
      <c r="D3" s="48">
        <v>59600</v>
      </c>
      <c r="E3" s="30">
        <f>C3+D3</f>
        <v>387500</v>
      </c>
      <c r="F3" s="33">
        <f xml:space="preserve"> (E3/E9) + A16</f>
        <v>7.4319354581956029E-2</v>
      </c>
      <c r="G3" s="66">
        <f>EXP((LN(1.08)/10)*(B3-53))</f>
        <v>1.0758520895846009</v>
      </c>
      <c r="H3" s="34">
        <f>F3*G3</f>
        <v>7.9956632923576271E-2</v>
      </c>
      <c r="I3" s="18"/>
      <c r="J3" s="18"/>
      <c r="K3" s="18"/>
    </row>
    <row r="4" spans="1:15" ht="15.5" x14ac:dyDescent="0.35">
      <c r="A4" s="18" t="s">
        <v>2</v>
      </c>
      <c r="B4" s="59">
        <f xml:space="preserve"> 62.5 + A12</f>
        <v>67.5</v>
      </c>
      <c r="C4" s="48">
        <v>236500</v>
      </c>
      <c r="D4" s="48">
        <v>49500</v>
      </c>
      <c r="E4" s="30">
        <f t="shared" ref="E4:E7" si="0">C4+D4</f>
        <v>286000</v>
      </c>
      <c r="F4" s="33">
        <f xml:space="preserve"> (E4/E9) + A16</f>
        <v>5.4852478478553353E-2</v>
      </c>
      <c r="G4" s="66">
        <f t="shared" ref="G4:G7" si="1">EXP((LN(1.08)/10)*(B4-53))</f>
        <v>1.1180582883538033</v>
      </c>
      <c r="H4" s="34">
        <f t="shared" ref="H4:H7" si="2">F4*G4</f>
        <v>6.1328268199695196E-2</v>
      </c>
      <c r="I4" s="18"/>
      <c r="J4" s="18"/>
      <c r="L4" s="41"/>
      <c r="M4" s="41"/>
      <c r="N4" s="41"/>
      <c r="O4" s="42"/>
    </row>
    <row r="5" spans="1:15" ht="15.5" x14ac:dyDescent="0.35">
      <c r="A5" s="18" t="s">
        <v>3</v>
      </c>
      <c r="B5" s="59">
        <f xml:space="preserve"> 67.5+ A12</f>
        <v>72.5</v>
      </c>
      <c r="C5" s="48">
        <v>167300</v>
      </c>
      <c r="D5" s="48">
        <v>24500</v>
      </c>
      <c r="E5" s="30">
        <f t="shared" si="0"/>
        <v>191800</v>
      </c>
      <c r="F5" s="33">
        <f xml:space="preserve"> (E5/E9) + A16</f>
        <v>3.6785683119533334E-2</v>
      </c>
      <c r="G5" s="66">
        <f t="shared" si="1"/>
        <v>1.1619202567513689</v>
      </c>
      <c r="H5" s="34">
        <f t="shared" si="2"/>
        <v>4.2742030375022666E-2</v>
      </c>
      <c r="I5" s="18"/>
      <c r="J5" s="18"/>
      <c r="L5" s="41"/>
      <c r="M5" s="41"/>
      <c r="N5" s="41"/>
      <c r="O5" s="42"/>
    </row>
    <row r="6" spans="1:15" ht="15.5" x14ac:dyDescent="0.35">
      <c r="A6" s="18" t="s">
        <v>4</v>
      </c>
      <c r="B6" s="59">
        <f xml:space="preserve"> 72.5+ A12</f>
        <v>77.5</v>
      </c>
      <c r="C6" s="48">
        <v>69400</v>
      </c>
      <c r="D6" s="48">
        <v>2800</v>
      </c>
      <c r="E6" s="30">
        <f t="shared" si="0"/>
        <v>72200</v>
      </c>
      <c r="F6" s="33">
        <f xml:space="preserve"> (E6/E9) + A16</f>
        <v>1.384737393759284E-2</v>
      </c>
      <c r="G6" s="66">
        <f t="shared" si="1"/>
        <v>1.2075029514221076</v>
      </c>
      <c r="H6" s="34">
        <f t="shared" si="2"/>
        <v>1.6720744899088927E-2</v>
      </c>
      <c r="I6" s="18"/>
      <c r="J6" s="19"/>
      <c r="K6" s="18"/>
    </row>
    <row r="7" spans="1:15" ht="15.5" x14ac:dyDescent="0.35">
      <c r="A7" s="20" t="s">
        <v>5</v>
      </c>
      <c r="B7" s="60">
        <f xml:space="preserve"> 77.5 + A12</f>
        <v>82.5</v>
      </c>
      <c r="C7" s="48">
        <v>7700</v>
      </c>
      <c r="D7" s="48">
        <v>0</v>
      </c>
      <c r="E7" s="30">
        <f t="shared" si="0"/>
        <v>7700</v>
      </c>
      <c r="F7" s="33">
        <f xml:space="preserve"> (E7/E9) + A16</f>
        <v>1.4767974974995133E-3</v>
      </c>
      <c r="G7" s="66">
        <f t="shared" si="1"/>
        <v>1.2548738772914785</v>
      </c>
      <c r="H7" s="34">
        <f t="shared" si="2"/>
        <v>1.8531946016615668E-3</v>
      </c>
      <c r="I7" s="18"/>
      <c r="J7" s="18"/>
      <c r="K7" s="18"/>
    </row>
    <row r="8" spans="1:15" ht="15.5" x14ac:dyDescent="0.35">
      <c r="A8" s="21" t="s">
        <v>6</v>
      </c>
      <c r="B8" s="21"/>
      <c r="C8" s="49">
        <f>SUM(C3:C7)</f>
        <v>808800</v>
      </c>
      <c r="D8" s="49">
        <f>SUM(D3:D7)</f>
        <v>136400</v>
      </c>
      <c r="E8" s="28">
        <f>SUM(E3:E7)</f>
        <v>945200</v>
      </c>
      <c r="F8" s="35">
        <f>E8/E9</f>
        <v>0.18128168761513505</v>
      </c>
      <c r="G8" s="36"/>
      <c r="H8" s="35">
        <f>SUM((F2*G2+F3*G3+F4*G4+F5*G5+F6*G6+F7*G7)-1)/(F2*G2+F3*G3+F4*G4+F5*G5+F6*G6+F7*G7)*100</f>
        <v>5.0727147284069236</v>
      </c>
      <c r="I8" s="38">
        <f>L2*H8/100</f>
        <v>267.30467352751145</v>
      </c>
      <c r="J8" s="38">
        <f>M2*H8/100</f>
        <v>4062.870638378462</v>
      </c>
      <c r="K8" s="38">
        <f>I8+J8</f>
        <v>4330.1753119059731</v>
      </c>
    </row>
    <row r="9" spans="1:15" ht="15.5" x14ac:dyDescent="0.35">
      <c r="A9" s="22" t="s">
        <v>7</v>
      </c>
      <c r="B9" s="22"/>
      <c r="C9" s="23"/>
      <c r="D9" s="23"/>
      <c r="E9" s="50">
        <v>5213985</v>
      </c>
      <c r="F9" s="39">
        <f>SUM(F2:F7)</f>
        <v>1</v>
      </c>
      <c r="G9" s="40"/>
      <c r="H9" s="40"/>
      <c r="I9" s="40"/>
      <c r="J9" s="40"/>
      <c r="K9" s="40"/>
    </row>
    <row r="10" spans="1:15" x14ac:dyDescent="0.35">
      <c r="A10" s="11"/>
      <c r="B10" s="11"/>
      <c r="C10" s="13"/>
      <c r="D10" s="13"/>
      <c r="E10" s="13"/>
      <c r="F10" s="5"/>
    </row>
    <row r="11" spans="1:15" ht="15.5" x14ac:dyDescent="0.35">
      <c r="A11" s="20" t="s">
        <v>31</v>
      </c>
      <c r="B11" s="11"/>
      <c r="C11" s="13"/>
      <c r="D11" s="13"/>
      <c r="E11" s="13"/>
      <c r="F11" s="68"/>
      <c r="G11" s="69"/>
      <c r="H11" s="69"/>
    </row>
    <row r="12" spans="1:15" x14ac:dyDescent="0.35">
      <c r="A12" s="11">
        <v>5</v>
      </c>
      <c r="B12" s="11"/>
      <c r="C12" s="13"/>
      <c r="D12" s="13"/>
      <c r="E12" s="13"/>
      <c r="F12" s="70"/>
      <c r="G12" s="70"/>
      <c r="H12" s="71"/>
    </row>
    <row r="13" spans="1:15" x14ac:dyDescent="0.35">
      <c r="A13" s="110"/>
      <c r="B13" s="110"/>
      <c r="C13" s="110"/>
      <c r="F13" s="70"/>
      <c r="G13" s="70"/>
      <c r="H13" s="71"/>
    </row>
    <row r="14" spans="1:15" x14ac:dyDescent="0.35">
      <c r="A14" s="111"/>
      <c r="B14" s="111"/>
      <c r="C14" s="111"/>
      <c r="F14" s="72"/>
      <c r="G14" s="72"/>
      <c r="H14" s="71"/>
    </row>
    <row r="15" spans="1:15" x14ac:dyDescent="0.35">
      <c r="A15" s="62" t="s">
        <v>32</v>
      </c>
      <c r="B15" s="63"/>
      <c r="C15" s="56"/>
    </row>
    <row r="16" spans="1:15" x14ac:dyDescent="0.35">
      <c r="A16">
        <v>0</v>
      </c>
      <c r="B16" s="8"/>
      <c r="C16" s="64"/>
    </row>
    <row r="17" spans="1:3" x14ac:dyDescent="0.35">
      <c r="B17" s="56"/>
      <c r="C17" s="64"/>
    </row>
    <row r="18" spans="1:3" x14ac:dyDescent="0.35">
      <c r="B18" s="8"/>
      <c r="C18" s="64"/>
    </row>
    <row r="19" spans="1:3" x14ac:dyDescent="0.35">
      <c r="B19" s="8"/>
      <c r="C19" s="64"/>
    </row>
    <row r="20" spans="1:3" x14ac:dyDescent="0.35">
      <c r="A20" s="56"/>
      <c r="B20" s="65"/>
      <c r="C20" s="65"/>
    </row>
    <row r="23" spans="1:3" x14ac:dyDescent="0.35">
      <c r="A23" s="2"/>
    </row>
  </sheetData>
  <mergeCells count="2">
    <mergeCell ref="A13:C13"/>
    <mergeCell ref="A14:C1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3"/>
  <sheetViews>
    <sheetView zoomScale="85" zoomScaleNormal="85" workbookViewId="0">
      <selection activeCell="A11" sqref="A11"/>
    </sheetView>
  </sheetViews>
  <sheetFormatPr defaultColWidth="11.453125" defaultRowHeight="14.5" x14ac:dyDescent="0.35"/>
  <cols>
    <col min="1" max="1" width="12" customWidth="1"/>
    <col min="2" max="2" width="15.81640625" customWidth="1"/>
    <col min="3" max="3" width="18.453125" customWidth="1"/>
    <col min="4" max="4" width="19.54296875" customWidth="1"/>
    <col min="5" max="5" width="15.453125" customWidth="1"/>
    <col min="6" max="6" width="15.7265625" customWidth="1"/>
    <col min="7" max="7" width="21.26953125" customWidth="1"/>
    <col min="8" max="8" width="16.81640625" customWidth="1"/>
    <col min="11" max="11" width="13.1796875" customWidth="1"/>
    <col min="12" max="12" width="23.54296875" customWidth="1"/>
    <col min="13" max="13" width="21.54296875" customWidth="1"/>
    <col min="14" max="14" width="21.453125" customWidth="1"/>
    <col min="15" max="15" width="12.453125" customWidth="1"/>
    <col min="17" max="17" width="10.453125" customWidth="1"/>
  </cols>
  <sheetData>
    <row r="1" spans="1:15" ht="31" x14ac:dyDescent="0.35">
      <c r="A1" s="14" t="s">
        <v>15</v>
      </c>
      <c r="B1" s="45" t="s">
        <v>16</v>
      </c>
      <c r="C1" s="14" t="s">
        <v>14</v>
      </c>
      <c r="D1" s="14" t="s">
        <v>13</v>
      </c>
      <c r="E1" s="14" t="s">
        <v>12</v>
      </c>
      <c r="F1" s="15" t="s">
        <v>20</v>
      </c>
      <c r="G1" s="15" t="s">
        <v>21</v>
      </c>
      <c r="H1" s="14" t="s">
        <v>22</v>
      </c>
      <c r="I1" s="15" t="s">
        <v>19</v>
      </c>
      <c r="J1" s="15" t="s">
        <v>23</v>
      </c>
      <c r="K1" s="15" t="s">
        <v>24</v>
      </c>
      <c r="L1" s="67" t="s">
        <v>26</v>
      </c>
      <c r="M1" s="67" t="s">
        <v>27</v>
      </c>
      <c r="N1" s="67" t="s">
        <v>25</v>
      </c>
    </row>
    <row r="2" spans="1:15" ht="15.5" x14ac:dyDescent="0.35">
      <c r="A2" s="16" t="s">
        <v>0</v>
      </c>
      <c r="B2" s="58">
        <f>53 + A12</f>
        <v>63</v>
      </c>
      <c r="C2" s="46"/>
      <c r="D2" s="47"/>
      <c r="E2" s="29">
        <f>E9-E8</f>
        <v>4268785</v>
      </c>
      <c r="F2" s="33">
        <f>(E2/E9) + A16</f>
        <v>0.81871831238486492</v>
      </c>
      <c r="G2" s="66">
        <f>EXP((LN(1.08)/10)*(B2-53))</f>
        <v>1.08</v>
      </c>
      <c r="H2" s="34">
        <f>F2*G2</f>
        <v>0.88421577737565416</v>
      </c>
      <c r="I2" s="18"/>
      <c r="J2" s="18"/>
      <c r="K2" s="18"/>
      <c r="L2" s="30">
        <v>5269.46</v>
      </c>
      <c r="M2" s="30">
        <v>80092.63</v>
      </c>
      <c r="N2" s="30">
        <v>85362.08</v>
      </c>
    </row>
    <row r="3" spans="1:15" ht="15.5" x14ac:dyDescent="0.35">
      <c r="A3" s="18" t="s">
        <v>1</v>
      </c>
      <c r="B3" s="59">
        <f xml:space="preserve"> 57.5 + A12</f>
        <v>67.5</v>
      </c>
      <c r="C3" s="48">
        <v>327900</v>
      </c>
      <c r="D3" s="48">
        <v>59600</v>
      </c>
      <c r="E3" s="30">
        <f>C3+D3</f>
        <v>387500</v>
      </c>
      <c r="F3" s="33">
        <f xml:space="preserve"> (E3/E9) + A16</f>
        <v>7.4319354581956029E-2</v>
      </c>
      <c r="G3" s="66">
        <f>EXP((LN(1.08)/10)*(B3-53))</f>
        <v>1.1180582883538033</v>
      </c>
      <c r="H3" s="34">
        <f>F3*G3</f>
        <v>8.3093370375461148E-2</v>
      </c>
      <c r="I3" s="18"/>
      <c r="J3" s="18"/>
      <c r="K3" s="18"/>
    </row>
    <row r="4" spans="1:15" ht="15.5" x14ac:dyDescent="0.35">
      <c r="A4" s="18" t="s">
        <v>2</v>
      </c>
      <c r="B4" s="59">
        <f xml:space="preserve"> 62.5 + A12</f>
        <v>72.5</v>
      </c>
      <c r="C4" s="48">
        <v>236500</v>
      </c>
      <c r="D4" s="48">
        <v>49500</v>
      </c>
      <c r="E4" s="30">
        <f t="shared" ref="E4:E7" si="0">C4+D4</f>
        <v>286000</v>
      </c>
      <c r="F4" s="33">
        <f xml:space="preserve"> (E4/E9) + A16</f>
        <v>5.4852478478553353E-2</v>
      </c>
      <c r="G4" s="66">
        <f t="shared" ref="G4:G7" si="1">EXP((LN(1.08)/10)*(B4-53))</f>
        <v>1.1619202567513689</v>
      </c>
      <c r="H4" s="34">
        <f t="shared" ref="H4:H7" si="2">F4*G4</f>
        <v>6.373420587724965E-2</v>
      </c>
      <c r="I4" s="18"/>
      <c r="J4" s="18"/>
      <c r="L4" s="41"/>
      <c r="M4" s="41"/>
      <c r="N4" s="41"/>
      <c r="O4" s="42"/>
    </row>
    <row r="5" spans="1:15" ht="15.5" x14ac:dyDescent="0.35">
      <c r="A5" s="18" t="s">
        <v>3</v>
      </c>
      <c r="B5" s="59">
        <f xml:space="preserve"> 67.5+ A12</f>
        <v>77.5</v>
      </c>
      <c r="C5" s="48">
        <v>167300</v>
      </c>
      <c r="D5" s="48">
        <v>24500</v>
      </c>
      <c r="E5" s="30">
        <f t="shared" si="0"/>
        <v>191800</v>
      </c>
      <c r="F5" s="33">
        <f xml:space="preserve"> (E5/E9) + A16</f>
        <v>3.6785683119533334E-2</v>
      </c>
      <c r="G5" s="66">
        <f t="shared" si="1"/>
        <v>1.2075029514221076</v>
      </c>
      <c r="H5" s="34">
        <f t="shared" si="2"/>
        <v>4.4418820936914905E-2</v>
      </c>
      <c r="I5" s="18"/>
      <c r="J5" s="18"/>
      <c r="L5" s="41"/>
      <c r="M5" s="41"/>
      <c r="N5" s="41"/>
      <c r="O5" s="42"/>
    </row>
    <row r="6" spans="1:15" ht="15.5" x14ac:dyDescent="0.35">
      <c r="A6" s="18" t="s">
        <v>4</v>
      </c>
      <c r="B6" s="59">
        <f xml:space="preserve"> 72.5+ A12</f>
        <v>82.5</v>
      </c>
      <c r="C6" s="48">
        <v>69400</v>
      </c>
      <c r="D6" s="48">
        <v>2800</v>
      </c>
      <c r="E6" s="30">
        <f t="shared" si="0"/>
        <v>72200</v>
      </c>
      <c r="F6" s="33">
        <f xml:space="preserve"> (E6/E9) + A16</f>
        <v>1.384737393759284E-2</v>
      </c>
      <c r="G6" s="66">
        <f t="shared" si="1"/>
        <v>1.2548738772914785</v>
      </c>
      <c r="H6" s="34">
        <f t="shared" si="2"/>
        <v>1.7376707823372094E-2</v>
      </c>
      <c r="I6" s="18"/>
      <c r="J6" s="19"/>
      <c r="K6" s="18"/>
    </row>
    <row r="7" spans="1:15" ht="15.5" x14ac:dyDescent="0.35">
      <c r="A7" s="20" t="s">
        <v>5</v>
      </c>
      <c r="B7" s="60">
        <f xml:space="preserve"> 77.5 + A12</f>
        <v>87.5</v>
      </c>
      <c r="C7" s="48">
        <v>7700</v>
      </c>
      <c r="D7" s="48">
        <v>0</v>
      </c>
      <c r="E7" s="30">
        <f t="shared" si="0"/>
        <v>7700</v>
      </c>
      <c r="F7" s="33">
        <f xml:space="preserve"> (E7/E9) + A16</f>
        <v>1.4767974974995133E-3</v>
      </c>
      <c r="G7" s="66">
        <f t="shared" si="1"/>
        <v>1.3041031875358762</v>
      </c>
      <c r="H7" s="34">
        <f t="shared" si="2"/>
        <v>1.9258963238341204E-3</v>
      </c>
      <c r="I7" s="18"/>
      <c r="J7" s="18"/>
      <c r="K7" s="18"/>
    </row>
    <row r="8" spans="1:15" ht="15.5" x14ac:dyDescent="0.35">
      <c r="A8" s="21" t="s">
        <v>6</v>
      </c>
      <c r="B8" s="21"/>
      <c r="C8" s="49">
        <f>SUM(C3:C7)</f>
        <v>808800</v>
      </c>
      <c r="D8" s="49">
        <f>SUM(D3:D7)</f>
        <v>136400</v>
      </c>
      <c r="E8" s="28">
        <f>SUM(E3:E7)</f>
        <v>945200</v>
      </c>
      <c r="F8" s="35">
        <f>E8/E9</f>
        <v>0.18128168761513505</v>
      </c>
      <c r="G8" s="36"/>
      <c r="H8" s="35">
        <f>SUM((F2*G2+F3*G3+F4*G4+F5*G5+F6*G6+F7*G7)-1)/(F2*G2+F3*G3+F4*G4+F5*G5+F6*G6+F7*G7)*100</f>
        <v>8.6561771583422509</v>
      </c>
      <c r="I8" s="38">
        <f>L2*H8/100</f>
        <v>456.13379288798154</v>
      </c>
      <c r="J8" s="38">
        <f>M2*H8/100</f>
        <v>6932.9599435755736</v>
      </c>
      <c r="K8" s="38">
        <f>I8+J8</f>
        <v>7389.0937364635547</v>
      </c>
    </row>
    <row r="9" spans="1:15" ht="15.5" x14ac:dyDescent="0.35">
      <c r="A9" s="22" t="s">
        <v>7</v>
      </c>
      <c r="B9" s="22"/>
      <c r="C9" s="23"/>
      <c r="D9" s="23"/>
      <c r="E9" s="50">
        <v>5213985</v>
      </c>
      <c r="F9" s="39">
        <f>SUM(F2:F7)</f>
        <v>1</v>
      </c>
      <c r="G9" s="40"/>
      <c r="H9" s="40"/>
      <c r="I9" s="40"/>
      <c r="J9" s="40"/>
      <c r="K9" s="40"/>
    </row>
    <row r="10" spans="1:15" x14ac:dyDescent="0.35">
      <c r="A10" s="11"/>
      <c r="B10" s="11"/>
      <c r="C10" s="13"/>
      <c r="D10" s="13"/>
      <c r="E10" s="13"/>
      <c r="F10" s="5"/>
    </row>
    <row r="11" spans="1:15" ht="15.5" x14ac:dyDescent="0.35">
      <c r="A11" s="20" t="s">
        <v>31</v>
      </c>
      <c r="B11" s="11"/>
      <c r="C11" s="13"/>
      <c r="D11" s="13"/>
      <c r="E11" s="13"/>
      <c r="F11" s="68"/>
      <c r="G11" s="69"/>
      <c r="H11" s="69"/>
    </row>
    <row r="12" spans="1:15" x14ac:dyDescent="0.35">
      <c r="A12" s="11">
        <v>10</v>
      </c>
      <c r="B12" s="11"/>
      <c r="C12" s="13"/>
      <c r="D12" s="13"/>
      <c r="E12" s="13"/>
      <c r="F12" s="70"/>
      <c r="G12" s="70"/>
      <c r="H12" s="71"/>
    </row>
    <row r="13" spans="1:15" x14ac:dyDescent="0.35">
      <c r="A13" s="110"/>
      <c r="B13" s="110"/>
      <c r="C13" s="110"/>
      <c r="F13" s="70"/>
      <c r="G13" s="70"/>
      <c r="H13" s="71"/>
    </row>
    <row r="14" spans="1:15" x14ac:dyDescent="0.35">
      <c r="A14" s="111"/>
      <c r="B14" s="111"/>
      <c r="C14" s="111"/>
      <c r="F14" s="72"/>
      <c r="G14" s="72"/>
      <c r="H14" s="71"/>
    </row>
    <row r="15" spans="1:15" x14ac:dyDescent="0.35">
      <c r="A15" s="62" t="s">
        <v>32</v>
      </c>
      <c r="B15" s="63"/>
      <c r="C15" s="56"/>
    </row>
    <row r="16" spans="1:15" x14ac:dyDescent="0.35">
      <c r="A16">
        <v>0</v>
      </c>
      <c r="B16" s="8"/>
      <c r="C16" s="64"/>
    </row>
    <row r="17" spans="1:3" x14ac:dyDescent="0.35">
      <c r="B17" s="56"/>
      <c r="C17" s="64"/>
    </row>
    <row r="18" spans="1:3" x14ac:dyDescent="0.35">
      <c r="B18" s="8"/>
      <c r="C18" s="64"/>
    </row>
    <row r="19" spans="1:3" x14ac:dyDescent="0.35">
      <c r="B19" s="8"/>
      <c r="C19" s="64"/>
    </row>
    <row r="20" spans="1:3" x14ac:dyDescent="0.35">
      <c r="A20" s="56"/>
      <c r="B20" s="65"/>
      <c r="C20" s="65"/>
    </row>
    <row r="23" spans="1:3" x14ac:dyDescent="0.35">
      <c r="A23" s="2"/>
    </row>
  </sheetData>
  <mergeCells count="2">
    <mergeCell ref="A13:C13"/>
    <mergeCell ref="A14:C1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6"/>
  <sheetViews>
    <sheetView zoomScale="85" zoomScaleNormal="85" workbookViewId="0">
      <selection activeCell="A10" sqref="A10:XFD14"/>
    </sheetView>
  </sheetViews>
  <sheetFormatPr defaultColWidth="11.453125" defaultRowHeight="14.5" x14ac:dyDescent="0.35"/>
  <cols>
    <col min="1" max="1" width="12" customWidth="1"/>
    <col min="2" max="2" width="15.81640625" customWidth="1"/>
    <col min="3" max="3" width="18.453125" customWidth="1"/>
    <col min="4" max="4" width="19.54296875" customWidth="1"/>
    <col min="5" max="5" width="15.453125" customWidth="1"/>
    <col min="6" max="6" width="15.7265625" customWidth="1"/>
    <col min="7" max="10" width="21.26953125" customWidth="1"/>
    <col min="11" max="11" width="16.81640625" customWidth="1"/>
    <col min="14" max="14" width="13.1796875" customWidth="1"/>
    <col min="15" max="15" width="23.54296875" customWidth="1"/>
    <col min="16" max="16" width="21.54296875" customWidth="1"/>
    <col min="17" max="17" width="21.453125" customWidth="1"/>
    <col min="18" max="18" width="12.453125" customWidth="1"/>
    <col min="20" max="20" width="10.453125" customWidth="1"/>
  </cols>
  <sheetData>
    <row r="1" spans="1:18" ht="31" x14ac:dyDescent="0.35">
      <c r="A1" s="14" t="s">
        <v>15</v>
      </c>
      <c r="B1" s="45" t="s">
        <v>16</v>
      </c>
      <c r="C1" s="14" t="s">
        <v>14</v>
      </c>
      <c r="D1" s="14" t="s">
        <v>13</v>
      </c>
      <c r="E1" s="14" t="s">
        <v>12</v>
      </c>
      <c r="F1" s="15" t="s">
        <v>20</v>
      </c>
      <c r="G1" s="15" t="s">
        <v>21</v>
      </c>
      <c r="H1" s="15" t="s">
        <v>28</v>
      </c>
      <c r="I1" s="15" t="s">
        <v>29</v>
      </c>
      <c r="J1" s="15" t="s">
        <v>30</v>
      </c>
      <c r="K1" s="45" t="s">
        <v>22</v>
      </c>
      <c r="L1" s="15" t="s">
        <v>19</v>
      </c>
      <c r="M1" s="15" t="s">
        <v>23</v>
      </c>
      <c r="N1" s="15" t="s">
        <v>24</v>
      </c>
      <c r="O1" s="67" t="s">
        <v>26</v>
      </c>
      <c r="P1" s="67" t="s">
        <v>27</v>
      </c>
      <c r="Q1" s="67" t="s">
        <v>25</v>
      </c>
    </row>
    <row r="2" spans="1:18" ht="15.5" x14ac:dyDescent="0.35">
      <c r="A2" s="16" t="s">
        <v>0</v>
      </c>
      <c r="B2" s="58">
        <v>53</v>
      </c>
      <c r="C2" s="46"/>
      <c r="D2" s="47"/>
      <c r="E2" s="29">
        <f>E9-E8</f>
        <v>4268785</v>
      </c>
      <c r="F2" s="33">
        <f>E2/E9</f>
        <v>0.81871831238486492</v>
      </c>
      <c r="G2" s="66">
        <f>EXP((LN(1.08)/10)*(B2-53))</f>
        <v>1</v>
      </c>
      <c r="H2" s="66">
        <f t="shared" ref="H2:H7" si="0">G2-1</f>
        <v>0</v>
      </c>
      <c r="I2" s="66">
        <f t="shared" ref="I2:I7" si="1">F2*H2</f>
        <v>0</v>
      </c>
      <c r="J2" s="66"/>
      <c r="K2" s="73">
        <f>F2*G2</f>
        <v>0.81871831238486492</v>
      </c>
      <c r="L2" s="18"/>
      <c r="M2" s="18"/>
      <c r="N2" s="18"/>
      <c r="O2" s="30">
        <v>5269.46</v>
      </c>
      <c r="P2" s="30">
        <v>80092.63</v>
      </c>
      <c r="Q2" s="30">
        <v>85362.08</v>
      </c>
    </row>
    <row r="3" spans="1:18" ht="15.5" x14ac:dyDescent="0.35">
      <c r="A3" s="18" t="s">
        <v>1</v>
      </c>
      <c r="B3" s="59">
        <v>57.5</v>
      </c>
      <c r="C3" s="48">
        <v>327900</v>
      </c>
      <c r="D3" s="48">
        <v>59600</v>
      </c>
      <c r="E3" s="30">
        <f>C3+D3</f>
        <v>387500</v>
      </c>
      <c r="F3" s="33">
        <f>E3/E9</f>
        <v>7.4319354581956029E-2</v>
      </c>
      <c r="G3" s="66">
        <f>EXP((LN(1.08)/10)*(B3-53))</f>
        <v>1.0352391558831511</v>
      </c>
      <c r="H3" s="66">
        <f t="shared" si="0"/>
        <v>3.5239155883151074E-2</v>
      </c>
      <c r="I3" s="66">
        <f t="shared" si="1"/>
        <v>2.6189513212487264E-3</v>
      </c>
      <c r="J3" s="66"/>
      <c r="K3" s="73">
        <f>F3*G3</f>
        <v>7.6938305903204759E-2</v>
      </c>
      <c r="L3" s="18"/>
      <c r="M3" s="18"/>
      <c r="N3" s="18"/>
    </row>
    <row r="4" spans="1:18" ht="15.5" x14ac:dyDescent="0.35">
      <c r="A4" s="18" t="s">
        <v>2</v>
      </c>
      <c r="B4" s="59">
        <v>62.5</v>
      </c>
      <c r="C4" s="48">
        <v>236500</v>
      </c>
      <c r="D4" s="48">
        <v>49500</v>
      </c>
      <c r="E4" s="30">
        <f t="shared" ref="E4:E7" si="2">C4+D4</f>
        <v>286000</v>
      </c>
      <c r="F4" s="33">
        <f>E4/E9</f>
        <v>5.4852478478553353E-2</v>
      </c>
      <c r="G4" s="66">
        <f t="shared" ref="G4:G7" si="3">EXP((LN(1.08)/10)*(B4-53))</f>
        <v>1.0758520895846009</v>
      </c>
      <c r="H4" s="66">
        <f t="shared" si="0"/>
        <v>7.5852089584600879E-2</v>
      </c>
      <c r="I4" s="66">
        <f t="shared" si="1"/>
        <v>4.1606751114926207E-3</v>
      </c>
      <c r="J4" s="66"/>
      <c r="K4" s="73">
        <f t="shared" ref="K4:K7" si="4">F4*G4</f>
        <v>5.9013153590045976E-2</v>
      </c>
      <c r="L4" s="18"/>
      <c r="M4" s="18"/>
      <c r="O4" s="41"/>
      <c r="P4" s="41"/>
      <c r="Q4" s="41"/>
      <c r="R4" s="42"/>
    </row>
    <row r="5" spans="1:18" ht="15.5" x14ac:dyDescent="0.35">
      <c r="A5" s="18" t="s">
        <v>3</v>
      </c>
      <c r="B5" s="59">
        <v>67.5</v>
      </c>
      <c r="C5" s="48">
        <v>167300</v>
      </c>
      <c r="D5" s="48">
        <v>24500</v>
      </c>
      <c r="E5" s="30">
        <f t="shared" si="2"/>
        <v>191800</v>
      </c>
      <c r="F5" s="33">
        <f>E5/E9</f>
        <v>3.6785683119533334E-2</v>
      </c>
      <c r="G5" s="66">
        <f t="shared" si="3"/>
        <v>1.1180582883538033</v>
      </c>
      <c r="H5" s="66">
        <f t="shared" si="0"/>
        <v>0.11805828835380328</v>
      </c>
      <c r="I5" s="66">
        <f t="shared" si="1"/>
        <v>4.3428547850174999E-3</v>
      </c>
      <c r="J5" s="66"/>
      <c r="K5" s="73">
        <f t="shared" si="4"/>
        <v>4.1128537904550837E-2</v>
      </c>
      <c r="L5" s="18"/>
      <c r="M5" s="18"/>
      <c r="O5" s="41"/>
      <c r="P5" s="41"/>
      <c r="Q5" s="41"/>
      <c r="R5" s="42"/>
    </row>
    <row r="6" spans="1:18" ht="15.5" x14ac:dyDescent="0.35">
      <c r="A6" s="18" t="s">
        <v>4</v>
      </c>
      <c r="B6" s="59">
        <v>72.5</v>
      </c>
      <c r="C6" s="48">
        <v>69400</v>
      </c>
      <c r="D6" s="48">
        <v>2800</v>
      </c>
      <c r="E6" s="30">
        <f t="shared" si="2"/>
        <v>72200</v>
      </c>
      <c r="F6" s="33">
        <f>E6/E9</f>
        <v>1.384737393759284E-2</v>
      </c>
      <c r="G6" s="66">
        <f t="shared" si="3"/>
        <v>1.1619202567513689</v>
      </c>
      <c r="H6" s="66">
        <f t="shared" si="0"/>
        <v>0.1619202567513689</v>
      </c>
      <c r="I6" s="66">
        <f t="shared" si="1"/>
        <v>2.2421703433072467E-3</v>
      </c>
      <c r="J6" s="66"/>
      <c r="K6" s="73">
        <f t="shared" si="4"/>
        <v>1.6089544280900085E-2</v>
      </c>
      <c r="L6" s="18"/>
      <c r="M6" s="19"/>
      <c r="N6" s="18"/>
    </row>
    <row r="7" spans="1:18" ht="15.5" x14ac:dyDescent="0.35">
      <c r="A7" s="20" t="s">
        <v>5</v>
      </c>
      <c r="B7" s="60">
        <v>77.5</v>
      </c>
      <c r="C7" s="48">
        <v>7700</v>
      </c>
      <c r="D7" s="48">
        <v>0</v>
      </c>
      <c r="E7" s="30">
        <f t="shared" si="2"/>
        <v>7700</v>
      </c>
      <c r="F7" s="33">
        <f>E7/E9</f>
        <v>1.4767974974995133E-3</v>
      </c>
      <c r="G7" s="66">
        <f t="shared" si="3"/>
        <v>1.2075029514221076</v>
      </c>
      <c r="H7" s="66">
        <f t="shared" si="0"/>
        <v>0.20750295142210762</v>
      </c>
      <c r="I7" s="66">
        <f t="shared" si="1"/>
        <v>3.0643983938393159E-4</v>
      </c>
      <c r="J7" s="66"/>
      <c r="K7" s="73">
        <f t="shared" si="4"/>
        <v>1.783237336883445E-3</v>
      </c>
      <c r="L7" s="18"/>
      <c r="M7" s="18"/>
      <c r="N7" s="18"/>
    </row>
    <row r="8" spans="1:18" ht="15.5" x14ac:dyDescent="0.35">
      <c r="A8" s="21" t="s">
        <v>6</v>
      </c>
      <c r="B8" s="21"/>
      <c r="C8" s="49">
        <f>SUM(C3:C7)</f>
        <v>808800</v>
      </c>
      <c r="D8" s="49">
        <f>SUM(D3:D7)</f>
        <v>136400</v>
      </c>
      <c r="E8" s="28">
        <f>SUM(E3:E7)</f>
        <v>945200</v>
      </c>
      <c r="F8" s="35">
        <f>E8/E9</f>
        <v>0.18128168761513505</v>
      </c>
      <c r="G8" s="36"/>
      <c r="H8" s="36"/>
      <c r="I8" s="37">
        <f>SUM(I2:I7)</f>
        <v>1.3671091400450024E-2</v>
      </c>
      <c r="J8" s="35">
        <f>(I8/(I8+1))*100</f>
        <v>1.3486713310096035</v>
      </c>
      <c r="K8" s="74">
        <f>SUM((F2*G2+F3*G3+F4*G4+F5*G5+F6*G6+F7*G7)-1)/(F2*G2+F3*G3+F4*G4+F5*G5+F6*G6+F7*G7)*100</f>
        <v>1.3486713310095881</v>
      </c>
      <c r="L8" s="38">
        <f>O2*K8/100</f>
        <v>71.067696319017841</v>
      </c>
      <c r="M8" s="38">
        <f>P2*K8/100</f>
        <v>1080.1863390615847</v>
      </c>
      <c r="N8" s="38">
        <f>L8+M8</f>
        <v>1151.2540353806025</v>
      </c>
    </row>
    <row r="9" spans="1:18" ht="15.5" x14ac:dyDescent="0.35">
      <c r="A9" s="22" t="s">
        <v>7</v>
      </c>
      <c r="B9" s="22"/>
      <c r="C9" s="23"/>
      <c r="D9" s="23"/>
      <c r="E9" s="50">
        <v>5213985</v>
      </c>
      <c r="F9" s="39">
        <f>SUM(F2:F7)</f>
        <v>1</v>
      </c>
      <c r="G9" s="40"/>
      <c r="H9" s="40"/>
      <c r="I9" s="40"/>
      <c r="J9" s="40"/>
      <c r="K9" s="40"/>
      <c r="L9" s="40"/>
      <c r="M9" s="40"/>
      <c r="N9" s="40"/>
    </row>
    <row r="10" spans="1:18" x14ac:dyDescent="0.35">
      <c r="A10" s="11"/>
      <c r="B10" s="11"/>
      <c r="C10" s="13"/>
      <c r="D10" s="13"/>
      <c r="E10" s="13"/>
      <c r="F10" s="5"/>
    </row>
    <row r="11" spans="1:18" x14ac:dyDescent="0.35">
      <c r="A11" s="11"/>
      <c r="B11" s="11"/>
      <c r="C11" s="13"/>
      <c r="D11" s="13"/>
      <c r="E11" s="13"/>
      <c r="F11" s="5"/>
    </row>
    <row r="12" spans="1:18" x14ac:dyDescent="0.35">
      <c r="A12" s="11"/>
      <c r="B12" s="11"/>
      <c r="C12" s="13"/>
      <c r="D12" s="13"/>
      <c r="E12" s="13"/>
      <c r="F12" s="70"/>
      <c r="G12" s="70"/>
      <c r="H12" s="70"/>
      <c r="I12" s="70"/>
      <c r="J12" s="70"/>
      <c r="K12" s="71"/>
    </row>
    <row r="13" spans="1:18" x14ac:dyDescent="0.35">
      <c r="A13" s="110"/>
      <c r="B13" s="110"/>
      <c r="C13" s="110"/>
      <c r="F13" s="70"/>
      <c r="G13" s="70"/>
      <c r="H13" s="70"/>
      <c r="I13" s="70"/>
      <c r="J13" s="70"/>
      <c r="K13" s="71"/>
    </row>
    <row r="14" spans="1:18" x14ac:dyDescent="0.35">
      <c r="A14" s="111"/>
      <c r="B14" s="111"/>
      <c r="C14" s="111"/>
      <c r="F14" s="72"/>
      <c r="G14" s="72"/>
      <c r="H14" s="72"/>
      <c r="I14" s="72"/>
      <c r="J14" s="72"/>
      <c r="K14" s="71"/>
    </row>
    <row r="15" spans="1:18" x14ac:dyDescent="0.35">
      <c r="A15" s="62"/>
      <c r="B15" s="63"/>
      <c r="C15" s="56"/>
    </row>
    <row r="16" spans="1:18" x14ac:dyDescent="0.35">
      <c r="B16" s="8"/>
      <c r="C16" s="64"/>
    </row>
    <row r="17" spans="1:3" x14ac:dyDescent="0.35">
      <c r="B17" s="56"/>
      <c r="C17" s="64"/>
    </row>
    <row r="18" spans="1:3" x14ac:dyDescent="0.35">
      <c r="B18" s="8"/>
      <c r="C18" s="64"/>
    </row>
    <row r="19" spans="1:3" x14ac:dyDescent="0.35">
      <c r="B19" s="8"/>
      <c r="C19" s="64"/>
    </row>
    <row r="20" spans="1:3" x14ac:dyDescent="0.35">
      <c r="A20" s="56"/>
      <c r="B20" s="65"/>
      <c r="C20" s="65"/>
    </row>
    <row r="23" spans="1:3" x14ac:dyDescent="0.35">
      <c r="A23" s="2"/>
    </row>
    <row r="33" spans="7:12" x14ac:dyDescent="0.35">
      <c r="G33" s="5"/>
    </row>
    <row r="34" spans="7:12" x14ac:dyDescent="0.35">
      <c r="G34" s="70"/>
      <c r="H34" s="70"/>
      <c r="I34" s="70"/>
      <c r="J34" s="70"/>
      <c r="K34" s="70"/>
      <c r="L34" s="71"/>
    </row>
    <row r="35" spans="7:12" x14ac:dyDescent="0.35">
      <c r="G35" s="70"/>
      <c r="H35" s="70"/>
      <c r="I35" s="70"/>
      <c r="J35" s="70"/>
      <c r="K35" s="70"/>
      <c r="L35" s="71"/>
    </row>
    <row r="36" spans="7:12" x14ac:dyDescent="0.35">
      <c r="G36" s="72"/>
      <c r="H36" s="72"/>
      <c r="I36" s="72"/>
      <c r="J36" s="72"/>
      <c r="K36" s="72"/>
      <c r="L36" s="71"/>
    </row>
  </sheetData>
  <mergeCells count="2">
    <mergeCell ref="A13:C13"/>
    <mergeCell ref="A14:C1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B17EB79AE2164A80F4AFE3B0051146" ma:contentTypeVersion="16" ma:contentTypeDescription="Opprett et nytt dokument." ma:contentTypeScope="" ma:versionID="6bdb926755f4c89fc32634e0fb424225">
  <xsd:schema xmlns:xsd="http://www.w3.org/2001/XMLSchema" xmlns:xs="http://www.w3.org/2001/XMLSchema" xmlns:p="http://schemas.microsoft.com/office/2006/metadata/properties" xmlns:ns2="9e7c1b5f-6b93-4ee4-9fa2-fda8f1b47cf5" xmlns:ns3="e0a242cb-cec1-4671-aa99-615488d5530e" xmlns:ns4="9d23e429-547e-4a13-8b71-070d02c5a1ec" targetNamespace="http://schemas.microsoft.com/office/2006/metadata/properties" ma:root="true" ma:fieldsID="b0d894d6c78ef32a5fd57768bfb40a5e" ns2:_="" ns3:_="" ns4:_="">
    <xsd:import namespace="9e7c1b5f-6b93-4ee4-9fa2-fda8f1b47cf5"/>
    <xsd:import namespace="e0a242cb-cec1-4671-aa99-615488d5530e"/>
    <xsd:import namespace="9d23e429-547e-4a13-8b71-070d02c5a1ec"/>
    <xsd:element name="properties">
      <xsd:complexType>
        <xsd:sequence>
          <xsd:element name="documentManagement">
            <xsd:complexType>
              <xsd:all>
                <xsd:element ref="ns2:FHI_TopicTaxHTField" minOccurs="0"/>
                <xsd:element ref="ns3:TaxCatchAll" minOccurs="0"/>
                <xsd:element ref="ns3:TaxKeywordTaxHTField" minOccurs="0"/>
                <xsd:element ref="ns4:MediaServiceMetadata" minOccurs="0"/>
                <xsd:element ref="ns4:MediaServiceFastMetadata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4:MediaServiceDateTake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c1b5f-6b93-4ee4-9fa2-fda8f1b47cf5" elementFormDefault="qualified">
    <xsd:import namespace="http://schemas.microsoft.com/office/2006/documentManagement/types"/>
    <xsd:import namespace="http://schemas.microsoft.com/office/infopath/2007/PartnerControls"/>
    <xsd:element name="FHI_TopicTaxHTField" ma:index="8" nillable="true" ma:taxonomy="true" ma:internalName="FHI_TopicTaxHTField" ma:taxonomyFieldName="FHI_Topic" ma:displayName="Tema" ma:default="1;#Støy|8f2d7361-ae3f-42e5-b515-973ba07fa140;#2;#Sykdomsbyrde|1cb2573e-d91b-47cf-a8ed-abd0332371f0;#3;#Tiltaksevaluering|f66b640f-3a82-426b-a122-d397e5660cc7" ma:fieldId="{5eb9fa72-8a58-4312-8bc5-a126a30b4fb3}" ma:taxonomyMulti="true" ma:sspId="e7140caa-8402-4c36-9a5d-f51276ec0a9c" ma:termSetId="10ab213d-8882-42de-b940-43a869fe753a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a242cb-cec1-4671-aa99-615488d5530e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description="" ma:hidden="true" ma:list="{a9d08d39-cb37-4a7e-8b65-4c0011ffa8bc}" ma:internalName="TaxCatchAll" ma:showField="CatchAllData" ma:web="e0a242cb-cec1-4671-aa99-615488d553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11" nillable="true" ma:taxonomy="true" ma:internalName="TaxKeywordTaxHTField" ma:taxonomyFieldName="TaxKeyword" ma:displayName="Organisasjonsnøkkelord" ma:fieldId="{23f27201-bee3-471e-b2e7-b64fd8b7ca38}" ma:taxonomyMulti="true" ma:sspId="e7140caa-8402-4c36-9a5d-f51276ec0a9c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SharedWithUsers" ma:index="15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23e429-547e-4a13-8b71-070d02c5a1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Bildemerkelapper" ma:readOnly="false" ma:fieldId="{5cf76f15-5ced-4ddc-b409-7134ff3c332f}" ma:taxonomyMulti="true" ma:sspId="e7140caa-8402-4c36-9a5d-f51276ec0a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HI_TopicTaxHTField xmlns="9e7c1b5f-6b93-4ee4-9fa2-fda8f1b47c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Støy</TermName>
          <TermId xmlns="http://schemas.microsoft.com/office/infopath/2007/PartnerControls">8f2d7361-ae3f-42e5-b515-973ba07fa140</TermId>
        </TermInfo>
        <TermInfo xmlns="http://schemas.microsoft.com/office/infopath/2007/PartnerControls">
          <TermName xmlns="http://schemas.microsoft.com/office/infopath/2007/PartnerControls">Sykdomsbyrde</TermName>
          <TermId xmlns="http://schemas.microsoft.com/office/infopath/2007/PartnerControls">1cb2573e-d91b-47cf-a8ed-abd0332371f0</TermId>
        </TermInfo>
        <TermInfo xmlns="http://schemas.microsoft.com/office/infopath/2007/PartnerControls">
          <TermName xmlns="http://schemas.microsoft.com/office/infopath/2007/PartnerControls">Miljø og helse</TermName>
          <TermId xmlns="http://schemas.microsoft.com/office/infopath/2007/PartnerControls">87be7d37-248c-4b3c-9204-980558e4f787</TermId>
        </TermInfo>
        <TermInfo xmlns="http://schemas.microsoft.com/office/infopath/2007/PartnerControls">
          <TermName xmlns="http://schemas.microsoft.com/office/infopath/2007/PartnerControls">Miljøeksponering</TermName>
          <TermId xmlns="http://schemas.microsoft.com/office/infopath/2007/PartnerControls">d9196c48-ce51-47cd-b0d2-6ebc45d8709a</TermId>
        </TermInfo>
      </Terms>
    </FHI_TopicTaxHTField>
    <TaxCatchAll xmlns="e0a242cb-cec1-4671-aa99-615488d5530e">
      <Value>15</Value>
      <Value>10</Value>
      <Value>2</Value>
      <Value>1</Value>
    </TaxCatchAll>
    <TaxKeywordTaxHTField xmlns="e0a242cb-cec1-4671-aa99-615488d5530e">
      <Terms xmlns="http://schemas.microsoft.com/office/infopath/2007/PartnerControls"/>
    </TaxKeywordTaxHTField>
    <lcf76f155ced4ddcb4097134ff3c332f xmlns="9d23e429-547e-4a13-8b71-070d02c5a1e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4A4E13C-9AD0-4A6A-9D51-20AD50148D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F6BACD-FB0D-4A79-B41F-209A25C084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7c1b5f-6b93-4ee4-9fa2-fda8f1b47cf5"/>
    <ds:schemaRef ds:uri="e0a242cb-cec1-4671-aa99-615488d5530e"/>
    <ds:schemaRef ds:uri="9d23e429-547e-4a13-8b71-070d02c5a1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136E82-55D6-4201-8C86-EA83CE955D86}">
  <ds:schemaRefs>
    <ds:schemaRef ds:uri="http://schemas.microsoft.com/office/2006/metadata/properties"/>
    <ds:schemaRef ds:uri="http://schemas.microsoft.com/office/infopath/2007/PartnerControls"/>
    <ds:schemaRef ds:uri="9e7c1b5f-6b93-4ee4-9fa2-fda8f1b47cf5"/>
    <ds:schemaRef ds:uri="e0a242cb-cec1-4671-aa99-615488d5530e"/>
    <ds:schemaRef ds:uri="9d23e429-547e-4a13-8b71-070d02c5a1e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Absolute_risk_HA</vt:lpstr>
      <vt:lpstr>Absolute_risk_HA_WS1_WP5</vt:lpstr>
      <vt:lpstr>Sheet2</vt:lpstr>
      <vt:lpstr>Absolute_risk_HSD</vt:lpstr>
      <vt:lpstr>geo_id_1_rr_IHD_WHO_2003a</vt:lpstr>
      <vt:lpstr>geo_id_2_rr_IHD_WHO_2003a</vt:lpstr>
      <vt:lpstr>geo_id_3_rr_IHD_WHO_2003a (2)</vt:lpstr>
      <vt:lpstr>Relative_risk_IHD_WHO_2003b</vt:lpstr>
    </vt:vector>
  </TitlesOfParts>
  <Manager/>
  <Company>FHI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Aasvang, Gunn Marit</dc:creator>
  <cp:keywords/>
  <dc:description/>
  <cp:lastModifiedBy>Axel Luyten</cp:lastModifiedBy>
  <cp:revision/>
  <dcterms:created xsi:type="dcterms:W3CDTF">2020-04-28T14:33:49Z</dcterms:created>
  <dcterms:modified xsi:type="dcterms:W3CDTF">2025-03-19T13:01:03Z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0x01010000B17EB79AE2164A80F4AFE3B0051146</vt:lpwstr>
  </property>
  <property fmtid="{D5CDD505-2E9C-101B-9397-08002B2CF9AE}" pid="3" name="TaxKeyword">
    <vt:lpwstr/>
  </property>
  <property fmtid="{D5CDD505-2E9C-101B-9397-08002B2CF9AE}" pid="4" name="FHI_Topic">
    <vt:lpwstr>1;#Støy|8f2d7361-ae3f-42e5-b515-973ba07fa140;#2;#Sykdomsbyrde|1cb2573e-d91b-47cf-a8ed-abd0332371f0;#10;#Miljø og helse|87be7d37-248c-4b3c-9204-980558e4f787;#15;#Miljøeksponering|d9196c48-ce51-47cd-b0d2-6ebc45d8709a</vt:lpwstr>
  </property>
  <property fmtid="{D5CDD505-2E9C-101B-9397-08002B2CF9AE}" pid="5" name="MediaServiceImageTags">
    <vt:lpwstr/>
  </property>
</Properties>
</file>