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F169FF9-DA49-4FE4-8268-2EA380C6F6CF}" xr6:coauthVersionLast="31" xr6:coauthVersionMax="31" xr10:uidLastSave="{00000000-0000-0000-0000-000000000000}"/>
  <bookViews>
    <workbookView xWindow="0" yWindow="0" windowWidth="22260" windowHeight="12650" firstSheet="1" activeTab="1" xr2:uid="{00000000-000D-0000-FFFF-FFFF00000000}"/>
  </bookViews>
  <sheets>
    <sheet name="Tabelle1" sheetId="1" r:id="rId1"/>
    <sheet name="Grobkonzept 1" sheetId="3" r:id="rId2"/>
    <sheet name="Grobkonzept 2" sheetId="6" r:id="rId3"/>
    <sheet name="Grobkonzept 3" sheetId="7" r:id="rId4"/>
    <sheet name="Grobkonzept 4" sheetId="2" r:id="rId5"/>
    <sheet name="Grobkonzept 3 misch" sheetId="4" r:id="rId6"/>
    <sheet name="Grobkonzept 2 misch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F10" i="7"/>
  <c r="F9" i="7"/>
  <c r="F8" i="7"/>
  <c r="F7" i="7"/>
  <c r="C11" i="7"/>
  <c r="C13" i="7" s="1"/>
  <c r="I10" i="4"/>
  <c r="H7" i="5"/>
  <c r="C11" i="6"/>
  <c r="C12" i="6" s="1"/>
  <c r="F7" i="6" s="1"/>
  <c r="C12" i="7" l="1"/>
  <c r="F8" i="6"/>
  <c r="F13" i="6" s="1"/>
  <c r="F14" i="6" s="1"/>
  <c r="F18" i="6" s="1"/>
  <c r="F20" i="6" s="1"/>
  <c r="F11" i="6"/>
  <c r="F10" i="6"/>
  <c r="F9" i="6"/>
  <c r="C13" i="6"/>
  <c r="I16" i="4"/>
  <c r="I15" i="4"/>
  <c r="I13" i="4"/>
  <c r="I12" i="4"/>
  <c r="I11" i="4"/>
  <c r="I9" i="4"/>
  <c r="I8" i="4"/>
  <c r="I7" i="4"/>
  <c r="H17" i="5" l="1"/>
  <c r="H16" i="5"/>
  <c r="H11" i="5"/>
  <c r="H10" i="5"/>
  <c r="H9" i="5"/>
  <c r="H8" i="5"/>
  <c r="F13" i="7" l="1"/>
  <c r="F14" i="7" s="1"/>
  <c r="F18" i="7" s="1"/>
  <c r="F20" i="7" s="1"/>
  <c r="H12" i="5"/>
  <c r="H13" i="5" s="1"/>
  <c r="N31" i="3"/>
  <c r="N29" i="3"/>
  <c r="N26" i="3"/>
  <c r="N25" i="3"/>
  <c r="C11" i="3"/>
  <c r="C13" i="3" s="1"/>
  <c r="C12" i="3" l="1"/>
  <c r="N18" i="2" l="1"/>
  <c r="E15" i="2" l="1"/>
  <c r="H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7" i="2"/>
  <c r="K23" i="2" l="1"/>
  <c r="N12" i="2" s="1"/>
  <c r="H8" i="2"/>
  <c r="H9" i="2"/>
  <c r="H10" i="2"/>
  <c r="H11" i="2"/>
  <c r="H12" i="2"/>
  <c r="H13" i="2"/>
  <c r="H14" i="2"/>
  <c r="H15" i="2"/>
  <c r="H16" i="2"/>
  <c r="H17" i="2"/>
  <c r="H18" i="2"/>
  <c r="O6" i="1"/>
  <c r="N6" i="1"/>
  <c r="P7" i="1"/>
  <c r="L3" i="1"/>
  <c r="L4" i="1"/>
  <c r="H19" i="2" l="1"/>
  <c r="N11" i="2" s="1"/>
  <c r="L2" i="1"/>
  <c r="N2" i="1" s="1"/>
  <c r="N10" i="2" l="1"/>
  <c r="N7" i="2"/>
  <c r="N8" i="2"/>
  <c r="N9" i="2"/>
  <c r="Q14" i="1"/>
  <c r="Q13" i="1"/>
  <c r="N13" i="2" l="1"/>
  <c r="N14" i="2" s="1"/>
  <c r="N20" i="2" s="1"/>
  <c r="Q21" i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<sst xmlns="http://schemas.openxmlformats.org/spreadsheetml/2006/main" count="199" uniqueCount="112">
  <si>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</si>
  <si>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</si>
  <si>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</si>
  <si>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</si>
  <si>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</si>
  <si>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</si>
  <si>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</si>
  <si>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</si>
  <si>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</si>
  <si>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</si>
  <si>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</si>
  <si>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</si>
  <si>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</si>
  <si>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</si>
  <si>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</si>
  <si>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</si>
  <si>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</si>
  <si>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</si>
  <si>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</si>
  <si>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</si>
  <si>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</si>
  <si>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</si>
  <si>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</si>
  <si>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</si>
  <si>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</si>
  <si>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</si>
  <si>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</si>
  <si>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</si>
  <si>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</si>
  <si>
    <t>Gewichtskraft g [m/s^2]:</t>
  </si>
  <si>
    <t xml:space="preserve">Dichte p [Kg/m^3] </t>
  </si>
  <si>
    <t>Wasser pro Person [l]</t>
  </si>
  <si>
    <t>Etagenhöhe [m]</t>
  </si>
  <si>
    <t>Personen pro benutze Etage</t>
  </si>
  <si>
    <t>E in MJ</t>
  </si>
  <si>
    <t>m = V*p*n*</t>
  </si>
  <si>
    <t>Block 1</t>
  </si>
  <si>
    <t>Block 2-6</t>
  </si>
  <si>
    <t xml:space="preserve"> Block 1</t>
  </si>
  <si>
    <t>Pro Block</t>
  </si>
  <si>
    <t>Blockhöhe 2-6 [m]</t>
  </si>
  <si>
    <t>Blockhöhe 1 [m]</t>
  </si>
  <si>
    <t>Höhe gesamt bis Kanilisation</t>
  </si>
  <si>
    <t>E = m*g*(h2_6)-4.72*x)    |x= 1-&gt; 12</t>
  </si>
  <si>
    <t>E = m*g*(h1-4.72*x)    |x= 1-&gt; 16</t>
  </si>
  <si>
    <t>E= Eblock + (m*nBlockEtagen(12)*g*(hges-x)  |x=1-&gt;</t>
  </si>
  <si>
    <t>Block 1 gesamt</t>
  </si>
  <si>
    <t>Block 2 gesamt</t>
  </si>
  <si>
    <t>Block 3 gesamt</t>
  </si>
  <si>
    <t>Block 4 gesamt</t>
  </si>
  <si>
    <t>Block 5 gesamt</t>
  </si>
  <si>
    <t>Block 6 gesamt</t>
  </si>
  <si>
    <t>Total</t>
  </si>
  <si>
    <t>Wirkungsgrad</t>
  </si>
  <si>
    <t>Total mit Wirkungsgrad</t>
  </si>
  <si>
    <t>Pro Tag</t>
  </si>
  <si>
    <t>Leistung [kWh]</t>
  </si>
  <si>
    <t>Stromkosten 1 kWh [CHF]</t>
  </si>
  <si>
    <t>Ersparnis pro Tag [Fr]</t>
  </si>
  <si>
    <r>
      <t xml:space="preserve">Dichte Wasser </t>
    </r>
    <r>
      <rPr>
        <sz val="11"/>
        <color theme="1"/>
        <rFont val="Calibri"/>
        <family val="2"/>
      </rPr>
      <t>ρ [kg/m^3]:</t>
    </r>
  </si>
  <si>
    <t>Wasser pro Etage V [m^3]:</t>
  </si>
  <si>
    <t>Etagenhöhe h [m]:</t>
  </si>
  <si>
    <r>
      <t xml:space="preserve">Wirkungsgrad </t>
    </r>
    <r>
      <rPr>
        <sz val="11"/>
        <color theme="1"/>
        <rFont val="Calibri"/>
        <family val="2"/>
      </rPr>
      <t>η:</t>
    </r>
  </si>
  <si>
    <r>
      <t xml:space="preserve">Reibungkoeffizient </t>
    </r>
    <r>
      <rPr>
        <sz val="11"/>
        <color theme="1"/>
        <rFont val="Calibri"/>
        <family val="2"/>
      </rPr>
      <t>µ:</t>
    </r>
  </si>
  <si>
    <t>Zeit t [s]:</t>
  </si>
  <si>
    <t>Eingabeparamteter:</t>
  </si>
  <si>
    <t>Wert:</t>
  </si>
  <si>
    <t>Dichte Wasser ρ [kg/m^3]:</t>
  </si>
  <si>
    <t>Wirkungsgrad η:</t>
  </si>
  <si>
    <t>Reibungkoeffizient µ:</t>
  </si>
  <si>
    <t>Abstand Turbine [m]</t>
  </si>
  <si>
    <t>6oben</t>
  </si>
  <si>
    <t>7 mitte</t>
  </si>
  <si>
    <t>9 unten</t>
  </si>
  <si>
    <t>50 gesamt</t>
  </si>
  <si>
    <t>Wasser pro Etage [l]</t>
  </si>
  <si>
    <t>Wasser pro Block 2-6 [l]</t>
  </si>
  <si>
    <t>Wasser pro Block 1 [l]</t>
  </si>
  <si>
    <t>Wassergeschwindigkeit 2 Etagen [m/s]</t>
  </si>
  <si>
    <t>Wassergeschwindigkeit 1 Etage [m/s]</t>
  </si>
  <si>
    <t>Block 2</t>
  </si>
  <si>
    <t>Block 3</t>
  </si>
  <si>
    <t>Block 4</t>
  </si>
  <si>
    <t>Block 5</t>
  </si>
  <si>
    <t>Block 6</t>
  </si>
  <si>
    <t>Tank 2 (130m)</t>
  </si>
  <si>
    <t>Tank 3 (195m)</t>
  </si>
  <si>
    <t>Tank 5 (325m)</t>
  </si>
  <si>
    <t>Tank 4 (260m)</t>
  </si>
  <si>
    <t>Tank 1   (65m)</t>
  </si>
  <si>
    <r>
      <t xml:space="preserve">Total mit </t>
    </r>
    <r>
      <rPr>
        <sz val="11"/>
        <color theme="1"/>
        <rFont val="Calibri"/>
        <family val="2"/>
      </rPr>
      <t>η &amp; µ</t>
    </r>
  </si>
  <si>
    <t>Preis 1 kWh [CHF]</t>
  </si>
  <si>
    <t>Gewinn [CHF]</t>
  </si>
  <si>
    <t>E=(12∗V∗ρ∗2∗g∗130m)/(2∗10EE6)</t>
  </si>
  <si>
    <t>E=(12∗V∗ρ∗2∗g∗195m)/(2∗10EE6)</t>
  </si>
  <si>
    <t>E=(12∗V∗ρ∗2∗g∗65m)/(2∗10EE6)</t>
  </si>
  <si>
    <t>E=(12∗V∗ρ∗2∗g∗260m)/(2∗10EE6)</t>
  </si>
  <si>
    <t>E=(12∗V∗ρ∗2∗g∗325m)/(2∗10EE6)</t>
  </si>
  <si>
    <t>Turbine 1 (325m)</t>
  </si>
  <si>
    <t>Turbine 2 (260m)</t>
  </si>
  <si>
    <t>Turbine 3 (195m)</t>
  </si>
  <si>
    <t>Turbine 4 (130m)</t>
  </si>
  <si>
    <t>Turbine 5   (65m)</t>
  </si>
  <si>
    <r>
      <t>E=(12*V*</t>
    </r>
    <r>
      <rPr>
        <sz val="11"/>
        <color theme="1"/>
        <rFont val="Calibri"/>
        <family val="2"/>
      </rPr>
      <t>ρ*g*65m*(1+η)^0)/10EE6</t>
    </r>
  </si>
  <si>
    <t>E=(12*V*ρ*g*65m*(1+η)^1)/10EE6</t>
  </si>
  <si>
    <t>E=(12*V*ρ*g*65m*(1+η)^2)/10EE6</t>
  </si>
  <si>
    <t>E=(12*V*ρ*g*65m*(1+η)^3)/10EE6</t>
  </si>
  <si>
    <t>E=(12*V*ρ*g*65m*(1+η)^4)/10EE6</t>
  </si>
  <si>
    <t>v= Wurzel(2 *g * h)</t>
  </si>
  <si>
    <t>Benutze Etagen Block 1</t>
  </si>
  <si>
    <t>Benutze Etagen pro Block 2-6</t>
  </si>
  <si>
    <t>E = 0.5 * m * 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</si>
</sst>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00000"/>
    <numFmt numFmtId="166" formatCode="0.0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  <xf numFmtId="43" fontId="0" fillId="0" borderId="0" xfId="0" applyNumberFormat="1"/>
    <xf numFmtId="2" fontId="0" fillId="3" borderId="0" xfId="1" applyNumberFormat="1" applyFont="1" applyFill="1" applyAlignment="1">
      <alignment horizontal="left" vertical="center" indent="1"/>
    </xf>
    <xf numFmtId="2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" fontId="0" fillId="3" borderId="0" xfId="1" applyNumberFormat="1" applyFont="1" applyFill="1" applyAlignment="1">
      <alignment horizontal="left" vertical="center" indent="1"/>
    </xf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2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indent="1"/>
    </xf>
    <xf numFmtId="2" fontId="0" fillId="0" borderId="0" xfId="1" applyNumberFormat="1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center"/>
    </xf>
    <xf numFmtId="0" fontId="0" fillId="7" borderId="10" xfId="0" applyFill="1" applyBorder="1"/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left"/>
    </xf>
    <xf numFmtId="2" fontId="0" fillId="7" borderId="1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0" fillId="2" borderId="0" xfId="0" applyFill="1"/>
    <xf numFmtId="3" fontId="0" fillId="0" borderId="0" xfId="0" applyNumberFormat="1"/>
    <xf numFmtId="166" fontId="0" fillId="3" borderId="0" xfId="1" applyNumberFormat="1" applyFont="1" applyFill="1" applyAlignment="1">
      <alignment horizontal="left" vertical="center" indent="1"/>
    </xf>
    <xf numFmtId="167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Alignment="1">
      <alignment horizontal="left" wrapText="1" indent="1"/>
    </xf>
    <xf numFmtId="2" fontId="0" fillId="3" borderId="0" xfId="0" applyNumberFormat="1" applyFill="1" applyBorder="1" applyAlignment="1">
      <alignment horizontal="left" indent="1"/>
    </xf>
    <xf numFmtId="2" fontId="0" fillId="3" borderId="0" xfId="0" applyNumberFormat="1" applyFill="1" applyAlignment="1">
      <alignment horizontal="left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7" xfId="0" applyBorder="1"/>
    <xf numFmtId="0" fontId="0" fillId="0" borderId="2" xfId="0" applyBorder="1"/>
    <xf numFmtId="0" fontId="0" fillId="0" borderId="17" xfId="0" applyBorder="1"/>
    <xf numFmtId="0" fontId="0" fillId="0" borderId="3" xfId="0" applyBorder="1"/>
    <xf numFmtId="0" fontId="3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/>
    <xf numFmtId="0" fontId="0" fillId="9" borderId="17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vertical="center" wrapText="1"/>
    </xf>
    <xf numFmtId="164" fontId="0" fillId="0" borderId="0" xfId="0" applyNumberFormat="1"/>
    <xf numFmtId="2" fontId="0" fillId="0" borderId="13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/>
    </xf>
    <xf numFmtId="2" fontId="0" fillId="8" borderId="1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wrapText="1"/>
    </xf>
    <xf numFmtId="0" fontId="0" fillId="8" borderId="13" xfId="0" applyFill="1" applyBorder="1" applyAlignment="1">
      <alignment horizontal="center" wrapText="1"/>
    </xf>
  </cellXfs>
  <cellStyles count="2">
    <cellStyle name="Komma" xfId="1" builtinId="3"/>
    <cellStyle name="Standard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4E74FF"/>
      <color rgb="FF5340FF"/>
      <color rgb="FFFFB657"/>
      <color rgb="FFFFCC66"/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14942</xdr:colOff>
      <xdr:row>9</xdr:row>
      <xdr:rowOff>14942</xdr:rowOff>
    </xdr:from>
    <xdr:to>
      <xdr:col>10</xdr:col>
      <xdr:colOff>246529</xdr:colOff>
      <xdr:row>11</xdr:row>
      <xdr:rowOff>176345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A5E8DD3-809B-417B-9CB7-1BFE3716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766" y="1695824"/>
          <a:ext cx="3279587" cy="534933"/>
        </a:xfrm>
        <a:prstGeom prst="rect">
          <a:avLst/>
        </a:prstGeom>
      </xdr:spPr>
    </xdr:pic>
    <xdr:clientData/>
  </xdr:twoCellAnchor>
  <xdr:twoCellAnchor editAs="oneCell">
    <xdr:from>
      <xdr:col>6</xdr:col>
      <xdr:colOff>29308</xdr:colOff>
      <xdr:row>21</xdr:row>
      <xdr:rowOff>12937</xdr:rowOff>
    </xdr:from>
    <xdr:to>
      <xdr:col>10</xdr:col>
      <xdr:colOff>60299</xdr:colOff>
      <xdr:row>24</xdr:row>
      <xdr:rowOff>3871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F758568-557F-4085-94F5-D0D23BF9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9385" y="4272322"/>
          <a:ext cx="3078991" cy="543593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6</xdr:row>
      <xdr:rowOff>57784</xdr:rowOff>
    </xdr:from>
    <xdr:to>
      <xdr:col>12</xdr:col>
      <xdr:colOff>617925</xdr:colOff>
      <xdr:row>8</xdr:row>
      <xdr:rowOff>122769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F71002-9440-462F-B782-3F0C6F93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0649" y="1178372"/>
          <a:ext cx="5199528" cy="438515"/>
        </a:xfrm>
        <a:prstGeom prst="rect">
          <a:avLst/>
        </a:prstGeom>
      </xdr:spPr>
    </xdr:pic>
    <xdr:clientData/>
  </xdr:twoCellAnchor>
  <xdr:twoCellAnchor editAs="oneCell">
    <xdr:from>
      <xdr:col>6</xdr:col>
      <xdr:colOff>16745</xdr:colOff>
      <xdr:row>13</xdr:row>
      <xdr:rowOff>32459</xdr:rowOff>
    </xdr:from>
    <xdr:to>
      <xdr:col>10</xdr:col>
      <xdr:colOff>144517</xdr:colOff>
      <xdr:row>14</xdr:row>
      <xdr:rowOff>184292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7C5FB83-BF0F-444A-ADAD-8E6A68F0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1538" y="2423562"/>
          <a:ext cx="3175772" cy="519696"/>
        </a:xfrm>
        <a:prstGeom prst="rect">
          <a:avLst/>
        </a:prstGeom>
      </xdr:spPr>
    </xdr:pic>
    <xdr:clientData/>
  </xdr:twoCellAnchor>
  <xdr:twoCellAnchor editAs="oneCell">
    <xdr:from>
      <xdr:col>6</xdr:col>
      <xdr:colOff>13655</xdr:colOff>
      <xdr:row>15</xdr:row>
      <xdr:rowOff>23239</xdr:rowOff>
    </xdr:from>
    <xdr:to>
      <xdr:col>10</xdr:col>
      <xdr:colOff>197069</xdr:colOff>
      <xdr:row>17</xdr:row>
      <xdr:rowOff>178228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A0085CE-35C4-4CAF-9BA8-07D94678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8448" y="3150067"/>
          <a:ext cx="3231414" cy="522851"/>
        </a:xfrm>
        <a:prstGeom prst="rect">
          <a:avLst/>
        </a:prstGeom>
      </xdr:spPr>
    </xdr:pic>
    <xdr:clientData/>
  </xdr:twoCellAnchor>
  <xdr:twoCellAnchor editAs="oneCell">
    <xdr:from>
      <xdr:col>6</xdr:col>
      <xdr:colOff>7471</xdr:colOff>
      <xdr:row>18</xdr:row>
      <xdr:rowOff>22412</xdr:rowOff>
    </xdr:from>
    <xdr:to>
      <xdr:col>10</xdr:col>
      <xdr:colOff>267951</xdr:colOff>
      <xdr:row>21</xdr:row>
      <xdr:rowOff>788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3D0FA5B-FBF0-4D22-B5E4-596168BA0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13295" y="3742765"/>
          <a:ext cx="3308480" cy="5378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29" dataDxfId="28" totalsRowDxfId="27"/>
    <tableColumn id="2" xr3:uid="{74FA20B8-17BD-4BBA-81C4-F0A4F1969D94}" name="Wert" totalsRowFunction="sum" headerRowDxfId="26" dataDxfId="25" totalsRowDxfId="24" headerRowCellStyle="Komma" dataCellStyle="Komm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388F2-4887-4954-9A25-F0E8846E9A07}" name="Tabelle5234" displayName="Tabelle5234" ref="B7:C20" headerRowCount="0">
  <tableColumns count="2">
    <tableColumn id="1" xr3:uid="{441C20C1-2F4B-4566-B629-442D86C1BF54}" name="Einheit" totalsRowLabel="Ergebnis" headerRowDxfId="23" dataDxfId="22" totalsRowDxfId="21"/>
    <tableColumn id="2" xr3:uid="{2D66F7F2-7825-479B-BFB1-5300857E5C8E}" name="Wert" totalsRowFunction="sum" headerRowDxfId="20" dataDxfId="19" totalsRowDxfId="18" headerRowCellStyle="Komma" dataCellStyle="Komma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43B6E6-9D26-4EED-99FC-7BC708784230}" name="Tabelle52343" displayName="Tabelle52343" ref="B7:C20" headerRowCount="0">
  <tableColumns count="2">
    <tableColumn id="1" xr3:uid="{17CD5B59-FCCA-490E-BC34-1156D8F61388}" name="Einheit" totalsRowLabel="Ergebnis" headerRowDxfId="10" dataDxfId="9" totalsRowDxfId="11"/>
    <tableColumn id="2" xr3:uid="{9EA22398-EF4F-4CD4-9E4C-372521DC2965}" name="Wert" totalsRowFunction="sum" headerRowDxfId="7" dataDxfId="6" totalsRowDxfId="8" headerRowCellStyle="Komma" dataCellStyle="Komma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0065A7-448C-41A6-B927-B964CA642EBC}" name="Tabelle523435" displayName="Tabelle523435" ref="B7:C20" headerRowCount="0">
  <tableColumns count="2">
    <tableColumn id="1" xr3:uid="{668B213C-821C-4C11-B51D-1204217E3F92}" name="Einheit" totalsRowLabel="Ergebnis" headerRowDxfId="4" dataDxfId="3" totalsRowDxfId="5"/>
    <tableColumn id="2" xr3:uid="{7137C260-F60F-472B-884D-26B5E16880DE}" name="Wert" totalsRowFunction="sum" headerRowDxfId="1" dataDxfId="0" totalsRowDxfId="2" headerRowCellStyle="Komma" dataCellStyle="Komma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0961-3964-4231-819B-2915A7872939}" name="Tabelle52" displayName="Tabelle52" ref="D7:E17" headerRowCount="0">
  <tableColumns count="2">
    <tableColumn id="1" xr3:uid="{6BCF05AC-02C5-4CDB-8CD2-29F7371A94D5}" name="Einheit" totalsRowLabel="Ergebnis" headerRowDxfId="17" dataDxfId="16" totalsRowDxfId="15"/>
    <tableColumn id="2" xr3:uid="{C19263DD-D321-4310-98D1-88B65D7508FA}" name="Wert" totalsRowFunction="sum" headerRowDxfId="14" dataDxfId="13" totalsRowDxfId="12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opLeftCell="A4" workbookViewId="0">
      <selection activeCell="Q2" sqref="Q2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406*N6</f>
        <v>40628.99554560001</v>
      </c>
      <c r="N2" s="84">
        <f>L2*0.7</f>
        <v>28440.296881920007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100.07141760000002</v>
      </c>
      <c r="O6" s="22">
        <f>(L8*L10*L6*B6)/(L16*1000)</f>
        <v>120.85920000000002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125.08927200000002</v>
      </c>
      <c r="O7" s="23">
        <f>(L8*L10*L6*B7)/(L16*1000)</f>
        <v>151.07400000000001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1.54</v>
      </c>
      <c r="M8" s="19"/>
      <c r="N8" s="26">
        <f>O8*L12*L14</f>
        <v>187.63390800000005</v>
      </c>
      <c r="O8" s="23">
        <f>(L8*L10*L6*B8)/(L16*1000)</f>
        <v>226.61100000000002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375.2678160000001</v>
      </c>
      <c r="O9" s="20">
        <f>(L8*L10*L6*B9)/(L16*1000)</f>
        <v>453.22200000000004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500.35708800000009</v>
      </c>
      <c r="O10" s="20">
        <f>(L8*L10*L6*B10)/(L16*1000)</f>
        <v>604.29600000000005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625.44636000000014</v>
      </c>
      <c r="O11" s="20">
        <f>(L8*L10*L6*B11)/(L16*1000)</f>
        <v>755.37000000000012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750.53563200000019</v>
      </c>
      <c r="O12" s="23">
        <f>(L8*L10*L6*B12)/(L16*1000)</f>
        <v>906.44400000000007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775.55348640000011</v>
      </c>
      <c r="O13" s="23">
        <f>(L8*L10*L6*B13)/(L16*1000)</f>
        <v>936.65880000000004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813.08026800000016</v>
      </c>
      <c r="O14" s="23">
        <f>(L8*L10*L6*B14)/(L16*1000)</f>
        <v>981.98100000000011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875.62490400000013</v>
      </c>
      <c r="O15" s="35">
        <f>(L8*L10*L6*B15)/(L16*1000)</f>
        <v>1057.518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1250.8927200000003</v>
      </c>
      <c r="O16" s="20">
        <f>(L8*L10*L6*B16)/(L16*1000)</f>
        <v>1510.7400000000002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1688.7051720000004</v>
      </c>
      <c r="O17" s="35">
        <f>(L8*L10*L6*B17)/(L16*1000)</f>
        <v>2039.4990000000003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2564.3300760000002</v>
      </c>
      <c r="O18" s="35">
        <f>(L8*L10*L6*B18)/(L16*1000)</f>
        <v>3097.0170000000003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3377.4103440000008</v>
      </c>
      <c r="O19" s="35">
        <f>(L8*L10*L6*B19)/(L16*1000)</f>
        <v>4078.9980000000005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3752.6781600000008</v>
      </c>
      <c r="O20" s="20">
        <f>(L8*L10*L6*B20)/(L16*1000)</f>
        <v>4532.22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4190.4906120000014</v>
      </c>
      <c r="O21" s="40">
        <f>(L8*L10*L6*B21)/(L16*1000)</f>
        <v>5060.9790000000012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19.235343099931498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C799-4F27-4E3F-9567-FD6C6FBCCBF7}">
  <dimension ref="B2:P83"/>
  <sheetViews>
    <sheetView showGridLines="0" tabSelected="1" topLeftCell="E1" zoomScale="70" zoomScaleNormal="70" workbookViewId="0">
      <selection activeCell="G26" sqref="G26"/>
    </sheetView>
  </sheetViews>
  <sheetFormatPr baseColWidth="10" defaultRowHeight="14.5" x14ac:dyDescent="0.35"/>
  <cols>
    <col min="2" max="2" width="26.1796875" style="14" customWidth="1"/>
    <col min="3" max="3" width="11.7265625" style="16" customWidth="1"/>
    <col min="4" max="4" width="9" style="18" customWidth="1"/>
    <col min="5" max="5" width="6.36328125" customWidth="1"/>
    <col min="6" max="6" width="14.54296875" customWidth="1"/>
    <col min="12" max="12" width="11.7265625" customWidth="1"/>
    <col min="13" max="13" width="12.6328125" customWidth="1"/>
    <col min="14" max="14" width="12.08984375" customWidth="1"/>
  </cols>
  <sheetData>
    <row r="2" spans="2:14" x14ac:dyDescent="0.35">
      <c r="N2" s="18"/>
    </row>
    <row r="3" spans="2:14" x14ac:dyDescent="0.35">
      <c r="E3" s="18"/>
      <c r="N3" t="s">
        <v>45</v>
      </c>
    </row>
    <row r="4" spans="2:14" x14ac:dyDescent="0.35">
      <c r="D4" s="19"/>
      <c r="E4" s="18"/>
      <c r="F4" s="18"/>
      <c r="N4" s="18"/>
    </row>
    <row r="5" spans="2:14" x14ac:dyDescent="0.35">
      <c r="D5" s="19"/>
      <c r="E5" s="18"/>
    </row>
    <row r="6" spans="2:14" x14ac:dyDescent="0.35">
      <c r="B6" s="113" t="s">
        <v>55</v>
      </c>
      <c r="C6" s="114"/>
      <c r="D6" s="19"/>
      <c r="E6" s="18"/>
      <c r="F6" s="90"/>
      <c r="N6" s="117" t="s">
        <v>34</v>
      </c>
    </row>
    <row r="7" spans="2:14" ht="14.5" customHeight="1" x14ac:dyDescent="0.35">
      <c r="B7" s="87" t="s">
        <v>29</v>
      </c>
      <c r="C7" s="86">
        <v>9.81</v>
      </c>
      <c r="D7" s="19"/>
      <c r="E7" s="18"/>
      <c r="F7" s="144" t="s">
        <v>84</v>
      </c>
      <c r="G7" s="132"/>
      <c r="H7" s="133"/>
      <c r="I7" s="133"/>
      <c r="J7" s="133"/>
      <c r="K7" s="133"/>
      <c r="L7" s="133"/>
      <c r="M7" s="134"/>
      <c r="N7" s="153">
        <v>2.92</v>
      </c>
    </row>
    <row r="8" spans="2:14" x14ac:dyDescent="0.35">
      <c r="B8" s="88" t="s">
        <v>31</v>
      </c>
      <c r="C8" s="89">
        <v>314</v>
      </c>
      <c r="D8" s="19"/>
      <c r="E8" s="18"/>
      <c r="F8" s="144"/>
      <c r="G8" s="127"/>
      <c r="H8" s="2"/>
      <c r="I8" s="2"/>
      <c r="J8" s="2"/>
      <c r="K8" s="2"/>
      <c r="L8" s="2"/>
      <c r="M8" s="128"/>
      <c r="N8" s="154"/>
    </row>
    <row r="9" spans="2:14" x14ac:dyDescent="0.35">
      <c r="B9" s="88" t="s">
        <v>30</v>
      </c>
      <c r="C9" s="89">
        <v>1000</v>
      </c>
      <c r="D9" s="19"/>
      <c r="E9" s="18"/>
      <c r="F9" s="144"/>
      <c r="G9" s="129"/>
      <c r="H9" s="130"/>
      <c r="I9" s="130"/>
      <c r="J9" s="130"/>
      <c r="K9" s="130"/>
      <c r="L9" s="130"/>
      <c r="M9" s="131"/>
      <c r="N9" s="155"/>
    </row>
    <row r="10" spans="2:14" x14ac:dyDescent="0.35">
      <c r="B10" s="88" t="s">
        <v>33</v>
      </c>
      <c r="C10" s="89">
        <v>5</v>
      </c>
      <c r="D10" s="19"/>
      <c r="E10" s="18"/>
      <c r="F10" s="152" t="s">
        <v>83</v>
      </c>
      <c r="G10" s="132"/>
      <c r="H10" s="133"/>
      <c r="I10" s="133"/>
      <c r="J10" s="133"/>
      <c r="K10" s="133"/>
      <c r="L10" s="133"/>
      <c r="M10" s="134"/>
      <c r="N10" s="153">
        <v>7.6849999999999996</v>
      </c>
    </row>
    <row r="11" spans="2:14" x14ac:dyDescent="0.35">
      <c r="B11" s="88" t="s">
        <v>75</v>
      </c>
      <c r="C11" s="89">
        <f>C8*C10</f>
        <v>1570</v>
      </c>
      <c r="E11" s="18"/>
      <c r="F11" s="152"/>
      <c r="G11" s="127"/>
      <c r="H11" s="2"/>
      <c r="I11" s="2"/>
      <c r="J11" s="2"/>
      <c r="K11" s="2"/>
      <c r="L11" s="2"/>
      <c r="M11" s="128"/>
      <c r="N11" s="154"/>
    </row>
    <row r="12" spans="2:14" x14ac:dyDescent="0.35">
      <c r="B12" s="87" t="s">
        <v>76</v>
      </c>
      <c r="C12" s="123">
        <f>C11*12</f>
        <v>18840</v>
      </c>
      <c r="D12" s="19"/>
      <c r="E12" s="18"/>
      <c r="F12" s="152"/>
      <c r="G12" s="129"/>
      <c r="H12" s="130"/>
      <c r="I12" s="130"/>
      <c r="J12" s="130"/>
      <c r="K12" s="130"/>
      <c r="L12" s="130"/>
      <c r="M12" s="131"/>
      <c r="N12" s="154"/>
    </row>
    <row r="13" spans="2:14" x14ac:dyDescent="0.35">
      <c r="B13" s="87" t="s">
        <v>77</v>
      </c>
      <c r="C13" s="123">
        <f>C11*16</f>
        <v>25120</v>
      </c>
      <c r="D13" s="91"/>
      <c r="E13" s="18"/>
      <c r="F13" s="144" t="s">
        <v>82</v>
      </c>
      <c r="G13" s="132"/>
      <c r="H13" s="133"/>
      <c r="I13" s="133"/>
      <c r="J13" s="133"/>
      <c r="K13" s="133"/>
      <c r="L13" s="133"/>
      <c r="M13" s="134"/>
      <c r="N13" s="145">
        <v>12.45</v>
      </c>
    </row>
    <row r="14" spans="2:14" ht="29" x14ac:dyDescent="0.35">
      <c r="B14" s="124" t="s">
        <v>78</v>
      </c>
      <c r="C14" s="122">
        <v>8.5</v>
      </c>
      <c r="D14" s="91"/>
      <c r="E14" s="18"/>
      <c r="F14" s="144"/>
      <c r="G14" s="127"/>
      <c r="H14" s="2"/>
      <c r="I14" s="2"/>
      <c r="J14" s="2"/>
      <c r="K14" s="2"/>
      <c r="L14" s="2"/>
      <c r="M14" s="128"/>
      <c r="N14" s="145"/>
    </row>
    <row r="15" spans="2:14" ht="29" x14ac:dyDescent="0.35">
      <c r="B15" s="124" t="s">
        <v>79</v>
      </c>
      <c r="C15" s="122">
        <v>6.5</v>
      </c>
      <c r="D15" s="91"/>
      <c r="E15" s="18"/>
      <c r="F15" s="144"/>
      <c r="G15" s="129"/>
      <c r="H15" s="130"/>
      <c r="I15" s="130"/>
      <c r="J15" s="130"/>
      <c r="K15" s="130"/>
      <c r="L15" s="130"/>
      <c r="M15" s="131"/>
      <c r="N15" s="145"/>
    </row>
    <row r="16" spans="2:14" x14ac:dyDescent="0.35">
      <c r="B16" s="125" t="s">
        <v>32</v>
      </c>
      <c r="C16" s="86">
        <v>4.72</v>
      </c>
      <c r="D16" s="91"/>
      <c r="E16" s="18"/>
      <c r="F16" s="144" t="s">
        <v>81</v>
      </c>
      <c r="G16" s="132"/>
      <c r="H16" s="133"/>
      <c r="I16" s="133"/>
      <c r="J16" s="133"/>
      <c r="K16" s="133"/>
      <c r="L16" s="133"/>
      <c r="M16" s="134"/>
      <c r="N16" s="145">
        <v>17.21</v>
      </c>
    </row>
    <row r="17" spans="2:16" x14ac:dyDescent="0.35">
      <c r="B17" s="125" t="s">
        <v>53</v>
      </c>
      <c r="C17" s="86">
        <v>0.8</v>
      </c>
      <c r="D17" s="91"/>
      <c r="E17" s="18"/>
      <c r="F17" s="144"/>
      <c r="G17" s="127"/>
      <c r="H17" s="2"/>
      <c r="I17" s="2"/>
      <c r="J17" s="2"/>
      <c r="K17" s="2"/>
      <c r="L17" s="2"/>
      <c r="M17" s="128"/>
      <c r="N17" s="145"/>
    </row>
    <row r="18" spans="2:16" x14ac:dyDescent="0.35">
      <c r="B18" s="126" t="s">
        <v>70</v>
      </c>
      <c r="C18" s="85">
        <v>9.44</v>
      </c>
      <c r="D18" s="91"/>
      <c r="E18" s="18"/>
      <c r="F18" s="144"/>
      <c r="G18" s="129"/>
      <c r="H18" s="130"/>
      <c r="I18" s="130"/>
      <c r="J18" s="130"/>
      <c r="K18" s="130"/>
      <c r="L18" s="130"/>
      <c r="M18" s="131"/>
      <c r="N18" s="145"/>
    </row>
    <row r="19" spans="2:16" x14ac:dyDescent="0.35">
      <c r="B19" s="126" t="s">
        <v>57</v>
      </c>
      <c r="C19" s="85">
        <v>0.2</v>
      </c>
      <c r="D19" s="91"/>
      <c r="E19" s="18"/>
      <c r="F19" s="144" t="s">
        <v>80</v>
      </c>
      <c r="G19" s="132"/>
      <c r="H19" s="133"/>
      <c r="I19" s="133"/>
      <c r="J19" s="133"/>
      <c r="K19" s="133"/>
      <c r="L19" s="133"/>
      <c r="M19" s="134"/>
      <c r="N19" s="145">
        <v>21.98</v>
      </c>
    </row>
    <row r="20" spans="2:16" ht="14.5" customHeight="1" x14ac:dyDescent="0.35">
      <c r="B20" s="115"/>
      <c r="C20" s="116"/>
      <c r="D20" s="91"/>
      <c r="E20" s="18"/>
      <c r="F20" s="144"/>
      <c r="G20" s="127"/>
      <c r="H20" s="2"/>
      <c r="I20" s="2"/>
      <c r="J20" s="2"/>
      <c r="K20" s="2"/>
      <c r="L20" s="2"/>
      <c r="M20" s="128"/>
      <c r="N20" s="145"/>
    </row>
    <row r="21" spans="2:16" x14ac:dyDescent="0.35">
      <c r="B21" s="139"/>
      <c r="C21" s="112"/>
      <c r="D21" s="91"/>
      <c r="E21" s="18"/>
      <c r="F21" s="144"/>
      <c r="G21" s="129"/>
      <c r="H21" s="130"/>
      <c r="I21" s="130"/>
      <c r="J21" s="130"/>
      <c r="K21" s="130"/>
      <c r="L21" s="130"/>
      <c r="M21" s="131"/>
      <c r="N21" s="145"/>
    </row>
    <row r="22" spans="2:16" x14ac:dyDescent="0.35">
      <c r="B22" s="103"/>
      <c r="C22" s="104"/>
      <c r="D22" s="91"/>
      <c r="E22" s="18"/>
      <c r="F22" s="144" t="s">
        <v>36</v>
      </c>
      <c r="G22" s="132"/>
      <c r="H22" s="133"/>
      <c r="I22" s="133"/>
      <c r="J22" s="133"/>
      <c r="K22" s="133"/>
      <c r="L22" s="133"/>
      <c r="M22" s="134"/>
      <c r="N22" s="145">
        <v>34.520000000000003</v>
      </c>
    </row>
    <row r="23" spans="2:16" x14ac:dyDescent="0.35">
      <c r="D23" s="91"/>
      <c r="F23" s="144"/>
      <c r="G23" s="127"/>
      <c r="H23" s="2"/>
      <c r="I23" s="2"/>
      <c r="J23" s="2"/>
      <c r="K23" s="2"/>
      <c r="L23" s="2"/>
      <c r="M23" s="128"/>
      <c r="N23" s="145"/>
    </row>
    <row r="24" spans="2:16" x14ac:dyDescent="0.35">
      <c r="D24" s="91"/>
      <c r="F24" s="144"/>
      <c r="G24" s="129"/>
      <c r="H24" s="130"/>
      <c r="I24" s="130"/>
      <c r="J24" s="130"/>
      <c r="K24" s="130"/>
      <c r="L24" s="130"/>
      <c r="M24" s="131"/>
      <c r="N24" s="145"/>
      <c r="P24" s="2"/>
    </row>
    <row r="25" spans="2:16" x14ac:dyDescent="0.35">
      <c r="M25" s="135" t="s">
        <v>52</v>
      </c>
      <c r="N25" s="136">
        <f>N7+N10+N13+N16+N19+N22</f>
        <v>96.765000000000015</v>
      </c>
      <c r="P25" s="101"/>
    </row>
    <row r="26" spans="2:16" ht="29.5" customHeight="1" x14ac:dyDescent="0.35">
      <c r="M26" s="119" t="s">
        <v>54</v>
      </c>
      <c r="N26" s="137">
        <f>N25*C17</f>
        <v>77.41200000000002</v>
      </c>
      <c r="P26" s="138"/>
    </row>
    <row r="27" spans="2:16" ht="9" customHeight="1" x14ac:dyDescent="0.35">
      <c r="B27" s="103"/>
      <c r="F27" s="140"/>
      <c r="P27" s="138"/>
    </row>
    <row r="28" spans="2:16" ht="5" customHeight="1" x14ac:dyDescent="0.35">
      <c r="B28" s="103"/>
      <c r="C28" s="104"/>
      <c r="N28" s="95"/>
      <c r="P28" s="2"/>
    </row>
    <row r="29" spans="2:16" x14ac:dyDescent="0.35">
      <c r="B29" s="103"/>
      <c r="C29" s="104"/>
      <c r="M29" s="146" t="s">
        <v>56</v>
      </c>
      <c r="N29" s="150">
        <f>(N26*1000000)/3600000</f>
        <v>21.503333333333337</v>
      </c>
      <c r="P29" s="2"/>
    </row>
    <row r="30" spans="2:16" x14ac:dyDescent="0.35">
      <c r="B30" s="103"/>
      <c r="C30" s="104"/>
      <c r="M30" s="147"/>
      <c r="N30" s="151"/>
    </row>
    <row r="31" spans="2:16" ht="29" customHeight="1" x14ac:dyDescent="0.35">
      <c r="B31" s="103"/>
      <c r="C31" s="104"/>
      <c r="M31" s="148" t="s">
        <v>58</v>
      </c>
      <c r="N31" s="150">
        <f>N29*C19</f>
        <v>4.3006666666666673</v>
      </c>
    </row>
    <row r="32" spans="2:16" x14ac:dyDescent="0.35">
      <c r="M32" s="149"/>
      <c r="N32" s="151"/>
    </row>
    <row r="33" spans="3:14" x14ac:dyDescent="0.35">
      <c r="C33"/>
      <c r="N33" s="95"/>
    </row>
    <row r="34" spans="3:14" x14ac:dyDescent="0.35">
      <c r="C34"/>
      <c r="N34" s="95"/>
    </row>
    <row r="35" spans="3:14" x14ac:dyDescent="0.35">
      <c r="C35"/>
      <c r="N35" s="95"/>
    </row>
    <row r="36" spans="3:14" x14ac:dyDescent="0.35">
      <c r="C36"/>
    </row>
    <row r="37" spans="3:14" x14ac:dyDescent="0.35">
      <c r="C37"/>
    </row>
    <row r="38" spans="3:14" x14ac:dyDescent="0.35">
      <c r="C38"/>
    </row>
    <row r="39" spans="3:14" x14ac:dyDescent="0.35">
      <c r="C39"/>
      <c r="E39" s="16"/>
    </row>
    <row r="40" spans="3:14" x14ac:dyDescent="0.35">
      <c r="C40"/>
      <c r="E40" s="16" t="s">
        <v>71</v>
      </c>
    </row>
    <row r="41" spans="3:14" x14ac:dyDescent="0.35">
      <c r="C41"/>
      <c r="E41" s="16" t="s">
        <v>72</v>
      </c>
    </row>
    <row r="42" spans="3:14" x14ac:dyDescent="0.35">
      <c r="C42"/>
      <c r="E42" s="16" t="s">
        <v>73</v>
      </c>
    </row>
    <row r="43" spans="3:14" x14ac:dyDescent="0.35">
      <c r="C43"/>
      <c r="E43" s="104" t="s">
        <v>74</v>
      </c>
    </row>
    <row r="44" spans="3:14" x14ac:dyDescent="0.35">
      <c r="C44"/>
    </row>
    <row r="45" spans="3:14" x14ac:dyDescent="0.35">
      <c r="C45"/>
    </row>
    <row r="46" spans="3:14" x14ac:dyDescent="0.35">
      <c r="C46"/>
    </row>
    <row r="47" spans="3:14" x14ac:dyDescent="0.35">
      <c r="C47"/>
    </row>
    <row r="48" spans="3:14" x14ac:dyDescent="0.35">
      <c r="C48"/>
    </row>
    <row r="49" spans="3:4" x14ac:dyDescent="0.35">
      <c r="C49"/>
    </row>
    <row r="50" spans="3:4" x14ac:dyDescent="0.35">
      <c r="C50"/>
    </row>
    <row r="51" spans="3:4" x14ac:dyDescent="0.35">
      <c r="C51"/>
    </row>
    <row r="52" spans="3:4" x14ac:dyDescent="0.35">
      <c r="C52"/>
      <c r="D52"/>
    </row>
    <row r="53" spans="3:4" x14ac:dyDescent="0.35">
      <c r="C53"/>
    </row>
    <row r="54" spans="3:4" x14ac:dyDescent="0.35">
      <c r="C54"/>
    </row>
    <row r="55" spans="3:4" x14ac:dyDescent="0.35">
      <c r="C55"/>
    </row>
    <row r="56" spans="3:4" x14ac:dyDescent="0.35">
      <c r="C56"/>
    </row>
    <row r="57" spans="3:4" x14ac:dyDescent="0.35">
      <c r="C57"/>
    </row>
    <row r="58" spans="3:4" x14ac:dyDescent="0.35">
      <c r="C58"/>
    </row>
    <row r="59" spans="3:4" x14ac:dyDescent="0.35">
      <c r="C59"/>
    </row>
    <row r="60" spans="3:4" x14ac:dyDescent="0.35">
      <c r="C60"/>
    </row>
    <row r="61" spans="3:4" x14ac:dyDescent="0.35">
      <c r="C61"/>
    </row>
    <row r="62" spans="3:4" x14ac:dyDescent="0.35">
      <c r="C62"/>
    </row>
    <row r="63" spans="3:4" x14ac:dyDescent="0.35">
      <c r="C63"/>
    </row>
    <row r="64" spans="3:4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</sheetData>
  <mergeCells count="16">
    <mergeCell ref="M29:M30"/>
    <mergeCell ref="M31:M32"/>
    <mergeCell ref="N29:N30"/>
    <mergeCell ref="N31:N32"/>
    <mergeCell ref="F7:F9"/>
    <mergeCell ref="F10:F12"/>
    <mergeCell ref="N7:N9"/>
    <mergeCell ref="N10:N12"/>
    <mergeCell ref="N13:N15"/>
    <mergeCell ref="F13:F15"/>
    <mergeCell ref="F16:F18"/>
    <mergeCell ref="F19:F21"/>
    <mergeCell ref="F22:F24"/>
    <mergeCell ref="N22:N24"/>
    <mergeCell ref="N16:N18"/>
    <mergeCell ref="N19:N21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5658-1F6B-4037-8C75-503501F26DA5}">
  <dimension ref="B2:F83"/>
  <sheetViews>
    <sheetView showGridLines="0" topLeftCell="D7" workbookViewId="0">
      <selection activeCell="J16" sqref="J16"/>
    </sheetView>
  </sheetViews>
  <sheetFormatPr baseColWidth="10" defaultRowHeight="14.5" x14ac:dyDescent="0.35"/>
  <cols>
    <col min="2" max="2" width="26.1796875" style="14" customWidth="1"/>
    <col min="3" max="3" width="11.7265625" style="16" customWidth="1"/>
    <col min="5" max="5" width="14.54296875" customWidth="1"/>
    <col min="6" max="6" width="11.7265625" customWidth="1"/>
  </cols>
  <sheetData>
    <row r="2" spans="2:6" x14ac:dyDescent="0.35">
      <c r="F2" s="18" t="s">
        <v>108</v>
      </c>
    </row>
    <row r="3" spans="2:6" x14ac:dyDescent="0.35">
      <c r="F3" t="s">
        <v>111</v>
      </c>
    </row>
    <row r="4" spans="2:6" x14ac:dyDescent="0.35">
      <c r="E4" s="18"/>
      <c r="F4" s="18"/>
    </row>
    <row r="6" spans="2:6" x14ac:dyDescent="0.35">
      <c r="B6" s="113" t="s">
        <v>55</v>
      </c>
      <c r="C6" s="114"/>
      <c r="E6" s="90"/>
      <c r="F6" s="117" t="s">
        <v>34</v>
      </c>
    </row>
    <row r="7" spans="2:6" x14ac:dyDescent="0.35">
      <c r="B7" s="87" t="s">
        <v>29</v>
      </c>
      <c r="C7" s="86">
        <v>9.81</v>
      </c>
      <c r="E7" s="107" t="s">
        <v>51</v>
      </c>
      <c r="F7" s="143">
        <f>(0.5*C$12*SQRT(2*C$7*C$14*74)^2)/1000000</f>
        <v>64.554069311999996</v>
      </c>
    </row>
    <row r="8" spans="2:6" x14ac:dyDescent="0.35">
      <c r="B8" s="88" t="s">
        <v>31</v>
      </c>
      <c r="C8" s="89">
        <v>314</v>
      </c>
      <c r="E8" s="107" t="s">
        <v>50</v>
      </c>
      <c r="F8" s="143">
        <f>(0.5*C$12*SQRT(2*C$7*C$14*60)^2)/1000000</f>
        <v>52.341137279999998</v>
      </c>
    </row>
    <row r="9" spans="2:6" x14ac:dyDescent="0.35">
      <c r="B9" s="88" t="s">
        <v>30</v>
      </c>
      <c r="C9" s="89">
        <v>1000</v>
      </c>
      <c r="E9" s="107" t="s">
        <v>49</v>
      </c>
      <c r="F9" s="143">
        <f>(0.5*C$12*SQRT(2*C$7*C$14*46)^2)/1000000</f>
        <v>40.128205247999993</v>
      </c>
    </row>
    <row r="10" spans="2:6" x14ac:dyDescent="0.35">
      <c r="B10" s="88" t="s">
        <v>33</v>
      </c>
      <c r="C10" s="89">
        <v>5</v>
      </c>
      <c r="E10" s="107" t="s">
        <v>48</v>
      </c>
      <c r="F10" s="143">
        <f>(0.5*C$12*SQRT(2*C$7*C$14*32)^2)/1000000</f>
        <v>27.915273215999999</v>
      </c>
    </row>
    <row r="11" spans="2:6" x14ac:dyDescent="0.35">
      <c r="B11" s="88" t="s">
        <v>75</v>
      </c>
      <c r="C11" s="89">
        <f>C8*C10</f>
        <v>1570</v>
      </c>
      <c r="E11" s="107" t="s">
        <v>47</v>
      </c>
      <c r="F11" s="143">
        <f>(0.5*C$12*SQRT(2*C$7*C$14*18)^2)/1000000</f>
        <v>15.702341183999996</v>
      </c>
    </row>
    <row r="12" spans="2:6" ht="15" thickBot="1" x14ac:dyDescent="0.4">
      <c r="B12" s="87" t="s">
        <v>76</v>
      </c>
      <c r="C12" s="123">
        <f>C11*12</f>
        <v>18840</v>
      </c>
      <c r="E12" s="109" t="s">
        <v>46</v>
      </c>
      <c r="F12" s="106">
        <v>0</v>
      </c>
    </row>
    <row r="13" spans="2:6" x14ac:dyDescent="0.35">
      <c r="B13" s="87" t="s">
        <v>77</v>
      </c>
      <c r="C13" s="123">
        <f>C11*16</f>
        <v>25120</v>
      </c>
      <c r="E13" s="164" t="s">
        <v>52</v>
      </c>
      <c r="F13" s="142">
        <f>F7+F8+F9+F10+F11+F12</f>
        <v>200.64102624</v>
      </c>
    </row>
    <row r="14" spans="2:6" ht="14.5" customHeight="1" x14ac:dyDescent="0.35">
      <c r="B14" s="125" t="s">
        <v>32</v>
      </c>
      <c r="C14" s="86">
        <v>4.72</v>
      </c>
      <c r="E14" s="165" t="s">
        <v>54</v>
      </c>
      <c r="F14" s="160">
        <f>F13*C17</f>
        <v>160.512820992</v>
      </c>
    </row>
    <row r="15" spans="2:6" x14ac:dyDescent="0.35">
      <c r="B15" s="124" t="s">
        <v>109</v>
      </c>
      <c r="C15" s="89">
        <v>16</v>
      </c>
      <c r="E15" s="166"/>
      <c r="F15" s="160"/>
    </row>
    <row r="16" spans="2:6" x14ac:dyDescent="0.35">
      <c r="B16" s="88" t="s">
        <v>110</v>
      </c>
      <c r="C16" s="89">
        <v>12</v>
      </c>
    </row>
    <row r="17" spans="2:6" x14ac:dyDescent="0.35">
      <c r="B17" s="125" t="s">
        <v>53</v>
      </c>
      <c r="C17" s="86">
        <v>0.8</v>
      </c>
    </row>
    <row r="18" spans="2:6" x14ac:dyDescent="0.35">
      <c r="B18" s="126" t="s">
        <v>70</v>
      </c>
      <c r="C18" s="85">
        <v>9.44</v>
      </c>
      <c r="E18" s="146" t="s">
        <v>56</v>
      </c>
      <c r="F18" s="162">
        <f>(F14*1000000)/3600000</f>
        <v>44.586894720000004</v>
      </c>
    </row>
    <row r="19" spans="2:6" x14ac:dyDescent="0.35">
      <c r="B19" s="126" t="s">
        <v>57</v>
      </c>
      <c r="C19" s="85">
        <v>0.2</v>
      </c>
      <c r="E19" s="147"/>
      <c r="F19" s="162"/>
    </row>
    <row r="20" spans="2:6" ht="14.5" customHeight="1" x14ac:dyDescent="0.35">
      <c r="B20" s="115"/>
      <c r="C20" s="116"/>
      <c r="E20" s="167" t="s">
        <v>58</v>
      </c>
      <c r="F20" s="162">
        <f>F18*C19</f>
        <v>8.9173789440000011</v>
      </c>
    </row>
    <row r="21" spans="2:6" x14ac:dyDescent="0.35">
      <c r="B21" s="139"/>
      <c r="C21" s="112"/>
      <c r="E21" s="168"/>
      <c r="F21" s="162"/>
    </row>
    <row r="22" spans="2:6" x14ac:dyDescent="0.35">
      <c r="B22" s="103"/>
      <c r="C22" s="104"/>
      <c r="E22" s="18"/>
      <c r="F22" s="96"/>
    </row>
    <row r="23" spans="2:6" x14ac:dyDescent="0.35">
      <c r="F23" s="95"/>
    </row>
    <row r="24" spans="2:6" x14ac:dyDescent="0.35">
      <c r="F24" s="95"/>
    </row>
    <row r="25" spans="2:6" x14ac:dyDescent="0.35">
      <c r="F25" s="95"/>
    </row>
    <row r="26" spans="2:6" x14ac:dyDescent="0.35">
      <c r="F26" s="110"/>
    </row>
    <row r="27" spans="2:6" x14ac:dyDescent="0.35">
      <c r="B27" s="103"/>
      <c r="F27" s="95"/>
    </row>
    <row r="28" spans="2:6" x14ac:dyDescent="0.35">
      <c r="B28" s="103"/>
      <c r="C28" s="104"/>
      <c r="F28" s="95"/>
    </row>
    <row r="29" spans="2:6" x14ac:dyDescent="0.35">
      <c r="B29" s="103"/>
      <c r="C29" s="104"/>
      <c r="F29" s="95"/>
    </row>
    <row r="30" spans="2:6" x14ac:dyDescent="0.35">
      <c r="B30" s="103"/>
      <c r="C30" s="104"/>
      <c r="F30" s="95"/>
    </row>
    <row r="31" spans="2:6" x14ac:dyDescent="0.35">
      <c r="B31" s="103"/>
      <c r="C31" s="104"/>
      <c r="F31" s="95"/>
    </row>
    <row r="32" spans="2:6" x14ac:dyDescent="0.35">
      <c r="F32" s="95"/>
    </row>
    <row r="33" spans="3:6" x14ac:dyDescent="0.35">
      <c r="C33"/>
      <c r="F33" s="95"/>
    </row>
    <row r="34" spans="3:6" x14ac:dyDescent="0.35">
      <c r="C34"/>
      <c r="F34" s="95"/>
    </row>
    <row r="35" spans="3:6" x14ac:dyDescent="0.35">
      <c r="C35"/>
      <c r="F35" s="95"/>
    </row>
    <row r="36" spans="3:6" x14ac:dyDescent="0.35">
      <c r="C36"/>
    </row>
    <row r="37" spans="3:6" x14ac:dyDescent="0.35">
      <c r="C37"/>
    </row>
    <row r="38" spans="3:6" x14ac:dyDescent="0.35">
      <c r="C38"/>
    </row>
    <row r="39" spans="3:6" x14ac:dyDescent="0.35">
      <c r="C39"/>
    </row>
    <row r="40" spans="3:6" x14ac:dyDescent="0.35">
      <c r="C40"/>
    </row>
    <row r="41" spans="3:6" x14ac:dyDescent="0.35">
      <c r="C41"/>
    </row>
    <row r="42" spans="3:6" x14ac:dyDescent="0.35">
      <c r="C42"/>
    </row>
    <row r="43" spans="3:6" x14ac:dyDescent="0.35">
      <c r="C43"/>
    </row>
    <row r="44" spans="3:6" x14ac:dyDescent="0.35">
      <c r="C44"/>
    </row>
    <row r="45" spans="3:6" x14ac:dyDescent="0.35">
      <c r="C45"/>
    </row>
    <row r="46" spans="3:6" x14ac:dyDescent="0.35">
      <c r="C46"/>
    </row>
    <row r="47" spans="3:6" x14ac:dyDescent="0.35">
      <c r="C47"/>
    </row>
    <row r="48" spans="3:6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  <row r="54" spans="3:3" x14ac:dyDescent="0.35">
      <c r="C54"/>
    </row>
    <row r="55" spans="3:3" x14ac:dyDescent="0.35">
      <c r="C55"/>
    </row>
    <row r="56" spans="3:3" x14ac:dyDescent="0.35">
      <c r="C56"/>
    </row>
    <row r="57" spans="3:3" x14ac:dyDescent="0.35">
      <c r="C57"/>
    </row>
    <row r="58" spans="3:3" x14ac:dyDescent="0.35">
      <c r="C58"/>
    </row>
    <row r="59" spans="3:3" x14ac:dyDescent="0.35">
      <c r="C59"/>
    </row>
    <row r="60" spans="3:3" x14ac:dyDescent="0.35">
      <c r="C60"/>
    </row>
    <row r="61" spans="3:3" x14ac:dyDescent="0.35">
      <c r="C61"/>
    </row>
    <row r="62" spans="3:3" x14ac:dyDescent="0.35">
      <c r="C62"/>
    </row>
    <row r="63" spans="3:3" x14ac:dyDescent="0.35">
      <c r="C63"/>
    </row>
    <row r="64" spans="3:3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</sheetData>
  <mergeCells count="6">
    <mergeCell ref="E14:E15"/>
    <mergeCell ref="E18:E19"/>
    <mergeCell ref="E20:E21"/>
    <mergeCell ref="F14:F15"/>
    <mergeCell ref="F18:F19"/>
    <mergeCell ref="F20:F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39A3-4734-4BA8-9E72-FADCFDFC14E2}">
  <dimension ref="B2:F83"/>
  <sheetViews>
    <sheetView showGridLines="0" topLeftCell="D7" workbookViewId="0">
      <selection activeCell="K9" sqref="K9"/>
    </sheetView>
  </sheetViews>
  <sheetFormatPr baseColWidth="10" defaultRowHeight="14.5" x14ac:dyDescent="0.35"/>
  <cols>
    <col min="2" max="2" width="26.1796875" style="14" customWidth="1"/>
    <col min="3" max="3" width="11.7265625" style="16" customWidth="1"/>
    <col min="5" max="5" width="14.54296875" customWidth="1"/>
    <col min="6" max="6" width="11.7265625" customWidth="1"/>
  </cols>
  <sheetData>
    <row r="2" spans="2:6" x14ac:dyDescent="0.35">
      <c r="F2" s="18" t="s">
        <v>108</v>
      </c>
    </row>
    <row r="3" spans="2:6" x14ac:dyDescent="0.35">
      <c r="F3" t="s">
        <v>111</v>
      </c>
    </row>
    <row r="4" spans="2:6" x14ac:dyDescent="0.35">
      <c r="E4" s="18"/>
      <c r="F4" s="18"/>
    </row>
    <row r="6" spans="2:6" x14ac:dyDescent="0.35">
      <c r="B6" s="113" t="s">
        <v>55</v>
      </c>
      <c r="C6" s="114"/>
      <c r="E6" s="90"/>
      <c r="F6" s="117" t="s">
        <v>34</v>
      </c>
    </row>
    <row r="7" spans="2:6" x14ac:dyDescent="0.35">
      <c r="B7" s="87" t="s">
        <v>29</v>
      </c>
      <c r="C7" s="86">
        <v>9.81</v>
      </c>
      <c r="E7" s="107" t="s">
        <v>51</v>
      </c>
      <c r="F7" s="143">
        <f>(0.5*C$12*SQRT(2*C$7*C$14*13)^2)/1000000</f>
        <v>11.340579743999999</v>
      </c>
    </row>
    <row r="8" spans="2:6" x14ac:dyDescent="0.35">
      <c r="B8" s="88" t="s">
        <v>31</v>
      </c>
      <c r="C8" s="89">
        <v>314</v>
      </c>
      <c r="E8" s="107" t="s">
        <v>50</v>
      </c>
      <c r="F8" s="143">
        <f>(0.5*2*C$12*SQRT(2*C$7*C$14*13)^2)/1000000</f>
        <v>22.681159487999999</v>
      </c>
    </row>
    <row r="9" spans="2:6" x14ac:dyDescent="0.35">
      <c r="B9" s="88" t="s">
        <v>30</v>
      </c>
      <c r="C9" s="89">
        <v>1000</v>
      </c>
      <c r="E9" s="107" t="s">
        <v>49</v>
      </c>
      <c r="F9" s="143">
        <f>(0.5*3*C$12*SQRT(2*C$7*C$14*13)^2)/1000000</f>
        <v>34.021739232000002</v>
      </c>
    </row>
    <row r="10" spans="2:6" x14ac:dyDescent="0.35">
      <c r="B10" s="88" t="s">
        <v>33</v>
      </c>
      <c r="C10" s="89">
        <v>5</v>
      </c>
      <c r="E10" s="107" t="s">
        <v>48</v>
      </c>
      <c r="F10" s="143">
        <f>(0.5*4*C$12*SQRT(2*C$7*C$14*13)^2)/1000000</f>
        <v>45.362318975999997</v>
      </c>
    </row>
    <row r="11" spans="2:6" x14ac:dyDescent="0.35">
      <c r="B11" s="88" t="s">
        <v>75</v>
      </c>
      <c r="C11" s="89">
        <f>C8*C10</f>
        <v>1570</v>
      </c>
      <c r="E11" s="107" t="s">
        <v>47</v>
      </c>
      <c r="F11" s="143">
        <f>(0.5*5*C$12*SQRT(2*C$7*C$14*18)^2)/1000000</f>
        <v>78.511705919999983</v>
      </c>
    </row>
    <row r="12" spans="2:6" ht="15" thickBot="1" x14ac:dyDescent="0.4">
      <c r="B12" s="87" t="s">
        <v>76</v>
      </c>
      <c r="C12" s="123">
        <f>C11*12</f>
        <v>18840</v>
      </c>
      <c r="E12" s="109" t="s">
        <v>46</v>
      </c>
      <c r="F12" s="106">
        <v>0</v>
      </c>
    </row>
    <row r="13" spans="2:6" x14ac:dyDescent="0.35">
      <c r="B13" s="87" t="s">
        <v>77</v>
      </c>
      <c r="C13" s="123">
        <f>C11*16</f>
        <v>25120</v>
      </c>
      <c r="E13" s="164" t="s">
        <v>52</v>
      </c>
      <c r="F13" s="142">
        <f>F7+F8+F9+F10+F11+F12</f>
        <v>191.91750335999998</v>
      </c>
    </row>
    <row r="14" spans="2:6" x14ac:dyDescent="0.35">
      <c r="B14" s="125" t="s">
        <v>32</v>
      </c>
      <c r="C14" s="86">
        <v>4.72</v>
      </c>
      <c r="E14" s="165" t="s">
        <v>54</v>
      </c>
      <c r="F14" s="160">
        <f>F13*C17</f>
        <v>153.53400268799999</v>
      </c>
    </row>
    <row r="15" spans="2:6" x14ac:dyDescent="0.35">
      <c r="B15" s="124" t="s">
        <v>109</v>
      </c>
      <c r="C15" s="89">
        <v>16</v>
      </c>
      <c r="E15" s="166"/>
      <c r="F15" s="160"/>
    </row>
    <row r="16" spans="2:6" x14ac:dyDescent="0.35">
      <c r="B16" s="88" t="s">
        <v>110</v>
      </c>
      <c r="C16" s="89">
        <v>12</v>
      </c>
    </row>
    <row r="17" spans="2:6" x14ac:dyDescent="0.35">
      <c r="B17" s="125" t="s">
        <v>53</v>
      </c>
      <c r="C17" s="86">
        <v>0.8</v>
      </c>
    </row>
    <row r="18" spans="2:6" x14ac:dyDescent="0.35">
      <c r="B18" s="126" t="s">
        <v>70</v>
      </c>
      <c r="C18" s="85">
        <v>9.44</v>
      </c>
      <c r="E18" s="146" t="s">
        <v>56</v>
      </c>
      <c r="F18" s="162">
        <f>(F14*1000000)/3600000</f>
        <v>42.648334079999998</v>
      </c>
    </row>
    <row r="19" spans="2:6" x14ac:dyDescent="0.35">
      <c r="B19" s="126" t="s">
        <v>57</v>
      </c>
      <c r="C19" s="85">
        <v>0.2</v>
      </c>
      <c r="E19" s="147"/>
      <c r="F19" s="162"/>
    </row>
    <row r="20" spans="2:6" x14ac:dyDescent="0.35">
      <c r="B20" s="115"/>
      <c r="C20" s="116"/>
      <c r="E20" s="167" t="s">
        <v>58</v>
      </c>
      <c r="F20" s="162">
        <f>F18*C19</f>
        <v>8.5296668160000007</v>
      </c>
    </row>
    <row r="21" spans="2:6" x14ac:dyDescent="0.35">
      <c r="B21" s="139"/>
      <c r="C21" s="112"/>
      <c r="E21" s="168"/>
      <c r="F21" s="162"/>
    </row>
    <row r="22" spans="2:6" x14ac:dyDescent="0.35">
      <c r="B22" s="103"/>
      <c r="C22" s="104"/>
      <c r="E22" s="18"/>
      <c r="F22" s="96"/>
    </row>
    <row r="23" spans="2:6" x14ac:dyDescent="0.35">
      <c r="F23" s="95"/>
    </row>
    <row r="24" spans="2:6" x14ac:dyDescent="0.35">
      <c r="F24" s="95"/>
    </row>
    <row r="25" spans="2:6" x14ac:dyDescent="0.35">
      <c r="F25" s="95"/>
    </row>
    <row r="26" spans="2:6" x14ac:dyDescent="0.35">
      <c r="F26" s="110"/>
    </row>
    <row r="27" spans="2:6" x14ac:dyDescent="0.35">
      <c r="B27" s="103"/>
      <c r="F27" s="95"/>
    </row>
    <row r="28" spans="2:6" x14ac:dyDescent="0.35">
      <c r="B28" s="103"/>
      <c r="C28" s="104"/>
      <c r="F28" s="95"/>
    </row>
    <row r="29" spans="2:6" x14ac:dyDescent="0.35">
      <c r="B29" s="103"/>
      <c r="C29" s="104"/>
      <c r="F29" s="95"/>
    </row>
    <row r="30" spans="2:6" x14ac:dyDescent="0.35">
      <c r="B30" s="103"/>
      <c r="C30" s="104"/>
      <c r="F30" s="95"/>
    </row>
    <row r="31" spans="2:6" x14ac:dyDescent="0.35">
      <c r="B31" s="103"/>
      <c r="C31" s="104"/>
      <c r="F31" s="95"/>
    </row>
    <row r="32" spans="2:6" x14ac:dyDescent="0.35">
      <c r="F32" s="95"/>
    </row>
    <row r="33" spans="3:6" x14ac:dyDescent="0.35">
      <c r="C33"/>
      <c r="F33" s="95"/>
    </row>
    <row r="34" spans="3:6" x14ac:dyDescent="0.35">
      <c r="C34"/>
      <c r="F34" s="95"/>
    </row>
    <row r="35" spans="3:6" x14ac:dyDescent="0.35">
      <c r="C35"/>
      <c r="F35" s="95"/>
    </row>
    <row r="36" spans="3:6" x14ac:dyDescent="0.35">
      <c r="C36"/>
    </row>
    <row r="37" spans="3:6" x14ac:dyDescent="0.35">
      <c r="C37"/>
    </row>
    <row r="38" spans="3:6" x14ac:dyDescent="0.35">
      <c r="C38"/>
    </row>
    <row r="39" spans="3:6" x14ac:dyDescent="0.35">
      <c r="C39"/>
    </row>
    <row r="40" spans="3:6" x14ac:dyDescent="0.35">
      <c r="C40"/>
    </row>
    <row r="41" spans="3:6" x14ac:dyDescent="0.35">
      <c r="C41"/>
    </row>
    <row r="42" spans="3:6" x14ac:dyDescent="0.35">
      <c r="C42"/>
    </row>
    <row r="43" spans="3:6" x14ac:dyDescent="0.35">
      <c r="C43"/>
    </row>
    <row r="44" spans="3:6" x14ac:dyDescent="0.35">
      <c r="C44"/>
    </row>
    <row r="45" spans="3:6" x14ac:dyDescent="0.35">
      <c r="C45"/>
    </row>
    <row r="46" spans="3:6" x14ac:dyDescent="0.35">
      <c r="C46"/>
    </row>
    <row r="47" spans="3:6" x14ac:dyDescent="0.35">
      <c r="C47"/>
    </row>
    <row r="48" spans="3:6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  <row r="54" spans="3:3" x14ac:dyDescent="0.35">
      <c r="C54"/>
    </row>
    <row r="55" spans="3:3" x14ac:dyDescent="0.35">
      <c r="C55"/>
    </row>
    <row r="56" spans="3:3" x14ac:dyDescent="0.35">
      <c r="C56"/>
    </row>
    <row r="57" spans="3:3" x14ac:dyDescent="0.35">
      <c r="C57"/>
    </row>
    <row r="58" spans="3:3" x14ac:dyDescent="0.35">
      <c r="C58"/>
    </row>
    <row r="59" spans="3:3" x14ac:dyDescent="0.35">
      <c r="C59"/>
    </row>
    <row r="60" spans="3:3" x14ac:dyDescent="0.35">
      <c r="C60"/>
    </row>
    <row r="61" spans="3:3" x14ac:dyDescent="0.35">
      <c r="C61"/>
    </row>
    <row r="62" spans="3:3" x14ac:dyDescent="0.35">
      <c r="C62"/>
    </row>
    <row r="63" spans="3:3" x14ac:dyDescent="0.35">
      <c r="C63"/>
    </row>
    <row r="64" spans="3:3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</sheetData>
  <mergeCells count="6">
    <mergeCell ref="E14:E15"/>
    <mergeCell ref="F14:F15"/>
    <mergeCell ref="E18:E19"/>
    <mergeCell ref="F18:F19"/>
    <mergeCell ref="E20:E21"/>
    <mergeCell ref="F20:F21"/>
  </mergeCell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D7B-433B-43E7-8530-8190CAC921C0}">
  <dimension ref="A1:O52"/>
  <sheetViews>
    <sheetView showGridLines="0" zoomScale="85" zoomScaleNormal="85" workbookViewId="0">
      <selection activeCell="P18" sqref="P18"/>
    </sheetView>
  </sheetViews>
  <sheetFormatPr baseColWidth="10" defaultColWidth="8.7265625" defaultRowHeight="14.5" x14ac:dyDescent="0.35"/>
  <cols>
    <col min="1" max="2" width="2.81640625" customWidth="1"/>
    <col min="3" max="3" width="2.26953125" customWidth="1"/>
    <col min="4" max="4" width="26.1796875" style="14" customWidth="1"/>
    <col min="5" max="5" width="10.54296875" style="16" customWidth="1"/>
    <col min="6" max="6" width="9" style="18" customWidth="1"/>
    <col min="7" max="7" width="14.54296875" customWidth="1"/>
    <col min="8" max="8" width="11.7265625" customWidth="1"/>
    <col min="9" max="9" width="4.90625" customWidth="1"/>
    <col min="10" max="10" width="14.54296875" customWidth="1"/>
    <col min="11" max="11" width="11.7265625" customWidth="1"/>
    <col min="12" max="12" width="6.36328125" customWidth="1"/>
    <col min="13" max="13" width="14.54296875" customWidth="1"/>
    <col min="14" max="14" width="11.7265625" customWidth="1"/>
  </cols>
  <sheetData>
    <row r="1" spans="1:14" x14ac:dyDescent="0.35">
      <c r="A1" t="s">
        <v>2</v>
      </c>
    </row>
    <row r="2" spans="1:14" x14ac:dyDescent="0.35">
      <c r="G2" s="18" t="s">
        <v>35</v>
      </c>
      <c r="J2" s="18" t="s">
        <v>35</v>
      </c>
      <c r="N2" s="18"/>
    </row>
    <row r="3" spans="1:14" x14ac:dyDescent="0.35">
      <c r="G3" t="s">
        <v>43</v>
      </c>
      <c r="H3" s="18"/>
      <c r="J3" t="s">
        <v>44</v>
      </c>
      <c r="K3" s="18"/>
      <c r="L3" s="18"/>
      <c r="N3" t="s">
        <v>45</v>
      </c>
    </row>
    <row r="4" spans="1:14" x14ac:dyDescent="0.35">
      <c r="B4" s="2"/>
      <c r="C4" s="2"/>
      <c r="F4" s="19"/>
      <c r="G4" s="18"/>
      <c r="H4" s="18"/>
      <c r="I4" s="18"/>
      <c r="J4" s="18"/>
      <c r="K4" s="18"/>
      <c r="L4" s="18"/>
      <c r="M4" s="18"/>
      <c r="N4" s="18"/>
    </row>
    <row r="5" spans="1:14" x14ac:dyDescent="0.35">
      <c r="B5" s="2"/>
      <c r="C5" s="2"/>
      <c r="F5" s="19"/>
      <c r="I5" s="18"/>
      <c r="L5" s="18"/>
    </row>
    <row r="6" spans="1:14" ht="14.5" customHeight="1" x14ac:dyDescent="0.35">
      <c r="B6" s="1"/>
      <c r="C6" s="2"/>
      <c r="D6" s="113" t="s">
        <v>55</v>
      </c>
      <c r="E6" s="114"/>
      <c r="F6" s="19"/>
      <c r="G6" s="90"/>
      <c r="H6" s="117" t="s">
        <v>34</v>
      </c>
      <c r="I6" s="18"/>
      <c r="J6" s="100"/>
      <c r="K6" s="118" t="s">
        <v>34</v>
      </c>
      <c r="L6" s="18"/>
      <c r="M6" s="90"/>
      <c r="N6" s="117" t="s">
        <v>34</v>
      </c>
    </row>
    <row r="7" spans="1:14" ht="14.5" customHeight="1" x14ac:dyDescent="0.35">
      <c r="B7" s="1"/>
      <c r="C7" s="2"/>
      <c r="D7" s="87" t="s">
        <v>29</v>
      </c>
      <c r="E7" s="86">
        <v>9.81</v>
      </c>
      <c r="F7" s="19"/>
      <c r="G7" s="156" t="s">
        <v>37</v>
      </c>
      <c r="H7" s="97">
        <f t="shared" ref="H7:H18" si="0">(E$8*E$10*E$7*(E$13-(E$11*E34)))/1000000</f>
        <v>0.94504831200000006</v>
      </c>
      <c r="I7" s="91"/>
      <c r="J7" s="156" t="s">
        <v>38</v>
      </c>
      <c r="K7" s="97">
        <f t="shared" ref="K7:K22" si="1">(E$8*E$10*E$7*(E$14-(E$11*E34)))/1000000</f>
        <v>1.163136384</v>
      </c>
      <c r="L7" s="18"/>
      <c r="M7" s="107" t="s">
        <v>51</v>
      </c>
      <c r="N7" s="97">
        <f>H$19+((E$8*E$10*12)*E$7*(E$15-(E$13*E34)))/1000000</f>
        <v>70.224359184000008</v>
      </c>
    </row>
    <row r="8" spans="1:14" x14ac:dyDescent="0.35">
      <c r="B8" s="1"/>
      <c r="C8" s="2"/>
      <c r="D8" s="88" t="s">
        <v>31</v>
      </c>
      <c r="E8" s="89">
        <v>314</v>
      </c>
      <c r="F8" s="19"/>
      <c r="G8" s="157"/>
      <c r="H8" s="97">
        <f t="shared" si="0"/>
        <v>0.87235228800000009</v>
      </c>
      <c r="I8" s="91"/>
      <c r="J8" s="157"/>
      <c r="K8" s="97">
        <f t="shared" si="1"/>
        <v>1.0904403600000001</v>
      </c>
      <c r="L8" s="18"/>
      <c r="M8" s="107" t="s">
        <v>50</v>
      </c>
      <c r="N8" s="98">
        <f>H$19+((E$8*E$10*12)*E$7*(E$15-(E$13*E35)))/1000000</f>
        <v>58.011427152000003</v>
      </c>
    </row>
    <row r="9" spans="1:14" x14ac:dyDescent="0.35">
      <c r="B9" s="1"/>
      <c r="C9" s="2"/>
      <c r="D9" s="88" t="s">
        <v>30</v>
      </c>
      <c r="E9" s="89">
        <v>1000</v>
      </c>
      <c r="F9" s="19"/>
      <c r="G9" s="157"/>
      <c r="H9" s="97">
        <f t="shared" si="0"/>
        <v>0.79965626400000012</v>
      </c>
      <c r="I9" s="91"/>
      <c r="J9" s="157"/>
      <c r="K9" s="97">
        <f t="shared" si="1"/>
        <v>1.017744336</v>
      </c>
      <c r="L9" s="18"/>
      <c r="M9" s="107" t="s">
        <v>49</v>
      </c>
      <c r="N9" s="98">
        <f>H$19+((E$8*E$10*12)*E$7*(E$15-(E$13*E36)))/1000000</f>
        <v>45.798495119999998</v>
      </c>
    </row>
    <row r="10" spans="1:14" x14ac:dyDescent="0.35">
      <c r="B10" s="1"/>
      <c r="C10" s="2"/>
      <c r="D10" s="88" t="s">
        <v>33</v>
      </c>
      <c r="E10" s="89">
        <v>5</v>
      </c>
      <c r="F10" s="19"/>
      <c r="G10" s="157"/>
      <c r="H10" s="97">
        <f t="shared" si="0"/>
        <v>0.72696024000000015</v>
      </c>
      <c r="I10" s="94"/>
      <c r="J10" s="157"/>
      <c r="K10" s="97">
        <f t="shared" si="1"/>
        <v>0.94504831200000006</v>
      </c>
      <c r="L10" s="18"/>
      <c r="M10" s="107" t="s">
        <v>48</v>
      </c>
      <c r="N10" s="98">
        <f>H$19+((E$8*E$10*12)*E$7*(E$15-(E$13*E37)))/1000000</f>
        <v>33.585563088000008</v>
      </c>
    </row>
    <row r="11" spans="1:14" x14ac:dyDescent="0.35">
      <c r="D11" s="87" t="s">
        <v>32</v>
      </c>
      <c r="E11" s="86">
        <v>4.72</v>
      </c>
      <c r="G11" s="157"/>
      <c r="H11" s="97">
        <f t="shared" si="0"/>
        <v>0.65426421600000018</v>
      </c>
      <c r="I11" s="91"/>
      <c r="J11" s="157"/>
      <c r="K11" s="97">
        <f t="shared" si="1"/>
        <v>0.87235228800000009</v>
      </c>
      <c r="L11" s="18"/>
      <c r="M11" s="107" t="s">
        <v>47</v>
      </c>
      <c r="N11" s="98">
        <f>H$19+((E$8*E$10*12)*E$7*(E$15-(E$13*E38)))/1000000</f>
        <v>21.372631056000003</v>
      </c>
    </row>
    <row r="12" spans="1:14" ht="15" thickBot="1" x14ac:dyDescent="0.4">
      <c r="B12" s="92"/>
      <c r="C12" s="90"/>
      <c r="D12" s="87" t="s">
        <v>53</v>
      </c>
      <c r="E12" s="86">
        <v>0.8</v>
      </c>
      <c r="F12" s="19"/>
      <c r="G12" s="157"/>
      <c r="H12" s="97">
        <f t="shared" si="0"/>
        <v>0.58156819199999998</v>
      </c>
      <c r="I12" s="91"/>
      <c r="J12" s="157"/>
      <c r="K12" s="97">
        <f t="shared" si="1"/>
        <v>0.79965626400000001</v>
      </c>
      <c r="L12" s="18"/>
      <c r="M12" s="109" t="s">
        <v>46</v>
      </c>
      <c r="N12" s="106">
        <f>K23</f>
        <v>9.8866592640000004</v>
      </c>
    </row>
    <row r="13" spans="1:14" x14ac:dyDescent="0.35">
      <c r="B13" s="92"/>
      <c r="C13" s="90"/>
      <c r="D13" s="88" t="s">
        <v>40</v>
      </c>
      <c r="E13" s="85">
        <v>66.08</v>
      </c>
      <c r="F13" s="91"/>
      <c r="G13" s="157"/>
      <c r="H13" s="97">
        <f t="shared" si="0"/>
        <v>0.50887216800000001</v>
      </c>
      <c r="I13" s="91"/>
      <c r="J13" s="157"/>
      <c r="K13" s="97">
        <f t="shared" si="1"/>
        <v>0.72696024000000004</v>
      </c>
      <c r="L13" s="18"/>
      <c r="M13" s="108" t="s">
        <v>52</v>
      </c>
      <c r="N13" s="98">
        <f>N7+N8+N9+N10+N11+N12</f>
        <v>238.87913486400004</v>
      </c>
    </row>
    <row r="14" spans="1:14" x14ac:dyDescent="0.35">
      <c r="B14" s="92"/>
      <c r="C14" s="90"/>
      <c r="D14" s="87" t="s">
        <v>41</v>
      </c>
      <c r="E14" s="86">
        <v>80.239999999999995</v>
      </c>
      <c r="F14" s="91"/>
      <c r="G14" s="157"/>
      <c r="H14" s="97">
        <f t="shared" si="0"/>
        <v>0.43617614400000004</v>
      </c>
      <c r="I14" s="91"/>
      <c r="J14" s="157"/>
      <c r="K14" s="97">
        <f t="shared" si="1"/>
        <v>0.65426421600000007</v>
      </c>
      <c r="L14" s="18"/>
      <c r="M14" s="159" t="s">
        <v>54</v>
      </c>
      <c r="N14" s="160">
        <f>N13*E12</f>
        <v>191.10330789120005</v>
      </c>
    </row>
    <row r="15" spans="1:14" x14ac:dyDescent="0.35">
      <c r="B15" s="92"/>
      <c r="C15" s="90"/>
      <c r="D15" s="87" t="s">
        <v>42</v>
      </c>
      <c r="E15" s="86">
        <f>E14+(5*E13)</f>
        <v>410.64</v>
      </c>
      <c r="F15" s="91"/>
      <c r="G15" s="157"/>
      <c r="H15" s="97">
        <f t="shared" si="0"/>
        <v>0.36348012000000007</v>
      </c>
      <c r="I15" s="91"/>
      <c r="J15" s="157"/>
      <c r="K15" s="97">
        <f t="shared" si="1"/>
        <v>0.58156819199999998</v>
      </c>
      <c r="L15" s="18"/>
      <c r="M15" s="159"/>
      <c r="N15" s="160"/>
    </row>
    <row r="16" spans="1:14" x14ac:dyDescent="0.35">
      <c r="B16" s="92"/>
      <c r="C16" s="90"/>
      <c r="D16" s="88" t="s">
        <v>57</v>
      </c>
      <c r="E16" s="85">
        <v>0.2</v>
      </c>
      <c r="F16" s="91"/>
      <c r="G16" s="157"/>
      <c r="H16" s="97">
        <f t="shared" si="0"/>
        <v>0.2907840960000001</v>
      </c>
      <c r="I16" s="94"/>
      <c r="J16" s="157"/>
      <c r="K16" s="97">
        <f t="shared" si="1"/>
        <v>0.50887216800000001</v>
      </c>
      <c r="L16" s="18"/>
    </row>
    <row r="17" spans="2:15" x14ac:dyDescent="0.35">
      <c r="B17" s="92"/>
      <c r="C17" s="90"/>
      <c r="D17" s="115"/>
      <c r="E17" s="116"/>
      <c r="F17" s="91"/>
      <c r="G17" s="157"/>
      <c r="H17" s="97">
        <f t="shared" si="0"/>
        <v>0.21808807200000008</v>
      </c>
      <c r="I17" s="91"/>
      <c r="J17" s="157"/>
      <c r="K17" s="97">
        <f t="shared" si="1"/>
        <v>0.43617614400000004</v>
      </c>
      <c r="L17" s="18"/>
    </row>
    <row r="18" spans="2:15" ht="14.5" customHeight="1" thickBot="1" x14ac:dyDescent="0.4">
      <c r="B18" s="92"/>
      <c r="C18" s="90"/>
      <c r="D18" s="111"/>
      <c r="E18" s="112"/>
      <c r="F18" s="91"/>
      <c r="G18" s="158"/>
      <c r="H18" s="106">
        <f t="shared" si="0"/>
        <v>0.14539204799999997</v>
      </c>
      <c r="I18" s="91"/>
      <c r="J18" s="157"/>
      <c r="K18" s="102">
        <f t="shared" si="1"/>
        <v>0.36348011999999996</v>
      </c>
      <c r="L18" s="18"/>
      <c r="M18" s="161" t="s">
        <v>56</v>
      </c>
      <c r="N18" s="162">
        <f>(N14*1000000)/3600000</f>
        <v>53.084252192000008</v>
      </c>
    </row>
    <row r="19" spans="2:15" x14ac:dyDescent="0.35">
      <c r="B19" s="92"/>
      <c r="C19" s="90"/>
      <c r="D19" s="111"/>
      <c r="E19" s="112"/>
      <c r="F19" s="91"/>
      <c r="G19" s="98" t="s">
        <v>39</v>
      </c>
      <c r="H19" s="105">
        <f>H7+H8+H9+H10+H11+H12+H13+H14+H15+H16+H17+H18</f>
        <v>6.5426421600000015</v>
      </c>
      <c r="I19" s="18"/>
      <c r="J19" s="157"/>
      <c r="K19" s="102">
        <f t="shared" si="1"/>
        <v>0.29078409599999994</v>
      </c>
      <c r="L19" s="18"/>
      <c r="M19" s="161"/>
      <c r="N19" s="162"/>
    </row>
    <row r="20" spans="2:15" x14ac:dyDescent="0.35">
      <c r="B20" s="92"/>
      <c r="C20" s="90"/>
      <c r="D20" s="111"/>
      <c r="E20" s="112"/>
      <c r="F20" s="91"/>
      <c r="I20" s="18"/>
      <c r="J20" s="157"/>
      <c r="K20" s="102">
        <f t="shared" si="1"/>
        <v>0.21808807199999997</v>
      </c>
      <c r="L20" s="18"/>
      <c r="M20" s="163" t="s">
        <v>58</v>
      </c>
      <c r="N20" s="162">
        <f>N18*E16</f>
        <v>10.616850438400002</v>
      </c>
    </row>
    <row r="21" spans="2:15" x14ac:dyDescent="0.35">
      <c r="B21" s="93"/>
      <c r="C21" s="93"/>
      <c r="D21" s="111"/>
      <c r="E21" s="112"/>
      <c r="F21" s="91"/>
      <c r="I21" s="18"/>
      <c r="J21" s="157"/>
      <c r="K21" s="102">
        <f t="shared" si="1"/>
        <v>0.14539204799999997</v>
      </c>
      <c r="L21" s="18"/>
      <c r="M21" s="163"/>
      <c r="N21" s="162"/>
    </row>
    <row r="22" spans="2:15" ht="15" thickBot="1" x14ac:dyDescent="0.4">
      <c r="B22" s="93"/>
      <c r="C22" s="93"/>
      <c r="D22" s="103"/>
      <c r="E22" s="104"/>
      <c r="F22" s="91"/>
      <c r="G22" s="18"/>
      <c r="H22" s="96"/>
      <c r="I22" s="18"/>
      <c r="J22" s="158"/>
      <c r="K22" s="106">
        <f t="shared" si="1"/>
        <v>7.2696023999999984E-2</v>
      </c>
      <c r="L22" s="18"/>
      <c r="M22" s="18"/>
      <c r="N22" s="96"/>
    </row>
    <row r="23" spans="2:15" x14ac:dyDescent="0.35">
      <c r="F23" s="91"/>
      <c r="H23" s="95"/>
      <c r="J23" s="98" t="s">
        <v>36</v>
      </c>
      <c r="K23" s="105">
        <f>K7+K8+K9+K10+K11+K12+K13+K14+K15+K16+K17+K18+K19+K20+K21+K22</f>
        <v>9.8866592640000004</v>
      </c>
      <c r="N23" s="95"/>
    </row>
    <row r="24" spans="2:15" x14ac:dyDescent="0.35">
      <c r="F24" s="91"/>
      <c r="H24" s="95"/>
      <c r="K24" s="101"/>
      <c r="N24" s="95"/>
    </row>
    <row r="25" spans="2:15" x14ac:dyDescent="0.35">
      <c r="H25" s="95"/>
      <c r="K25" s="101"/>
      <c r="N25" s="95"/>
    </row>
    <row r="26" spans="2:15" x14ac:dyDescent="0.35">
      <c r="H26" s="95"/>
      <c r="K26" s="95"/>
      <c r="N26" s="110"/>
      <c r="O26" s="101"/>
    </row>
    <row r="27" spans="2:15" x14ac:dyDescent="0.35">
      <c r="D27" s="103"/>
      <c r="E27" s="104"/>
      <c r="H27" s="95"/>
      <c r="K27" s="95"/>
      <c r="N27" s="95"/>
    </row>
    <row r="28" spans="2:15" x14ac:dyDescent="0.35">
      <c r="D28" s="103"/>
      <c r="E28" s="104"/>
      <c r="H28" s="95"/>
      <c r="K28" s="95"/>
      <c r="N28" s="95"/>
    </row>
    <row r="29" spans="2:15" x14ac:dyDescent="0.35">
      <c r="D29" s="103"/>
      <c r="E29" s="104"/>
      <c r="H29" s="95"/>
      <c r="K29" s="95"/>
      <c r="N29" s="95"/>
    </row>
    <row r="30" spans="2:15" x14ac:dyDescent="0.35">
      <c r="D30" s="103"/>
      <c r="E30" s="104"/>
      <c r="H30" s="95"/>
      <c r="K30" s="95"/>
      <c r="N30" s="95"/>
    </row>
    <row r="31" spans="2:15" x14ac:dyDescent="0.35">
      <c r="D31" s="103"/>
      <c r="E31" s="104"/>
      <c r="H31" s="95"/>
      <c r="J31" s="91"/>
      <c r="K31" s="101"/>
      <c r="N31" s="95"/>
    </row>
    <row r="32" spans="2:15" x14ac:dyDescent="0.35">
      <c r="H32" s="95"/>
      <c r="J32" s="2"/>
      <c r="K32" s="99"/>
      <c r="N32" s="95"/>
    </row>
    <row r="33" spans="5:14" x14ac:dyDescent="0.35">
      <c r="E33">
        <v>0</v>
      </c>
      <c r="H33" s="95"/>
      <c r="J33" s="2"/>
      <c r="K33" s="99"/>
      <c r="N33" s="95"/>
    </row>
    <row r="34" spans="5:14" x14ac:dyDescent="0.35">
      <c r="E34">
        <v>1</v>
      </c>
      <c r="H34" s="95"/>
      <c r="K34" s="95"/>
      <c r="N34" s="95"/>
    </row>
    <row r="35" spans="5:14" x14ac:dyDescent="0.35">
      <c r="E35">
        <v>2</v>
      </c>
      <c r="H35" s="95"/>
      <c r="K35" s="95"/>
      <c r="N35" s="95"/>
    </row>
    <row r="36" spans="5:14" x14ac:dyDescent="0.35">
      <c r="E36">
        <v>3</v>
      </c>
    </row>
    <row r="37" spans="5:14" x14ac:dyDescent="0.35">
      <c r="E37">
        <v>4</v>
      </c>
    </row>
    <row r="38" spans="5:14" x14ac:dyDescent="0.35">
      <c r="E38">
        <v>5</v>
      </c>
    </row>
    <row r="39" spans="5:14" x14ac:dyDescent="0.35">
      <c r="E39">
        <v>6</v>
      </c>
    </row>
    <row r="40" spans="5:14" x14ac:dyDescent="0.35">
      <c r="E40">
        <v>7</v>
      </c>
    </row>
    <row r="41" spans="5:14" x14ac:dyDescent="0.35">
      <c r="E41">
        <v>8</v>
      </c>
    </row>
    <row r="42" spans="5:14" x14ac:dyDescent="0.35">
      <c r="E42">
        <v>9</v>
      </c>
    </row>
    <row r="43" spans="5:14" x14ac:dyDescent="0.35">
      <c r="E43">
        <v>10</v>
      </c>
    </row>
    <row r="44" spans="5:14" x14ac:dyDescent="0.35">
      <c r="E44">
        <v>11</v>
      </c>
    </row>
    <row r="45" spans="5:14" x14ac:dyDescent="0.35">
      <c r="E45">
        <v>12</v>
      </c>
    </row>
    <row r="46" spans="5:14" x14ac:dyDescent="0.35">
      <c r="E46">
        <v>13</v>
      </c>
    </row>
    <row r="47" spans="5:14" x14ac:dyDescent="0.35">
      <c r="E47">
        <v>14</v>
      </c>
    </row>
    <row r="48" spans="5:14" x14ac:dyDescent="0.35">
      <c r="E48">
        <v>15</v>
      </c>
    </row>
    <row r="49" spans="5:6" x14ac:dyDescent="0.35">
      <c r="E49">
        <v>16</v>
      </c>
    </row>
    <row r="50" spans="5:6" x14ac:dyDescent="0.35">
      <c r="E50">
        <v>17</v>
      </c>
    </row>
    <row r="51" spans="5:6" x14ac:dyDescent="0.35">
      <c r="E51">
        <v>18</v>
      </c>
    </row>
    <row r="52" spans="5:6" x14ac:dyDescent="0.35">
      <c r="F52"/>
    </row>
  </sheetData>
  <mergeCells count="8">
    <mergeCell ref="G7:G18"/>
    <mergeCell ref="J7:J22"/>
    <mergeCell ref="M14:M15"/>
    <mergeCell ref="N14:N15"/>
    <mergeCell ref="M18:M19"/>
    <mergeCell ref="N18:N19"/>
    <mergeCell ref="M20:M21"/>
    <mergeCell ref="N20:N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3B2D-E4BE-4431-A41F-5268AC320356}">
  <dimension ref="B6:I16"/>
  <sheetViews>
    <sheetView workbookViewId="0">
      <selection activeCell="F8" sqref="F8"/>
    </sheetView>
  </sheetViews>
  <sheetFormatPr baseColWidth="10" defaultRowHeight="14.5" x14ac:dyDescent="0.35"/>
  <cols>
    <col min="2" max="2" width="24.7265625" customWidth="1"/>
    <col min="5" max="5" width="15" customWidth="1"/>
    <col min="8" max="8" width="13.36328125" customWidth="1"/>
  </cols>
  <sheetData>
    <row r="6" spans="2:9" x14ac:dyDescent="0.35">
      <c r="B6" s="120" t="s">
        <v>65</v>
      </c>
      <c r="C6" s="120" t="s">
        <v>66</v>
      </c>
      <c r="I6" t="s">
        <v>34</v>
      </c>
    </row>
    <row r="7" spans="2:9" x14ac:dyDescent="0.35">
      <c r="B7" t="s">
        <v>29</v>
      </c>
      <c r="C7">
        <v>9.81</v>
      </c>
      <c r="E7" t="s">
        <v>98</v>
      </c>
      <c r="F7" t="s">
        <v>103</v>
      </c>
      <c r="I7" s="141">
        <f>(12*C9*C8*C7*65*(1+C11)^0)/1000000</f>
        <v>12.013326000000001</v>
      </c>
    </row>
    <row r="8" spans="2:9" x14ac:dyDescent="0.35">
      <c r="B8" t="s">
        <v>67</v>
      </c>
      <c r="C8">
        <v>1000</v>
      </c>
      <c r="E8" t="s">
        <v>99</v>
      </c>
      <c r="F8" t="s">
        <v>104</v>
      </c>
      <c r="I8" s="141">
        <f>(12*C9*C8*C7*65*(1+C11)^1)/1000000</f>
        <v>21.623986800000004</v>
      </c>
    </row>
    <row r="9" spans="2:9" x14ac:dyDescent="0.35">
      <c r="B9" t="s">
        <v>60</v>
      </c>
      <c r="C9">
        <v>1.57</v>
      </c>
      <c r="E9" t="s">
        <v>100</v>
      </c>
      <c r="F9" t="s">
        <v>105</v>
      </c>
      <c r="I9" s="141">
        <f>(12*C9*C8*C7*65*(1+C11)^2)/1000000</f>
        <v>38.923176240000011</v>
      </c>
    </row>
    <row r="10" spans="2:9" x14ac:dyDescent="0.35">
      <c r="B10" t="s">
        <v>61</v>
      </c>
      <c r="C10">
        <v>4.72</v>
      </c>
      <c r="E10" t="s">
        <v>101</v>
      </c>
      <c r="F10" t="s">
        <v>106</v>
      </c>
      <c r="I10" s="141">
        <f>(12*C9*C8*C7*65*(1+C11)^3)/1000000</f>
        <v>70.061717232000021</v>
      </c>
    </row>
    <row r="11" spans="2:9" x14ac:dyDescent="0.35">
      <c r="B11" t="s">
        <v>68</v>
      </c>
      <c r="C11">
        <v>0.8</v>
      </c>
      <c r="E11" t="s">
        <v>102</v>
      </c>
      <c r="F11" t="s">
        <v>107</v>
      </c>
      <c r="I11" s="141">
        <f>(12*C9*C8*C7*65*(1+C11)^4)/1000000</f>
        <v>126.11109101760005</v>
      </c>
    </row>
    <row r="12" spans="2:9" x14ac:dyDescent="0.35">
      <c r="B12" t="s">
        <v>69</v>
      </c>
      <c r="C12">
        <v>0.9</v>
      </c>
      <c r="H12" t="s">
        <v>52</v>
      </c>
      <c r="I12" s="141">
        <f>I7+I8+I9+I10+I11</f>
        <v>268.73329728960005</v>
      </c>
    </row>
    <row r="13" spans="2:9" x14ac:dyDescent="0.35">
      <c r="B13" t="s">
        <v>15</v>
      </c>
      <c r="C13">
        <v>0.1</v>
      </c>
      <c r="H13" t="s">
        <v>90</v>
      </c>
      <c r="I13" s="141">
        <f>I12*C11*C12</f>
        <v>193.48797404851203</v>
      </c>
    </row>
    <row r="14" spans="2:9" x14ac:dyDescent="0.35">
      <c r="B14" t="s">
        <v>64</v>
      </c>
      <c r="C14" s="121">
        <v>86400</v>
      </c>
    </row>
    <row r="15" spans="2:9" x14ac:dyDescent="0.35">
      <c r="B15" t="s">
        <v>91</v>
      </c>
      <c r="C15">
        <v>0.2</v>
      </c>
      <c r="H15" t="s">
        <v>56</v>
      </c>
      <c r="I15">
        <f>I13/3.6</f>
        <v>53.746659457920003</v>
      </c>
    </row>
    <row r="16" spans="2:9" x14ac:dyDescent="0.35">
      <c r="H16" t="s">
        <v>92</v>
      </c>
      <c r="I16">
        <f>I15*C15</f>
        <v>10.749331891584001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9A0-CB34-4E78-B9E9-B31733748EC3}">
  <dimension ref="B6:H17"/>
  <sheetViews>
    <sheetView workbookViewId="0">
      <selection activeCell="C12" sqref="C12"/>
    </sheetView>
  </sheetViews>
  <sheetFormatPr baseColWidth="10" defaultRowHeight="14.5" x14ac:dyDescent="0.35"/>
  <cols>
    <col min="2" max="2" width="24.7265625" customWidth="1"/>
    <col min="5" max="5" width="12.90625" customWidth="1"/>
    <col min="6" max="6" width="15.7265625" customWidth="1"/>
    <col min="7" max="7" width="13.7265625" customWidth="1"/>
  </cols>
  <sheetData>
    <row r="6" spans="2:8" x14ac:dyDescent="0.35">
      <c r="B6" s="120" t="s">
        <v>65</v>
      </c>
      <c r="C6" s="120" t="s">
        <v>66</v>
      </c>
      <c r="H6" t="s">
        <v>34</v>
      </c>
    </row>
    <row r="7" spans="2:8" x14ac:dyDescent="0.35">
      <c r="B7" t="s">
        <v>29</v>
      </c>
      <c r="C7">
        <v>9.81</v>
      </c>
      <c r="E7" t="s">
        <v>89</v>
      </c>
      <c r="F7" t="s">
        <v>95</v>
      </c>
      <c r="H7" s="141">
        <f>(0.5*C8*C9*12*2*C7*65)/1000000</f>
        <v>12.013326000000001</v>
      </c>
    </row>
    <row r="8" spans="2:8" x14ac:dyDescent="0.35">
      <c r="B8" t="s">
        <v>59</v>
      </c>
      <c r="C8">
        <v>1000</v>
      </c>
      <c r="E8" t="s">
        <v>85</v>
      </c>
      <c r="F8" t="s">
        <v>93</v>
      </c>
      <c r="H8" s="141">
        <f>(0.5*C8*C9*12*2*C7*130)/1000000</f>
        <v>24.026652000000002</v>
      </c>
    </row>
    <row r="9" spans="2:8" x14ac:dyDescent="0.35">
      <c r="B9" t="s">
        <v>60</v>
      </c>
      <c r="C9">
        <v>1.57</v>
      </c>
      <c r="E9" t="s">
        <v>86</v>
      </c>
      <c r="F9" t="s">
        <v>94</v>
      </c>
      <c r="H9" s="141">
        <f>(0.5*C8*C9*12*2*C7*195)/1000000</f>
        <v>36.039978000000005</v>
      </c>
    </row>
    <row r="10" spans="2:8" x14ac:dyDescent="0.35">
      <c r="B10" t="s">
        <v>61</v>
      </c>
      <c r="C10">
        <v>4.72</v>
      </c>
      <c r="E10" t="s">
        <v>88</v>
      </c>
      <c r="F10" t="s">
        <v>96</v>
      </c>
      <c r="H10" s="141">
        <f>(0.5*C8*C9*12*2*C7*260)/1000000</f>
        <v>48.053304000000004</v>
      </c>
    </row>
    <row r="11" spans="2:8" x14ac:dyDescent="0.35">
      <c r="B11" t="s">
        <v>62</v>
      </c>
      <c r="C11">
        <v>0.8</v>
      </c>
      <c r="E11" t="s">
        <v>87</v>
      </c>
      <c r="F11" t="s">
        <v>97</v>
      </c>
      <c r="H11" s="141">
        <f>(0.5*C8*C9*12*2*C7*325)/1000000</f>
        <v>60.066630000000011</v>
      </c>
    </row>
    <row r="12" spans="2:8" x14ac:dyDescent="0.35">
      <c r="B12" t="s">
        <v>63</v>
      </c>
      <c r="C12">
        <v>0.9</v>
      </c>
      <c r="G12" t="s">
        <v>52</v>
      </c>
      <c r="H12" s="141">
        <f>H7+H8+H9+H10+H11</f>
        <v>180.19989000000001</v>
      </c>
    </row>
    <row r="13" spans="2:8" x14ac:dyDescent="0.35">
      <c r="B13" t="s">
        <v>15</v>
      </c>
      <c r="C13">
        <v>0.1</v>
      </c>
      <c r="G13" t="s">
        <v>90</v>
      </c>
      <c r="H13" s="141">
        <f>H12*C11*C12</f>
        <v>129.74392080000001</v>
      </c>
    </row>
    <row r="14" spans="2:8" x14ac:dyDescent="0.35">
      <c r="B14" t="s">
        <v>64</v>
      </c>
      <c r="C14" s="121">
        <v>86400</v>
      </c>
    </row>
    <row r="15" spans="2:8" x14ac:dyDescent="0.35">
      <c r="B15" t="s">
        <v>91</v>
      </c>
      <c r="C15">
        <v>0.2</v>
      </c>
    </row>
    <row r="16" spans="2:8" x14ac:dyDescent="0.35">
      <c r="G16" t="s">
        <v>56</v>
      </c>
      <c r="H16" s="141">
        <f>H13/3.6</f>
        <v>36.039978000000005</v>
      </c>
    </row>
    <row r="17" spans="7:8" x14ac:dyDescent="0.35">
      <c r="G17" t="s">
        <v>92</v>
      </c>
      <c r="H17" s="18">
        <f>H16*C15</f>
        <v>7.2079956000000012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Grobkonzept 1</vt:lpstr>
      <vt:lpstr>Grobkonzept 2</vt:lpstr>
      <vt:lpstr>Grobkonzept 3</vt:lpstr>
      <vt:lpstr>Grobkonzept 4</vt:lpstr>
      <vt:lpstr>Grobkonzept 3 misch</vt:lpstr>
      <vt:lpstr>Grobkonzept 2 misch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2018-11-29T12:33:10Z</dcterms:modified>
</cp:coreProperties>
</file>