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0A01E59-D80B-4D84-9E41-AFEF7ABA7871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Tabelle1" sheetId="1" r:id="rId1"/>
    <sheet name="Phater Noster Prinzip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" l="1"/>
  <c r="H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7" i="2"/>
  <c r="K23" i="2" l="1"/>
  <c r="N12" i="2" s="1"/>
  <c r="H8" i="2"/>
  <c r="H9" i="2"/>
  <c r="H10" i="2"/>
  <c r="H11" i="2"/>
  <c r="H12" i="2"/>
  <c r="H13" i="2"/>
  <c r="H14" i="2"/>
  <c r="H15" i="2"/>
  <c r="H16" i="2"/>
  <c r="H17" i="2"/>
  <c r="H18" i="2"/>
  <c r="O6" i="1"/>
  <c r="N6" i="1"/>
  <c r="P7" i="1"/>
  <c r="L3" i="1"/>
  <c r="L4" i="1"/>
  <c r="H19" i="2" l="1"/>
  <c r="N11" i="2" s="1"/>
  <c r="L2" i="1"/>
  <c r="N2" i="1" s="1"/>
  <c r="N10" i="2" l="1"/>
  <c r="N7" i="2"/>
  <c r="N8" i="2"/>
  <c r="N9" i="2"/>
  <c r="Q14" i="1"/>
  <c r="Q13" i="1"/>
  <c r="N13" i="2" l="1"/>
  <c r="N14" i="2" s="1"/>
  <c r="N18" i="2" s="1"/>
  <c r="N20" i="2" s="1"/>
  <c r="Q21" i="1"/>
  <c r="Q20" i="1"/>
  <c r="Q19" i="1"/>
  <c r="Q18" i="1"/>
  <c r="Q17" i="1"/>
  <c r="Q16" i="1"/>
  <c r="Q15" i="1"/>
  <c r="Q12" i="1"/>
  <c r="Q11" i="1"/>
  <c r="Q10" i="1"/>
  <c r="Q9" i="1"/>
  <c r="Q8" i="1"/>
  <c r="Q7" i="1"/>
  <c r="Q6" i="1"/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20" i="1" l="1"/>
  <c r="L22" i="1" s="1"/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C6" i="1" l="1"/>
  <c r="P6" i="1" s="1"/>
  <c r="G6" i="1" l="1"/>
  <c r="H6" i="1"/>
  <c r="F6" i="1"/>
  <c r="C8" i="1" l="1"/>
  <c r="P8" i="1" s="1"/>
  <c r="C9" i="1"/>
  <c r="P9" i="1" s="1"/>
  <c r="C10" i="1"/>
  <c r="P10" i="1" s="1"/>
  <c r="C11" i="1"/>
  <c r="P11" i="1" s="1"/>
  <c r="C12" i="1"/>
  <c r="P12" i="1" s="1"/>
  <c r="C13" i="1"/>
  <c r="P13" i="1" s="1"/>
  <c r="C14" i="1"/>
  <c r="P14" i="1" s="1"/>
  <c r="C15" i="1"/>
  <c r="P15" i="1" s="1"/>
  <c r="C16" i="1"/>
  <c r="P16" i="1" s="1"/>
  <c r="C17" i="1"/>
  <c r="P17" i="1" s="1"/>
  <c r="C18" i="1"/>
  <c r="P18" i="1" s="1"/>
  <c r="C19" i="1"/>
  <c r="P19" i="1" s="1"/>
  <c r="C20" i="1"/>
  <c r="P20" i="1" s="1"/>
  <c r="C21" i="1"/>
  <c r="P21" i="1" s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<sst xmlns="http://schemas.openxmlformats.org/spreadsheetml/2006/main" count="63" uniqueCount="59">
  <si>
    <t>h in m</t>
  </si>
  <si>
    <t>v in m/s</t>
  </si>
  <si>
    <t>Quellen Formel: Formelsammlung bis zum Abitur / 2003 paetec</t>
  </si>
  <si>
    <t>P in kW</t>
  </si>
  <si>
    <t>Beschleunigung g [m/s^2]: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</si>
  <si>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</si>
  <si>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</si>
  <si>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</si>
  <si>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</si>
  <si>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</si>
  <si>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</si>
  <si>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</si>
  <si>
    <t>Volumen Tank V [m^3]:</t>
  </si>
  <si>
    <t>Querschnitsfläche A [m^2]:</t>
  </si>
  <si>
    <t>Zeit z [s]:</t>
  </si>
  <si>
    <t>Rohrdurchmesser d [m]:</t>
  </si>
  <si>
    <r>
      <t>A*</t>
    </r>
    <r>
      <rPr>
        <sz val="11"/>
        <color theme="1"/>
        <rFont val="Calibri"/>
        <family val="2"/>
      </rPr>
      <t>ρ*v^3*µ*η</t>
    </r>
  </si>
  <si>
    <t>p*g*h</t>
  </si>
  <si>
    <t>p(h) in Pa</t>
  </si>
  <si>
    <t>Druck bar m*g/A [N/m^2]:</t>
  </si>
  <si>
    <t>ρ*µ*η*g*h*A*v</t>
  </si>
  <si>
    <t>Leistung</t>
  </si>
  <si>
    <t>Ohne Tank, Turbine alle 15m</t>
  </si>
  <si>
    <t>Mit Tank, Turbine alle 65m</t>
  </si>
  <si>
    <t>Wert in kW</t>
  </si>
  <si>
    <t>Mit Tank, eine Turbine</t>
  </si>
  <si>
    <t>P über Q in kW</t>
  </si>
  <si>
    <t>P über p in kW</t>
  </si>
  <si>
    <t>Volumenstrom Q in m^3/s:</t>
  </si>
  <si>
    <t>Gewichtskraft g [m/s^2]:</t>
  </si>
  <si>
    <t xml:space="preserve">Dichte p [Kg/m^3] </t>
  </si>
  <si>
    <t>Wasser pro Person [l]</t>
  </si>
  <si>
    <t>Etagenhöhe [m]</t>
  </si>
  <si>
    <t>Personen pro benutze Etage</t>
  </si>
  <si>
    <t>E in MJ</t>
  </si>
  <si>
    <t>m = V*p*n*</t>
  </si>
  <si>
    <t>Block 1</t>
  </si>
  <si>
    <t>Block 2-6</t>
  </si>
  <si>
    <t xml:space="preserve"> Block 1</t>
  </si>
  <si>
    <t>Pro Block</t>
  </si>
  <si>
    <t>Blockhöhe 2-6 [m]</t>
  </si>
  <si>
    <t>Blockhöhe 1 [m]</t>
  </si>
  <si>
    <t>Höhe gesamt bis Kanilisation</t>
  </si>
  <si>
    <t>E = m*g*(h2_6)-4.72*x)    |x= 1-&gt; 12</t>
  </si>
  <si>
    <t>E = m*g*(h1-4.72*x)    |x= 1-&gt; 16</t>
  </si>
  <si>
    <t>E= Eblock + (m*nBlockEtagen(12)*g*(hges-x)  |x=1-&gt;</t>
  </si>
  <si>
    <t>Block 1 gesamt</t>
  </si>
  <si>
    <t>Block 2 gesamt</t>
  </si>
  <si>
    <t>Block 3 gesamt</t>
  </si>
  <si>
    <t>Block 4 gesamt</t>
  </si>
  <si>
    <t>Block 5 gesamt</t>
  </si>
  <si>
    <t>Block 6 gesamt</t>
  </si>
  <si>
    <t>Total</t>
  </si>
  <si>
    <t>Wirkungsgrad</t>
  </si>
  <si>
    <t>Total mit Wirkungsgrad</t>
  </si>
  <si>
    <t>Pro Tag</t>
  </si>
  <si>
    <t>Leistung [kWh]</t>
  </si>
  <si>
    <t>Stromkosten 1 kWh [CHF]</t>
  </si>
  <si>
    <t>Ersparnis pro Tag 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</si>
</sst>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BFF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5" xfId="0" applyNumberFormat="1" applyBorder="1"/>
    <xf numFmtId="0" fontId="0" fillId="4" borderId="10" xfId="0" applyFill="1" applyBorder="1"/>
    <xf numFmtId="43" fontId="0" fillId="2" borderId="3" xfId="0" applyNumberFormat="1" applyFill="1" applyBorder="1"/>
    <xf numFmtId="43" fontId="0" fillId="2" borderId="5" xfId="0" applyNumberFormat="1" applyFill="1" applyBorder="1"/>
    <xf numFmtId="0" fontId="0" fillId="4" borderId="1" xfId="0" applyFill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0" borderId="12" xfId="0" applyNumberFormat="1" applyBorder="1"/>
    <xf numFmtId="0" fontId="0" fillId="2" borderId="1" xfId="0" applyFill="1" applyBorder="1"/>
    <xf numFmtId="165" fontId="0" fillId="0" borderId="0" xfId="1" applyNumberFormat="1" applyFont="1" applyBorder="1" applyAlignment="1">
      <alignment horizontal="right"/>
    </xf>
    <xf numFmtId="2" fontId="0" fillId="0" borderId="12" xfId="0" applyNumberFormat="1" applyBorder="1"/>
    <xf numFmtId="2" fontId="0" fillId="2" borderId="12" xfId="0" applyNumberFormat="1" applyFill="1" applyBorder="1"/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12" xfId="0" applyNumberFormat="1" applyFill="1" applyBorder="1"/>
    <xf numFmtId="43" fontId="0" fillId="4" borderId="5" xfId="0" applyNumberFormat="1" applyFill="1" applyBorder="1"/>
    <xf numFmtId="2" fontId="0" fillId="4" borderId="12" xfId="0" applyNumberForma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164" fontId="0" fillId="4" borderId="13" xfId="0" applyNumberFormat="1" applyFill="1" applyBorder="1"/>
    <xf numFmtId="43" fontId="0" fillId="4" borderId="7" xfId="0" applyNumberFormat="1" applyFill="1" applyBorder="1"/>
    <xf numFmtId="2" fontId="0" fillId="4" borderId="13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 applyAlignment="1">
      <alignment horizontal="right"/>
    </xf>
    <xf numFmtId="43" fontId="0" fillId="3" borderId="0" xfId="1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43" fontId="0" fillId="2" borderId="0" xfId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/>
    </xf>
    <xf numFmtId="0" fontId="0" fillId="2" borderId="3" xfId="0" applyNumberFormat="1" applyFill="1" applyBorder="1" applyAlignment="1">
      <alignment horizontal="left"/>
    </xf>
    <xf numFmtId="0" fontId="0" fillId="2" borderId="5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4" borderId="5" xfId="0" applyNumberFormat="1" applyFill="1" applyBorder="1" applyAlignment="1">
      <alignment horizontal="left"/>
    </xf>
    <xf numFmtId="0" fontId="0" fillId="3" borderId="5" xfId="0" applyNumberFormat="1" applyFill="1" applyBorder="1" applyAlignment="1">
      <alignment horizontal="left"/>
    </xf>
    <xf numFmtId="0" fontId="0" fillId="4" borderId="7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164" fontId="0" fillId="2" borderId="11" xfId="0" applyNumberFormat="1" applyFill="1" applyBorder="1" applyAlignment="1">
      <alignment horizontal="left"/>
    </xf>
    <xf numFmtId="164" fontId="0" fillId="2" borderId="12" xfId="0" applyNumberFormat="1" applyFill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4" borderId="12" xfId="0" applyNumberFormat="1" applyFill="1" applyBorder="1" applyAlignment="1">
      <alignment horizontal="left"/>
    </xf>
    <xf numFmtId="164" fontId="0" fillId="4" borderId="13" xfId="0" applyNumberFormat="1" applyFill="1" applyBorder="1" applyAlignment="1">
      <alignment horizontal="left"/>
    </xf>
    <xf numFmtId="0" fontId="0" fillId="4" borderId="11" xfId="0" applyFill="1" applyBorder="1"/>
    <xf numFmtId="43" fontId="0" fillId="0" borderId="12" xfId="0" applyNumberFormat="1" applyBorder="1"/>
    <xf numFmtId="43" fontId="0" fillId="2" borderId="12" xfId="0" applyNumberFormat="1" applyFill="1" applyBorder="1"/>
    <xf numFmtId="43" fontId="0" fillId="4" borderId="12" xfId="0" applyNumberFormat="1" applyFill="1" applyBorder="1"/>
    <xf numFmtId="43" fontId="0" fillId="4" borderId="13" xfId="0" applyNumberFormat="1" applyFill="1" applyBorder="1"/>
    <xf numFmtId="0" fontId="0" fillId="2" borderId="1" xfId="0" applyFont="1" applyFill="1" applyBorder="1"/>
    <xf numFmtId="0" fontId="0" fillId="5" borderId="1" xfId="0" applyFill="1" applyBorder="1" applyAlignment="1">
      <alignment horizontal="right"/>
    </xf>
    <xf numFmtId="43" fontId="0" fillId="5" borderId="1" xfId="1" applyFont="1" applyFill="1" applyBorder="1" applyAlignment="1">
      <alignment horizontal="left"/>
    </xf>
    <xf numFmtId="43" fontId="0" fillId="0" borderId="0" xfId="0" applyNumberFormat="1"/>
    <xf numFmtId="2" fontId="0" fillId="3" borderId="0" xfId="1" applyNumberFormat="1" applyFont="1" applyFill="1" applyAlignment="1">
      <alignment horizontal="left" vertical="center" indent="1"/>
    </xf>
    <xf numFmtId="2" fontId="0" fillId="3" borderId="0" xfId="1" applyNumberFormat="1" applyFont="1" applyFill="1" applyBorder="1" applyAlignment="1">
      <alignment horizontal="left" vertical="center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1" fontId="0" fillId="3" borderId="0" xfId="1" applyNumberFormat="1" applyFont="1" applyFill="1" applyAlignment="1">
      <alignment horizontal="left" vertical="center" indent="1"/>
    </xf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/>
    <xf numFmtId="2" fontId="0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ill="1" applyBorder="1"/>
    <xf numFmtId="2" fontId="0" fillId="0" borderId="0" xfId="0" applyNumberForma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left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Fill="1" applyBorder="1" applyAlignment="1">
      <alignment horizontal="center"/>
    </xf>
    <xf numFmtId="0" fontId="3" fillId="0" borderId="11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2" fontId="0" fillId="0" borderId="1" xfId="0" applyNumberFormat="1" applyFill="1" applyBorder="1" applyAlignment="1">
      <alignment horizontal="center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indent="1"/>
    </xf>
    <xf numFmtId="2" fontId="0" fillId="0" borderId="0" xfId="1" applyNumberFormat="1" applyFont="1" applyFill="1" applyBorder="1" applyAlignment="1">
      <alignment horizontal="left" vertical="center" indent="1"/>
    </xf>
    <xf numFmtId="0" fontId="0" fillId="7" borderId="1" xfId="0" applyFill="1" applyBorder="1" applyAlignment="1">
      <alignment horizontal="center"/>
    </xf>
    <xf numFmtId="0" fontId="0" fillId="7" borderId="10" xfId="0" applyFill="1" applyBorder="1"/>
    <xf numFmtId="0" fontId="0" fillId="7" borderId="0" xfId="0" applyFill="1" applyAlignment="1">
      <alignment horizontal="right"/>
    </xf>
    <xf numFmtId="43" fontId="0" fillId="7" borderId="0" xfId="1" applyFont="1" applyFill="1" applyAlignment="1">
      <alignment horizontal="left"/>
    </xf>
    <xf numFmtId="2" fontId="0" fillId="7" borderId="1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6" borderId="11" xfId="0" applyFont="1" applyFill="1" applyBorder="1" applyAlignment="1">
      <alignment horizontal="center" vertical="center" textRotation="90"/>
    </xf>
    <xf numFmtId="0" fontId="3" fillId="6" borderId="12" xfId="0" applyFont="1" applyFill="1" applyBorder="1" applyAlignment="1">
      <alignment horizontal="center" vertical="center" textRotation="90"/>
    </xf>
    <xf numFmtId="0" fontId="3" fillId="6" borderId="16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wrapText="1"/>
    </xf>
  </cellXfs>
  <cellStyles count="2">
    <cellStyle name="Komma" xfId="1" builtinId="3"/>
    <cellStyle name="Standard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4E74FF"/>
      <color rgb="FF5340FF"/>
      <color rgb="FFFFB657"/>
      <color rgb="FFFFCC66"/>
      <color rgb="FF5BF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6:L22" headerRowCount="0">
  <tableColumns count="2">
    <tableColumn id="1" xr3:uid="{50141818-EC6F-4D69-928B-0B0B66167391}" name="Einheit" totalsRowLabel="Ergebnis" headerRowDxfId="11" dataDxfId="10" totalsRowDxfId="9"/>
    <tableColumn id="2" xr3:uid="{74FA20B8-17BD-4BBA-81C4-F0A4F1969D94}" name="Wert" totalsRowFunction="sum" headerRowDxfId="8" dataDxfId="7" totalsRowDxfId="6" headerRowCellStyle="Komma" dataCellStyle="Komma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660961-3964-4231-819B-2915A7872939}" name="Tabelle52" displayName="Tabelle52" ref="D7:E17" headerRowCount="0">
  <tableColumns count="2">
    <tableColumn id="1" xr3:uid="{6BCF05AC-02C5-4CDB-8CD2-29F7371A94D5}" name="Einheit" totalsRowLabel="Ergebnis" headerRowDxfId="5" dataDxfId="4" totalsRowDxfId="3"/>
    <tableColumn id="2" xr3:uid="{C19263DD-D321-4310-98D1-88B65D7508FA}" name="Wert" totalsRowFunction="sum" headerRowDxfId="2" dataDxfId="1" totalsRowDxfId="0" headerRowCellStyle="Komma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topLeftCell="H2" workbookViewId="0">
      <selection activeCell="N5" sqref="N5:O21"/>
    </sheetView>
  </sheetViews>
  <sheetFormatPr baseColWidth="10" defaultColWidth="8.7265625" defaultRowHeight="14.5" x14ac:dyDescent="0.35"/>
  <cols>
    <col min="1" max="1" width="2.81640625" customWidth="1"/>
    <col min="2" max="2" width="8.26953125" customWidth="1"/>
    <col min="4" max="4" width="9.54296875" customWidth="1"/>
    <col min="5" max="5" width="5" customWidth="1"/>
    <col min="6" max="6" width="8.26953125" customWidth="1"/>
    <col min="9" max="9" width="2.81640625" customWidth="1"/>
    <col min="10" max="10" width="2.26953125" customWidth="1"/>
    <col min="11" max="11" width="24.7265625" style="14" customWidth="1"/>
    <col min="12" max="12" width="10.54296875" style="16" customWidth="1"/>
    <col min="13" max="13" width="4.54296875" style="18" customWidth="1"/>
    <col min="14" max="14" width="12.81640625" customWidth="1"/>
    <col min="15" max="15" width="14.7265625" customWidth="1"/>
    <col min="16" max="16" width="13.1796875" customWidth="1"/>
    <col min="17" max="17" width="14.54296875" customWidth="1"/>
  </cols>
  <sheetData>
    <row r="1" spans="1:17" x14ac:dyDescent="0.35">
      <c r="A1" t="s">
        <v>2</v>
      </c>
      <c r="K1" s="82" t="s">
        <v>21</v>
      </c>
      <c r="L1" s="83" t="s">
        <v>24</v>
      </c>
    </row>
    <row r="2" spans="1:17" x14ac:dyDescent="0.35">
      <c r="K2" s="82" t="s">
        <v>22</v>
      </c>
      <c r="L2" s="83">
        <f>406*N6</f>
        <v>40628.99554560001</v>
      </c>
      <c r="N2" s="84">
        <f>L2*0.7</f>
        <v>28440.296881920007</v>
      </c>
    </row>
    <row r="3" spans="1:17" x14ac:dyDescent="0.35">
      <c r="D3" s="28" t="s">
        <v>17</v>
      </c>
      <c r="K3" s="82" t="s">
        <v>23</v>
      </c>
      <c r="L3" s="83">
        <f>21*Q14</f>
        <v>3109.7678289416804</v>
      </c>
      <c r="N3" s="28" t="s">
        <v>9</v>
      </c>
      <c r="O3" s="28" t="s">
        <v>10</v>
      </c>
      <c r="P3" s="28" t="s">
        <v>16</v>
      </c>
      <c r="Q3" s="81" t="s">
        <v>20</v>
      </c>
    </row>
    <row r="4" spans="1:17" x14ac:dyDescent="0.35">
      <c r="F4" s="52" t="s">
        <v>28</v>
      </c>
      <c r="G4" s="53"/>
      <c r="H4" s="21"/>
      <c r="I4" s="2"/>
      <c r="J4" s="2"/>
      <c r="K4" s="82" t="s">
        <v>25</v>
      </c>
      <c r="L4" s="83">
        <f>Q15+Q17+Q18+Q19+Q21</f>
        <v>4424.4490693150692</v>
      </c>
      <c r="M4" s="19"/>
      <c r="N4" s="2"/>
    </row>
    <row r="5" spans="1:17" x14ac:dyDescent="0.35">
      <c r="B5" s="58" t="s">
        <v>0</v>
      </c>
      <c r="C5" s="70" t="s">
        <v>1</v>
      </c>
      <c r="D5" s="13" t="s">
        <v>18</v>
      </c>
      <c r="E5" s="57"/>
      <c r="F5" s="11">
        <v>0.1</v>
      </c>
      <c r="G5" s="13">
        <v>0.2</v>
      </c>
      <c r="H5" s="12">
        <v>0.3</v>
      </c>
      <c r="I5" s="2"/>
      <c r="J5" s="2"/>
      <c r="K5"/>
      <c r="L5"/>
      <c r="M5" s="19"/>
      <c r="N5" s="24" t="s">
        <v>7</v>
      </c>
      <c r="O5" s="21" t="s">
        <v>8</v>
      </c>
      <c r="P5" s="24" t="s">
        <v>26</v>
      </c>
      <c r="Q5" s="76" t="s">
        <v>27</v>
      </c>
    </row>
    <row r="6" spans="1:17" x14ac:dyDescent="0.35">
      <c r="B6" s="9">
        <v>8</v>
      </c>
      <c r="C6" s="71">
        <f>SQRT(2*9.81*B6)</f>
        <v>12.528367810692661</v>
      </c>
      <c r="D6" s="59">
        <f>L6*L10*B6</f>
        <v>78480</v>
      </c>
      <c r="E6" s="3"/>
      <c r="F6" s="9">
        <f>(0.5*1000*F$5*C6^2)/1000</f>
        <v>7.8479999999999999</v>
      </c>
      <c r="G6" s="65">
        <f>(0.5*1000*G$5*C6^2)/1000</f>
        <v>15.696</v>
      </c>
      <c r="H6" s="10">
        <f>(0.5*1000*H$5*C6^2)/1000</f>
        <v>23.544</v>
      </c>
      <c r="I6" s="1"/>
      <c r="J6" s="2"/>
      <c r="K6" s="15" t="s">
        <v>4</v>
      </c>
      <c r="L6" s="17">
        <v>9.81</v>
      </c>
      <c r="M6" s="19"/>
      <c r="N6" s="25">
        <f>(L8*L10*C6^2*L12*L14)/(2*1000)</f>
        <v>100.07141760000002</v>
      </c>
      <c r="O6" s="22">
        <f>(L8*L10*L6*B6)/(L16*1000)</f>
        <v>120.85920000000002</v>
      </c>
      <c r="P6" s="31">
        <f>(L12*L14*L10*L20*C6^3)/(2*1000)</f>
        <v>6.3940145056265161</v>
      </c>
      <c r="Q6" s="78">
        <f>(L6*L10*L12*L14*L20*B6*C6)/(1000*L16)</f>
        <v>6.3940145056265152</v>
      </c>
    </row>
    <row r="7" spans="1:17" x14ac:dyDescent="0.35">
      <c r="B7" s="6">
        <v>10</v>
      </c>
      <c r="C7" s="72">
        <f t="shared" ref="C7:C21" si="0">SQRT(2*9.81*B7)</f>
        <v>14.007141035914502</v>
      </c>
      <c r="D7" s="60">
        <f>L6*L10*B7</f>
        <v>98100</v>
      </c>
      <c r="E7" s="3"/>
      <c r="F7" s="6">
        <f t="shared" ref="F7:F21" si="1">(0.5*1000*F$5*C7^2)/1000</f>
        <v>9.81</v>
      </c>
      <c r="G7" s="66">
        <f t="shared" ref="G7:G21" si="2">(0.5*1000*G$5*C7^2)/1000</f>
        <v>19.62</v>
      </c>
      <c r="H7" s="7">
        <f t="shared" ref="H7:H21" si="3">(0.5*1000*H$5*C7^2)/1000</f>
        <v>29.43</v>
      </c>
      <c r="I7" s="1"/>
      <c r="J7" s="2"/>
      <c r="K7" s="15"/>
      <c r="L7" s="17"/>
      <c r="M7" s="19"/>
      <c r="N7" s="26">
        <f>O7*L12*L14</f>
        <v>125.08927200000002</v>
      </c>
      <c r="O7" s="23">
        <f>(L8*L10*L6*B7)/(L16*1000)</f>
        <v>151.07400000000001</v>
      </c>
      <c r="P7" s="31">
        <f>(L12*L14*L10*L20*C7^3)/(2*1000)</f>
        <v>8.9359069273128746</v>
      </c>
      <c r="Q7" s="78">
        <f>(L6*L10*L12*L14*L20*B7*C7)/(1000*L16)</f>
        <v>8.9359069273128746</v>
      </c>
    </row>
    <row r="8" spans="1:17" x14ac:dyDescent="0.35">
      <c r="B8" s="6">
        <v>15</v>
      </c>
      <c r="C8" s="72">
        <f t="shared" si="0"/>
        <v>17.155174146594955</v>
      </c>
      <c r="D8" s="60">
        <f>L6*L10*B8</f>
        <v>147150</v>
      </c>
      <c r="E8" s="3"/>
      <c r="F8" s="6">
        <f t="shared" si="1"/>
        <v>14.714999999999998</v>
      </c>
      <c r="G8" s="66">
        <f t="shared" si="2"/>
        <v>29.429999999999996</v>
      </c>
      <c r="H8" s="7">
        <f t="shared" si="3"/>
        <v>44.144999999999996</v>
      </c>
      <c r="I8" s="1"/>
      <c r="J8" s="2"/>
      <c r="K8" s="15" t="s">
        <v>12</v>
      </c>
      <c r="L8" s="17">
        <v>1.54</v>
      </c>
      <c r="M8" s="19"/>
      <c r="N8" s="26">
        <f>O8*L12*L14</f>
        <v>187.63390800000005</v>
      </c>
      <c r="O8" s="23">
        <f>(L8*L10*L6*B8)/(L16*1000)</f>
        <v>226.61100000000002</v>
      </c>
      <c r="P8" s="31">
        <f>(L12*L14*L10*L20*C8^3)/(2*1000)</f>
        <v>16.416309270688522</v>
      </c>
      <c r="Q8" s="78">
        <f>(L6*L10*L12*L14*L20*B8*C8)/(1000*L16)</f>
        <v>16.416309270688526</v>
      </c>
    </row>
    <row r="9" spans="1:17" x14ac:dyDescent="0.35">
      <c r="B9" s="4">
        <v>30</v>
      </c>
      <c r="C9" s="73">
        <f t="shared" si="0"/>
        <v>24.261079942986875</v>
      </c>
      <c r="D9" s="61">
        <f>L6*L10*B9</f>
        <v>294300</v>
      </c>
      <c r="E9" s="3"/>
      <c r="F9" s="4">
        <f t="shared" si="1"/>
        <v>29.43</v>
      </c>
      <c r="G9" s="67">
        <f t="shared" si="2"/>
        <v>58.86</v>
      </c>
      <c r="H9" s="5">
        <f t="shared" si="3"/>
        <v>88.29</v>
      </c>
      <c r="I9" s="1"/>
      <c r="J9" s="2"/>
      <c r="K9" s="15"/>
      <c r="L9" s="17"/>
      <c r="M9" s="19"/>
      <c r="N9" s="27">
        <f>O9*L12*L14</f>
        <v>375.2678160000001</v>
      </c>
      <c r="O9" s="20">
        <f>(L8*L10*L6*B9)/(L16*1000)</f>
        <v>453.22200000000004</v>
      </c>
      <c r="P9" s="30">
        <f>(L12*L14*L10*L20*C9^3)/(2*1000)</f>
        <v>46.43233442943778</v>
      </c>
      <c r="Q9" s="77">
        <f>(L6*L10*L12*L14*L20*B9*C9)/(1000*L16)</f>
        <v>46.432334429437773</v>
      </c>
    </row>
    <row r="10" spans="1:17" x14ac:dyDescent="0.35">
      <c r="B10" s="4">
        <v>40</v>
      </c>
      <c r="C10" s="73">
        <f t="shared" si="0"/>
        <v>28.014282071829005</v>
      </c>
      <c r="D10" s="61">
        <f>L6*L10*B10</f>
        <v>392400</v>
      </c>
      <c r="E10" s="3"/>
      <c r="F10" s="4">
        <f t="shared" si="1"/>
        <v>39.24</v>
      </c>
      <c r="G10" s="67">
        <f t="shared" si="2"/>
        <v>78.48</v>
      </c>
      <c r="H10" s="5">
        <f t="shared" si="3"/>
        <v>117.72</v>
      </c>
      <c r="I10" s="1"/>
      <c r="J10" s="2"/>
      <c r="K10" s="15" t="s">
        <v>11</v>
      </c>
      <c r="L10" s="17">
        <v>1000</v>
      </c>
      <c r="M10" s="19"/>
      <c r="N10" s="27">
        <f>O10*L12*L14</f>
        <v>500.35708800000009</v>
      </c>
      <c r="O10" s="20">
        <f>(L8*L10*L6*B10)/(L16*1000)</f>
        <v>604.29600000000005</v>
      </c>
      <c r="P10" s="30">
        <f>(L12*L14*L10*L20*C10^3)/(2*1000)</f>
        <v>71.487255418502997</v>
      </c>
      <c r="Q10" s="77">
        <f>(L6*L10*L12*L14*L20*B10*C10)/(1000*L16)</f>
        <v>71.487255418502997</v>
      </c>
    </row>
    <row r="11" spans="1:17" x14ac:dyDescent="0.35">
      <c r="B11" s="4">
        <v>50</v>
      </c>
      <c r="C11" s="73">
        <f t="shared" si="0"/>
        <v>31.32091952673165</v>
      </c>
      <c r="D11" s="61">
        <f>L6*L10*B11</f>
        <v>490500</v>
      </c>
      <c r="E11" s="8"/>
      <c r="F11" s="4">
        <f t="shared" si="1"/>
        <v>49.05</v>
      </c>
      <c r="G11" s="67">
        <f t="shared" si="2"/>
        <v>98.1</v>
      </c>
      <c r="H11" s="5">
        <f t="shared" si="3"/>
        <v>147.15</v>
      </c>
      <c r="I11" s="1"/>
      <c r="J11" s="2"/>
      <c r="K11" s="15"/>
      <c r="L11" s="17"/>
      <c r="M11" s="19"/>
      <c r="N11" s="27">
        <f>O11*L12*L14</f>
        <v>625.44636000000014</v>
      </c>
      <c r="O11" s="20">
        <f>(L8*L10*L6*B11)/(L16*1000)</f>
        <v>755.37000000000012</v>
      </c>
      <c r="P11" s="30">
        <f>(L12*L14*L10*L20*C11^3)/(2*1000)</f>
        <v>99.906476650414305</v>
      </c>
      <c r="Q11" s="77">
        <f>(L6*L10*L12*L14*L20*B11*C11)/(1000*L16)</f>
        <v>99.906476650414305</v>
      </c>
    </row>
    <row r="12" spans="1:17" x14ac:dyDescent="0.35">
      <c r="B12" s="6">
        <v>60</v>
      </c>
      <c r="C12" s="72">
        <f t="shared" si="0"/>
        <v>34.310348293189911</v>
      </c>
      <c r="D12" s="60">
        <f>L6*L10*B12</f>
        <v>588600</v>
      </c>
      <c r="E12" s="8"/>
      <c r="F12" s="6">
        <f t="shared" si="1"/>
        <v>58.859999999999992</v>
      </c>
      <c r="G12" s="66">
        <f t="shared" si="2"/>
        <v>117.71999999999998</v>
      </c>
      <c r="H12" s="7">
        <f t="shared" si="3"/>
        <v>176.57999999999998</v>
      </c>
      <c r="I12" s="1"/>
      <c r="J12" s="2"/>
      <c r="K12" s="15" t="s">
        <v>5</v>
      </c>
      <c r="L12" s="17">
        <v>0.92</v>
      </c>
      <c r="M12" s="19"/>
      <c r="N12" s="26">
        <f>O12*L12*L14</f>
        <v>750.53563200000019</v>
      </c>
      <c r="O12" s="23">
        <f>(L8*L10*L6*B12)/(L16*1000)</f>
        <v>906.44400000000007</v>
      </c>
      <c r="P12" s="31">
        <f>(L12*L14*L10*L20*C12^3)/(2*1000)</f>
        <v>131.33047416550818</v>
      </c>
      <c r="Q12" s="78">
        <f>(L6*L10*L12*L14*L20*B12*C12)/(1000*L16)</f>
        <v>131.33047416550821</v>
      </c>
    </row>
    <row r="13" spans="1:17" x14ac:dyDescent="0.35">
      <c r="B13" s="6">
        <v>62</v>
      </c>
      <c r="C13" s="72">
        <f t="shared" si="0"/>
        <v>34.877499910400687</v>
      </c>
      <c r="D13" s="60">
        <f>L6*L10*B13</f>
        <v>608220</v>
      </c>
      <c r="E13" s="3"/>
      <c r="F13" s="6">
        <f t="shared" si="1"/>
        <v>60.821999999999996</v>
      </c>
      <c r="G13" s="66">
        <f t="shared" si="2"/>
        <v>121.64399999999999</v>
      </c>
      <c r="H13" s="7">
        <f t="shared" si="3"/>
        <v>182.46599999999998</v>
      </c>
      <c r="I13" s="1"/>
      <c r="J13" s="2"/>
      <c r="K13" s="15"/>
      <c r="L13" s="17"/>
      <c r="M13" s="19"/>
      <c r="N13" s="26">
        <f>O13*L12*L14</f>
        <v>775.55348640000011</v>
      </c>
      <c r="O13" s="23">
        <f>(L8*L10*L6*B13)/(L16*1000)</f>
        <v>936.65880000000004</v>
      </c>
      <c r="P13" s="31">
        <f>(L12*L14*L10*L20*C13^3)/(2*1000)</f>
        <v>137.95141863690142</v>
      </c>
      <c r="Q13" s="78">
        <f>(L6*L10*L12*L14*L20*B13*C13)/(1000*L16)</f>
        <v>137.95141863690145</v>
      </c>
    </row>
    <row r="14" spans="1:17" x14ac:dyDescent="0.35">
      <c r="B14" s="6">
        <v>65</v>
      </c>
      <c r="C14" s="72">
        <f t="shared" si="0"/>
        <v>35.71134273588715</v>
      </c>
      <c r="D14" s="60">
        <f>L6*L10*B14</f>
        <v>637650</v>
      </c>
      <c r="E14" s="8"/>
      <c r="F14" s="6">
        <f t="shared" si="1"/>
        <v>63.765000000000001</v>
      </c>
      <c r="G14" s="66">
        <f t="shared" si="2"/>
        <v>127.53</v>
      </c>
      <c r="H14" s="7">
        <f t="shared" si="3"/>
        <v>191.29499999999999</v>
      </c>
      <c r="I14" s="1"/>
      <c r="J14" s="2"/>
      <c r="K14" s="15" t="s">
        <v>6</v>
      </c>
      <c r="L14" s="17">
        <v>0.9</v>
      </c>
      <c r="M14" s="19"/>
      <c r="N14" s="26">
        <f>O14*L12*L14</f>
        <v>813.08026800000016</v>
      </c>
      <c r="O14" s="23">
        <f>(L8*L10*L6*B14)/(L16*1000)</f>
        <v>981.98100000000011</v>
      </c>
      <c r="P14" s="31">
        <f>(L12*L14*L10*L20*C14^3)/(2*1000)</f>
        <v>148.08418233055622</v>
      </c>
      <c r="Q14" s="78">
        <f>(L6*L10*L12*L14*L20*B14*C14)/(1000*L16)</f>
        <v>148.08418233055622</v>
      </c>
    </row>
    <row r="15" spans="1:17" x14ac:dyDescent="0.35">
      <c r="B15" s="32">
        <v>70</v>
      </c>
      <c r="C15" s="74">
        <f t="shared" si="0"/>
        <v>37.05941176003742</v>
      </c>
      <c r="D15" s="62">
        <f>L6*L10*B15</f>
        <v>686700</v>
      </c>
      <c r="E15" s="8"/>
      <c r="F15" s="32">
        <f t="shared" si="1"/>
        <v>68.67</v>
      </c>
      <c r="G15" s="68">
        <f t="shared" si="2"/>
        <v>137.34</v>
      </c>
      <c r="H15" s="33">
        <f t="shared" si="3"/>
        <v>206.00999999999996</v>
      </c>
      <c r="I15" s="42"/>
      <c r="J15" s="43"/>
      <c r="K15" s="46"/>
      <c r="L15" s="47"/>
      <c r="M15" s="45"/>
      <c r="N15" s="34">
        <f>O15*L12*L14</f>
        <v>875.62490400000013</v>
      </c>
      <c r="O15" s="35">
        <f>(L8*L10*L6*B15)/(L16*1000)</f>
        <v>1057.518</v>
      </c>
      <c r="P15" s="36">
        <f>(L12*L14*L10*L20*C15^3)/(2*1000)</f>
        <v>165.49531227942435</v>
      </c>
      <c r="Q15" s="79">
        <f>(L6*L10*L12*L14*L20*B15*C15)/(1000*L16)</f>
        <v>165.49531227942435</v>
      </c>
    </row>
    <row r="16" spans="1:17" x14ac:dyDescent="0.35">
      <c r="B16" s="4">
        <v>100</v>
      </c>
      <c r="C16" s="73">
        <f t="shared" si="0"/>
        <v>44.294469180700204</v>
      </c>
      <c r="D16" s="63">
        <f>L6*L10*B16</f>
        <v>981000</v>
      </c>
      <c r="E16" s="8"/>
      <c r="F16" s="4">
        <f t="shared" si="1"/>
        <v>98.100000000000009</v>
      </c>
      <c r="G16" s="67">
        <f t="shared" si="2"/>
        <v>196.20000000000002</v>
      </c>
      <c r="H16" s="5">
        <f t="shared" si="3"/>
        <v>294.30000000000007</v>
      </c>
      <c r="I16" s="42"/>
      <c r="J16" s="43"/>
      <c r="K16" s="15" t="s">
        <v>14</v>
      </c>
      <c r="L16" s="17">
        <v>1</v>
      </c>
      <c r="M16" s="45"/>
      <c r="N16" s="27">
        <f>O16*L12*L14</f>
        <v>1250.8927200000003</v>
      </c>
      <c r="O16" s="20">
        <f>(L8*L10*L6*B16)/(L16*1000)</f>
        <v>1510.7400000000002</v>
      </c>
      <c r="P16" s="30">
        <f>(L12*L14*L10*L20*C16^3)/(2*1000)</f>
        <v>282.57818849585374</v>
      </c>
      <c r="Q16" s="77">
        <f>(L6*L10*L12*L14*L20*B16*C16)/(1000*L16)</f>
        <v>282.57818849585374</v>
      </c>
    </row>
    <row r="17" spans="2:17" x14ac:dyDescent="0.35">
      <c r="B17" s="32">
        <v>135</v>
      </c>
      <c r="C17" s="74">
        <f t="shared" si="0"/>
        <v>51.46552243978487</v>
      </c>
      <c r="D17" s="62">
        <f>L6*L10*B17</f>
        <v>1324350</v>
      </c>
      <c r="E17" s="8"/>
      <c r="F17" s="32">
        <f t="shared" si="1"/>
        <v>132.435</v>
      </c>
      <c r="G17" s="68">
        <f t="shared" si="2"/>
        <v>264.87</v>
      </c>
      <c r="H17" s="33">
        <f t="shared" si="3"/>
        <v>397.30500000000001</v>
      </c>
      <c r="I17" s="42"/>
      <c r="J17" s="43"/>
      <c r="K17" s="46"/>
      <c r="L17" s="47"/>
      <c r="M17" s="45"/>
      <c r="N17" s="34">
        <f>O17*L12*L14</f>
        <v>1688.7051720000004</v>
      </c>
      <c r="O17" s="35">
        <f>(L8*L10*L6*B17)/(L16*1000)</f>
        <v>2039.4990000000003</v>
      </c>
      <c r="P17" s="36">
        <f>(L12*L14*L10*L20*C17^3)/(2*1000)</f>
        <v>443.24035030859017</v>
      </c>
      <c r="Q17" s="79">
        <f>(L6*L10*L12*L14*L20*B17*C17)/(1000*L16)</f>
        <v>443.24035030859022</v>
      </c>
    </row>
    <row r="18" spans="2:17" x14ac:dyDescent="0.35">
      <c r="B18" s="32">
        <v>205</v>
      </c>
      <c r="C18" s="74">
        <f t="shared" si="0"/>
        <v>63.420028382207462</v>
      </c>
      <c r="D18" s="62">
        <f>L6*L10*B18</f>
        <v>2011050</v>
      </c>
      <c r="E18" s="8"/>
      <c r="F18" s="32">
        <f t="shared" si="1"/>
        <v>201.10499999999999</v>
      </c>
      <c r="G18" s="68">
        <f t="shared" si="2"/>
        <v>402.21</v>
      </c>
      <c r="H18" s="33">
        <f t="shared" si="3"/>
        <v>603.31500000000005</v>
      </c>
      <c r="I18" s="42"/>
      <c r="J18" s="43"/>
      <c r="K18" s="48" t="s">
        <v>15</v>
      </c>
      <c r="L18" s="49">
        <v>0.1</v>
      </c>
      <c r="M18" s="45"/>
      <c r="N18" s="34">
        <f>O18*L12*L14</f>
        <v>2564.3300760000002</v>
      </c>
      <c r="O18" s="35">
        <f>(L8*L10*L6*B18)/(L16*1000)</f>
        <v>3097.0170000000003</v>
      </c>
      <c r="P18" s="36">
        <f>(L12*L14*L10*L20*C18^3)/(2*1000)</f>
        <v>829.41030755002396</v>
      </c>
      <c r="Q18" s="79">
        <f>(L6*L10*L12*L14*L20*B18*C18)/(1000*L16)</f>
        <v>829.41030755002396</v>
      </c>
    </row>
    <row r="19" spans="2:17" x14ac:dyDescent="0.35">
      <c r="B19" s="32">
        <v>270</v>
      </c>
      <c r="C19" s="74">
        <f t="shared" si="0"/>
        <v>72.783239828960632</v>
      </c>
      <c r="D19" s="62">
        <f>L6*L10*B19</f>
        <v>2648700</v>
      </c>
      <c r="E19" s="8"/>
      <c r="F19" s="32">
        <f t="shared" si="1"/>
        <v>264.87000000000006</v>
      </c>
      <c r="G19" s="68">
        <f t="shared" si="2"/>
        <v>529.74000000000012</v>
      </c>
      <c r="H19" s="33">
        <f t="shared" si="3"/>
        <v>794.61000000000024</v>
      </c>
      <c r="I19" s="42"/>
      <c r="J19" s="43"/>
      <c r="K19" s="46"/>
      <c r="L19" s="47"/>
      <c r="M19" s="45"/>
      <c r="N19" s="34">
        <f>O19*L12*L14</f>
        <v>3377.4103440000008</v>
      </c>
      <c r="O19" s="35">
        <f>(L8*L10*L6*B19)/(L16*1000)</f>
        <v>4078.9980000000005</v>
      </c>
      <c r="P19" s="36">
        <f>(L12*L14*L10*L20*C19^3)/(2*1000)</f>
        <v>1253.6730295948203</v>
      </c>
      <c r="Q19" s="79">
        <f>(L6*L10*L12*L14*L20*B19*C19)/(1000*L16)</f>
        <v>1253.67302959482</v>
      </c>
    </row>
    <row r="20" spans="2:17" x14ac:dyDescent="0.35">
      <c r="B20" s="4">
        <v>300</v>
      </c>
      <c r="C20" s="73">
        <f t="shared" si="0"/>
        <v>76.720271115266527</v>
      </c>
      <c r="D20" s="63">
        <f>L6*L10*B20</f>
        <v>2943000</v>
      </c>
      <c r="E20" s="8"/>
      <c r="F20" s="4">
        <f t="shared" si="1"/>
        <v>294.29999999999995</v>
      </c>
      <c r="G20" s="67">
        <f t="shared" si="2"/>
        <v>588.59999999999991</v>
      </c>
      <c r="H20" s="5">
        <f t="shared" si="3"/>
        <v>882.89999999999986</v>
      </c>
      <c r="I20" s="42"/>
      <c r="J20" s="43"/>
      <c r="K20" s="15" t="s">
        <v>13</v>
      </c>
      <c r="L20" s="29">
        <f>((L18)^2*3.141592)/4</f>
        <v>7.8539800000000017E-3</v>
      </c>
      <c r="M20" s="45"/>
      <c r="N20" s="27">
        <f>O20*L12*L14</f>
        <v>3752.6781600000008</v>
      </c>
      <c r="O20" s="20">
        <f>(L8*L10*L6*B20)/(L16*1000)</f>
        <v>4532.22</v>
      </c>
      <c r="P20" s="30">
        <f>(L12*L14*L10*L20*C20^3)/(2*1000)</f>
        <v>1468.3193387567812</v>
      </c>
      <c r="Q20" s="77">
        <f>(L6*L10*L12*L14*L20*B20*C20)/(1000*L16)</f>
        <v>1468.3193387567815</v>
      </c>
    </row>
    <row r="21" spans="2:17" x14ac:dyDescent="0.35">
      <c r="B21" s="37">
        <v>335</v>
      </c>
      <c r="C21" s="75">
        <f t="shared" si="0"/>
        <v>81.07219005306321</v>
      </c>
      <c r="D21" s="64">
        <f>L6*L10*B21</f>
        <v>3286350</v>
      </c>
      <c r="F21" s="37">
        <f t="shared" si="1"/>
        <v>328.63500000000005</v>
      </c>
      <c r="G21" s="69">
        <f t="shared" si="2"/>
        <v>657.2700000000001</v>
      </c>
      <c r="H21" s="38">
        <f t="shared" si="3"/>
        <v>985.9050000000002</v>
      </c>
      <c r="I21" s="42"/>
      <c r="J21" s="43"/>
      <c r="K21" s="46"/>
      <c r="L21" s="47"/>
      <c r="M21" s="45"/>
      <c r="N21" s="39">
        <f>O21*L12*L14</f>
        <v>4190.4906120000014</v>
      </c>
      <c r="O21" s="40">
        <f>(L8*L10*L6*B21)/(L16*1000)</f>
        <v>5060.9790000000012</v>
      </c>
      <c r="P21" s="41">
        <f>(L12*L14*L10*L20*C21^3)/(2*1000)</f>
        <v>1732.6300695822113</v>
      </c>
      <c r="Q21" s="80">
        <f>(L6*L10*L12*L14*L20*B21*C21)/(1000*L16)</f>
        <v>1732.6300695822106</v>
      </c>
    </row>
    <row r="22" spans="2:17" x14ac:dyDescent="0.35">
      <c r="F22" s="54" t="s">
        <v>3</v>
      </c>
      <c r="G22" s="55"/>
      <c r="H22" s="56"/>
      <c r="I22" s="44"/>
      <c r="J22" s="44"/>
      <c r="K22" s="50" t="s">
        <v>19</v>
      </c>
      <c r="L22" s="51">
        <f>(L10*L8*L6)/(L20*100000)</f>
        <v>19.235343099931498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FD7B-433B-43E7-8530-8190CAC921C0}">
  <dimension ref="A1:O52"/>
  <sheetViews>
    <sheetView showGridLines="0" tabSelected="1" zoomScale="85" zoomScaleNormal="85" workbookViewId="0">
      <selection activeCell="P33" sqref="P33"/>
    </sheetView>
  </sheetViews>
  <sheetFormatPr baseColWidth="10" defaultColWidth="8.7265625" defaultRowHeight="14.5" x14ac:dyDescent="0.35"/>
  <cols>
    <col min="1" max="2" width="2.81640625" customWidth="1"/>
    <col min="3" max="3" width="2.26953125" customWidth="1"/>
    <col min="4" max="4" width="26.1796875" style="14" customWidth="1"/>
    <col min="5" max="5" width="10.54296875" style="16" customWidth="1"/>
    <col min="6" max="6" width="9" style="18" customWidth="1"/>
    <col min="7" max="7" width="14.54296875" customWidth="1"/>
    <col min="8" max="8" width="11.7265625" customWidth="1"/>
    <col min="9" max="9" width="4.90625" customWidth="1"/>
    <col min="10" max="10" width="14.54296875" customWidth="1"/>
    <col min="11" max="11" width="11.7265625" customWidth="1"/>
    <col min="12" max="12" width="6.36328125" customWidth="1"/>
    <col min="13" max="13" width="14.54296875" customWidth="1"/>
    <col min="14" max="14" width="11.7265625" customWidth="1"/>
  </cols>
  <sheetData>
    <row r="1" spans="1:14" x14ac:dyDescent="0.35">
      <c r="A1" t="s">
        <v>2</v>
      </c>
    </row>
    <row r="2" spans="1:14" x14ac:dyDescent="0.35">
      <c r="G2" s="18" t="s">
        <v>35</v>
      </c>
      <c r="J2" s="18" t="s">
        <v>35</v>
      </c>
      <c r="N2" s="18"/>
    </row>
    <row r="3" spans="1:14" x14ac:dyDescent="0.35">
      <c r="G3" t="s">
        <v>43</v>
      </c>
      <c r="H3" s="18"/>
      <c r="J3" t="s">
        <v>44</v>
      </c>
      <c r="K3" s="18"/>
      <c r="L3" s="18"/>
      <c r="N3" t="s">
        <v>45</v>
      </c>
    </row>
    <row r="4" spans="1:14" x14ac:dyDescent="0.35">
      <c r="B4" s="2"/>
      <c r="C4" s="2"/>
      <c r="F4" s="19"/>
      <c r="G4" s="18"/>
      <c r="H4" s="18"/>
      <c r="I4" s="18"/>
      <c r="J4" s="18"/>
      <c r="K4" s="18"/>
      <c r="L4" s="18"/>
      <c r="M4" s="18"/>
      <c r="N4" s="18"/>
    </row>
    <row r="5" spans="1:14" x14ac:dyDescent="0.35">
      <c r="B5" s="2"/>
      <c r="C5" s="2"/>
      <c r="F5" s="19"/>
      <c r="I5" s="18"/>
      <c r="L5" s="18"/>
    </row>
    <row r="6" spans="1:14" ht="14.5" customHeight="1" x14ac:dyDescent="0.35">
      <c r="B6" s="1"/>
      <c r="C6" s="2"/>
      <c r="D6" s="115" t="s">
        <v>55</v>
      </c>
      <c r="E6" s="116"/>
      <c r="F6" s="19"/>
      <c r="G6" s="90"/>
      <c r="H6" s="119" t="s">
        <v>34</v>
      </c>
      <c r="I6" s="18"/>
      <c r="J6" s="100"/>
      <c r="K6" s="120" t="s">
        <v>34</v>
      </c>
      <c r="L6" s="18"/>
      <c r="M6" s="90"/>
      <c r="N6" s="119" t="s">
        <v>34</v>
      </c>
    </row>
    <row r="7" spans="1:14" ht="14.5" customHeight="1" x14ac:dyDescent="0.35">
      <c r="B7" s="1"/>
      <c r="C7" s="2"/>
      <c r="D7" s="87" t="s">
        <v>29</v>
      </c>
      <c r="E7" s="86">
        <v>9.81</v>
      </c>
      <c r="F7" s="19"/>
      <c r="G7" s="121" t="s">
        <v>37</v>
      </c>
      <c r="H7" s="97">
        <f>(E$8*E$10*E$7*(E$13-(E$11*E34)))/1000000</f>
        <v>0.94504831200000006</v>
      </c>
      <c r="I7" s="91"/>
      <c r="J7" s="121" t="s">
        <v>38</v>
      </c>
      <c r="K7" s="97">
        <f>(E$8*E$10*E$7*(E$14-(E$11*E34)))/1000000</f>
        <v>1.163136384</v>
      </c>
      <c r="L7" s="18"/>
      <c r="M7" s="107" t="s">
        <v>51</v>
      </c>
      <c r="N7" s="97">
        <f>H$19+((E$8*E$10*12)*E$7*(E$15-(E$13*E34)))/1000000</f>
        <v>70.224359184000008</v>
      </c>
    </row>
    <row r="8" spans="1:14" x14ac:dyDescent="0.35">
      <c r="B8" s="1"/>
      <c r="C8" s="2"/>
      <c r="D8" s="88" t="s">
        <v>31</v>
      </c>
      <c r="E8" s="89">
        <v>314</v>
      </c>
      <c r="F8" s="19"/>
      <c r="G8" s="122"/>
      <c r="H8" s="97">
        <f>(E$8*E$10*E$7*(E$13-(E$11*E35)))/1000000</f>
        <v>0.87235228800000009</v>
      </c>
      <c r="I8" s="91"/>
      <c r="J8" s="122"/>
      <c r="K8" s="97">
        <f>(E$8*E$10*E$7*(E$14-(E$11*E35)))/1000000</f>
        <v>1.0904403600000001</v>
      </c>
      <c r="L8" s="18"/>
      <c r="M8" s="107" t="s">
        <v>50</v>
      </c>
      <c r="N8" s="98">
        <f>H$19+((E$8*E$10*12)*E$7*(E$15-(E$13*E35)))/1000000</f>
        <v>58.011427152000003</v>
      </c>
    </row>
    <row r="9" spans="1:14" x14ac:dyDescent="0.35">
      <c r="B9" s="1"/>
      <c r="C9" s="2"/>
      <c r="D9" s="88" t="s">
        <v>30</v>
      </c>
      <c r="E9" s="89">
        <v>1000</v>
      </c>
      <c r="F9" s="19"/>
      <c r="G9" s="122"/>
      <c r="H9" s="97">
        <f>(E$8*E$10*E$7*(E$13-(E$11*E36)))/1000000</f>
        <v>0.79965626400000012</v>
      </c>
      <c r="I9" s="91"/>
      <c r="J9" s="122"/>
      <c r="K9" s="97">
        <f>(E$8*E$10*E$7*(E$14-(E$11*E36)))/1000000</f>
        <v>1.017744336</v>
      </c>
      <c r="L9" s="18"/>
      <c r="M9" s="107" t="s">
        <v>49</v>
      </c>
      <c r="N9" s="98">
        <f>H$19+((E$8*E$10*12)*E$7*(E$15-(E$13*E36)))/1000000</f>
        <v>45.798495119999998</v>
      </c>
    </row>
    <row r="10" spans="1:14" x14ac:dyDescent="0.35">
      <c r="B10" s="1"/>
      <c r="C10" s="2"/>
      <c r="D10" s="88" t="s">
        <v>33</v>
      </c>
      <c r="E10" s="89">
        <v>5</v>
      </c>
      <c r="F10" s="19"/>
      <c r="G10" s="122"/>
      <c r="H10" s="97">
        <f>(E$8*E$10*E$7*(E$13-(E$11*E37)))/1000000</f>
        <v>0.72696024000000015</v>
      </c>
      <c r="I10" s="94"/>
      <c r="J10" s="122"/>
      <c r="K10" s="97">
        <f>(E$8*E$10*E$7*(E$14-(E$11*E37)))/1000000</f>
        <v>0.94504831200000006</v>
      </c>
      <c r="L10" s="18"/>
      <c r="M10" s="107" t="s">
        <v>48</v>
      </c>
      <c r="N10" s="98">
        <f>H$19+((E$8*E$10*12)*E$7*(E$15-(E$13*E37)))/1000000</f>
        <v>33.585563088000008</v>
      </c>
    </row>
    <row r="11" spans="1:14" x14ac:dyDescent="0.35">
      <c r="D11" s="87" t="s">
        <v>32</v>
      </c>
      <c r="E11" s="86">
        <v>4.72</v>
      </c>
      <c r="G11" s="122"/>
      <c r="H11" s="97">
        <f>(E$8*E$10*E$7*(E$13-(E$11*E38)))/1000000</f>
        <v>0.65426421600000018</v>
      </c>
      <c r="I11" s="91"/>
      <c r="J11" s="122"/>
      <c r="K11" s="97">
        <f>(E$8*E$10*E$7*(E$14-(E$11*E38)))/1000000</f>
        <v>0.87235228800000009</v>
      </c>
      <c r="L11" s="18"/>
      <c r="M11" s="107" t="s">
        <v>47</v>
      </c>
      <c r="N11" s="98">
        <f>H$19+((E$8*E$10*12)*E$7*(E$15-(E$13*E38)))/1000000</f>
        <v>21.372631056000003</v>
      </c>
    </row>
    <row r="12" spans="1:14" ht="15" thickBot="1" x14ac:dyDescent="0.4">
      <c r="B12" s="92"/>
      <c r="C12" s="90"/>
      <c r="D12" s="87" t="s">
        <v>53</v>
      </c>
      <c r="E12" s="86">
        <v>0.8</v>
      </c>
      <c r="F12" s="19"/>
      <c r="G12" s="122"/>
      <c r="H12" s="97">
        <f>(E$8*E$10*E$7*(E$13-(E$11*E39)))/1000000</f>
        <v>0.58156819199999998</v>
      </c>
      <c r="I12" s="91"/>
      <c r="J12" s="122"/>
      <c r="K12" s="97">
        <f>(E$8*E$10*E$7*(E$14-(E$11*E39)))/1000000</f>
        <v>0.79965626400000001</v>
      </c>
      <c r="L12" s="18"/>
      <c r="M12" s="109" t="s">
        <v>46</v>
      </c>
      <c r="N12" s="106">
        <f>K23</f>
        <v>9.8866592640000004</v>
      </c>
    </row>
    <row r="13" spans="1:14" x14ac:dyDescent="0.35">
      <c r="B13" s="92"/>
      <c r="C13" s="90"/>
      <c r="D13" s="88" t="s">
        <v>40</v>
      </c>
      <c r="E13" s="85">
        <v>66.08</v>
      </c>
      <c r="F13" s="91"/>
      <c r="G13" s="122"/>
      <c r="H13" s="97">
        <f>(E$8*E$10*E$7*(E$13-(E$11*E40)))/1000000</f>
        <v>0.50887216800000001</v>
      </c>
      <c r="I13" s="91"/>
      <c r="J13" s="122"/>
      <c r="K13" s="97">
        <f>(E$8*E$10*E$7*(E$14-(E$11*E40)))/1000000</f>
        <v>0.72696024000000004</v>
      </c>
      <c r="L13" s="18"/>
      <c r="M13" s="108" t="s">
        <v>52</v>
      </c>
      <c r="N13" s="98">
        <f>N7+N8+N9+N10+N11+N12</f>
        <v>238.87913486400004</v>
      </c>
    </row>
    <row r="14" spans="1:14" x14ac:dyDescent="0.35">
      <c r="B14" s="92"/>
      <c r="C14" s="90"/>
      <c r="D14" s="87" t="s">
        <v>41</v>
      </c>
      <c r="E14" s="86">
        <v>80.239999999999995</v>
      </c>
      <c r="F14" s="91"/>
      <c r="G14" s="122"/>
      <c r="H14" s="97">
        <f>(E$8*E$10*E$7*(E$13-(E$11*E41)))/1000000</f>
        <v>0.43617614400000004</v>
      </c>
      <c r="I14" s="91"/>
      <c r="J14" s="122"/>
      <c r="K14" s="97">
        <f>(E$8*E$10*E$7*(E$14-(E$11*E41)))/1000000</f>
        <v>0.65426421600000007</v>
      </c>
      <c r="L14" s="18"/>
      <c r="M14" s="110" t="s">
        <v>54</v>
      </c>
      <c r="N14" s="111">
        <f>N13*E12</f>
        <v>191.10330789120005</v>
      </c>
    </row>
    <row r="15" spans="1:14" x14ac:dyDescent="0.35">
      <c r="B15" s="92"/>
      <c r="C15" s="90"/>
      <c r="D15" s="87" t="s">
        <v>42</v>
      </c>
      <c r="E15" s="86">
        <f>E14+(5*E13)</f>
        <v>410.64</v>
      </c>
      <c r="F15" s="91"/>
      <c r="G15" s="122"/>
      <c r="H15" s="97">
        <f>(E$8*E$10*E$7*(E$13-(E$11*E42)))/1000000</f>
        <v>0.36348012000000007</v>
      </c>
      <c r="I15" s="91"/>
      <c r="J15" s="122"/>
      <c r="K15" s="97">
        <f>(E$8*E$10*E$7*(E$14-(E$11*E42)))/1000000</f>
        <v>0.58156819199999998</v>
      </c>
      <c r="L15" s="18"/>
      <c r="M15" s="110"/>
      <c r="N15" s="111"/>
    </row>
    <row r="16" spans="1:14" x14ac:dyDescent="0.35">
      <c r="B16" s="92"/>
      <c r="C16" s="90"/>
      <c r="D16" s="88" t="s">
        <v>57</v>
      </c>
      <c r="E16" s="85">
        <v>0.2</v>
      </c>
      <c r="F16" s="91"/>
      <c r="G16" s="122"/>
      <c r="H16" s="97">
        <f>(E$8*E$10*E$7*(E$13-(E$11*E43)))/1000000</f>
        <v>0.2907840960000001</v>
      </c>
      <c r="I16" s="94"/>
      <c r="J16" s="122"/>
      <c r="K16" s="97">
        <f>(E$8*E$10*E$7*(E$14-(E$11*E43)))/1000000</f>
        <v>0.50887216800000001</v>
      </c>
      <c r="L16" s="18"/>
    </row>
    <row r="17" spans="2:15" x14ac:dyDescent="0.35">
      <c r="B17" s="92"/>
      <c r="C17" s="90"/>
      <c r="D17" s="117"/>
      <c r="E17" s="118"/>
      <c r="F17" s="91"/>
      <c r="G17" s="122"/>
      <c r="H17" s="97">
        <f>(E$8*E$10*E$7*(E$13-(E$11*E44)))/1000000</f>
        <v>0.21808807200000008</v>
      </c>
      <c r="I17" s="91"/>
      <c r="J17" s="122"/>
      <c r="K17" s="97">
        <f>(E$8*E$10*E$7*(E$14-(E$11*E44)))/1000000</f>
        <v>0.43617614400000004</v>
      </c>
      <c r="L17" s="18"/>
    </row>
    <row r="18" spans="2:15" ht="14.5" customHeight="1" thickBot="1" x14ac:dyDescent="0.4">
      <c r="B18" s="92"/>
      <c r="C18" s="90"/>
      <c r="D18" s="113"/>
      <c r="E18" s="114"/>
      <c r="F18" s="91"/>
      <c r="G18" s="123"/>
      <c r="H18" s="106">
        <f>(E$8*E$10*E$7*(E$13-(E$11*E45)))/1000000</f>
        <v>0.14539204799999997</v>
      </c>
      <c r="I18" s="91"/>
      <c r="J18" s="122"/>
      <c r="K18" s="102">
        <f>(E$8*E$10*E$7*(E$14-(E$11*E45)))/1000000</f>
        <v>0.36348011999999996</v>
      </c>
      <c r="L18" s="18"/>
      <c r="M18" s="124" t="s">
        <v>56</v>
      </c>
      <c r="N18" s="125">
        <f>(N14*1000000)/(24*1000)</f>
        <v>7962.6378288000014</v>
      </c>
    </row>
    <row r="19" spans="2:15" x14ac:dyDescent="0.35">
      <c r="B19" s="92"/>
      <c r="C19" s="90"/>
      <c r="D19" s="113"/>
      <c r="E19" s="114"/>
      <c r="F19" s="91"/>
      <c r="G19" s="98" t="s">
        <v>39</v>
      </c>
      <c r="H19" s="105">
        <f>H7+H8+H9+H10+H11+H12+H13+H14+H15+H16+H17+H18</f>
        <v>6.5426421600000015</v>
      </c>
      <c r="I19" s="18"/>
      <c r="J19" s="122"/>
      <c r="K19" s="102">
        <f>(E$8*E$10*E$7*(E$14-(E$11*E46)))/1000000</f>
        <v>0.29078409599999994</v>
      </c>
      <c r="L19" s="18"/>
      <c r="M19" s="124"/>
      <c r="N19" s="125"/>
    </row>
    <row r="20" spans="2:15" x14ac:dyDescent="0.35">
      <c r="B20" s="92"/>
      <c r="C20" s="90"/>
      <c r="D20" s="113"/>
      <c r="E20" s="114"/>
      <c r="F20" s="91"/>
      <c r="I20" s="18"/>
      <c r="J20" s="122"/>
      <c r="K20" s="102">
        <f>(E$8*E$10*E$7*(E$14-(E$11*E47)))/1000000</f>
        <v>0.21808807199999997</v>
      </c>
      <c r="L20" s="18"/>
      <c r="M20" s="126" t="s">
        <v>58</v>
      </c>
      <c r="N20" s="125">
        <f>N18*E16</f>
        <v>1592.5275657600005</v>
      </c>
    </row>
    <row r="21" spans="2:15" x14ac:dyDescent="0.35">
      <c r="B21" s="93"/>
      <c r="C21" s="93"/>
      <c r="D21" s="113"/>
      <c r="E21" s="114"/>
      <c r="F21" s="91"/>
      <c r="I21" s="18"/>
      <c r="J21" s="122"/>
      <c r="K21" s="102">
        <f>(E$8*E$10*E$7*(E$14-(E$11*E48)))/1000000</f>
        <v>0.14539204799999997</v>
      </c>
      <c r="L21" s="18"/>
      <c r="M21" s="126"/>
      <c r="N21" s="125"/>
    </row>
    <row r="22" spans="2:15" ht="15" thickBot="1" x14ac:dyDescent="0.4">
      <c r="B22" s="93"/>
      <c r="C22" s="93"/>
      <c r="D22" s="103"/>
      <c r="E22" s="104"/>
      <c r="F22" s="91"/>
      <c r="G22" s="18"/>
      <c r="H22" s="96"/>
      <c r="I22" s="18"/>
      <c r="J22" s="123"/>
      <c r="K22" s="106">
        <f>(E$8*E$10*E$7*(E$14-(E$11*E49)))/1000000</f>
        <v>7.2696023999999984E-2</v>
      </c>
      <c r="L22" s="18"/>
      <c r="M22" s="18"/>
      <c r="N22" s="96"/>
    </row>
    <row r="23" spans="2:15" x14ac:dyDescent="0.35">
      <c r="F23" s="91"/>
      <c r="H23" s="95"/>
      <c r="J23" s="98" t="s">
        <v>36</v>
      </c>
      <c r="K23" s="105">
        <f>K7+K8+K9+K10+K11+K12+K13+K14+K15+K16+K17+K18+K19+K20+K21+K22</f>
        <v>9.8866592640000004</v>
      </c>
      <c r="N23" s="95"/>
    </row>
    <row r="24" spans="2:15" x14ac:dyDescent="0.35">
      <c r="F24" s="91"/>
      <c r="H24" s="95"/>
      <c r="K24" s="101"/>
      <c r="N24" s="95"/>
    </row>
    <row r="25" spans="2:15" x14ac:dyDescent="0.35">
      <c r="H25" s="95"/>
      <c r="K25" s="101"/>
      <c r="N25" s="95"/>
    </row>
    <row r="26" spans="2:15" x14ac:dyDescent="0.35">
      <c r="H26" s="95"/>
      <c r="K26" s="95"/>
      <c r="N26" s="112"/>
      <c r="O26" s="101"/>
    </row>
    <row r="27" spans="2:15" x14ac:dyDescent="0.35">
      <c r="D27" s="103"/>
      <c r="E27" s="104"/>
      <c r="H27" s="95"/>
      <c r="K27" s="95"/>
      <c r="N27" s="95"/>
    </row>
    <row r="28" spans="2:15" x14ac:dyDescent="0.35">
      <c r="D28" s="103"/>
      <c r="E28" s="104"/>
      <c r="H28" s="95"/>
      <c r="K28" s="95"/>
      <c r="N28" s="95"/>
    </row>
    <row r="29" spans="2:15" x14ac:dyDescent="0.35">
      <c r="D29" s="103"/>
      <c r="E29" s="104"/>
      <c r="H29" s="95"/>
      <c r="K29" s="95"/>
      <c r="N29" s="95"/>
    </row>
    <row r="30" spans="2:15" x14ac:dyDescent="0.35">
      <c r="D30" s="103"/>
      <c r="E30" s="104"/>
      <c r="H30" s="95"/>
      <c r="K30" s="95"/>
      <c r="N30" s="95"/>
    </row>
    <row r="31" spans="2:15" x14ac:dyDescent="0.35">
      <c r="D31" s="103"/>
      <c r="E31" s="104"/>
      <c r="H31" s="95"/>
      <c r="J31" s="91"/>
      <c r="K31" s="101"/>
      <c r="N31" s="95"/>
    </row>
    <row r="32" spans="2:15" x14ac:dyDescent="0.35">
      <c r="H32" s="95"/>
      <c r="J32" s="2"/>
      <c r="K32" s="99"/>
      <c r="N32" s="95"/>
    </row>
    <row r="33" spans="5:14" x14ac:dyDescent="0.35">
      <c r="E33">
        <v>0</v>
      </c>
      <c r="H33" s="95"/>
      <c r="J33" s="2"/>
      <c r="K33" s="99"/>
      <c r="N33" s="95"/>
    </row>
    <row r="34" spans="5:14" x14ac:dyDescent="0.35">
      <c r="E34">
        <v>1</v>
      </c>
      <c r="H34" s="95"/>
      <c r="K34" s="95"/>
      <c r="N34" s="95"/>
    </row>
    <row r="35" spans="5:14" x14ac:dyDescent="0.35">
      <c r="E35">
        <v>2</v>
      </c>
      <c r="H35" s="95"/>
      <c r="K35" s="95"/>
      <c r="N35" s="95"/>
    </row>
    <row r="36" spans="5:14" x14ac:dyDescent="0.35">
      <c r="E36">
        <v>3</v>
      </c>
    </row>
    <row r="37" spans="5:14" x14ac:dyDescent="0.35">
      <c r="E37">
        <v>4</v>
      </c>
    </row>
    <row r="38" spans="5:14" x14ac:dyDescent="0.35">
      <c r="E38">
        <v>5</v>
      </c>
    </row>
    <row r="39" spans="5:14" x14ac:dyDescent="0.35">
      <c r="E39">
        <v>6</v>
      </c>
    </row>
    <row r="40" spans="5:14" x14ac:dyDescent="0.35">
      <c r="E40">
        <v>7</v>
      </c>
    </row>
    <row r="41" spans="5:14" x14ac:dyDescent="0.35">
      <c r="E41">
        <v>8</v>
      </c>
    </row>
    <row r="42" spans="5:14" x14ac:dyDescent="0.35">
      <c r="E42">
        <v>9</v>
      </c>
    </row>
    <row r="43" spans="5:14" x14ac:dyDescent="0.35">
      <c r="E43">
        <v>10</v>
      </c>
    </row>
    <row r="44" spans="5:14" x14ac:dyDescent="0.35">
      <c r="E44">
        <v>11</v>
      </c>
    </row>
    <row r="45" spans="5:14" x14ac:dyDescent="0.35">
      <c r="E45">
        <v>12</v>
      </c>
    </row>
    <row r="46" spans="5:14" x14ac:dyDescent="0.35">
      <c r="E46">
        <v>13</v>
      </c>
    </row>
    <row r="47" spans="5:14" x14ac:dyDescent="0.35">
      <c r="E47">
        <v>14</v>
      </c>
    </row>
    <row r="48" spans="5:14" x14ac:dyDescent="0.35">
      <c r="E48">
        <v>15</v>
      </c>
    </row>
    <row r="49" spans="5:6" x14ac:dyDescent="0.35">
      <c r="E49">
        <v>16</v>
      </c>
    </row>
    <row r="50" spans="5:6" x14ac:dyDescent="0.35">
      <c r="E50">
        <v>17</v>
      </c>
    </row>
    <row r="51" spans="5:6" x14ac:dyDescent="0.35">
      <c r="E51">
        <v>18</v>
      </c>
    </row>
    <row r="52" spans="5:6" x14ac:dyDescent="0.35">
      <c r="F52"/>
    </row>
  </sheetData>
  <mergeCells count="8">
    <mergeCell ref="G7:G18"/>
    <mergeCell ref="J7:J22"/>
    <mergeCell ref="M14:M15"/>
    <mergeCell ref="N14:N15"/>
    <mergeCell ref="M18:M19"/>
    <mergeCell ref="N18:N19"/>
    <mergeCell ref="M20:M21"/>
    <mergeCell ref="N20:N21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Phater Noster Prinzip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2018-11-27T20:55:07Z</dcterms:modified>
</cp:coreProperties>
</file>