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hazr\Desktop\Projects\syeb_website\"/>
    </mc:Choice>
  </mc:AlternateContent>
  <xr:revisionPtr revIDLastSave="0" documentId="8_{2998F70C-6D1E-44EB-A818-FE1666380FE4}" xr6:coauthVersionLast="47" xr6:coauthVersionMax="47" xr10:uidLastSave="{00000000-0000-0000-0000-000000000000}"/>
  <bookViews>
    <workbookView xWindow="-108" yWindow="-108" windowWidth="23256" windowHeight="12456" firstSheet="3" activeTab="9" xr2:uid="{00000000-000D-0000-FFFF-FFFF00000000}"/>
  </bookViews>
  <sheets>
    <sheet name="Results" sheetId="2" r:id="rId1"/>
    <sheet name="Wing" sheetId="3" r:id="rId2"/>
    <sheet name="Fuselage" sheetId="4" r:id="rId3"/>
    <sheet name="Wing10kft" sheetId="5" r:id="rId4"/>
    <sheet name="Fuselage10kft" sheetId="6" r:id="rId5"/>
    <sheet name="Wing15kft" sheetId="7" r:id="rId6"/>
    <sheet name="Fuselage15kft" sheetId="8" r:id="rId7"/>
    <sheet name="WingLighter" sheetId="9" r:id="rId8"/>
    <sheet name="FuselageLighter" sheetId="10" r:id="rId9"/>
    <sheet name="SinkRate" sheetId="11" r:id="rId10"/>
  </sheets>
  <definedNames>
    <definedName name="_xlnm._FilterDatabase" localSheetId="1" hidden="1">Wing!$A$16:$A$17</definedName>
    <definedName name="_xlnm._FilterDatabase" localSheetId="3" hidden="1">Wing10kft!$A$16:$A$17</definedName>
    <definedName name="_xlnm._FilterDatabase" localSheetId="5" hidden="1">Wing15kft!$A$16:$A$17</definedName>
    <definedName name="_xlnm._FilterDatabase" localSheetId="7" hidden="1">WingLighter!$A$16:$A$17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1" i="10" l="1"/>
  <c r="A18" i="10"/>
  <c r="C3" i="10"/>
  <c r="D3" i="10" s="1"/>
  <c r="E3" i="10" s="1"/>
  <c r="F3" i="10" s="1"/>
  <c r="B3" i="10"/>
  <c r="B2" i="10"/>
  <c r="F19" i="9"/>
  <c r="F18" i="9"/>
  <c r="N11" i="9"/>
  <c r="B4" i="9"/>
  <c r="H3" i="9"/>
  <c r="F3" i="9"/>
  <c r="C3" i="9"/>
  <c r="G3" i="9" s="1"/>
  <c r="B3" i="9"/>
  <c r="G2" i="9"/>
  <c r="D2" i="9"/>
  <c r="C2" i="9"/>
  <c r="C2" i="10" s="1"/>
  <c r="D2" i="10" s="1"/>
  <c r="E2" i="10" s="1"/>
  <c r="F2" i="10" s="1"/>
  <c r="A21" i="8"/>
  <c r="A18" i="8"/>
  <c r="C3" i="8"/>
  <c r="D3" i="8" s="1"/>
  <c r="E3" i="8" s="1"/>
  <c r="F3" i="8" s="1"/>
  <c r="B3" i="8"/>
  <c r="C2" i="8"/>
  <c r="D2" i="8" s="1"/>
  <c r="E2" i="8" s="1"/>
  <c r="F2" i="8" s="1"/>
  <c r="B2" i="8"/>
  <c r="F19" i="7"/>
  <c r="F18" i="7"/>
  <c r="N11" i="7"/>
  <c r="B5" i="7"/>
  <c r="C4" i="7"/>
  <c r="C4" i="8" s="1"/>
  <c r="D4" i="8" s="1"/>
  <c r="E4" i="8" s="1"/>
  <c r="F4" i="8" s="1"/>
  <c r="B4" i="7"/>
  <c r="B4" i="8" s="1"/>
  <c r="L3" i="7"/>
  <c r="H3" i="7"/>
  <c r="G3" i="7"/>
  <c r="F3" i="7"/>
  <c r="D3" i="7"/>
  <c r="C3" i="7"/>
  <c r="B3" i="7"/>
  <c r="C2" i="7"/>
  <c r="A21" i="6"/>
  <c r="A18" i="6"/>
  <c r="B2" i="6"/>
  <c r="N11" i="5"/>
  <c r="B3" i="5"/>
  <c r="C2" i="5"/>
  <c r="F18" i="5" s="1"/>
  <c r="A21" i="4"/>
  <c r="A18" i="4"/>
  <c r="B4" i="4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3" i="4"/>
  <c r="D2" i="4"/>
  <c r="E2" i="4" s="1"/>
  <c r="F2" i="4" s="1"/>
  <c r="C2" i="4"/>
  <c r="F18" i="4" s="1"/>
  <c r="F22" i="3"/>
  <c r="N11" i="3"/>
  <c r="B7" i="3"/>
  <c r="B8" i="3" s="1"/>
  <c r="H6" i="3"/>
  <c r="G6" i="3"/>
  <c r="B5" i="3"/>
  <c r="B6" i="3" s="1"/>
  <c r="C6" i="3" s="1"/>
  <c r="C6" i="4" s="1"/>
  <c r="D6" i="4" s="1"/>
  <c r="E6" i="4" s="1"/>
  <c r="F6" i="4" s="1"/>
  <c r="C4" i="3"/>
  <c r="B3" i="3"/>
  <c r="B4" i="3" s="1"/>
  <c r="H2" i="3"/>
  <c r="G2" i="3"/>
  <c r="E2" i="3"/>
  <c r="D2" i="3"/>
  <c r="L2" i="3" s="1"/>
  <c r="M2" i="3" s="1"/>
  <c r="C2" i="3"/>
  <c r="F2" i="3" s="1"/>
  <c r="F4" i="2"/>
  <c r="B3" i="2"/>
  <c r="B4" i="2" s="1"/>
  <c r="E4" i="2" s="1"/>
  <c r="F2" i="2"/>
  <c r="E2" i="2"/>
  <c r="A2" i="2"/>
  <c r="C8" i="3" l="1"/>
  <c r="B9" i="3"/>
  <c r="E18" i="4"/>
  <c r="D18" i="4" s="1"/>
  <c r="E22" i="4"/>
  <c r="D22" i="4" s="1"/>
  <c r="L2" i="9"/>
  <c r="M18" i="9"/>
  <c r="E2" i="9"/>
  <c r="C4" i="4"/>
  <c r="G4" i="3"/>
  <c r="F20" i="3"/>
  <c r="D4" i="3"/>
  <c r="F4" i="3"/>
  <c r="C7" i="3"/>
  <c r="C3" i="5"/>
  <c r="B3" i="6"/>
  <c r="B4" i="5"/>
  <c r="H4" i="3"/>
  <c r="B5" i="8"/>
  <c r="C5" i="7"/>
  <c r="B6" i="7"/>
  <c r="E20" i="8"/>
  <c r="E19" i="8"/>
  <c r="E18" i="8"/>
  <c r="E3" i="2"/>
  <c r="C5" i="3"/>
  <c r="H2" i="5"/>
  <c r="G2" i="5"/>
  <c r="F2" i="5"/>
  <c r="D2" i="5"/>
  <c r="B5" i="9"/>
  <c r="B4" i="10"/>
  <c r="H2" i="7"/>
  <c r="G2" i="7"/>
  <c r="F2" i="7"/>
  <c r="D2" i="7"/>
  <c r="C4" i="9"/>
  <c r="F19" i="10"/>
  <c r="F18" i="10"/>
  <c r="D6" i="3"/>
  <c r="M4" i="2"/>
  <c r="B5" i="2"/>
  <c r="F3" i="2"/>
  <c r="C3" i="3"/>
  <c r="F6" i="3"/>
  <c r="E20" i="4"/>
  <c r="E3" i="7"/>
  <c r="M3" i="7" s="1"/>
  <c r="M19" i="7"/>
  <c r="C2" i="6"/>
  <c r="F2" i="9"/>
  <c r="E18" i="10"/>
  <c r="D18" i="10" s="1"/>
  <c r="D4" i="7"/>
  <c r="F20" i="7"/>
  <c r="H2" i="9"/>
  <c r="F18" i="3"/>
  <c r="M18" i="3"/>
  <c r="C2" i="2" s="1"/>
  <c r="D2" i="2" s="1"/>
  <c r="F4" i="7"/>
  <c r="F18" i="8"/>
  <c r="E19" i="10"/>
  <c r="F22" i="4"/>
  <c r="G4" i="7"/>
  <c r="H4" i="7"/>
  <c r="F19" i="8"/>
  <c r="D3" i="9"/>
  <c r="F20" i="8"/>
  <c r="H5" i="3" l="1"/>
  <c r="G5" i="3"/>
  <c r="F5" i="3"/>
  <c r="C5" i="4"/>
  <c r="D5" i="3"/>
  <c r="F21" i="3"/>
  <c r="C4" i="10"/>
  <c r="H4" i="9"/>
  <c r="G4" i="9"/>
  <c r="F4" i="9"/>
  <c r="F20" i="9"/>
  <c r="D4" i="9"/>
  <c r="M5" i="2"/>
  <c r="F5" i="2"/>
  <c r="E5" i="2"/>
  <c r="B6" i="2"/>
  <c r="B4" i="6"/>
  <c r="C4" i="5"/>
  <c r="B5" i="5"/>
  <c r="L2" i="7"/>
  <c r="E2" i="7"/>
  <c r="M18" i="7"/>
  <c r="F18" i="6"/>
  <c r="D2" i="6"/>
  <c r="E2" i="6" s="1"/>
  <c r="F2" i="6" s="1"/>
  <c r="E3" i="9"/>
  <c r="M19" i="9"/>
  <c r="L3" i="9"/>
  <c r="D18" i="8"/>
  <c r="C3" i="6"/>
  <c r="F19" i="5"/>
  <c r="G3" i="5"/>
  <c r="H3" i="5"/>
  <c r="F3" i="5"/>
  <c r="D3" i="5"/>
  <c r="G7" i="3"/>
  <c r="F7" i="3"/>
  <c r="D7" i="3"/>
  <c r="C7" i="4"/>
  <c r="F23" i="3"/>
  <c r="H7" i="3"/>
  <c r="C6" i="7"/>
  <c r="B7" i="7"/>
  <c r="B6" i="8"/>
  <c r="E6" i="3"/>
  <c r="M22" i="3"/>
  <c r="L6" i="3"/>
  <c r="M20" i="3"/>
  <c r="E4" i="3"/>
  <c r="M4" i="3" s="1"/>
  <c r="C4" i="2" s="1"/>
  <c r="D4" i="2" s="1"/>
  <c r="L4" i="3"/>
  <c r="D19" i="8"/>
  <c r="F21" i="7"/>
  <c r="F5" i="7"/>
  <c r="H5" i="7"/>
  <c r="G5" i="7"/>
  <c r="D5" i="7"/>
  <c r="C5" i="8"/>
  <c r="D20" i="4"/>
  <c r="C9" i="3"/>
  <c r="B10" i="3"/>
  <c r="N23" i="7"/>
  <c r="A14" i="7" s="1"/>
  <c r="L3" i="2"/>
  <c r="B5" i="10"/>
  <c r="C5" i="9"/>
  <c r="B6" i="9"/>
  <c r="D20" i="8"/>
  <c r="F20" i="4"/>
  <c r="D4" i="4"/>
  <c r="E4" i="4" s="1"/>
  <c r="F4" i="4" s="1"/>
  <c r="H8" i="3"/>
  <c r="D8" i="3"/>
  <c r="G8" i="3"/>
  <c r="F24" i="3"/>
  <c r="F8" i="3"/>
  <c r="C8" i="4"/>
  <c r="L4" i="7"/>
  <c r="M20" i="7"/>
  <c r="E4" i="7"/>
  <c r="M4" i="7" s="1"/>
  <c r="L4" i="2" s="1"/>
  <c r="E18" i="6"/>
  <c r="D18" i="6" s="1"/>
  <c r="L2" i="5"/>
  <c r="E2" i="5"/>
  <c r="M18" i="5"/>
  <c r="D19" i="10"/>
  <c r="C3" i="4"/>
  <c r="F19" i="3"/>
  <c r="H3" i="3"/>
  <c r="D3" i="3"/>
  <c r="G3" i="3"/>
  <c r="F3" i="3"/>
  <c r="M2" i="9"/>
  <c r="I2" i="2" s="1"/>
  <c r="G2" i="2" s="1"/>
  <c r="H2" i="2" s="1"/>
  <c r="N2" i="2" s="1"/>
  <c r="M2" i="5" l="1"/>
  <c r="K2" i="2" s="1"/>
  <c r="D3" i="6"/>
  <c r="E3" i="6" s="1"/>
  <c r="F3" i="6" s="1"/>
  <c r="F19" i="6"/>
  <c r="E19" i="6"/>
  <c r="D19" i="6" s="1"/>
  <c r="M6" i="3"/>
  <c r="C6" i="2" s="1"/>
  <c r="D6" i="2" s="1"/>
  <c r="L4" i="9"/>
  <c r="M20" i="9"/>
  <c r="E4" i="9"/>
  <c r="M4" i="9" s="1"/>
  <c r="I4" i="2" s="1"/>
  <c r="G4" i="2" s="1"/>
  <c r="H4" i="2" s="1"/>
  <c r="N4" i="2" s="1"/>
  <c r="B7" i="8"/>
  <c r="B8" i="7"/>
  <c r="C7" i="7"/>
  <c r="H6" i="7"/>
  <c r="G6" i="7"/>
  <c r="F22" i="7"/>
  <c r="F6" i="7"/>
  <c r="D6" i="7"/>
  <c r="C6" i="8"/>
  <c r="M3" i="9"/>
  <c r="B11" i="3"/>
  <c r="C10" i="3"/>
  <c r="D8" i="4"/>
  <c r="E8" i="4" s="1"/>
  <c r="F8" i="4" s="1"/>
  <c r="F24" i="4"/>
  <c r="E24" i="4"/>
  <c r="D24" i="4" s="1"/>
  <c r="M21" i="7"/>
  <c r="L5" i="7"/>
  <c r="E5" i="7"/>
  <c r="M5" i="7" s="1"/>
  <c r="C5" i="10"/>
  <c r="D5" i="9"/>
  <c r="F21" i="9"/>
  <c r="H5" i="9"/>
  <c r="G5" i="9"/>
  <c r="F5" i="9"/>
  <c r="D7" i="4"/>
  <c r="E7" i="4" s="1"/>
  <c r="F7" i="4" s="1"/>
  <c r="F23" i="4"/>
  <c r="E23" i="4"/>
  <c r="D23" i="4" s="1"/>
  <c r="D4" i="10"/>
  <c r="E4" i="10" s="1"/>
  <c r="F4" i="10" s="1"/>
  <c r="F20" i="10"/>
  <c r="E20" i="10"/>
  <c r="H9" i="3"/>
  <c r="G9" i="3"/>
  <c r="D9" i="3"/>
  <c r="C9" i="4"/>
  <c r="F25" i="3"/>
  <c r="F9" i="3"/>
  <c r="M2" i="7"/>
  <c r="L2" i="2" s="1"/>
  <c r="M21" i="3"/>
  <c r="L5" i="3"/>
  <c r="E5" i="3"/>
  <c r="M5" i="3" s="1"/>
  <c r="B7" i="9"/>
  <c r="C6" i="9"/>
  <c r="B6" i="10"/>
  <c r="F21" i="8"/>
  <c r="D5" i="8"/>
  <c r="E5" i="8" s="1"/>
  <c r="F5" i="8" s="1"/>
  <c r="E21" i="8"/>
  <c r="D21" i="8" s="1"/>
  <c r="L3" i="3"/>
  <c r="M19" i="3"/>
  <c r="E3" i="3"/>
  <c r="B6" i="5"/>
  <c r="C5" i="5"/>
  <c r="B5" i="6"/>
  <c r="D5" i="4"/>
  <c r="E5" i="4" s="1"/>
  <c r="F5" i="4" s="1"/>
  <c r="F21" i="4"/>
  <c r="E21" i="4"/>
  <c r="D21" i="4" s="1"/>
  <c r="L8" i="3"/>
  <c r="E8" i="3"/>
  <c r="M24" i="3"/>
  <c r="L7" i="3"/>
  <c r="E7" i="3"/>
  <c r="M7" i="3" s="1"/>
  <c r="M23" i="3"/>
  <c r="M19" i="5"/>
  <c r="L3" i="5"/>
  <c r="E3" i="5"/>
  <c r="M3" i="5" s="1"/>
  <c r="C4" i="6"/>
  <c r="H4" i="5"/>
  <c r="G4" i="5"/>
  <c r="F4" i="5"/>
  <c r="F20" i="5"/>
  <c r="D4" i="5"/>
  <c r="F19" i="4"/>
  <c r="D3" i="4"/>
  <c r="E3" i="4" s="1"/>
  <c r="F3" i="4" s="1"/>
  <c r="E19" i="4"/>
  <c r="B7" i="2"/>
  <c r="E6" i="2"/>
  <c r="M6" i="2"/>
  <c r="F6" i="2"/>
  <c r="M20" i="5" l="1"/>
  <c r="E4" i="5"/>
  <c r="M4" i="5" s="1"/>
  <c r="L4" i="5"/>
  <c r="C5" i="2"/>
  <c r="D5" i="2" s="1"/>
  <c r="L5" i="2"/>
  <c r="B8" i="8"/>
  <c r="C8" i="7"/>
  <c r="B9" i="7"/>
  <c r="E5" i="9"/>
  <c r="M5" i="9" s="1"/>
  <c r="I5" i="2" s="1"/>
  <c r="G5" i="2" s="1"/>
  <c r="H5" i="2" s="1"/>
  <c r="N5" i="2" s="1"/>
  <c r="M21" i="9"/>
  <c r="L5" i="9"/>
  <c r="D5" i="10"/>
  <c r="E5" i="10" s="1"/>
  <c r="F5" i="10" s="1"/>
  <c r="E21" i="10"/>
  <c r="D21" i="10" s="1"/>
  <c r="F21" i="10"/>
  <c r="E9" i="3"/>
  <c r="M9" i="3" s="1"/>
  <c r="C9" i="2" s="1"/>
  <c r="D9" i="2" s="1"/>
  <c r="M25" i="3"/>
  <c r="L9" i="3"/>
  <c r="F23" i="7"/>
  <c r="C7" i="8"/>
  <c r="H7" i="7"/>
  <c r="G7" i="7"/>
  <c r="D7" i="7"/>
  <c r="F7" i="7"/>
  <c r="D9" i="4"/>
  <c r="E9" i="4" s="1"/>
  <c r="F9" i="4" s="1"/>
  <c r="F25" i="4"/>
  <c r="E25" i="4"/>
  <c r="D20" i="10"/>
  <c r="C6" i="5"/>
  <c r="B6" i="6"/>
  <c r="B7" i="5"/>
  <c r="M3" i="3"/>
  <c r="C10" i="4"/>
  <c r="F26" i="3"/>
  <c r="F10" i="3"/>
  <c r="H10" i="3"/>
  <c r="G10" i="3"/>
  <c r="D10" i="3"/>
  <c r="F20" i="6"/>
  <c r="E20" i="6"/>
  <c r="D4" i="6"/>
  <c r="E4" i="6" s="1"/>
  <c r="F4" i="6" s="1"/>
  <c r="K3" i="2"/>
  <c r="N23" i="5"/>
  <c r="A14" i="5" s="1"/>
  <c r="C11" i="3"/>
  <c r="B12" i="3"/>
  <c r="F21" i="5"/>
  <c r="C5" i="6"/>
  <c r="D5" i="5"/>
  <c r="H5" i="5"/>
  <c r="G5" i="5"/>
  <c r="F5" i="5"/>
  <c r="C7" i="2"/>
  <c r="D7" i="2" s="1"/>
  <c r="B8" i="2"/>
  <c r="M7" i="2"/>
  <c r="F7" i="2"/>
  <c r="E7" i="2"/>
  <c r="H6" i="9"/>
  <c r="G6" i="9"/>
  <c r="F22" i="9"/>
  <c r="F6" i="9"/>
  <c r="D6" i="9"/>
  <c r="C6" i="10"/>
  <c r="N23" i="9"/>
  <c r="A14" i="9" s="1"/>
  <c r="I3" i="2"/>
  <c r="G3" i="2" s="1"/>
  <c r="H3" i="2" s="1"/>
  <c r="N3" i="2" s="1"/>
  <c r="D19" i="4"/>
  <c r="M8" i="3"/>
  <c r="C8" i="2" s="1"/>
  <c r="D8" i="2" s="1"/>
  <c r="C7" i="9"/>
  <c r="B7" i="10"/>
  <c r="B8" i="9"/>
  <c r="F22" i="8"/>
  <c r="D6" i="8"/>
  <c r="E6" i="8" s="1"/>
  <c r="F6" i="8" s="1"/>
  <c r="E22" i="8"/>
  <c r="D22" i="8" s="1"/>
  <c r="M22" i="7"/>
  <c r="E6" i="7"/>
  <c r="L6" i="7"/>
  <c r="M21" i="5" l="1"/>
  <c r="L5" i="5"/>
  <c r="E5" i="5"/>
  <c r="D10" i="4"/>
  <c r="E10" i="4" s="1"/>
  <c r="F10" i="4" s="1"/>
  <c r="F26" i="4"/>
  <c r="E26" i="4"/>
  <c r="D26" i="4" s="1"/>
  <c r="D5" i="6"/>
  <c r="E5" i="6" s="1"/>
  <c r="F5" i="6" s="1"/>
  <c r="F21" i="6"/>
  <c r="E21" i="6"/>
  <c r="F22" i="10"/>
  <c r="E22" i="10"/>
  <c r="D6" i="10"/>
  <c r="E6" i="10" s="1"/>
  <c r="F6" i="10" s="1"/>
  <c r="B7" i="6"/>
  <c r="B8" i="5"/>
  <c r="C7" i="5"/>
  <c r="L6" i="9"/>
  <c r="M22" i="9"/>
  <c r="E6" i="9"/>
  <c r="B13" i="3"/>
  <c r="C12" i="3"/>
  <c r="H11" i="3"/>
  <c r="F11" i="3"/>
  <c r="C11" i="4"/>
  <c r="F27" i="3"/>
  <c r="G11" i="3"/>
  <c r="D11" i="3"/>
  <c r="H6" i="5"/>
  <c r="F22" i="5"/>
  <c r="F6" i="5"/>
  <c r="D6" i="5"/>
  <c r="C6" i="6"/>
  <c r="G6" i="5"/>
  <c r="C3" i="2"/>
  <c r="D3" i="2" s="1"/>
  <c r="N23" i="3"/>
  <c r="A14" i="3" s="1"/>
  <c r="M6" i="7"/>
  <c r="L6" i="2" s="1"/>
  <c r="D25" i="4"/>
  <c r="D20" i="6"/>
  <c r="C8" i="8"/>
  <c r="H8" i="7"/>
  <c r="F8" i="7"/>
  <c r="D8" i="7"/>
  <c r="F24" i="7"/>
  <c r="G8" i="7"/>
  <c r="L7" i="7"/>
  <c r="E7" i="7"/>
  <c r="M7" i="7" s="1"/>
  <c r="L7" i="2" s="1"/>
  <c r="M23" i="7"/>
  <c r="E8" i="2"/>
  <c r="F8" i="2"/>
  <c r="B9" i="2"/>
  <c r="M8" i="2"/>
  <c r="B8" i="10"/>
  <c r="C8" i="9"/>
  <c r="B9" i="9"/>
  <c r="M26" i="3"/>
  <c r="L10" i="3"/>
  <c r="E10" i="3"/>
  <c r="B10" i="7"/>
  <c r="B9" i="8"/>
  <c r="C9" i="7"/>
  <c r="F23" i="9"/>
  <c r="C7" i="10"/>
  <c r="F7" i="9"/>
  <c r="H7" i="9"/>
  <c r="G7" i="9"/>
  <c r="D7" i="9"/>
  <c r="D7" i="8"/>
  <c r="E7" i="8" s="1"/>
  <c r="F7" i="8" s="1"/>
  <c r="E23" i="8"/>
  <c r="D23" i="8" s="1"/>
  <c r="F23" i="8"/>
  <c r="K4" i="2"/>
  <c r="C8" i="5" l="1"/>
  <c r="B8" i="6"/>
  <c r="B9" i="5"/>
  <c r="C10" i="7"/>
  <c r="B10" i="8"/>
  <c r="B11" i="7"/>
  <c r="M10" i="3"/>
  <c r="C10" i="2" s="1"/>
  <c r="D10" i="2" s="1"/>
  <c r="E8" i="7"/>
  <c r="M24" i="7"/>
  <c r="L8" i="7"/>
  <c r="D21" i="6"/>
  <c r="E6" i="5"/>
  <c r="M6" i="5" s="1"/>
  <c r="K6" i="2" s="1"/>
  <c r="M22" i="5"/>
  <c r="L6" i="5"/>
  <c r="H9" i="7"/>
  <c r="F9" i="7"/>
  <c r="G9" i="7"/>
  <c r="F25" i="7"/>
  <c r="C9" i="8"/>
  <c r="D9" i="7"/>
  <c r="D22" i="10"/>
  <c r="D11" i="4"/>
  <c r="E11" i="4" s="1"/>
  <c r="F11" i="4" s="1"/>
  <c r="E27" i="4"/>
  <c r="F27" i="4"/>
  <c r="B10" i="9"/>
  <c r="C9" i="9"/>
  <c r="B9" i="10"/>
  <c r="D8" i="8"/>
  <c r="E8" i="8" s="1"/>
  <c r="F8" i="8" s="1"/>
  <c r="F24" i="8"/>
  <c r="E24" i="8"/>
  <c r="D6" i="6"/>
  <c r="E6" i="6" s="1"/>
  <c r="F6" i="6" s="1"/>
  <c r="E22" i="6"/>
  <c r="F22" i="6"/>
  <c r="F24" i="9"/>
  <c r="C8" i="10"/>
  <c r="H8" i="9"/>
  <c r="G8" i="9"/>
  <c r="F8" i="9"/>
  <c r="D8" i="9"/>
  <c r="F23" i="5"/>
  <c r="C7" i="6"/>
  <c r="H7" i="5"/>
  <c r="G7" i="5"/>
  <c r="F7" i="5"/>
  <c r="D7" i="5"/>
  <c r="D7" i="10"/>
  <c r="E7" i="10" s="1"/>
  <c r="F7" i="10" s="1"/>
  <c r="E23" i="10"/>
  <c r="D23" i="10" s="1"/>
  <c r="F23" i="10"/>
  <c r="M27" i="3"/>
  <c r="E11" i="3"/>
  <c r="L11" i="3"/>
  <c r="F28" i="3"/>
  <c r="H12" i="3"/>
  <c r="G12" i="3"/>
  <c r="C12" i="4"/>
  <c r="F12" i="3"/>
  <c r="D12" i="3"/>
  <c r="C13" i="3"/>
  <c r="B14" i="3"/>
  <c r="M5" i="5"/>
  <c r="K5" i="2" s="1"/>
  <c r="M23" i="9"/>
  <c r="L7" i="9"/>
  <c r="E7" i="9"/>
  <c r="M7" i="9" s="1"/>
  <c r="M9" i="2"/>
  <c r="F9" i="2"/>
  <c r="E9" i="2"/>
  <c r="B10" i="2"/>
  <c r="M6" i="9"/>
  <c r="I6" i="2" s="1"/>
  <c r="G6" i="2" s="1"/>
  <c r="H6" i="2" s="1"/>
  <c r="N6" i="2" s="1"/>
  <c r="D24" i="8" l="1"/>
  <c r="L7" i="5"/>
  <c r="E7" i="5"/>
  <c r="M23" i="5"/>
  <c r="H9" i="9"/>
  <c r="G9" i="9"/>
  <c r="C9" i="10"/>
  <c r="D9" i="9"/>
  <c r="F25" i="9"/>
  <c r="F9" i="9"/>
  <c r="L12" i="3"/>
  <c r="E12" i="3"/>
  <c r="M12" i="3" s="1"/>
  <c r="C12" i="2" s="1"/>
  <c r="D12" i="2" s="1"/>
  <c r="M28" i="3"/>
  <c r="D7" i="6"/>
  <c r="E7" i="6" s="1"/>
  <c r="F7" i="6" s="1"/>
  <c r="F23" i="6"/>
  <c r="E23" i="6"/>
  <c r="D23" i="6" s="1"/>
  <c r="C10" i="9"/>
  <c r="B10" i="10"/>
  <c r="B11" i="9"/>
  <c r="I7" i="2"/>
  <c r="G7" i="2" s="1"/>
  <c r="H7" i="2" s="1"/>
  <c r="N7" i="2" s="1"/>
  <c r="M24" i="9"/>
  <c r="L8" i="9"/>
  <c r="E8" i="9"/>
  <c r="M8" i="9" s="1"/>
  <c r="D27" i="4"/>
  <c r="M8" i="7"/>
  <c r="L8" i="2" s="1"/>
  <c r="D12" i="4"/>
  <c r="E12" i="4" s="1"/>
  <c r="F12" i="4" s="1"/>
  <c r="F28" i="4"/>
  <c r="E28" i="4"/>
  <c r="D28" i="4" s="1"/>
  <c r="B11" i="8"/>
  <c r="C11" i="7"/>
  <c r="B12" i="7"/>
  <c r="B15" i="3"/>
  <c r="C15" i="3" s="1"/>
  <c r="C14" i="3"/>
  <c r="F10" i="2"/>
  <c r="E10" i="2"/>
  <c r="B11" i="2"/>
  <c r="M10" i="2"/>
  <c r="D8" i="10"/>
  <c r="E8" i="10" s="1"/>
  <c r="F8" i="10" s="1"/>
  <c r="F24" i="10"/>
  <c r="E24" i="10"/>
  <c r="D24" i="10" s="1"/>
  <c r="L9" i="7"/>
  <c r="E9" i="7"/>
  <c r="M25" i="7"/>
  <c r="F10" i="7"/>
  <c r="D10" i="7"/>
  <c r="C10" i="8"/>
  <c r="F26" i="7"/>
  <c r="H10" i="7"/>
  <c r="G10" i="7"/>
  <c r="M11" i="3"/>
  <c r="C11" i="2" s="1"/>
  <c r="D11" i="2" s="1"/>
  <c r="D9" i="8"/>
  <c r="E9" i="8" s="1"/>
  <c r="F9" i="8" s="1"/>
  <c r="E25" i="8"/>
  <c r="D25" i="8" s="1"/>
  <c r="F25" i="8"/>
  <c r="B10" i="5"/>
  <c r="B9" i="6"/>
  <c r="C9" i="5"/>
  <c r="F29" i="3"/>
  <c r="C13" i="4"/>
  <c r="H13" i="3"/>
  <c r="G13" i="3"/>
  <c r="F13" i="3"/>
  <c r="D13" i="3"/>
  <c r="D22" i="6"/>
  <c r="F8" i="5"/>
  <c r="D8" i="5"/>
  <c r="F24" i="5"/>
  <c r="H8" i="5"/>
  <c r="G8" i="5"/>
  <c r="C8" i="6"/>
  <c r="G15" i="3" l="1"/>
  <c r="F15" i="3"/>
  <c r="D15" i="3"/>
  <c r="C15" i="4"/>
  <c r="F31" i="3"/>
  <c r="H15" i="3"/>
  <c r="D10" i="8"/>
  <c r="E10" i="8" s="1"/>
  <c r="F10" i="8" s="1"/>
  <c r="F26" i="8"/>
  <c r="E26" i="8"/>
  <c r="D26" i="8" s="1"/>
  <c r="C11" i="8"/>
  <c r="H11" i="7"/>
  <c r="G11" i="7"/>
  <c r="F11" i="7"/>
  <c r="D11" i="7"/>
  <c r="F27" i="7"/>
  <c r="C12" i="7"/>
  <c r="B13" i="7"/>
  <c r="B12" i="8"/>
  <c r="L9" i="9"/>
  <c r="M25" i="9"/>
  <c r="E9" i="9"/>
  <c r="M9" i="9" s="1"/>
  <c r="E13" i="3"/>
  <c r="M13" i="3" s="1"/>
  <c r="M29" i="3"/>
  <c r="L13" i="3"/>
  <c r="I8" i="2"/>
  <c r="G8" i="2" s="1"/>
  <c r="H8" i="2" s="1"/>
  <c r="N8" i="2" s="1"/>
  <c r="D9" i="10"/>
  <c r="E9" i="10" s="1"/>
  <c r="F9" i="10" s="1"/>
  <c r="F25" i="10"/>
  <c r="E25" i="10"/>
  <c r="D25" i="10" s="1"/>
  <c r="M26" i="7"/>
  <c r="L10" i="7"/>
  <c r="E10" i="7"/>
  <c r="M10" i="7" s="1"/>
  <c r="H9" i="5"/>
  <c r="G9" i="5"/>
  <c r="C9" i="6"/>
  <c r="F9" i="5"/>
  <c r="D9" i="5"/>
  <c r="F25" i="5"/>
  <c r="D8" i="6"/>
  <c r="E8" i="6" s="1"/>
  <c r="F8" i="6" s="1"/>
  <c r="F24" i="6"/>
  <c r="E24" i="6"/>
  <c r="D24" i="6" s="1"/>
  <c r="F29" i="4"/>
  <c r="D13" i="4"/>
  <c r="E13" i="4" s="1"/>
  <c r="F13" i="4" s="1"/>
  <c r="E29" i="4"/>
  <c r="D29" i="4" s="1"/>
  <c r="M9" i="7"/>
  <c r="L9" i="2" s="1"/>
  <c r="B10" i="6"/>
  <c r="B11" i="5"/>
  <c r="C10" i="5"/>
  <c r="B12" i="2"/>
  <c r="M11" i="2"/>
  <c r="E11" i="2"/>
  <c r="F11" i="2"/>
  <c r="B12" i="9"/>
  <c r="B11" i="10"/>
  <c r="C11" i="9"/>
  <c r="M7" i="5"/>
  <c r="K7" i="2" s="1"/>
  <c r="L8" i="5"/>
  <c r="E8" i="5"/>
  <c r="M8" i="5" s="1"/>
  <c r="M24" i="5"/>
  <c r="H14" i="3"/>
  <c r="F14" i="3"/>
  <c r="D14" i="3"/>
  <c r="F30" i="3"/>
  <c r="C14" i="4"/>
  <c r="G14" i="3"/>
  <c r="H10" i="9"/>
  <c r="G10" i="9"/>
  <c r="F10" i="9"/>
  <c r="D10" i="9"/>
  <c r="C10" i="10"/>
  <c r="F26" i="9"/>
  <c r="D10" i="5" l="1"/>
  <c r="C10" i="6"/>
  <c r="F26" i="5"/>
  <c r="H10" i="5"/>
  <c r="G10" i="5"/>
  <c r="F10" i="5"/>
  <c r="L10" i="2"/>
  <c r="L14" i="3"/>
  <c r="E14" i="3"/>
  <c r="M30" i="3"/>
  <c r="B11" i="6"/>
  <c r="C11" i="5"/>
  <c r="B12" i="5"/>
  <c r="L11" i="7"/>
  <c r="M27" i="7"/>
  <c r="E11" i="7"/>
  <c r="M11" i="7" s="1"/>
  <c r="L11" i="2" s="1"/>
  <c r="D11" i="8"/>
  <c r="E11" i="8" s="1"/>
  <c r="F11" i="8" s="1"/>
  <c r="E27" i="8"/>
  <c r="F27" i="8"/>
  <c r="E12" i="2"/>
  <c r="F12" i="2"/>
  <c r="B13" i="2"/>
  <c r="M12" i="2"/>
  <c r="F30" i="4"/>
  <c r="D14" i="4"/>
  <c r="E14" i="4" s="1"/>
  <c r="F14" i="4" s="1"/>
  <c r="E30" i="4"/>
  <c r="D30" i="4" s="1"/>
  <c r="I9" i="2"/>
  <c r="G9" i="2" s="1"/>
  <c r="H9" i="2" s="1"/>
  <c r="N9" i="2" s="1"/>
  <c r="C11" i="10"/>
  <c r="H11" i="9"/>
  <c r="G11" i="9"/>
  <c r="F11" i="9"/>
  <c r="F27" i="9"/>
  <c r="D11" i="9"/>
  <c r="D10" i="10"/>
  <c r="E10" i="10" s="1"/>
  <c r="F10" i="10" s="1"/>
  <c r="F26" i="10"/>
  <c r="E26" i="10"/>
  <c r="E10" i="9"/>
  <c r="M26" i="9"/>
  <c r="L10" i="9"/>
  <c r="L9" i="5"/>
  <c r="E9" i="5"/>
  <c r="M25" i="5"/>
  <c r="D15" i="4"/>
  <c r="E15" i="4" s="1"/>
  <c r="F15" i="4" s="1"/>
  <c r="F31" i="4"/>
  <c r="E31" i="4"/>
  <c r="D31" i="4" s="1"/>
  <c r="C13" i="2"/>
  <c r="D13" i="2" s="1"/>
  <c r="C12" i="9"/>
  <c r="B13" i="9"/>
  <c r="B12" i="10"/>
  <c r="E15" i="3"/>
  <c r="L15" i="3"/>
  <c r="M31" i="3"/>
  <c r="F28" i="7"/>
  <c r="F12" i="7"/>
  <c r="H12" i="7"/>
  <c r="G12" i="7"/>
  <c r="D12" i="7"/>
  <c r="C12" i="8"/>
  <c r="K8" i="2"/>
  <c r="D9" i="6"/>
  <c r="E9" i="6" s="1"/>
  <c r="F9" i="6" s="1"/>
  <c r="F25" i="6"/>
  <c r="E25" i="6"/>
  <c r="D25" i="6" s="1"/>
  <c r="C13" i="7"/>
  <c r="B13" i="8"/>
  <c r="B14" i="7"/>
  <c r="H13" i="7" l="1"/>
  <c r="G13" i="7"/>
  <c r="F13" i="7"/>
  <c r="F29" i="7"/>
  <c r="D13" i="7"/>
  <c r="C13" i="8"/>
  <c r="B14" i="9"/>
  <c r="C13" i="9"/>
  <c r="B13" i="10"/>
  <c r="D12" i="9"/>
  <c r="F28" i="9"/>
  <c r="H12" i="9"/>
  <c r="G12" i="9"/>
  <c r="F12" i="9"/>
  <c r="C12" i="10"/>
  <c r="B13" i="5"/>
  <c r="C12" i="5"/>
  <c r="B12" i="6"/>
  <c r="D11" i="10"/>
  <c r="E11" i="10" s="1"/>
  <c r="F11" i="10" s="1"/>
  <c r="F27" i="10"/>
  <c r="E27" i="10"/>
  <c r="D27" i="10" s="1"/>
  <c r="H11" i="5"/>
  <c r="G11" i="5"/>
  <c r="F11" i="5"/>
  <c r="F27" i="5"/>
  <c r="D11" i="5"/>
  <c r="C11" i="6"/>
  <c r="D12" i="8"/>
  <c r="E12" i="8" s="1"/>
  <c r="F12" i="8" s="1"/>
  <c r="E28" i="8"/>
  <c r="D28" i="8" s="1"/>
  <c r="F28" i="8"/>
  <c r="M9" i="5"/>
  <c r="K9" i="2" s="1"/>
  <c r="M14" i="3"/>
  <c r="C14" i="2" s="1"/>
  <c r="D14" i="2" s="1"/>
  <c r="M13" i="2"/>
  <c r="F13" i="2"/>
  <c r="E13" i="2"/>
  <c r="B14" i="2"/>
  <c r="M28" i="7"/>
  <c r="L12" i="7"/>
  <c r="E12" i="7"/>
  <c r="M12" i="7" s="1"/>
  <c r="M10" i="9"/>
  <c r="I10" i="2" s="1"/>
  <c r="G10" i="2" s="1"/>
  <c r="H10" i="2" s="1"/>
  <c r="N10" i="2" s="1"/>
  <c r="D26" i="10"/>
  <c r="M15" i="3"/>
  <c r="C15" i="2" s="1"/>
  <c r="D15" i="2" s="1"/>
  <c r="D27" i="8"/>
  <c r="D10" i="6"/>
  <c r="E10" i="6" s="1"/>
  <c r="F10" i="6" s="1"/>
  <c r="F26" i="6"/>
  <c r="E26" i="6"/>
  <c r="B14" i="8"/>
  <c r="B15" i="7"/>
  <c r="C14" i="7"/>
  <c r="L11" i="9"/>
  <c r="M27" i="9"/>
  <c r="E11" i="9"/>
  <c r="M26" i="5"/>
  <c r="L10" i="5"/>
  <c r="E10" i="5"/>
  <c r="M10" i="5" s="1"/>
  <c r="D12" i="10" l="1"/>
  <c r="E12" i="10" s="1"/>
  <c r="F12" i="10" s="1"/>
  <c r="F28" i="10"/>
  <c r="E28" i="10"/>
  <c r="D28" i="10" s="1"/>
  <c r="E12" i="9"/>
  <c r="M28" i="9"/>
  <c r="L12" i="9"/>
  <c r="D26" i="6"/>
  <c r="L11" i="5"/>
  <c r="M27" i="5"/>
  <c r="E11" i="5"/>
  <c r="M11" i="5" s="1"/>
  <c r="H13" i="9"/>
  <c r="G13" i="9"/>
  <c r="F13" i="9"/>
  <c r="F29" i="9"/>
  <c r="D13" i="9"/>
  <c r="C13" i="10"/>
  <c r="C13" i="5"/>
  <c r="B13" i="6"/>
  <c r="B14" i="5"/>
  <c r="L12" i="2"/>
  <c r="B14" i="10"/>
  <c r="B15" i="9"/>
  <c r="C14" i="9"/>
  <c r="E27" i="6"/>
  <c r="D11" i="6"/>
  <c r="E11" i="6" s="1"/>
  <c r="F11" i="6" s="1"/>
  <c r="F27" i="6"/>
  <c r="K10" i="2"/>
  <c r="D13" i="8"/>
  <c r="E13" i="8" s="1"/>
  <c r="F13" i="8" s="1"/>
  <c r="E29" i="8"/>
  <c r="D29" i="8" s="1"/>
  <c r="F29" i="8"/>
  <c r="M29" i="7"/>
  <c r="E13" i="7"/>
  <c r="M13" i="7" s="1"/>
  <c r="L13" i="7"/>
  <c r="M11" i="9"/>
  <c r="I11" i="2" s="1"/>
  <c r="G11" i="2" s="1"/>
  <c r="H11" i="2" s="1"/>
  <c r="N11" i="2" s="1"/>
  <c r="B15" i="2"/>
  <c r="M14" i="2"/>
  <c r="E14" i="2"/>
  <c r="F14" i="2"/>
  <c r="C14" i="8"/>
  <c r="F30" i="7"/>
  <c r="G14" i="7"/>
  <c r="H14" i="7"/>
  <c r="F14" i="7"/>
  <c r="D14" i="7"/>
  <c r="C15" i="7"/>
  <c r="B15" i="8"/>
  <c r="F28" i="5"/>
  <c r="C12" i="6"/>
  <c r="G12" i="5"/>
  <c r="H12" i="5"/>
  <c r="F12" i="5"/>
  <c r="D12" i="5"/>
  <c r="M30" i="7" l="1"/>
  <c r="L14" i="7"/>
  <c r="E14" i="7"/>
  <c r="M14" i="7" s="1"/>
  <c r="L13" i="2"/>
  <c r="L13" i="9"/>
  <c r="M29" i="9"/>
  <c r="E13" i="9"/>
  <c r="M13" i="9" s="1"/>
  <c r="I13" i="2" s="1"/>
  <c r="G13" i="2" s="1"/>
  <c r="H13" i="2" s="1"/>
  <c r="N13" i="2" s="1"/>
  <c r="K11" i="2"/>
  <c r="D13" i="10"/>
  <c r="E13" i="10" s="1"/>
  <c r="F13" i="10" s="1"/>
  <c r="F29" i="10"/>
  <c r="E29" i="10"/>
  <c r="G15" i="7"/>
  <c r="F31" i="7"/>
  <c r="D15" i="7"/>
  <c r="C15" i="8"/>
  <c r="H15" i="7"/>
  <c r="F15" i="7"/>
  <c r="F30" i="8"/>
  <c r="D14" i="8"/>
  <c r="E14" i="8" s="1"/>
  <c r="F14" i="8" s="1"/>
  <c r="E30" i="8"/>
  <c r="D30" i="8" s="1"/>
  <c r="B15" i="10"/>
  <c r="C15" i="9"/>
  <c r="M12" i="9"/>
  <c r="I12" i="2" s="1"/>
  <c r="G12" i="2" s="1"/>
  <c r="H12" i="2" s="1"/>
  <c r="N12" i="2" s="1"/>
  <c r="B15" i="5"/>
  <c r="B14" i="6"/>
  <c r="C14" i="5"/>
  <c r="D27" i="6"/>
  <c r="C14" i="10"/>
  <c r="F30" i="9"/>
  <c r="H14" i="9"/>
  <c r="G14" i="9"/>
  <c r="F14" i="9"/>
  <c r="D14" i="9"/>
  <c r="M28" i="5"/>
  <c r="L12" i="5"/>
  <c r="E12" i="5"/>
  <c r="M12" i="5" s="1"/>
  <c r="M15" i="2"/>
  <c r="E15" i="2"/>
  <c r="F15" i="2"/>
  <c r="F28" i="6"/>
  <c r="D12" i="6"/>
  <c r="E12" i="6" s="1"/>
  <c r="F12" i="6" s="1"/>
  <c r="E28" i="6"/>
  <c r="D28" i="6" s="1"/>
  <c r="H13" i="5"/>
  <c r="F13" i="5"/>
  <c r="F29" i="5"/>
  <c r="D13" i="5"/>
  <c r="C13" i="6"/>
  <c r="G13" i="5"/>
  <c r="E31" i="8" l="1"/>
  <c r="D15" i="8"/>
  <c r="E15" i="8" s="1"/>
  <c r="F15" i="8" s="1"/>
  <c r="F31" i="8"/>
  <c r="C14" i="6"/>
  <c r="H14" i="5"/>
  <c r="G14" i="5"/>
  <c r="F14" i="5"/>
  <c r="F30" i="5"/>
  <c r="D14" i="5"/>
  <c r="C15" i="5"/>
  <c r="B15" i="6"/>
  <c r="D29" i="10"/>
  <c r="F29" i="6"/>
  <c r="D13" i="6"/>
  <c r="E13" i="6" s="1"/>
  <c r="F13" i="6" s="1"/>
  <c r="E29" i="6"/>
  <c r="D29" i="6" s="1"/>
  <c r="D14" i="10"/>
  <c r="E14" i="10" s="1"/>
  <c r="F14" i="10" s="1"/>
  <c r="E30" i="10"/>
  <c r="F30" i="10"/>
  <c r="K12" i="2"/>
  <c r="M29" i="5"/>
  <c r="E13" i="5"/>
  <c r="L13" i="5"/>
  <c r="L14" i="2"/>
  <c r="M31" i="7"/>
  <c r="E15" i="7"/>
  <c r="M15" i="7" s="1"/>
  <c r="L15" i="2" s="1"/>
  <c r="L15" i="7"/>
  <c r="H15" i="9"/>
  <c r="G15" i="9"/>
  <c r="F31" i="9"/>
  <c r="F15" i="9"/>
  <c r="D15" i="9"/>
  <c r="C15" i="10"/>
  <c r="M30" i="9"/>
  <c r="L14" i="9"/>
  <c r="E14" i="9"/>
  <c r="M14" i="9" s="1"/>
  <c r="L15" i="9" l="1"/>
  <c r="M31" i="9"/>
  <c r="E15" i="9"/>
  <c r="M15" i="9" s="1"/>
  <c r="M30" i="5"/>
  <c r="L14" i="5"/>
  <c r="E14" i="5"/>
  <c r="F30" i="6"/>
  <c r="D14" i="6"/>
  <c r="E14" i="6" s="1"/>
  <c r="F14" i="6" s="1"/>
  <c r="E30" i="6"/>
  <c r="D30" i="6" s="1"/>
  <c r="I14" i="2"/>
  <c r="G14" i="2" s="1"/>
  <c r="H14" i="2" s="1"/>
  <c r="N14" i="2" s="1"/>
  <c r="M13" i="5"/>
  <c r="K13" i="2" s="1"/>
  <c r="G15" i="5"/>
  <c r="F15" i="5"/>
  <c r="D15" i="5"/>
  <c r="F31" i="5"/>
  <c r="C15" i="6"/>
  <c r="H15" i="5"/>
  <c r="D15" i="10"/>
  <c r="E15" i="10" s="1"/>
  <c r="F15" i="10" s="1"/>
  <c r="E31" i="10"/>
  <c r="F31" i="10"/>
  <c r="D30" i="10"/>
  <c r="D31" i="8"/>
  <c r="F31" i="6" l="1"/>
  <c r="D15" i="6"/>
  <c r="E15" i="6" s="1"/>
  <c r="F15" i="6" s="1"/>
  <c r="E31" i="6"/>
  <c r="D31" i="6" s="1"/>
  <c r="E15" i="5"/>
  <c r="M31" i="5"/>
  <c r="L15" i="5"/>
  <c r="I15" i="2"/>
  <c r="G15" i="2" s="1"/>
  <c r="H15" i="2" s="1"/>
  <c r="N15" i="2" s="1"/>
  <c r="M14" i="5"/>
  <c r="K14" i="2" s="1"/>
  <c r="D31" i="10"/>
  <c r="M15" i="5" l="1"/>
  <c r="K1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0100-000001000000}">
      <text>
        <r>
          <rPr>
            <sz val="10"/>
            <color rgb="FF000000"/>
            <rFont val="Arial"/>
            <scheme val="minor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0"/>
            <color rgb="FF000000"/>
            <rFont val="Arial"/>
            <scheme val="minor"/>
          </rPr>
          <t>Enter Value for Weight, Viscosity, Density, Area, and Span at SEA LEVEL. Can be found from Appendix and the project supplementals diagrams. I think this should be total aircraft weight, but I'm not sure.</t>
        </r>
      </text>
    </comment>
    <comment ref="B1" authorId="0" shapeId="0" xr:uid="{00000000-0006-0000-0200-000002000000}">
      <text>
        <r>
          <rPr>
            <sz val="10"/>
            <color rgb="FF000000"/>
            <rFont val="Arial"/>
            <scheme val="minor"/>
          </rPr>
          <t>Found from the given graph in project supplementals. Assumed section lift coefficient = lift coefficient, as given in lecture notes.</t>
        </r>
      </text>
    </comment>
    <comment ref="I1" authorId="0" shapeId="0" xr:uid="{00000000-0006-0000-0200-000003000000}">
      <text>
        <r>
          <rPr>
            <sz val="10"/>
            <color rgb="FF000000"/>
            <rFont val="Arial"/>
            <scheme val="minor"/>
          </rPr>
          <t xml:space="preserve">Will need to find manually from the tables, I think? Use the Re to find which graph you should be looking at for each one.
</t>
        </r>
      </text>
    </comment>
    <comment ref="N1" authorId="0" shapeId="0" xr:uid="{00000000-0006-0000-0200-000004000000}">
      <text>
        <r>
          <rPr>
            <sz val="10"/>
            <color rgb="FF000000"/>
            <rFont val="Arial"/>
            <scheme val="minor"/>
          </rPr>
          <t xml:space="preserve">Find your section C1, C2, and C3 values for the different tapers in the wing.
</t>
        </r>
      </text>
    </comment>
    <comment ref="A10" authorId="0" shapeId="0" xr:uid="{00000000-0006-0000-0200-000005000000}">
      <text>
        <r>
          <rPr>
            <sz val="10"/>
            <color rgb="FF000000"/>
            <rFont val="Arial"/>
            <scheme val="minor"/>
          </rPr>
          <t>Guessed at 0.95, as per lecture notes</t>
        </r>
      </text>
    </comment>
    <comment ref="A13" authorId="0" shapeId="0" xr:uid="{00000000-0006-0000-0200-000006000000}">
      <text>
        <r>
          <rPr>
            <sz val="10"/>
            <color rgb="FF000000"/>
            <rFont val="Arial"/>
            <scheme val="minor"/>
          </rPr>
          <t>https://www.diva-portal.org/smash/get/diva2:752136/fulltext01.pdf
Going to use this formula for Oswald's Efficiency Factor</t>
        </r>
      </text>
    </comment>
    <comment ref="I17" authorId="0" shapeId="0" xr:uid="{00000000-0006-0000-0200-000007000000}">
      <text>
        <r>
          <rPr>
            <sz val="10"/>
            <color rgb="FF000000"/>
            <rFont val="Arial"/>
            <scheme val="minor"/>
          </rPr>
          <t>Might need to find manually as well.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300-000001000000}">
      <text>
        <r>
          <rPr>
            <sz val="10"/>
            <color rgb="FF000000"/>
            <rFont val="Arial"/>
            <scheme val="minor"/>
          </rPr>
          <t>Do wing first! Some of the values here are taken directly from that.</t>
        </r>
      </text>
    </comment>
    <comment ref="D1" authorId="0" shapeId="0" xr:uid="{00000000-0006-0000-0300-000002000000}">
      <text>
        <r>
          <rPr>
            <sz val="10"/>
            <color rgb="FF000000"/>
            <rFont val="Arial"/>
            <scheme val="minor"/>
          </rPr>
          <t>If it goes above 4500 we need to adjust the formula for turbulent flow. Let me know if it does.</t>
        </r>
      </text>
    </comment>
    <comment ref="D17" authorId="0" shapeId="0" xr:uid="{00000000-0006-0000-0300-000003000000}">
      <text>
        <r>
          <rPr>
            <sz val="10"/>
            <color rgb="FF000000"/>
            <rFont val="Arial"/>
            <scheme val="minor"/>
          </rPr>
          <t>Posted in server which drag coefficient I'm using</t>
        </r>
      </text>
    </comment>
    <comment ref="E17" authorId="0" shapeId="0" xr:uid="{00000000-0006-0000-0300-000004000000}">
      <text>
        <r>
          <rPr>
            <sz val="10"/>
            <color rgb="FF000000"/>
            <rFont val="Arial"/>
            <scheme val="minor"/>
          </rPr>
          <t>Posted in server which drag coefficient I'm using</t>
        </r>
      </text>
    </comment>
    <comment ref="F17" authorId="0" shapeId="0" xr:uid="{00000000-0006-0000-0300-000005000000}">
      <text>
        <r>
          <rPr>
            <sz val="10"/>
            <color rgb="FF000000"/>
            <rFont val="Arial"/>
            <scheme val="minor"/>
          </rPr>
          <t>Posted in server which drag coefficient I'm using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400-000001000000}">
      <text>
        <r>
          <rPr>
            <sz val="10"/>
            <color rgb="FF000000"/>
            <rFont val="Arial"/>
            <scheme val="minor"/>
          </rPr>
          <t>Enter Value for Weight, Viscosity, Density, Area, and Span at SEA LEVEL. Can be found from Appendix and the project supplementals diagrams. I think this should be total aircraft weight, but I'm not sure.</t>
        </r>
      </text>
    </comment>
    <comment ref="B1" authorId="0" shapeId="0" xr:uid="{00000000-0006-0000-0400-000002000000}">
      <text>
        <r>
          <rPr>
            <sz val="10"/>
            <color rgb="FF000000"/>
            <rFont val="Arial"/>
            <scheme val="minor"/>
          </rPr>
          <t>Found from the given graph in project supplementals. Assumed section lift coefficient = lift coefficient, as given in lecture notes.</t>
        </r>
      </text>
    </comment>
    <comment ref="I1" authorId="0" shapeId="0" xr:uid="{00000000-0006-0000-0400-000003000000}">
      <text>
        <r>
          <rPr>
            <sz val="10"/>
            <color rgb="FF000000"/>
            <rFont val="Arial"/>
            <scheme val="minor"/>
          </rPr>
          <t xml:space="preserve">Will need to find manually from the tables, I think? Use the Re to find which graph you should be looking at for each one.
</t>
        </r>
      </text>
    </comment>
    <comment ref="N1" authorId="0" shapeId="0" xr:uid="{00000000-0006-0000-0400-000004000000}">
      <text>
        <r>
          <rPr>
            <sz val="10"/>
            <color rgb="FF000000"/>
            <rFont val="Arial"/>
            <scheme val="minor"/>
          </rPr>
          <t xml:space="preserve">Find your section C1, C2, and C3 values for the different tapers in the wing.
</t>
        </r>
      </text>
    </comment>
    <comment ref="A10" authorId="0" shapeId="0" xr:uid="{00000000-0006-0000-0400-000005000000}">
      <text>
        <r>
          <rPr>
            <sz val="10"/>
            <color rgb="FF000000"/>
            <rFont val="Arial"/>
            <scheme val="minor"/>
          </rPr>
          <t>Guessed at 0.95, as per lecture notes</t>
        </r>
      </text>
    </comment>
    <comment ref="A13" authorId="0" shapeId="0" xr:uid="{00000000-0006-0000-0400-000006000000}">
      <text>
        <r>
          <rPr>
            <sz val="10"/>
            <color rgb="FF000000"/>
            <rFont val="Arial"/>
            <scheme val="minor"/>
          </rPr>
          <t>https://www.diva-portal.org/smash/get/diva2:752136/fulltext01.pdf
Going to use this formula for Oswald's Efficiency Factor</t>
        </r>
      </text>
    </comment>
    <comment ref="I17" authorId="0" shapeId="0" xr:uid="{00000000-0006-0000-0400-000007000000}">
      <text>
        <r>
          <rPr>
            <sz val="10"/>
            <color rgb="FF000000"/>
            <rFont val="Arial"/>
            <scheme val="minor"/>
          </rPr>
          <t>Might need to find manually as well.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500-000001000000}">
      <text>
        <r>
          <rPr>
            <sz val="10"/>
            <color rgb="FF000000"/>
            <rFont val="Arial"/>
            <scheme val="minor"/>
          </rPr>
          <t>Do wing first! Some of the values here are taken directly from that.</t>
        </r>
      </text>
    </comment>
    <comment ref="D1" authorId="0" shapeId="0" xr:uid="{00000000-0006-0000-0500-000002000000}">
      <text>
        <r>
          <rPr>
            <sz val="10"/>
            <color rgb="FF000000"/>
            <rFont val="Arial"/>
            <scheme val="minor"/>
          </rPr>
          <t>If it goes above 4500 we need to adjust the formula for turbulent flow. Let me know if it does.</t>
        </r>
      </text>
    </comment>
    <comment ref="D17" authorId="0" shapeId="0" xr:uid="{00000000-0006-0000-0500-000003000000}">
      <text>
        <r>
          <rPr>
            <sz val="10"/>
            <color rgb="FF000000"/>
            <rFont val="Arial"/>
            <scheme val="minor"/>
          </rPr>
          <t>Posted in server which drag coefficient I'm using</t>
        </r>
      </text>
    </comment>
    <comment ref="E17" authorId="0" shapeId="0" xr:uid="{00000000-0006-0000-0500-000004000000}">
      <text>
        <r>
          <rPr>
            <sz val="10"/>
            <color rgb="FF000000"/>
            <rFont val="Arial"/>
            <scheme val="minor"/>
          </rPr>
          <t>Posted in server which drag coefficient I'm using</t>
        </r>
      </text>
    </comment>
    <comment ref="F17" authorId="0" shapeId="0" xr:uid="{00000000-0006-0000-0500-000005000000}">
      <text>
        <r>
          <rPr>
            <sz val="10"/>
            <color rgb="FF000000"/>
            <rFont val="Arial"/>
            <scheme val="minor"/>
          </rPr>
          <t>Posted in server which drag coefficient I'm using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600-000001000000}">
      <text>
        <r>
          <rPr>
            <sz val="10"/>
            <color rgb="FF000000"/>
            <rFont val="Arial"/>
            <scheme val="minor"/>
          </rPr>
          <t>Enter Value for Weight, Viscosity, Density, Area, and Span at SEA LEVEL. Can be found from Appendix and the project supplementals diagrams. I think this should be total aircraft weight, but I'm not sure.</t>
        </r>
      </text>
    </comment>
    <comment ref="B1" authorId="0" shapeId="0" xr:uid="{00000000-0006-0000-0600-000002000000}">
      <text>
        <r>
          <rPr>
            <sz val="10"/>
            <color rgb="FF000000"/>
            <rFont val="Arial"/>
            <scheme val="minor"/>
          </rPr>
          <t>Found from the given graph in project supplementals. Assumed section lift coefficient = lift coefficient, as given in lecture notes.</t>
        </r>
      </text>
    </comment>
    <comment ref="I1" authorId="0" shapeId="0" xr:uid="{00000000-0006-0000-0600-000003000000}">
      <text>
        <r>
          <rPr>
            <sz val="10"/>
            <color rgb="FF000000"/>
            <rFont val="Arial"/>
            <scheme val="minor"/>
          </rPr>
          <t xml:space="preserve">Will need to find manually from the tables, I think? Use the Re to find which graph you should be looking at for each one.
</t>
        </r>
      </text>
    </comment>
    <comment ref="N1" authorId="0" shapeId="0" xr:uid="{00000000-0006-0000-0600-000004000000}">
      <text>
        <r>
          <rPr>
            <sz val="10"/>
            <color rgb="FF000000"/>
            <rFont val="Arial"/>
            <scheme val="minor"/>
          </rPr>
          <t xml:space="preserve">Find your section C1, C2, and C3 values for the different tapers in the wing.
</t>
        </r>
      </text>
    </comment>
    <comment ref="A10" authorId="0" shapeId="0" xr:uid="{00000000-0006-0000-0600-000005000000}">
      <text>
        <r>
          <rPr>
            <sz val="10"/>
            <color rgb="FF000000"/>
            <rFont val="Arial"/>
            <scheme val="minor"/>
          </rPr>
          <t>Guessed at 0.95, as per lecture notes</t>
        </r>
      </text>
    </comment>
    <comment ref="A13" authorId="0" shapeId="0" xr:uid="{00000000-0006-0000-0600-000006000000}">
      <text>
        <r>
          <rPr>
            <sz val="10"/>
            <color rgb="FF000000"/>
            <rFont val="Arial"/>
            <scheme val="minor"/>
          </rPr>
          <t>https://www.diva-portal.org/smash/get/diva2:752136/fulltext01.pdf
Going to use this formula for Oswald's Efficiency Factor</t>
        </r>
      </text>
    </comment>
    <comment ref="I17" authorId="0" shapeId="0" xr:uid="{00000000-0006-0000-0600-000007000000}">
      <text>
        <r>
          <rPr>
            <sz val="10"/>
            <color rgb="FF000000"/>
            <rFont val="Arial"/>
            <scheme val="minor"/>
          </rPr>
          <t>Might need to find manually as well.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700-000001000000}">
      <text>
        <r>
          <rPr>
            <sz val="10"/>
            <color rgb="FF000000"/>
            <rFont val="Arial"/>
            <scheme val="minor"/>
          </rPr>
          <t>Do wing first! Some of the values here are taken directly from that.</t>
        </r>
      </text>
    </comment>
    <comment ref="D1" authorId="0" shapeId="0" xr:uid="{00000000-0006-0000-0700-000002000000}">
      <text>
        <r>
          <rPr>
            <sz val="10"/>
            <color rgb="FF000000"/>
            <rFont val="Arial"/>
            <scheme val="minor"/>
          </rPr>
          <t>If it goes above 4500 we need to adjust the formula for turbulent flow. Let me know if it does.</t>
        </r>
      </text>
    </comment>
    <comment ref="D17" authorId="0" shapeId="0" xr:uid="{00000000-0006-0000-0700-000003000000}">
      <text>
        <r>
          <rPr>
            <sz val="10"/>
            <color rgb="FF000000"/>
            <rFont val="Arial"/>
            <scheme val="minor"/>
          </rPr>
          <t>Posted in server which drag coefficient I'm using</t>
        </r>
      </text>
    </comment>
    <comment ref="E17" authorId="0" shapeId="0" xr:uid="{00000000-0006-0000-0700-000004000000}">
      <text>
        <r>
          <rPr>
            <sz val="10"/>
            <color rgb="FF000000"/>
            <rFont val="Arial"/>
            <scheme val="minor"/>
          </rPr>
          <t>Posted in server which drag coefficient I'm using</t>
        </r>
      </text>
    </comment>
    <comment ref="F17" authorId="0" shapeId="0" xr:uid="{00000000-0006-0000-0700-000005000000}">
      <text>
        <r>
          <rPr>
            <sz val="10"/>
            <color rgb="FF000000"/>
            <rFont val="Arial"/>
            <scheme val="minor"/>
          </rPr>
          <t>Posted in server which drag coefficient I'm using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800-000001000000}">
      <text>
        <r>
          <rPr>
            <sz val="10"/>
            <color rgb="FF000000"/>
            <rFont val="Arial"/>
            <scheme val="minor"/>
          </rPr>
          <t>Enter Value for Weight, Viscosity, Density, Area, and Span at SEA LEVEL. Can be found from Appendix and the project supplementals diagrams. I think this should be total aircraft weight, but I'm not sure.</t>
        </r>
      </text>
    </comment>
    <comment ref="B1" authorId="0" shapeId="0" xr:uid="{00000000-0006-0000-0800-000002000000}">
      <text>
        <r>
          <rPr>
            <sz val="10"/>
            <color rgb="FF000000"/>
            <rFont val="Arial"/>
            <scheme val="minor"/>
          </rPr>
          <t>Found from the given graph in project supplementals. Assumed section lift coefficient = lift coefficient, as given in lecture notes.</t>
        </r>
      </text>
    </comment>
    <comment ref="I1" authorId="0" shapeId="0" xr:uid="{00000000-0006-0000-0800-000003000000}">
      <text>
        <r>
          <rPr>
            <sz val="10"/>
            <color rgb="FF000000"/>
            <rFont val="Arial"/>
            <scheme val="minor"/>
          </rPr>
          <t xml:space="preserve">Will need to find manually from the tables, I think? Use the Re to find which graph you should be looking at for each one.
</t>
        </r>
      </text>
    </comment>
    <comment ref="N1" authorId="0" shapeId="0" xr:uid="{00000000-0006-0000-0800-000004000000}">
      <text>
        <r>
          <rPr>
            <sz val="10"/>
            <color rgb="FF000000"/>
            <rFont val="Arial"/>
            <scheme val="minor"/>
          </rPr>
          <t xml:space="preserve">Find your section C1, C2, and C3 values for the different tapers in the wing.
</t>
        </r>
      </text>
    </comment>
    <comment ref="A10" authorId="0" shapeId="0" xr:uid="{00000000-0006-0000-0800-000005000000}">
      <text>
        <r>
          <rPr>
            <sz val="10"/>
            <color rgb="FF000000"/>
            <rFont val="Arial"/>
            <scheme val="minor"/>
          </rPr>
          <t>Guessed at 0.95, as per lecture notes</t>
        </r>
      </text>
    </comment>
    <comment ref="A13" authorId="0" shapeId="0" xr:uid="{00000000-0006-0000-0800-000006000000}">
      <text>
        <r>
          <rPr>
            <sz val="10"/>
            <color rgb="FF000000"/>
            <rFont val="Arial"/>
            <scheme val="minor"/>
          </rPr>
          <t>https://www.diva-portal.org/smash/get/diva2:752136/fulltext01.pdf
Going to use this formula for Oswald's Efficiency Factor</t>
        </r>
      </text>
    </comment>
    <comment ref="I17" authorId="0" shapeId="0" xr:uid="{00000000-0006-0000-0800-000007000000}">
      <text>
        <r>
          <rPr>
            <sz val="10"/>
            <color rgb="FF000000"/>
            <rFont val="Arial"/>
            <scheme val="minor"/>
          </rPr>
          <t>Might need to find manually as well.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900-000001000000}">
      <text>
        <r>
          <rPr>
            <sz val="10"/>
            <color rgb="FF000000"/>
            <rFont val="Arial"/>
            <scheme val="minor"/>
          </rPr>
          <t>Do wing first! Some of the values here are taken directly from that.</t>
        </r>
      </text>
    </comment>
    <comment ref="D1" authorId="0" shapeId="0" xr:uid="{00000000-0006-0000-0900-000002000000}">
      <text>
        <r>
          <rPr>
            <sz val="10"/>
            <color rgb="FF000000"/>
            <rFont val="Arial"/>
            <scheme val="minor"/>
          </rPr>
          <t>If it goes above 4500 we need to adjust the formula for turbulent flow. Let me know if it does.</t>
        </r>
      </text>
    </comment>
    <comment ref="D17" authorId="0" shapeId="0" xr:uid="{00000000-0006-0000-0900-000003000000}">
      <text>
        <r>
          <rPr>
            <sz val="10"/>
            <color rgb="FF000000"/>
            <rFont val="Arial"/>
            <scheme val="minor"/>
          </rPr>
          <t>Posted in server which drag coefficient I'm using</t>
        </r>
      </text>
    </comment>
    <comment ref="E17" authorId="0" shapeId="0" xr:uid="{00000000-0006-0000-0900-000004000000}">
      <text>
        <r>
          <rPr>
            <sz val="10"/>
            <color rgb="FF000000"/>
            <rFont val="Arial"/>
            <scheme val="minor"/>
          </rPr>
          <t>Posted in server which drag coefficient I'm using</t>
        </r>
      </text>
    </comment>
    <comment ref="F17" authorId="0" shapeId="0" xr:uid="{00000000-0006-0000-0900-000005000000}">
      <text>
        <r>
          <rPr>
            <sz val="10"/>
            <color rgb="FF000000"/>
            <rFont val="Arial"/>
            <scheme val="minor"/>
          </rPr>
          <t>Posted in server which drag coefficient I'm using</t>
        </r>
      </text>
    </comment>
  </commentList>
</comments>
</file>

<file path=xl/sharedStrings.xml><?xml version="1.0" encoding="utf-8"?>
<sst xmlns="http://schemas.openxmlformats.org/spreadsheetml/2006/main" count="206" uniqueCount="62">
  <si>
    <t>Total Area</t>
  </si>
  <si>
    <t>Lift Coefficient</t>
  </si>
  <si>
    <t>Total Drag, Sea Level</t>
  </si>
  <si>
    <t>Drag Coefficient</t>
  </si>
  <si>
    <t>Airspeed, 10kft</t>
  </si>
  <si>
    <t>Airspeed, 15kft</t>
  </si>
  <si>
    <t>Drag Coefficient, 2000lbs10kft</t>
  </si>
  <si>
    <t>Sink Rate, 2000lbs 10kft</t>
  </si>
  <si>
    <t>Total Drag, 2000lbs10kft</t>
  </si>
  <si>
    <t>Total Drag, 10kft (Actual)</t>
  </si>
  <si>
    <t>Total Drag, 15kft (Actual)</t>
  </si>
  <si>
    <t>Cl^2</t>
  </si>
  <si>
    <t>Glide ratio</t>
  </si>
  <si>
    <t>Density, 10kft</t>
  </si>
  <si>
    <t>Density, 15kft</t>
  </si>
  <si>
    <t>Total Weight</t>
  </si>
  <si>
    <t>Airspeed</t>
  </si>
  <si>
    <t>q (Dynamic Pressure)</t>
  </si>
  <si>
    <t>Induced Drag</t>
  </si>
  <si>
    <t>Re for C1</t>
  </si>
  <si>
    <t>Re for C2</t>
  </si>
  <si>
    <t>Re for C3</t>
  </si>
  <si>
    <t>C_d  for C1</t>
  </si>
  <si>
    <t>C_d for C2</t>
  </si>
  <si>
    <t>C_d for C3</t>
  </si>
  <si>
    <t>Total Profile Drag</t>
  </si>
  <si>
    <t>Total Drag (Wing)</t>
  </si>
  <si>
    <t>C1 Area</t>
  </si>
  <si>
    <t>Density</t>
  </si>
  <si>
    <t>C2 Area</t>
  </si>
  <si>
    <t>Area</t>
  </si>
  <si>
    <t>C3 Area</t>
  </si>
  <si>
    <t>Span Efficiency</t>
  </si>
  <si>
    <t>Aspect Ratio</t>
  </si>
  <si>
    <t>DO NOT USE: Oswald's e (Wing)</t>
  </si>
  <si>
    <t>Empennage Area</t>
  </si>
  <si>
    <t>Span</t>
  </si>
  <si>
    <t>Empennage Length</t>
  </si>
  <si>
    <t>Re for Empennage</t>
  </si>
  <si>
    <t>C_d for Empennage</t>
  </si>
  <si>
    <t>Total Drag (Empennage)</t>
  </si>
  <si>
    <t>Coefficient of Viscosity</t>
  </si>
  <si>
    <t>DO NOTE USE: C_Do</t>
  </si>
  <si>
    <t>)</t>
  </si>
  <si>
    <t>Section 1 Length (c1)</t>
  </si>
  <si>
    <t>C_D Sample</t>
  </si>
  <si>
    <t>Section 2 Length (c2)</t>
  </si>
  <si>
    <t>Section 3 Length (c3)</t>
  </si>
  <si>
    <t>-</t>
  </si>
  <si>
    <t>Length</t>
  </si>
  <si>
    <t>C_l</t>
  </si>
  <si>
    <t>V</t>
  </si>
  <si>
    <t>Re</t>
  </si>
  <si>
    <t>Cf</t>
  </si>
  <si>
    <t>Fuselage Drag</t>
  </si>
  <si>
    <t>Centre Wheel Area</t>
  </si>
  <si>
    <t>Wheels, Total Drag</t>
  </si>
  <si>
    <t>Side Drag</t>
  </si>
  <si>
    <t>Centre Drag</t>
  </si>
  <si>
    <t>Side Wheel Area</t>
  </si>
  <si>
    <t>Air speed (ft/s)</t>
  </si>
  <si>
    <t>Sink rate (ft/s)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</si>
</sst>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0"/>
    <numFmt numFmtId="165" formatCode="0.0000"/>
    <numFmt numFmtId="166" formatCode="0.000"/>
    <numFmt numFmtId="167" formatCode="0.0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FFFF"/>
      <name val="Arial"/>
      <scheme val="minor"/>
    </font>
    <font>
      <sz val="10"/>
      <color theme="0"/>
      <name val="Arial"/>
      <scheme val="minor"/>
    </font>
    <font>
      <sz val="10"/>
      <color rgb="FFEFEFEF"/>
      <name val="Arial"/>
      <scheme val="minor"/>
    </font>
    <font>
      <sz val="10"/>
      <color rgb="FF000000"/>
      <name val="Arial"/>
      <scheme val="minor"/>
    </font>
    <font>
      <sz val="10"/>
      <color rgb="FFDBDEE2"/>
      <name val="Arial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073763"/>
        <bgColor rgb="FF073763"/>
      </patternFill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741B47"/>
        <bgColor rgb="FF741B47"/>
      </patternFill>
    </fill>
    <fill>
      <patternFill patternType="solid">
        <fgColor rgb="FF4C1130"/>
        <bgColor rgb="FF4C1130"/>
      </patternFill>
    </fill>
    <fill>
      <patternFill patternType="solid">
        <fgColor rgb="FFD5A6BD"/>
        <bgColor rgb="FFD5A6BD"/>
      </patternFill>
    </fill>
    <fill>
      <patternFill patternType="solid">
        <fgColor rgb="FFC27BA0"/>
        <bgColor rgb="FFC27BA0"/>
      </patternFill>
    </fill>
    <fill>
      <patternFill patternType="solid">
        <fgColor rgb="FF434343"/>
        <bgColor rgb="FF434343"/>
      </patternFill>
    </fill>
    <fill>
      <patternFill patternType="solid">
        <fgColor rgb="FF351C75"/>
        <bgColor rgb="FF351C75"/>
      </patternFill>
    </fill>
    <fill>
      <patternFill patternType="solid">
        <fgColor rgb="FF20124D"/>
        <bgColor rgb="FF20124D"/>
      </patternFill>
    </fill>
    <fill>
      <patternFill patternType="solid">
        <fgColor rgb="FFD9D2E9"/>
        <bgColor rgb="FFD9D2E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3" fillId="4" borderId="0" xfId="0" applyFont="1" applyFill="1"/>
    <xf numFmtId="0" fontId="4" fillId="4" borderId="0" xfId="0" applyFont="1" applyFill="1"/>
    <xf numFmtId="0" fontId="4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5" fillId="8" borderId="0" xfId="0" applyFont="1" applyFill="1"/>
    <xf numFmtId="0" fontId="4" fillId="7" borderId="0" xfId="0" applyFont="1" applyFill="1"/>
    <xf numFmtId="0" fontId="6" fillId="4" borderId="0" xfId="0" applyFont="1" applyFill="1"/>
    <xf numFmtId="0" fontId="4" fillId="9" borderId="0" xfId="0" applyFont="1" applyFill="1"/>
    <xf numFmtId="0" fontId="1" fillId="6" borderId="0" xfId="0" applyFont="1" applyFill="1"/>
    <xf numFmtId="0" fontId="2" fillId="6" borderId="0" xfId="0" applyFont="1" applyFill="1"/>
    <xf numFmtId="0" fontId="1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5" fillId="13" borderId="0" xfId="0" applyFont="1" applyFill="1"/>
    <xf numFmtId="0" fontId="1" fillId="0" borderId="1" xfId="0" applyFont="1" applyBorder="1"/>
    <xf numFmtId="167" fontId="1" fillId="0" borderId="1" xfId="0" applyNumberFormat="1" applyFont="1" applyBorder="1"/>
    <xf numFmtId="165" fontId="2" fillId="4" borderId="0" xfId="0" applyNumberFormat="1" applyFont="1" applyFill="1"/>
    <xf numFmtId="166" fontId="2" fillId="4" borderId="0" xfId="0" applyNumberFormat="1" applyFont="1" applyFill="1"/>
    <xf numFmtId="167" fontId="2" fillId="4" borderId="0" xfId="0" applyNumberFormat="1" applyFont="1" applyFill="1"/>
    <xf numFmtId="167" fontId="5" fillId="13" borderId="0" xfId="0" applyNumberFormat="1" applyFont="1" applyFill="1"/>
    <xf numFmtId="167" fontId="2" fillId="12" borderId="0" xfId="0" applyNumberFormat="1" applyFont="1" applyFill="1"/>
    <xf numFmtId="167" fontId="2" fillId="11" borderId="0" xfId="0" applyNumberFormat="1" applyFont="1" applyFill="1"/>
    <xf numFmtId="167" fontId="4" fillId="4" borderId="0" xfId="0" applyNumberFormat="1" applyFont="1" applyFill="1" applyAlignment="1">
      <alignment horizontal="left" indent="2"/>
    </xf>
    <xf numFmtId="167" fontId="5" fillId="8" borderId="0" xfId="0" applyNumberFormat="1" applyFont="1" applyFill="1" applyAlignment="1">
      <alignment horizontal="left" indent="2"/>
    </xf>
    <xf numFmtId="167" fontId="4" fillId="7" borderId="0" xfId="0" applyNumberFormat="1" applyFont="1" applyFill="1" applyAlignment="1">
      <alignment horizontal="left" indent="2"/>
    </xf>
    <xf numFmtId="167" fontId="1" fillId="6" borderId="0" xfId="0" applyNumberFormat="1" applyFont="1" applyFill="1" applyAlignment="1">
      <alignment horizontal="left" indent="2"/>
    </xf>
    <xf numFmtId="167" fontId="2" fillId="6" borderId="0" xfId="0" applyNumberFormat="1" applyFont="1" applyFill="1" applyAlignment="1">
      <alignment horizontal="left" indent="2"/>
    </xf>
    <xf numFmtId="167" fontId="1" fillId="4" borderId="0" xfId="0" applyNumberFormat="1" applyFont="1" applyFill="1" applyAlignment="1">
      <alignment horizontal="left" indent="2"/>
    </xf>
    <xf numFmtId="167" fontId="2" fillId="4" borderId="0" xfId="0" applyNumberFormat="1" applyFont="1" applyFill="1" applyAlignment="1">
      <alignment horizontal="left" indent="2"/>
    </xf>
    <xf numFmtId="167" fontId="4" fillId="4" borderId="0" xfId="0" applyNumberFormat="1" applyFont="1" applyFill="1"/>
    <xf numFmtId="167" fontId="5" fillId="8" borderId="0" xfId="0" applyNumberFormat="1" applyFont="1" applyFill="1"/>
    <xf numFmtId="167" fontId="4" fillId="7" borderId="0" xfId="0" applyNumberFormat="1" applyFont="1" applyFill="1"/>
    <xf numFmtId="167" fontId="1" fillId="6" borderId="0" xfId="0" applyNumberFormat="1" applyFont="1" applyFill="1"/>
    <xf numFmtId="167" fontId="2" fillId="6" borderId="0" xfId="0" applyNumberFormat="1" applyFont="1" applyFill="1"/>
    <xf numFmtId="167" fontId="1" fillId="4" borderId="0" xfId="0" applyNumberFormat="1" applyFont="1" applyFill="1"/>
    <xf numFmtId="167" fontId="3" fillId="4" borderId="0" xfId="0" applyNumberFormat="1" applyFont="1" applyFill="1"/>
    <xf numFmtId="167" fontId="5" fillId="5" borderId="0" xfId="0" applyNumberFormat="1" applyFont="1" applyFill="1"/>
    <xf numFmtId="167" fontId="3" fillId="3" borderId="0" xfId="0" applyNumberFormat="1" applyFont="1" applyFill="1"/>
    <xf numFmtId="164" fontId="4" fillId="4" borderId="0" xfId="0" applyNumberFormat="1" applyFont="1" applyFill="1"/>
    <xf numFmtId="164" fontId="4" fillId="7" borderId="0" xfId="0" applyNumberFormat="1" applyFont="1" applyFill="1"/>
    <xf numFmtId="164" fontId="1" fillId="6" borderId="0" xfId="0" applyNumberFormat="1" applyFont="1" applyFill="1"/>
    <xf numFmtId="164" fontId="2" fillId="6" borderId="0" xfId="0" applyNumberFormat="1" applyFont="1" applyFill="1"/>
    <xf numFmtId="164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Total Drag vs Airspeed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Results!$C$3</c:f>
              <c:strCache>
                <c:ptCount val="1"/>
                <c:pt idx="0">
                  <c:v>361.1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Wing!$C$4:$C$15</c:f>
              <c:numCache>
                <c:formatCode>0.0</c:formatCode>
                <c:ptCount val="12"/>
                <c:pt idx="0">
                  <c:v>182.29546100357368</c:v>
                </c:pt>
                <c:pt idx="1">
                  <c:v>160.76948498377632</c:v>
                </c:pt>
                <c:pt idx="2">
                  <c:v>145.42147075359895</c:v>
                </c:pt>
                <c:pt idx="3">
                  <c:v>133.76829730129464</c:v>
                </c:pt>
                <c:pt idx="4">
                  <c:v>124.53150758410183</c:v>
                </c:pt>
                <c:pt idx="5">
                  <c:v>116.97698258192862</c:v>
                </c:pt>
                <c:pt idx="6">
                  <c:v>110.64914814463593</c:v>
                </c:pt>
                <c:pt idx="7">
                  <c:v>105.24833348246018</c:v>
                </c:pt>
                <c:pt idx="8">
                  <c:v>100.56826487894941</c:v>
                </c:pt>
                <c:pt idx="9">
                  <c:v>96.461690990265794</c:v>
                </c:pt>
                <c:pt idx="10">
                  <c:v>92.820305432860764</c:v>
                </c:pt>
                <c:pt idx="11">
                  <c:v>86.625155721600592</c:v>
                </c:pt>
              </c:numCache>
            </c:numRef>
          </c:cat>
          <c:val>
            <c:numRef>
              <c:f>Results!$C$4:$C$15</c:f>
              <c:numCache>
                <c:formatCode>0.0</c:formatCode>
                <c:ptCount val="12"/>
                <c:pt idx="0">
                  <c:v>298.36753075705627</c:v>
                </c:pt>
                <c:pt idx="1">
                  <c:v>272.69834986020027</c:v>
                </c:pt>
                <c:pt idx="2">
                  <c:v>264.05012514705976</c:v>
                </c:pt>
                <c:pt idx="3">
                  <c:v>264.63911907851548</c:v>
                </c:pt>
                <c:pt idx="4">
                  <c:v>272.86588626531415</c:v>
                </c:pt>
                <c:pt idx="5">
                  <c:v>282.42087752109575</c:v>
                </c:pt>
                <c:pt idx="6">
                  <c:v>294.52258241372323</c:v>
                </c:pt>
                <c:pt idx="7">
                  <c:v>310.90269510780286</c:v>
                </c:pt>
                <c:pt idx="8">
                  <c:v>325.97361127081643</c:v>
                </c:pt>
                <c:pt idx="9">
                  <c:v>362.70537600150533</c:v>
                </c:pt>
                <c:pt idx="10">
                  <c:v>378.15205579530095</c:v>
                </c:pt>
                <c:pt idx="11">
                  <c:v>438.06884525226735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9A-41C0-8340-FCFFBE24D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7745965"/>
        <c:axId val="1382717168"/>
      </c:lineChart>
      <c:catAx>
        <c:axId val="6577459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Airspeed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82717168"/>
        <c:crosses val="autoZero"/>
        <c:auto val="1"/>
        <c:lblAlgn val="ctr"/>
        <c:lblOffset val="100"/>
        <c:noMultiLvlLbl val="1"/>
      </c:catAx>
      <c:valAx>
        <c:axId val="13827171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Total Drag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5774596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Drag vs Airspeed with Components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Total Drag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Wing!$C$4:$C$15</c:f>
              <c:numCache>
                <c:formatCode>0.0</c:formatCode>
                <c:ptCount val="12"/>
                <c:pt idx="0">
                  <c:v>182.29546100357368</c:v>
                </c:pt>
                <c:pt idx="1">
                  <c:v>160.76948498377632</c:v>
                </c:pt>
                <c:pt idx="2">
                  <c:v>145.42147075359895</c:v>
                </c:pt>
                <c:pt idx="3">
                  <c:v>133.76829730129464</c:v>
                </c:pt>
                <c:pt idx="4">
                  <c:v>124.53150758410183</c:v>
                </c:pt>
                <c:pt idx="5">
                  <c:v>116.97698258192862</c:v>
                </c:pt>
                <c:pt idx="6">
                  <c:v>110.64914814463593</c:v>
                </c:pt>
                <c:pt idx="7">
                  <c:v>105.24833348246018</c:v>
                </c:pt>
                <c:pt idx="8">
                  <c:v>100.56826487894941</c:v>
                </c:pt>
                <c:pt idx="9">
                  <c:v>96.461690990265794</c:v>
                </c:pt>
                <c:pt idx="10">
                  <c:v>92.820305432860764</c:v>
                </c:pt>
                <c:pt idx="11">
                  <c:v>86.625155721600592</c:v>
                </c:pt>
              </c:numCache>
            </c:numRef>
          </c:cat>
          <c:val>
            <c:numRef>
              <c:f>Results!$C$4:$C$15</c:f>
              <c:numCache>
                <c:formatCode>0.0</c:formatCode>
                <c:ptCount val="12"/>
                <c:pt idx="0">
                  <c:v>298.36753075705627</c:v>
                </c:pt>
                <c:pt idx="1">
                  <c:v>272.69834986020027</c:v>
                </c:pt>
                <c:pt idx="2">
                  <c:v>264.05012514705976</c:v>
                </c:pt>
                <c:pt idx="3">
                  <c:v>264.63911907851548</c:v>
                </c:pt>
                <c:pt idx="4">
                  <c:v>272.86588626531415</c:v>
                </c:pt>
                <c:pt idx="5">
                  <c:v>282.42087752109575</c:v>
                </c:pt>
                <c:pt idx="6">
                  <c:v>294.52258241372323</c:v>
                </c:pt>
                <c:pt idx="7">
                  <c:v>310.90269510780286</c:v>
                </c:pt>
                <c:pt idx="8">
                  <c:v>325.97361127081643</c:v>
                </c:pt>
                <c:pt idx="9">
                  <c:v>362.70537600150533</c:v>
                </c:pt>
                <c:pt idx="10">
                  <c:v>378.15205579530095</c:v>
                </c:pt>
                <c:pt idx="11">
                  <c:v>438.06884525226735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2D-49CF-9128-BBAB3293BBAF}"/>
            </c:ext>
          </c:extLst>
        </c:ser>
        <c:ser>
          <c:idx val="1"/>
          <c:order val="1"/>
          <c:tx>
            <c:v>Wing Drag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Wing!$C$4:$C$15</c:f>
              <c:numCache>
                <c:formatCode>0.0</c:formatCode>
                <c:ptCount val="12"/>
                <c:pt idx="0">
                  <c:v>182.29546100357368</c:v>
                </c:pt>
                <c:pt idx="1">
                  <c:v>160.76948498377632</c:v>
                </c:pt>
                <c:pt idx="2">
                  <c:v>145.42147075359895</c:v>
                </c:pt>
                <c:pt idx="3">
                  <c:v>133.76829730129464</c:v>
                </c:pt>
                <c:pt idx="4">
                  <c:v>124.53150758410183</c:v>
                </c:pt>
                <c:pt idx="5">
                  <c:v>116.97698258192862</c:v>
                </c:pt>
                <c:pt idx="6">
                  <c:v>110.64914814463593</c:v>
                </c:pt>
                <c:pt idx="7">
                  <c:v>105.24833348246018</c:v>
                </c:pt>
                <c:pt idx="8">
                  <c:v>100.56826487894941</c:v>
                </c:pt>
                <c:pt idx="9">
                  <c:v>96.461690990265794</c:v>
                </c:pt>
                <c:pt idx="10">
                  <c:v>92.820305432860764</c:v>
                </c:pt>
                <c:pt idx="11">
                  <c:v>86.625155721600592</c:v>
                </c:pt>
              </c:numCache>
            </c:numRef>
          </c:cat>
          <c:val>
            <c:numRef>
              <c:f>Wing!$M$4:$M$15</c:f>
              <c:numCache>
                <c:formatCode>0.0</c:formatCode>
                <c:ptCount val="12"/>
                <c:pt idx="0">
                  <c:v>132.89572540192742</c:v>
                </c:pt>
                <c:pt idx="1">
                  <c:v>142.23516515261821</c:v>
                </c:pt>
                <c:pt idx="2">
                  <c:v>156.12949973396849</c:v>
                </c:pt>
                <c:pt idx="3">
                  <c:v>172.47646999336615</c:v>
                </c:pt>
                <c:pt idx="4">
                  <c:v>192.17391577723944</c:v>
                </c:pt>
                <c:pt idx="5">
                  <c:v>210.72362081051384</c:v>
                </c:pt>
                <c:pt idx="6">
                  <c:v>229.97136700204715</c:v>
                </c:pt>
                <c:pt idx="7">
                  <c:v>251.95449273239296</c:v>
                </c:pt>
                <c:pt idx="8">
                  <c:v>271.87486830088903</c:v>
                </c:pt>
                <c:pt idx="9">
                  <c:v>310.89538904049715</c:v>
                </c:pt>
                <c:pt idx="10">
                  <c:v>329.97724273454304</c:v>
                </c:pt>
                <c:pt idx="11">
                  <c:v>393.46224719200018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2D-49CF-9128-BBAB3293BBAF}"/>
            </c:ext>
          </c:extLst>
        </c:ser>
        <c:ser>
          <c:idx val="2"/>
          <c:order val="2"/>
          <c:tx>
            <c:v>Empennage Drag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numRef>
              <c:f>Wing!$C$4:$C$15</c:f>
              <c:numCache>
                <c:formatCode>0.0</c:formatCode>
                <c:ptCount val="12"/>
                <c:pt idx="0">
                  <c:v>182.29546100357368</c:v>
                </c:pt>
                <c:pt idx="1">
                  <c:v>160.76948498377632</c:v>
                </c:pt>
                <c:pt idx="2">
                  <c:v>145.42147075359895</c:v>
                </c:pt>
                <c:pt idx="3">
                  <c:v>133.76829730129464</c:v>
                </c:pt>
                <c:pt idx="4">
                  <c:v>124.53150758410183</c:v>
                </c:pt>
                <c:pt idx="5">
                  <c:v>116.97698258192862</c:v>
                </c:pt>
                <c:pt idx="6">
                  <c:v>110.64914814463593</c:v>
                </c:pt>
                <c:pt idx="7">
                  <c:v>105.24833348246018</c:v>
                </c:pt>
                <c:pt idx="8">
                  <c:v>100.56826487894941</c:v>
                </c:pt>
                <c:pt idx="9">
                  <c:v>96.461690990265794</c:v>
                </c:pt>
                <c:pt idx="10">
                  <c:v>92.820305432860764</c:v>
                </c:pt>
                <c:pt idx="11">
                  <c:v>86.625155721600592</c:v>
                </c:pt>
              </c:numCache>
            </c:numRef>
          </c:cat>
          <c:val>
            <c:numRef>
              <c:f>Wing!$M$20:$M$31</c:f>
              <c:numCache>
                <c:formatCode>0.0</c:formatCode>
                <c:ptCount val="12"/>
                <c:pt idx="0">
                  <c:v>5.4119117647058825</c:v>
                </c:pt>
                <c:pt idx="1">
                  <c:v>4.2092647058823527</c:v>
                </c:pt>
                <c:pt idx="2">
                  <c:v>3.4439438502673805</c:v>
                </c:pt>
                <c:pt idx="3">
                  <c:v>2.914106334841629</c:v>
                </c:pt>
                <c:pt idx="4">
                  <c:v>2.7059558823529413</c:v>
                </c:pt>
                <c:pt idx="5">
                  <c:v>2.3876081314878892</c:v>
                </c:pt>
                <c:pt idx="6">
                  <c:v>2.1362809597523222</c:v>
                </c:pt>
                <c:pt idx="7">
                  <c:v>2.1475840336134451</c:v>
                </c:pt>
                <c:pt idx="8">
                  <c:v>1.9608375959079287</c:v>
                </c:pt>
                <c:pt idx="9">
                  <c:v>3.6079411764705887</c:v>
                </c:pt>
                <c:pt idx="10">
                  <c:v>3.340686274509804</c:v>
                </c:pt>
                <c:pt idx="11">
                  <c:v>5.2373339658444005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2D-49CF-9128-BBAB3293BBAF}"/>
            </c:ext>
          </c:extLst>
        </c:ser>
        <c:ser>
          <c:idx val="3"/>
          <c:order val="3"/>
          <c:tx>
            <c:v>Fuselage Drag</c:v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numRef>
              <c:f>Wing!$C$4:$C$15</c:f>
              <c:numCache>
                <c:formatCode>0.0</c:formatCode>
                <c:ptCount val="12"/>
                <c:pt idx="0">
                  <c:v>182.29546100357368</c:v>
                </c:pt>
                <c:pt idx="1">
                  <c:v>160.76948498377632</c:v>
                </c:pt>
                <c:pt idx="2">
                  <c:v>145.42147075359895</c:v>
                </c:pt>
                <c:pt idx="3">
                  <c:v>133.76829730129464</c:v>
                </c:pt>
                <c:pt idx="4">
                  <c:v>124.53150758410183</c:v>
                </c:pt>
                <c:pt idx="5">
                  <c:v>116.97698258192862</c:v>
                </c:pt>
                <c:pt idx="6">
                  <c:v>110.64914814463593</c:v>
                </c:pt>
                <c:pt idx="7">
                  <c:v>105.24833348246018</c:v>
                </c:pt>
                <c:pt idx="8">
                  <c:v>100.56826487894941</c:v>
                </c:pt>
                <c:pt idx="9">
                  <c:v>96.461690990265794</c:v>
                </c:pt>
                <c:pt idx="10">
                  <c:v>92.820305432860764</c:v>
                </c:pt>
                <c:pt idx="11">
                  <c:v>86.625155721600592</c:v>
                </c:pt>
              </c:numCache>
            </c:numRef>
          </c:cat>
          <c:val>
            <c:numRef>
              <c:f>Fuselage!$F$4:$F$15</c:f>
              <c:numCache>
                <c:formatCode>General</c:formatCode>
                <c:ptCount val="12"/>
                <c:pt idx="0">
                  <c:v>89.060271741683493</c:v>
                </c:pt>
                <c:pt idx="1">
                  <c:v>71.031991897124527</c:v>
                </c:pt>
                <c:pt idx="2">
                  <c:v>59.295104022716913</c:v>
                </c:pt>
                <c:pt idx="3">
                  <c:v>51.017977139447957</c:v>
                </c:pt>
                <c:pt idx="4">
                  <c:v>44.852857742976639</c:v>
                </c:pt>
                <c:pt idx="5">
                  <c:v>40.074510170789488</c:v>
                </c:pt>
                <c:pt idx="6">
                  <c:v>36.257179033967113</c:v>
                </c:pt>
                <c:pt idx="7">
                  <c:v>33.134077725549936</c:v>
                </c:pt>
                <c:pt idx="8">
                  <c:v>30.529324811359551</c:v>
                </c:pt>
                <c:pt idx="9">
                  <c:v>28.32215166689053</c:v>
                </c:pt>
                <c:pt idx="10">
                  <c:v>26.426817418056402</c:v>
                </c:pt>
                <c:pt idx="11">
                  <c:v>23.337091418900982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2D-49CF-9128-BBAB3293BBAF}"/>
            </c:ext>
          </c:extLst>
        </c:ser>
        <c:ser>
          <c:idx val="4"/>
          <c:order val="4"/>
          <c:tx>
            <c:v>Wheel Drag</c:v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numRef>
              <c:f>Wing!$C$4:$C$15</c:f>
              <c:numCache>
                <c:formatCode>0.0</c:formatCode>
                <c:ptCount val="12"/>
                <c:pt idx="0">
                  <c:v>182.29546100357368</c:v>
                </c:pt>
                <c:pt idx="1">
                  <c:v>160.76948498377632</c:v>
                </c:pt>
                <c:pt idx="2">
                  <c:v>145.42147075359895</c:v>
                </c:pt>
                <c:pt idx="3">
                  <c:v>133.76829730129464</c:v>
                </c:pt>
                <c:pt idx="4">
                  <c:v>124.53150758410183</c:v>
                </c:pt>
                <c:pt idx="5">
                  <c:v>116.97698258192862</c:v>
                </c:pt>
                <c:pt idx="6">
                  <c:v>110.64914814463593</c:v>
                </c:pt>
                <c:pt idx="7">
                  <c:v>105.24833348246018</c:v>
                </c:pt>
                <c:pt idx="8">
                  <c:v>100.56826487894941</c:v>
                </c:pt>
                <c:pt idx="9">
                  <c:v>96.461690990265794</c:v>
                </c:pt>
                <c:pt idx="10">
                  <c:v>92.820305432860764</c:v>
                </c:pt>
                <c:pt idx="11">
                  <c:v>86.625155721600592</c:v>
                </c:pt>
              </c:numCache>
            </c:numRef>
          </c:cat>
          <c:val>
            <c:numRef>
              <c:f>Fuselage!$D$20:$D$31</c:f>
              <c:numCache>
                <c:formatCode>General</c:formatCode>
                <c:ptCount val="12"/>
                <c:pt idx="0">
                  <c:v>70.999621848739508</c:v>
                </c:pt>
                <c:pt idx="1">
                  <c:v>55.221928104575156</c:v>
                </c:pt>
                <c:pt idx="2">
                  <c:v>45.181577540106971</c:v>
                </c:pt>
                <c:pt idx="3">
                  <c:v>38.230565610859728</c:v>
                </c:pt>
                <c:pt idx="4">
                  <c:v>33.133156862745103</c:v>
                </c:pt>
                <c:pt idx="5">
                  <c:v>29.235138408304501</c:v>
                </c:pt>
                <c:pt idx="6">
                  <c:v>26.157755417956661</c:v>
                </c:pt>
                <c:pt idx="7">
                  <c:v>23.6665406162465</c:v>
                </c:pt>
                <c:pt idx="8">
                  <c:v>21.608580562659849</c:v>
                </c:pt>
                <c:pt idx="9">
                  <c:v>19.879894117647055</c:v>
                </c:pt>
                <c:pt idx="10">
                  <c:v>18.407309368191722</c:v>
                </c:pt>
                <c:pt idx="11">
                  <c:v>16.032172675521821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32D-49CF-9128-BBAB3293BB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7361870"/>
        <c:axId val="513133093"/>
      </c:lineChart>
      <c:catAx>
        <c:axId val="16273618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Airspeed (ft/s)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13133093"/>
        <c:crosses val="autoZero"/>
        <c:auto val="1"/>
        <c:lblAlgn val="ctr"/>
        <c:lblOffset val="100"/>
        <c:noMultiLvlLbl val="1"/>
      </c:catAx>
      <c:valAx>
        <c:axId val="5131330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Drag (lb)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2736187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Total Drag vs Airspeed, 2000lbs and 10000ft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WingLighter!$C$4:$C$15</c:f>
              <c:numCache>
                <c:formatCode>0.0</c:formatCode>
                <c:ptCount val="12"/>
                <c:pt idx="0">
                  <c:v>258.88975274310968</c:v>
                </c:pt>
                <c:pt idx="1">
                  <c:v>211.38259795197345</c:v>
                </c:pt>
                <c:pt idx="2">
                  <c:v>183.06269974436145</c:v>
                </c:pt>
                <c:pt idx="3">
                  <c:v>163.73625630921026</c:v>
                </c:pt>
                <c:pt idx="4">
                  <c:v>149.47006843667006</c:v>
                </c:pt>
                <c:pt idx="5">
                  <c:v>138.38239367304797</c:v>
                </c:pt>
                <c:pt idx="6">
                  <c:v>129.44487637155487</c:v>
                </c:pt>
                <c:pt idx="7">
                  <c:v>122.04179982957432</c:v>
                </c:pt>
                <c:pt idx="8">
                  <c:v>115.7790171623412</c:v>
                </c:pt>
                <c:pt idx="9">
                  <c:v>110.3909614839157</c:v>
                </c:pt>
                <c:pt idx="10">
                  <c:v>105.69129897598673</c:v>
                </c:pt>
                <c:pt idx="11">
                  <c:v>97.851128963038605</c:v>
                </c:pt>
              </c:numCache>
            </c:numRef>
          </c:cat>
          <c:val>
            <c:numRef>
              <c:f>Results!$I$4:$I$15</c:f>
              <c:numCache>
                <c:formatCode>0.0</c:formatCode>
                <c:ptCount val="12"/>
                <c:pt idx="0">
                  <c:v>364.90007442359672</c:v>
                </c:pt>
                <c:pt idx="1">
                  <c:v>277.86570972467257</c:v>
                </c:pt>
                <c:pt idx="2">
                  <c:v>242.93926043053727</c:v>
                </c:pt>
                <c:pt idx="3">
                  <c:v>229.1042461966907</c:v>
                </c:pt>
                <c:pt idx="4">
                  <c:v>228.10049445717854</c:v>
                </c:pt>
                <c:pt idx="5">
                  <c:v>230.7176434212239</c:v>
                </c:pt>
                <c:pt idx="6">
                  <c:v>237.26445306865349</c:v>
                </c:pt>
                <c:pt idx="7">
                  <c:v>248.87888900780214</c:v>
                </c:pt>
                <c:pt idx="8">
                  <c:v>259.66772199307485</c:v>
                </c:pt>
                <c:pt idx="9">
                  <c:v>291.76906313730717</c:v>
                </c:pt>
                <c:pt idx="10">
                  <c:v>303.34635527894147</c:v>
                </c:pt>
                <c:pt idx="11">
                  <c:v>354.51164498987663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4AB-4291-8729-D27C272707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6238158"/>
        <c:axId val="875297945"/>
      </c:lineChart>
      <c:catAx>
        <c:axId val="14162381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Airspeed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75297945"/>
        <c:crosses val="autoZero"/>
        <c:auto val="1"/>
        <c:lblAlgn val="ctr"/>
        <c:lblOffset val="100"/>
        <c:noMultiLvlLbl val="1"/>
      </c:catAx>
      <c:valAx>
        <c:axId val="8752979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Total Drag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1623815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Total Drag vs Airspeed, 10kft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Results!$E$4:$E$15</c:f>
              <c:numCache>
                <c:formatCode>0.0</c:formatCode>
                <c:ptCount val="12"/>
                <c:pt idx="0">
                  <c:v>280.62980470467045</c:v>
                </c:pt>
                <c:pt idx="1">
                  <c:v>229.13327604777885</c:v>
                </c:pt>
                <c:pt idx="2">
                  <c:v>198.43523790972895</c:v>
                </c:pt>
                <c:pt idx="3">
                  <c:v>177.48587243899888</c:v>
                </c:pt>
                <c:pt idx="4">
                  <c:v>162.02169328887359</c:v>
                </c:pt>
                <c:pt idx="5">
                  <c:v>150.00294024602266</c:v>
                </c:pt>
                <c:pt idx="6">
                  <c:v>140.31490235233522</c:v>
                </c:pt>
                <c:pt idx="7">
                  <c:v>132.29015860648599</c:v>
                </c:pt>
                <c:pt idx="8">
                  <c:v>125.50146396642668</c:v>
                </c:pt>
                <c:pt idx="9">
                  <c:v>119.66095078754158</c:v>
                </c:pt>
                <c:pt idx="10">
                  <c:v>114.56663802388945</c:v>
                </c:pt>
                <c:pt idx="11">
                  <c:v>106.06809624588311</c:v>
                </c:pt>
              </c:numCache>
            </c:numRef>
          </c:cat>
          <c:val>
            <c:numRef>
              <c:f>Results!$K$4:$K$15</c:f>
              <c:numCache>
                <c:formatCode>0.0</c:formatCode>
                <c:ptCount val="12"/>
                <c:pt idx="0">
                  <c:v>426.31533851169922</c:v>
                </c:pt>
                <c:pt idx="1">
                  <c:v>324.79666987864641</c:v>
                </c:pt>
                <c:pt idx="2">
                  <c:v>284.14486220661058</c:v>
                </c:pt>
                <c:pt idx="3">
                  <c:v>268.12684815618371</c:v>
                </c:pt>
                <c:pt idx="4">
                  <c:v>267.10946410909833</c:v>
                </c:pt>
                <c:pt idx="5">
                  <c:v>270.30231806512012</c:v>
                </c:pt>
                <c:pt idx="6">
                  <c:v>278.0843805218409</c:v>
                </c:pt>
                <c:pt idx="7">
                  <c:v>291.80188444290815</c:v>
                </c:pt>
                <c:pt idx="8">
                  <c:v>304.53583096906408</c:v>
                </c:pt>
                <c:pt idx="9">
                  <c:v>342.30207021895001</c:v>
                </c:pt>
                <c:pt idx="10">
                  <c:v>355.94505172398328</c:v>
                </c:pt>
                <c:pt idx="11">
                  <c:v>416.12734310502992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B0-4B7E-A181-B0DDB79DA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5942607"/>
        <c:axId val="921793250"/>
      </c:lineChart>
      <c:catAx>
        <c:axId val="5159426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Airspeed (ft/s)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21793250"/>
        <c:crosses val="autoZero"/>
        <c:auto val="1"/>
        <c:lblAlgn val="ctr"/>
        <c:lblOffset val="100"/>
        <c:noMultiLvlLbl val="1"/>
      </c:catAx>
      <c:valAx>
        <c:axId val="9217932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Total Drag (lb)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1594260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Total Drag vs Airspeed, 15kft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Results!$E$4:$E$15</c:f>
              <c:numCache>
                <c:formatCode>0.0</c:formatCode>
                <c:ptCount val="12"/>
                <c:pt idx="0">
                  <c:v>280.62980470467045</c:v>
                </c:pt>
                <c:pt idx="1">
                  <c:v>229.13327604777885</c:v>
                </c:pt>
                <c:pt idx="2">
                  <c:v>198.43523790972895</c:v>
                </c:pt>
                <c:pt idx="3">
                  <c:v>177.48587243899888</c:v>
                </c:pt>
                <c:pt idx="4">
                  <c:v>162.02169328887359</c:v>
                </c:pt>
                <c:pt idx="5">
                  <c:v>150.00294024602266</c:v>
                </c:pt>
                <c:pt idx="6">
                  <c:v>140.31490235233522</c:v>
                </c:pt>
                <c:pt idx="7">
                  <c:v>132.29015860648599</c:v>
                </c:pt>
                <c:pt idx="8">
                  <c:v>125.50146396642668</c:v>
                </c:pt>
                <c:pt idx="9">
                  <c:v>119.66095078754158</c:v>
                </c:pt>
                <c:pt idx="10">
                  <c:v>114.56663802388945</c:v>
                </c:pt>
                <c:pt idx="11">
                  <c:v>106.06809624588311</c:v>
                </c:pt>
              </c:numCache>
            </c:numRef>
          </c:cat>
          <c:val>
            <c:numRef>
              <c:f>Results!$L$4:$L$15</c:f>
              <c:numCache>
                <c:formatCode>0.0</c:formatCode>
                <c:ptCount val="12"/>
                <c:pt idx="0">
                  <c:v>427.83074480828861</c:v>
                </c:pt>
                <c:pt idx="1">
                  <c:v>325.84874549277106</c:v>
                </c:pt>
                <c:pt idx="2">
                  <c:v>284.9569483334331</c:v>
                </c:pt>
                <c:pt idx="3">
                  <c:v>268.79117695500901</c:v>
                </c:pt>
                <c:pt idx="4">
                  <c:v>267.67325747099846</c:v>
                </c:pt>
                <c:pt idx="5">
                  <c:v>270.79307658449329</c:v>
                </c:pt>
                <c:pt idx="6">
                  <c:v>278.51956670185206</c:v>
                </c:pt>
                <c:pt idx="7">
                  <c:v>292.19329976749498</c:v>
                </c:pt>
                <c:pt idx="8">
                  <c:v>304.89183595755378</c:v>
                </c:pt>
                <c:pt idx="9">
                  <c:v>342.62881049143277</c:v>
                </c:pt>
                <c:pt idx="10">
                  <c:v>356.24718110580261</c:v>
                </c:pt>
                <c:pt idx="11">
                  <c:v>416.39033408381886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4D-4D5B-900F-7FA90CE54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1512489"/>
        <c:axId val="1692112803"/>
      </c:lineChart>
      <c:catAx>
        <c:axId val="3115124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Airspeed (ft/s)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92112803"/>
        <c:crosses val="autoZero"/>
        <c:auto val="1"/>
        <c:lblAlgn val="ctr"/>
        <c:lblOffset val="100"/>
        <c:noMultiLvlLbl val="1"/>
      </c:catAx>
      <c:valAx>
        <c:axId val="16921128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Total Drag (lb)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1151248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Sink Rate vs Air Speed, 2000lb 10000ft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WingLighter!$C$4:$C$15</c:f>
              <c:numCache>
                <c:formatCode>0.0</c:formatCode>
                <c:ptCount val="12"/>
                <c:pt idx="0">
                  <c:v>258.88975274310968</c:v>
                </c:pt>
                <c:pt idx="1">
                  <c:v>211.38259795197345</c:v>
                </c:pt>
                <c:pt idx="2">
                  <c:v>183.06269974436145</c:v>
                </c:pt>
                <c:pt idx="3">
                  <c:v>163.73625630921026</c:v>
                </c:pt>
                <c:pt idx="4">
                  <c:v>149.47006843667006</c:v>
                </c:pt>
                <c:pt idx="5">
                  <c:v>138.38239367304797</c:v>
                </c:pt>
                <c:pt idx="6">
                  <c:v>129.44487637155487</c:v>
                </c:pt>
                <c:pt idx="7">
                  <c:v>122.04179982957432</c:v>
                </c:pt>
                <c:pt idx="8">
                  <c:v>115.7790171623412</c:v>
                </c:pt>
                <c:pt idx="9">
                  <c:v>110.3909614839157</c:v>
                </c:pt>
                <c:pt idx="10">
                  <c:v>105.69129897598673</c:v>
                </c:pt>
                <c:pt idx="11">
                  <c:v>97.851128963038605</c:v>
                </c:pt>
              </c:numCache>
            </c:numRef>
          </c:cat>
          <c:val>
            <c:numRef>
              <c:f>Results!$H$4:$H$15</c:f>
              <c:numCache>
                <c:formatCode>0.0</c:formatCode>
                <c:ptCount val="12"/>
                <c:pt idx="0">
                  <c:v>47.23444502173367</c:v>
                </c:pt>
                <c:pt idx="1">
                  <c:v>29.367987801685114</c:v>
                </c:pt>
                <c:pt idx="2">
                  <c:v>22.236558444156344</c:v>
                </c:pt>
                <c:pt idx="3">
                  <c:v>18.756335788394878</c:v>
                </c:pt>
                <c:pt idx="4">
                  <c:v>17.047098258476375</c:v>
                </c:pt>
                <c:pt idx="5">
                  <c:v>15.963629879616857</c:v>
                </c:pt>
                <c:pt idx="6">
                  <c:v>15.356333897418212</c:v>
                </c:pt>
                <c:pt idx="7">
                  <c:v>15.186813777048517</c:v>
                </c:pt>
                <c:pt idx="8">
                  <c:v>15.032036820571131</c:v>
                </c:pt>
                <c:pt idx="9">
                  <c:v>16.104333705494323</c:v>
                </c:pt>
                <c:pt idx="10">
                  <c:v>16.030535164531251</c:v>
                </c:pt>
                <c:pt idx="11">
                  <c:v>17.34468234640169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D2-4817-9DB3-99B448E0C2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4037678"/>
        <c:axId val="1726331892"/>
      </c:lineChart>
      <c:catAx>
        <c:axId val="7240376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Airspeed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26331892"/>
        <c:crosses val="autoZero"/>
        <c:auto val="1"/>
        <c:lblAlgn val="ctr"/>
        <c:lblOffset val="100"/>
        <c:noMultiLvlLbl val="1"/>
      </c:catAx>
      <c:valAx>
        <c:axId val="17263318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Sink Rate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2403767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Drag Coefficient vs Lift Coefficient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Results!$B$1</c:f>
              <c:strCache>
                <c:ptCount val="1"/>
                <c:pt idx="0">
                  <c:v>Lift Coefficient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Results!$D$2:$D$15</c:f>
              <c:numCache>
                <c:formatCode>0.0</c:formatCode>
                <c:ptCount val="14"/>
                <c:pt idx="0">
                  <c:v>4.1468571997035214E-3</c:v>
                </c:pt>
                <c:pt idx="1">
                  <c:v>5.7029692067248425E-3</c:v>
                </c:pt>
                <c:pt idx="2">
                  <c:v>6.5968800824864173E-3</c:v>
                </c:pt>
                <c:pt idx="3">
                  <c:v>7.752004369240317E-3</c:v>
                </c:pt>
                <c:pt idx="4">
                  <c:v>9.1741968017717921E-3</c:v>
                </c:pt>
                <c:pt idx="5">
                  <c:v>1.0866417420756256E-2</c:v>
                </c:pt>
                <c:pt idx="6">
                  <c:v>1.2927944886292493E-2</c:v>
                </c:pt>
                <c:pt idx="7">
                  <c:v>1.5164730927748936E-2</c:v>
                </c:pt>
                <c:pt idx="8">
                  <c:v>1.7675071941314589E-2</c:v>
                </c:pt>
                <c:pt idx="9">
                  <c:v>2.0622094419027265E-2</c:v>
                </c:pt>
                <c:pt idx="10">
                  <c:v>2.3680958091951469E-2</c:v>
                </c:pt>
                <c:pt idx="11">
                  <c:v>2.8640657962584807E-2</c:v>
                </c:pt>
                <c:pt idx="12">
                  <c:v>3.2249220322732329E-2</c:v>
                </c:pt>
                <c:pt idx="13">
                  <c:v>4.2893654687639469E-2</c:v>
                </c:pt>
              </c:numCache>
            </c:numRef>
          </c:cat>
          <c:val>
            <c:numRef>
              <c:f>Results!$B$2:$B$15</c:f>
              <c:numCache>
                <c:formatCode>General</c:formatCode>
                <c:ptCount val="14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1F-4B21-9678-B3F0A9BDA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2749470"/>
        <c:axId val="538151954"/>
      </c:lineChart>
      <c:catAx>
        <c:axId val="20427494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Drag Coefficient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38151954"/>
        <c:crosses val="autoZero"/>
        <c:auto val="1"/>
        <c:lblAlgn val="ctr"/>
        <c:lblOffset val="100"/>
        <c:noMultiLvlLbl val="1"/>
      </c:catAx>
      <c:valAx>
        <c:axId val="5381519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Lift Coefficient</a:t>
                </a:r>
              </a:p>
            </c:rich>
          </c:tx>
          <c:layout>
            <c:manualLayout>
              <c:xMode val="edge"/>
              <c:yMode val="edge"/>
              <c:x val="3.0916666666666669E-2"/>
              <c:y val="0.14802336028751123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4274947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Cl^2 vs Cd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Results!$M$1</c:f>
              <c:strCache>
                <c:ptCount val="1"/>
                <c:pt idx="0">
                  <c:v>Cl^2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>
                    <a:alpha val="40000"/>
                  </a:srgbClr>
                </a:solidFill>
              </a:ln>
            </c:spPr>
            <c:trendlineType val="linear"/>
            <c:dispRSqr val="0"/>
            <c:dispEq val="1"/>
            <c:trendlineLbl>
              <c:numFmt formatCode="General" sourceLinked="0"/>
            </c:trendlineLbl>
          </c:trendline>
          <c:yVal>
            <c:numRef>
              <c:f>Results!$M$2:$M$15</c:f>
              <c:numCache>
                <c:formatCode>General</c:formatCode>
                <c:ptCount val="14"/>
                <c:pt idx="2">
                  <c:v>4.0000000000000008E-2</c:v>
                </c:pt>
                <c:pt idx="3">
                  <c:v>9.0000000000000024E-2</c:v>
                </c:pt>
                <c:pt idx="4">
                  <c:v>0.16000000000000003</c:v>
                </c:pt>
                <c:pt idx="5">
                  <c:v>0.25</c:v>
                </c:pt>
                <c:pt idx="6">
                  <c:v>0.36</c:v>
                </c:pt>
                <c:pt idx="7">
                  <c:v>0.48999999999999994</c:v>
                </c:pt>
                <c:pt idx="8">
                  <c:v>0.6399999999999999</c:v>
                </c:pt>
                <c:pt idx="9">
                  <c:v>0.80999999999999983</c:v>
                </c:pt>
                <c:pt idx="10">
                  <c:v>0.99999999999999978</c:v>
                </c:pt>
                <c:pt idx="11">
                  <c:v>1.2099999999999997</c:v>
                </c:pt>
                <c:pt idx="12">
                  <c:v>1.44</c:v>
                </c:pt>
                <c:pt idx="13">
                  <c:v>1.9599999999999997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390-48FD-8EAB-A3306B456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346291"/>
        <c:axId val="1081455342"/>
      </c:scatterChart>
      <c:valAx>
        <c:axId val="8234629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Cd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81455342"/>
        <c:crosses val="autoZero"/>
        <c:crossBetween val="midCat"/>
      </c:valAx>
      <c:valAx>
        <c:axId val="10814553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Cl^2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2346291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Glide ratio vs Air speed. 2000lb,10000ft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Results!$E$3:$E$15</c:f>
              <c:numCache>
                <c:formatCode>0.0</c:formatCode>
                <c:ptCount val="13"/>
                <c:pt idx="0">
                  <c:v>396.87047581945791</c:v>
                </c:pt>
                <c:pt idx="1">
                  <c:v>280.62980470467045</c:v>
                </c:pt>
                <c:pt idx="2">
                  <c:v>229.13327604777885</c:v>
                </c:pt>
                <c:pt idx="3">
                  <c:v>198.43523790972895</c:v>
                </c:pt>
                <c:pt idx="4">
                  <c:v>177.48587243899888</c:v>
                </c:pt>
                <c:pt idx="5">
                  <c:v>162.02169328887359</c:v>
                </c:pt>
                <c:pt idx="6">
                  <c:v>150.00294024602266</c:v>
                </c:pt>
                <c:pt idx="7">
                  <c:v>140.31490235233522</c:v>
                </c:pt>
                <c:pt idx="8">
                  <c:v>132.29015860648599</c:v>
                </c:pt>
                <c:pt idx="9">
                  <c:v>125.50146396642668</c:v>
                </c:pt>
                <c:pt idx="10">
                  <c:v>119.66095078754158</c:v>
                </c:pt>
                <c:pt idx="11">
                  <c:v>114.56663802388945</c:v>
                </c:pt>
                <c:pt idx="12">
                  <c:v>106.06809624588311</c:v>
                </c:pt>
              </c:numCache>
            </c:numRef>
          </c:cat>
          <c:val>
            <c:numRef>
              <c:f>Results!$N$3:$N$15</c:f>
              <c:numCache>
                <c:formatCode>0.0</c:formatCode>
                <c:ptCount val="13"/>
                <c:pt idx="0">
                  <c:v>3.301920688983345</c:v>
                </c:pt>
                <c:pt idx="1">
                  <c:v>5.9412110076776834</c:v>
                </c:pt>
                <c:pt idx="2">
                  <c:v>7.8021442120944817</c:v>
                </c:pt>
                <c:pt idx="3">
                  <c:v>8.9238286764594523</c:v>
                </c:pt>
                <c:pt idx="4">
                  <c:v>9.4627156626623652</c:v>
                </c:pt>
                <c:pt idx="5">
                  <c:v>9.504356156820478</c:v>
                </c:pt>
                <c:pt idx="6">
                  <c:v>9.3965433536863543</c:v>
                </c:pt>
                <c:pt idx="7">
                  <c:v>9.1372656579136837</c:v>
                </c:pt>
                <c:pt idx="8">
                  <c:v>8.7108567042820439</c:v>
                </c:pt>
                <c:pt idx="9">
                  <c:v>8.3489327138075993</c:v>
                </c:pt>
                <c:pt idx="10">
                  <c:v>7.4303571309328245</c:v>
                </c:pt>
                <c:pt idx="11">
                  <c:v>7.1467756283880428</c:v>
                </c:pt>
                <c:pt idx="12">
                  <c:v>6.1153092416182471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DC-4CF6-82E3-5D2EDD073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717222"/>
        <c:axId val="71518448"/>
      </c:lineChart>
      <c:catAx>
        <c:axId val="1887172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Air speed (ft/s)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1518448"/>
        <c:crosses val="autoZero"/>
        <c:auto val="1"/>
        <c:lblAlgn val="ctr"/>
        <c:lblOffset val="100"/>
        <c:noMultiLvlLbl val="1"/>
      </c:catAx>
      <c:valAx>
        <c:axId val="715184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Glide ratio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871722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85725</xdr:colOff>
      <xdr:row>38</xdr:row>
      <xdr:rowOff>133350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14</xdr:col>
      <xdr:colOff>914400</xdr:colOff>
      <xdr:row>0</xdr:row>
      <xdr:rowOff>114300</xdr:rowOff>
    </xdr:from>
    <xdr:ext cx="5715000" cy="35337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6</xdr:col>
      <xdr:colOff>66675</xdr:colOff>
      <xdr:row>50</xdr:row>
      <xdr:rowOff>190500</xdr:rowOff>
    </xdr:from>
    <xdr:ext cx="5715000" cy="3533775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0</xdr:col>
      <xdr:colOff>142875</xdr:colOff>
      <xdr:row>27</xdr:row>
      <xdr:rowOff>57150</xdr:rowOff>
    </xdr:from>
    <xdr:ext cx="5715000" cy="3533775"/>
    <xdr:graphicFrame macro="">
      <xdr:nvGraphicFramePr>
        <xdr:cNvPr id="5" name="Chart 4" title="Chart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5</xdr:col>
      <xdr:colOff>904875</xdr:colOff>
      <xdr:row>32</xdr:row>
      <xdr:rowOff>123825</xdr:rowOff>
    </xdr:from>
    <xdr:ext cx="5715000" cy="3533775"/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0</xdr:col>
      <xdr:colOff>190500</xdr:colOff>
      <xdr:row>45</xdr:row>
      <xdr:rowOff>66675</xdr:rowOff>
    </xdr:from>
    <xdr:ext cx="5715000" cy="3533775"/>
    <xdr:graphicFrame macro="">
      <xdr:nvGraphicFramePr>
        <xdr:cNvPr id="7" name="Chart 6" title="Chart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11</xdr:col>
      <xdr:colOff>485775</xdr:colOff>
      <xdr:row>19</xdr:row>
      <xdr:rowOff>66675</xdr:rowOff>
    </xdr:from>
    <xdr:ext cx="5715000" cy="3533775"/>
    <xdr:graphicFrame macro="">
      <xdr:nvGraphicFramePr>
        <xdr:cNvPr id="8" name="Chart 7" title="Chart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17</xdr:col>
      <xdr:colOff>381000</xdr:colOff>
      <xdr:row>20</xdr:row>
      <xdr:rowOff>38100</xdr:rowOff>
    </xdr:from>
    <xdr:ext cx="5715000" cy="3533775"/>
    <xdr:graphicFrame macro="">
      <xdr:nvGraphicFramePr>
        <xdr:cNvPr id="9" name="Chart 8" title="Chart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  <xdr:oneCellAnchor>
    <xdr:from>
      <xdr:col>15</xdr:col>
      <xdr:colOff>809625</xdr:colOff>
      <xdr:row>41</xdr:row>
      <xdr:rowOff>152400</xdr:rowOff>
    </xdr:from>
    <xdr:ext cx="5715000" cy="3533775"/>
    <xdr:graphicFrame macro="">
      <xdr:nvGraphicFramePr>
        <xdr:cNvPr id="10" name="Chart 9" title="Chart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workbookViewId="0">
      <selection activeCell="A10" sqref="A10:B16"/>
    </sheetView>
  </sheetViews>
  <sheetFormatPr defaultColWidth="12.5546875" defaultRowHeight="15.75" customHeight="1" x14ac:dyDescent="0.25"/>
  <cols>
    <col min="3" max="3" width="16.44140625" customWidth="1"/>
    <col min="7" max="7" width="21.44140625" customWidth="1"/>
    <col min="8" max="8" width="18.44140625" customWidth="1"/>
    <col min="9" max="9" width="18" customWidth="1"/>
    <col min="10" max="10" width="7.109375" customWidth="1"/>
    <col min="11" max="11" width="19" customWidth="1"/>
    <col min="12" max="12" width="19.44140625" customWidth="1"/>
    <col min="13" max="13" width="18.109375" customWidth="1"/>
  </cols>
  <sheetData>
    <row r="1" spans="1:2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1" t="s">
        <v>9</v>
      </c>
      <c r="L1" s="1" t="s">
        <v>10</v>
      </c>
      <c r="M1" s="3" t="s">
        <v>11</v>
      </c>
      <c r="N1" s="1" t="s">
        <v>12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 x14ac:dyDescent="0.25">
      <c r="A2" s="4">
        <f>(Wing!A8)+(Wing!N14*2)+(Fuselage!A5+Fuselage!A18+Fuselage!A21)</f>
        <v>1145.1491999999998</v>
      </c>
      <c r="B2" s="5">
        <v>0.01</v>
      </c>
      <c r="C2" s="40">
        <f>Wing!M2 + Wing!M18 + Fuselage!F18 + Fuselage!F2 + Fuselage!E18</f>
        <v>328.2238229756943</v>
      </c>
      <c r="D2" s="41">
        <f>C2/(0.5*Wing!$A$5*$A$2*Wing!C2*Wing!C2)</f>
        <v>4.1468571997035214E-3</v>
      </c>
      <c r="E2" s="40">
        <f>SQRT(2*Wing!$A$2/($A$5*Wing!$A$8*B2))</f>
        <v>1255.0146396642667</v>
      </c>
      <c r="F2" s="40">
        <f>SQRT(2*Wing!$A$2/($A$8*Wing!$A$8*B2))</f>
        <v>1359.6174817495123</v>
      </c>
      <c r="G2" s="41">
        <f>I2/(0.5*$A$5*WingLighter!$A$8*WingLighter!C2*WingLighter!C2)</f>
        <v>2.1308448919079445E-2</v>
      </c>
      <c r="H2" s="41">
        <f>SQRT((WingLighter!$A$2/WingLighter!$A$8)*(2/WingLighter!$A$5)*((G2^2)/(B2^3)))</f>
        <v>2467.0712731049698</v>
      </c>
      <c r="I2" s="40">
        <f>WingLighter!M2 + WingLighter!M18 + FuselageLighter!F18 + FuselageLighter!F2 + FuselageLighter!E18</f>
        <v>4261.6897838158884</v>
      </c>
      <c r="J2" s="42"/>
      <c r="K2" s="40">
        <f>Wing10kft!M2 + Wing10kft!M18 + Fuselage10kft!F18 + Fuselage10kft!F2 + Fuselage10kft!E18</f>
        <v>4971.2847995879802</v>
      </c>
      <c r="L2" s="40">
        <f>Wing15kft!M2 + Wing15kft!M18 + Fuselage15kft!F18 + Fuselage15kft!F2 + Fuselage15kft!E18</f>
        <v>4993.7471958039014</v>
      </c>
      <c r="M2" s="4"/>
      <c r="N2" s="40">
        <f t="shared" ref="N2:N15" si="0">E2/H2</f>
        <v>0.50870627587696282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 x14ac:dyDescent="0.25">
      <c r="A3" s="2"/>
      <c r="B3" s="5">
        <f>0.1</f>
        <v>0.1</v>
      </c>
      <c r="C3" s="40">
        <f>Wing!M3 + Wing!M19 + Fuselage!F19 + Fuselage!F3 + Fuselage!E19</f>
        <v>361.11209336607368</v>
      </c>
      <c r="D3" s="41">
        <f>C3/(0.5*Wing!$A$5*$A$2*Wing!C3*Wing!C3)</f>
        <v>5.7029692067248425E-3</v>
      </c>
      <c r="E3" s="40">
        <f>SQRT(2*Wing!$A$2/($A$5*Wing!$A$8*B3))</f>
        <v>396.87047581945791</v>
      </c>
      <c r="F3" s="40">
        <f>SQRT(2*Wing!$A$2/($A$8*Wing!$A$8*B3))</f>
        <v>429.94879889108722</v>
      </c>
      <c r="G3" s="41">
        <f>I3/(0.5*$A$5*WingLighter!$A$8*WingLighter!C3*WingLighter!C3)</f>
        <v>3.2828594976570848E-2</v>
      </c>
      <c r="H3" s="41">
        <f>SQRT((WingLighter!$A$2/WingLighter!$A$8)*(2/WingLighter!$A$5)*((G3^2)/(B3^3)))</f>
        <v>120.19382450450485</v>
      </c>
      <c r="I3" s="40">
        <f>WingLighter!M3 + WingLighter!M19 + FuselageLighter!F19 + FuselageLighter!F3 + FuselageLighter!E19</f>
        <v>656.57189953141688</v>
      </c>
      <c r="J3" s="42"/>
      <c r="K3" s="40">
        <f>Wing10kft!M3 + Wing10kft!M19 + Fuselage10kft!F19 + Fuselage10kft!F3 + Fuselage10kft!E19</f>
        <v>766.91458428769681</v>
      </c>
      <c r="L3" s="40">
        <f>Wing15kft!M3 + Wing15kft!M19 + Fuselage15kft!F19 + Fuselage15kft!F3 + Fuselage15kft!E19</f>
        <v>769.74243242829823</v>
      </c>
      <c r="M3" s="4"/>
      <c r="N3" s="40">
        <f t="shared" si="0"/>
        <v>3.301920688983345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 x14ac:dyDescent="0.25">
      <c r="A4" s="1" t="s">
        <v>13</v>
      </c>
      <c r="B4" s="5">
        <f t="shared" ref="B4:B14" si="1">(B3+0.1)</f>
        <v>0.2</v>
      </c>
      <c r="C4" s="40">
        <f>Wing!M4 + Wing!M20 + Fuselage!F20 + Fuselage!F4 + Fuselage!E20</f>
        <v>298.36753075705627</v>
      </c>
      <c r="D4" s="41">
        <f>C4/(0.5*Wing!$A$5*$A$2*Wing!C4*Wing!C4)</f>
        <v>6.5968800824864173E-3</v>
      </c>
      <c r="E4" s="40">
        <f>SQRT(2*Wing!$A$2/($A$5*Wing!$A$8*B4))</f>
        <v>280.62980470467045</v>
      </c>
      <c r="F4" s="40">
        <f>SQRT(2*Wing!$A$2/($A$8*Wing!$A$8*B4))</f>
        <v>304.01971125889895</v>
      </c>
      <c r="G4" s="41">
        <f>I4/(0.5*$A$5*WingLighter!$A$8*WingLighter!C4*WingLighter!C4)</f>
        <v>3.6490007442359688E-2</v>
      </c>
      <c r="H4" s="41">
        <f>SQRT((WingLighter!$A$2/WingLighter!$A$8)*(2/WingLighter!$A$5)*((G4^2)/(B4^3)))</f>
        <v>47.23444502173367</v>
      </c>
      <c r="I4" s="40">
        <f>WingLighter!M4 + WingLighter!M20 + FuselageLighter!F20 + FuselageLighter!F4 + FuselageLighter!E20</f>
        <v>364.90007442359672</v>
      </c>
      <c r="J4" s="42"/>
      <c r="K4" s="40">
        <f>Wing10kft!M4 + Wing10kft!M20 + Fuselage10kft!F20 + Fuselage10kft!F4 + Fuselage10kft!E20</f>
        <v>426.31533851169922</v>
      </c>
      <c r="L4" s="40">
        <f>Wing15kft!M4 + Wing15kft!M20 + Fuselage15kft!F20 + Fuselage15kft!F4 + Fuselage15kft!E20</f>
        <v>427.83074480828861</v>
      </c>
      <c r="M4" s="4">
        <f t="shared" ref="M4:M15" si="2">B4^2</f>
        <v>4.0000000000000008E-2</v>
      </c>
      <c r="N4" s="40">
        <f t="shared" si="0"/>
        <v>5.9412110076776834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 x14ac:dyDescent="0.25">
      <c r="A5" s="3">
        <v>1.7553E-3</v>
      </c>
      <c r="B5" s="5">
        <f t="shared" si="1"/>
        <v>0.30000000000000004</v>
      </c>
      <c r="C5" s="40">
        <f>Wing!M5 + Wing!M21 + Fuselage!F21 + Fuselage!F5 + Fuselage!E21</f>
        <v>272.69834986020027</v>
      </c>
      <c r="D5" s="41">
        <f>C5/(0.5*Wing!$A$5*$A$2*Wing!C5*Wing!C5)</f>
        <v>7.752004369240317E-3</v>
      </c>
      <c r="E5" s="40">
        <f>SQRT(2*Wing!$A$2/($A$5*Wing!$A$8*B5))</f>
        <v>229.13327604777885</v>
      </c>
      <c r="F5" s="40">
        <f>SQRT(2*Wing!$A$2/($A$8*Wing!$A$8*B5))</f>
        <v>248.23105477752546</v>
      </c>
      <c r="G5" s="41">
        <f>I5/(0.5*$A$5*WingLighter!$A$8*WingLighter!C5*WingLighter!C5)</f>
        <v>4.1679856458700891E-2</v>
      </c>
      <c r="H5" s="41">
        <f>SQRT((WingLighter!$A$2/WingLighter!$A$8)*(2/WingLighter!$A$5)*((G5^2)/(B5^3)))</f>
        <v>29.367987801685114</v>
      </c>
      <c r="I5" s="40">
        <f>WingLighter!M5 + WingLighter!M21 + FuselageLighter!F21 + FuselageLighter!F5 + FuselageLighter!E21</f>
        <v>277.86570972467257</v>
      </c>
      <c r="J5" s="42"/>
      <c r="K5" s="40">
        <f>Wing10kft!M5 + Wing10kft!M21 + Fuselage10kft!F21 + Fuselage10kft!F5 + Fuselage10kft!E21</f>
        <v>324.79666987864641</v>
      </c>
      <c r="L5" s="40">
        <f>Wing15kft!M5 + Wing15kft!M21 + Fuselage15kft!F21 + Fuselage15kft!F5 + Fuselage15kft!E21</f>
        <v>325.84874549277106</v>
      </c>
      <c r="M5" s="4">
        <f t="shared" si="2"/>
        <v>9.0000000000000024E-2</v>
      </c>
      <c r="N5" s="40">
        <f t="shared" si="0"/>
        <v>7.8021442120944817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 x14ac:dyDescent="0.25">
      <c r="A6" s="2"/>
      <c r="B6" s="5">
        <f t="shared" si="1"/>
        <v>0.4</v>
      </c>
      <c r="C6" s="40">
        <f>Wing!M6 + Wing!M22 + Fuselage!F22 + Fuselage!F6 + Fuselage!E22</f>
        <v>264.05012514705976</v>
      </c>
      <c r="D6" s="41">
        <f>C6/(0.5*Wing!$A$5*$A$2*Wing!C6*Wing!C6)</f>
        <v>9.1741968017717921E-3</v>
      </c>
      <c r="E6" s="40">
        <f>SQRT(2*Wing!$A$2/($A$5*Wing!$A$8*B6))</f>
        <v>198.43523790972895</v>
      </c>
      <c r="F6" s="40">
        <f>SQRT(2*Wing!$A$2/($A$8*Wing!$A$8*B6))</f>
        <v>214.97439944554361</v>
      </c>
      <c r="G6" s="41">
        <f>I6/(0.5*$A$5*WingLighter!$A$8*WingLighter!C6*WingLighter!C6)</f>
        <v>4.8587852086107462E-2</v>
      </c>
      <c r="H6" s="41">
        <f>SQRT((WingLighter!$A$2/WingLighter!$A$8)*(2/WingLighter!$A$5)*((G6^2)/(B6^3)))</f>
        <v>22.236558444156344</v>
      </c>
      <c r="I6" s="40">
        <f>WingLighter!M6 + WingLighter!M22 + FuselageLighter!F22 + FuselageLighter!F6 + FuselageLighter!E22</f>
        <v>242.93926043053727</v>
      </c>
      <c r="J6" s="42"/>
      <c r="K6" s="40">
        <f>Wing10kft!M6 + Wing10kft!M22 + Fuselage10kft!F22 + Fuselage10kft!F6 + Fuselage10kft!E22</f>
        <v>284.14486220661058</v>
      </c>
      <c r="L6" s="40">
        <f>Wing15kft!M6 + Wing15kft!M22 + Fuselage15kft!F22 + Fuselage15kft!F6 + Fuselage15kft!E22</f>
        <v>284.9569483334331</v>
      </c>
      <c r="M6" s="4">
        <f t="shared" si="2"/>
        <v>0.16000000000000003</v>
      </c>
      <c r="N6" s="40">
        <f t="shared" si="0"/>
        <v>8.9238286764594523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 x14ac:dyDescent="0.25">
      <c r="A7" s="1" t="s">
        <v>14</v>
      </c>
      <c r="B7" s="5">
        <f t="shared" si="1"/>
        <v>0.5</v>
      </c>
      <c r="C7" s="40">
        <f>Wing!M7 + Wing!M23 + Fuselage!F23 + Fuselage!F7 + Fuselage!E23</f>
        <v>264.63911907851548</v>
      </c>
      <c r="D7" s="41">
        <f>C7/(0.5*Wing!$A$5*$A$2*Wing!C7*Wing!C7)</f>
        <v>1.0866417420756256E-2</v>
      </c>
      <c r="E7" s="40">
        <f>SQRT(2*Wing!$A$2/($A$5*Wing!$A$8*B7))</f>
        <v>177.48587243899888</v>
      </c>
      <c r="F7" s="40">
        <f>SQRT(2*Wing!$A$2/($A$8*Wing!$A$8*B7))</f>
        <v>192.27894823297146</v>
      </c>
      <c r="G7" s="41">
        <f>I7/(0.5*$A$5*WingLighter!$A$8*WingLighter!C7*WingLighter!C7)</f>
        <v>5.7276061549172669E-2</v>
      </c>
      <c r="H7" s="41">
        <f>SQRT((WingLighter!$A$2/WingLighter!$A$8)*(2/WingLighter!$A$5)*((G7^2)/(B7^3)))</f>
        <v>18.756335788394878</v>
      </c>
      <c r="I7" s="40">
        <f>WingLighter!M7 + WingLighter!M23 + FuselageLighter!F23 + FuselageLighter!F7 + FuselageLighter!E23</f>
        <v>229.1042461966907</v>
      </c>
      <c r="J7" s="42"/>
      <c r="K7" s="40">
        <f>Wing10kft!M7 + Wing10kft!M23 + Fuselage10kft!F23 + Fuselage10kft!F7 + Fuselage10kft!E23</f>
        <v>268.12684815618371</v>
      </c>
      <c r="L7" s="40">
        <f>Wing15kft!M7 + Wing15kft!M23 + Fuselage15kft!F23 + Fuselage15kft!F7 + Fuselage15kft!E23</f>
        <v>268.79117695500901</v>
      </c>
      <c r="M7" s="4">
        <f t="shared" si="2"/>
        <v>0.25</v>
      </c>
      <c r="N7" s="40">
        <f t="shared" si="0"/>
        <v>9.4627156626623652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 x14ac:dyDescent="0.25">
      <c r="A8" s="3">
        <v>1.4955999999999999E-3</v>
      </c>
      <c r="B8" s="5">
        <f t="shared" si="1"/>
        <v>0.6</v>
      </c>
      <c r="C8" s="40">
        <f>Wing!M8 + Wing!M24 + Fuselage!F24 + Fuselage!F8 + Fuselage!E24</f>
        <v>272.86588626531415</v>
      </c>
      <c r="D8" s="41">
        <f>C8/(0.5*Wing!$A$5*$A$2*Wing!C8*Wing!C8)</f>
        <v>1.2927944886292493E-2</v>
      </c>
      <c r="E8" s="40">
        <f>SQRT(2*Wing!$A$2/($A$5*Wing!$A$8*B8))</f>
        <v>162.02169328887359</v>
      </c>
      <c r="F8" s="40">
        <f>SQRT(2*Wing!$A$2/($A$8*Wing!$A$8*B8))</f>
        <v>175.52586213427762</v>
      </c>
      <c r="G8" s="41">
        <f>I8/(0.5*$A$5*WingLighter!$A$8*WingLighter!C8*WingLighter!C8)</f>
        <v>6.8430148337153551E-2</v>
      </c>
      <c r="H8" s="41">
        <f>SQRT((WingLighter!$A$2/WingLighter!$A$8)*(2/WingLighter!$A$5)*((G8^2)/(B8^3)))</f>
        <v>17.047098258476375</v>
      </c>
      <c r="I8" s="40">
        <f>WingLighter!M8 + WingLighter!M24 + FuselageLighter!F24 + FuselageLighter!F8 + FuselageLighter!E24</f>
        <v>228.10049445717854</v>
      </c>
      <c r="J8" s="42"/>
      <c r="K8" s="40">
        <f>Wing10kft!M8 + Wing10kft!M24 + Fuselage10kft!F24 + Fuselage10kft!F8 + Fuselage10kft!E24</f>
        <v>267.10946410909833</v>
      </c>
      <c r="L8" s="40">
        <f>Wing15kft!M8 + Wing15kft!M24 + Fuselage15kft!F24 + Fuselage15kft!F8 + Fuselage15kft!E24</f>
        <v>267.67325747099846</v>
      </c>
      <c r="M8" s="4">
        <f t="shared" si="2"/>
        <v>0.36</v>
      </c>
      <c r="N8" s="40">
        <f t="shared" si="0"/>
        <v>9.504356156820478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 x14ac:dyDescent="0.25">
      <c r="A9" s="2"/>
      <c r="B9" s="5">
        <f t="shared" si="1"/>
        <v>0.7</v>
      </c>
      <c r="C9" s="40">
        <f>Wing!M9 + Wing!M25 + Fuselage!F25 + Fuselage!F9 + Fuselage!E25</f>
        <v>282.42087752109575</v>
      </c>
      <c r="D9" s="41">
        <f>C9/(0.5*Wing!$A$5*$A$2*Wing!C9*Wing!C9)</f>
        <v>1.5164730927748936E-2</v>
      </c>
      <c r="E9" s="40">
        <f>SQRT(2*Wing!$A$2/($A$5*Wing!$A$8*B9))</f>
        <v>150.00294024602266</v>
      </c>
      <c r="F9" s="40">
        <f>SQRT(2*Wing!$A$2/($A$8*Wing!$A$8*B9))</f>
        <v>162.50537119382</v>
      </c>
      <c r="G9" s="41">
        <f>I9/(0.5*$A$5*WingLighter!$A$8*WingLighter!C9*WingLighter!C9)</f>
        <v>8.0751175197428346E-2</v>
      </c>
      <c r="H9" s="41">
        <f>SQRT((WingLighter!$A$2/WingLighter!$A$8)*(2/WingLighter!$A$5)*((G9^2)/(B9^3)))</f>
        <v>15.963629879616857</v>
      </c>
      <c r="I9" s="40">
        <f>WingLighter!M9 + WingLighter!M25 + FuselageLighter!F25 + FuselageLighter!F9 + FuselageLighter!E25</f>
        <v>230.7176434212239</v>
      </c>
      <c r="J9" s="42"/>
      <c r="K9" s="40">
        <f>Wing10kft!M9 + Wing10kft!M25 + Fuselage10kft!F25 + Fuselage10kft!F9 + Fuselage10kft!E25</f>
        <v>270.30231806512012</v>
      </c>
      <c r="L9" s="40">
        <f>Wing15kft!M9 + Wing15kft!M25 + Fuselage15kft!F25 + Fuselage15kft!F9 + Fuselage15kft!E25</f>
        <v>270.79307658449329</v>
      </c>
      <c r="M9" s="4">
        <f t="shared" si="2"/>
        <v>0.48999999999999994</v>
      </c>
      <c r="N9" s="40">
        <f t="shared" si="0"/>
        <v>9.3965433536863543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 x14ac:dyDescent="0.25">
      <c r="A10" s="2"/>
      <c r="B10" s="5">
        <f t="shared" si="1"/>
        <v>0.79999999999999993</v>
      </c>
      <c r="C10" s="40">
        <f>Wing!M10 + Wing!M26 + Fuselage!F26 + Fuselage!F10 + Fuselage!E26</f>
        <v>294.52258241372323</v>
      </c>
      <c r="D10" s="41">
        <f>C10/(0.5*Wing!$A$5*$A$2*Wing!C10*Wing!C10)</f>
        <v>1.7675071941314589E-2</v>
      </c>
      <c r="E10" s="40">
        <f>SQRT(2*Wing!$A$2/($A$5*Wing!$A$8*B10))</f>
        <v>140.31490235233522</v>
      </c>
      <c r="F10" s="40">
        <f>SQRT(2*Wing!$A$2/($A$8*Wing!$A$8*B10))</f>
        <v>152.00985562944948</v>
      </c>
      <c r="G10" s="41">
        <f>I10/(0.5*$A$5*WingLighter!$A$8*WingLighter!C10*WingLighter!C10)</f>
        <v>9.4905781227461364E-2</v>
      </c>
      <c r="H10" s="41">
        <f>SQRT((WingLighter!$A$2/WingLighter!$A$8)*(2/WingLighter!$A$5)*((G10^2)/(B10^3)))</f>
        <v>15.356333897418212</v>
      </c>
      <c r="I10" s="40">
        <f>WingLighter!M10 + WingLighter!M26 + FuselageLighter!F26 + FuselageLighter!F10 + FuselageLighter!E26</f>
        <v>237.26445306865349</v>
      </c>
      <c r="J10" s="42"/>
      <c r="K10" s="40">
        <f>Wing10kft!M10 + Wing10kft!M26 + Fuselage10kft!F26 + Fuselage10kft!F10 + Fuselage10kft!E26</f>
        <v>278.0843805218409</v>
      </c>
      <c r="L10" s="40">
        <f>Wing15kft!M10 + Wing15kft!M26 + Fuselage15kft!F26 + Fuselage15kft!F10 + Fuselage15kft!E26</f>
        <v>278.51956670185206</v>
      </c>
      <c r="M10" s="4">
        <f t="shared" si="2"/>
        <v>0.6399999999999999</v>
      </c>
      <c r="N10" s="40">
        <f t="shared" si="0"/>
        <v>9.1372656579136837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 x14ac:dyDescent="0.25">
      <c r="A11" s="2"/>
      <c r="B11" s="5">
        <f t="shared" si="1"/>
        <v>0.89999999999999991</v>
      </c>
      <c r="C11" s="40">
        <f>Wing!M11 + Wing!M27 + Fuselage!F27 + Fuselage!F11 + Fuselage!E27</f>
        <v>310.90269510780286</v>
      </c>
      <c r="D11" s="41">
        <f>C11/(0.5*Wing!$A$5*$A$2*Wing!C11*Wing!C11)</f>
        <v>2.0622094419027265E-2</v>
      </c>
      <c r="E11" s="40">
        <f>SQRT(2*Wing!$A$2/($A$5*Wing!$A$8*B11))</f>
        <v>132.29015860648599</v>
      </c>
      <c r="F11" s="40">
        <f>SQRT(2*Wing!$A$2/($A$8*Wing!$A$8*B11))</f>
        <v>143.31626629702907</v>
      </c>
      <c r="G11" s="41">
        <f>I11/(0.5*$A$5*WingLighter!$A$8*WingLighter!C11*WingLighter!C11)</f>
        <v>0.11199550005351094</v>
      </c>
      <c r="H11" s="41">
        <f>SQRT((WingLighter!$A$2/WingLighter!$A$8)*(2/WingLighter!$A$5)*((G11^2)/(B11^3)))</f>
        <v>15.186813777048517</v>
      </c>
      <c r="I11" s="40">
        <f>WingLighter!M11 + WingLighter!M27 + FuselageLighter!F27 + FuselageLighter!F11 + FuselageLighter!E27</f>
        <v>248.87888900780214</v>
      </c>
      <c r="J11" s="42"/>
      <c r="K11" s="40">
        <f>Wing10kft!M11 + Wing10kft!M27 + Fuselage10kft!F27 + Fuselage10kft!F11 + Fuselage10kft!E27</f>
        <v>291.80188444290815</v>
      </c>
      <c r="L11" s="40">
        <f>Wing15kft!M11 + Wing15kft!M27 + Fuselage15kft!F27 + Fuselage15kft!F11 + Fuselage15kft!E27</f>
        <v>292.19329976749498</v>
      </c>
      <c r="M11" s="4">
        <f t="shared" si="2"/>
        <v>0.80999999999999983</v>
      </c>
      <c r="N11" s="40">
        <f t="shared" si="0"/>
        <v>8.7108567042820439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 x14ac:dyDescent="0.25">
      <c r="A12" s="2"/>
      <c r="B12" s="5">
        <f t="shared" si="1"/>
        <v>0.99999999999999989</v>
      </c>
      <c r="C12" s="40">
        <f>Wing!M12 + Wing!M28 + Fuselage!F28 + Fuselage!F12 + Fuselage!E28</f>
        <v>325.97361127081643</v>
      </c>
      <c r="D12" s="41">
        <f>C12/(0.5*Wing!$A$5*$A$2*Wing!C12*Wing!C12)</f>
        <v>2.3680958091951469E-2</v>
      </c>
      <c r="E12" s="40">
        <f>SQRT(2*Wing!$A$2/($A$5*Wing!$A$8*B12))</f>
        <v>125.50146396642668</v>
      </c>
      <c r="F12" s="40">
        <f>SQRT(2*Wing!$A$2/($A$8*Wing!$A$8*B12))</f>
        <v>135.96174817495125</v>
      </c>
      <c r="G12" s="41">
        <f>I12/(0.5*$A$5*WingLighter!$A$8*WingLighter!C12*WingLighter!C12)</f>
        <v>0.1298338609965374</v>
      </c>
      <c r="H12" s="41">
        <f>SQRT((WingLighter!$A$2/WingLighter!$A$8)*(2/WingLighter!$A$5)*((G12^2)/(B12^3)))</f>
        <v>15.032036820571131</v>
      </c>
      <c r="I12" s="40">
        <f>WingLighter!M12 + WingLighter!M28 + FuselageLighter!F28 + FuselageLighter!F12 + FuselageLighter!E28</f>
        <v>259.66772199307485</v>
      </c>
      <c r="J12" s="42"/>
      <c r="K12" s="40">
        <f>Wing10kft!M12 + Wing10kft!M28 + Fuselage10kft!F28 + Fuselage10kft!F12 + Fuselage10kft!E28</f>
        <v>304.53583096906408</v>
      </c>
      <c r="L12" s="40">
        <f>Wing15kft!M12 + Wing15kft!M28 + Fuselage15kft!F28 + Fuselage15kft!F12 + Fuselage15kft!E28</f>
        <v>304.89183595755378</v>
      </c>
      <c r="M12" s="4">
        <f t="shared" si="2"/>
        <v>0.99999999999999978</v>
      </c>
      <c r="N12" s="40">
        <f t="shared" si="0"/>
        <v>8.3489327138075993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 x14ac:dyDescent="0.25">
      <c r="A13" s="2"/>
      <c r="B13" s="5">
        <f t="shared" si="1"/>
        <v>1.0999999999999999</v>
      </c>
      <c r="C13" s="40">
        <f>Wing!M13 + Wing!M29 + Fuselage!F29 + Fuselage!F13 + Fuselage!E29</f>
        <v>362.70537600150533</v>
      </c>
      <c r="D13" s="41">
        <f>C13/(0.5*Wing!$A$5*$A$2*Wing!C13*Wing!C13)</f>
        <v>2.8640657962584807E-2</v>
      </c>
      <c r="E13" s="40">
        <f>SQRT(2*Wing!$A$2/($A$5*Wing!$A$8*B13))</f>
        <v>119.66095078754158</v>
      </c>
      <c r="F13" s="40">
        <f>SQRT(2*Wing!$A$2/($A$8*Wing!$A$8*B13))</f>
        <v>129.63444045324619</v>
      </c>
      <c r="G13" s="41">
        <f>I13/(0.5*$A$5*WingLighter!$A$8*WingLighter!C13*WingLighter!C13)</f>
        <v>0.16047298472551891</v>
      </c>
      <c r="H13" s="41">
        <f>SQRT((WingLighter!$A$2/WingLighter!$A$8)*(2/WingLighter!$A$5)*((G13^2)/(B13^3)))</f>
        <v>16.104333705494323</v>
      </c>
      <c r="I13" s="40">
        <f>WingLighter!M13 + WingLighter!M29 + FuselageLighter!F29 + FuselageLighter!F13 + FuselageLighter!E29</f>
        <v>291.76906313730717</v>
      </c>
      <c r="J13" s="42"/>
      <c r="K13" s="40">
        <f>Wing10kft!M13 + Wing10kft!M29 + Fuselage10kft!F29 + Fuselage10kft!F13 + Fuselage10kft!E29</f>
        <v>342.30207021895001</v>
      </c>
      <c r="L13" s="40">
        <f>Wing15kft!M13 + Wing15kft!M29 + Fuselage15kft!F29 + Fuselage15kft!F13 + Fuselage15kft!E29</f>
        <v>342.62881049143277</v>
      </c>
      <c r="M13" s="4">
        <f t="shared" si="2"/>
        <v>1.2099999999999997</v>
      </c>
      <c r="N13" s="40">
        <f t="shared" si="0"/>
        <v>7.4303571309328245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 x14ac:dyDescent="0.25">
      <c r="A14" s="2"/>
      <c r="B14" s="5">
        <f t="shared" si="1"/>
        <v>1.2</v>
      </c>
      <c r="C14" s="40">
        <f>Wing!M14 + Wing!M30 + Fuselage!F30 + Fuselage!F14 + Fuselage!E30</f>
        <v>378.15205579530095</v>
      </c>
      <c r="D14" s="41">
        <f>C14/(0.5*Wing!$A$5*$A$2*Wing!C14*Wing!C14)</f>
        <v>3.2249220322732329E-2</v>
      </c>
      <c r="E14" s="40">
        <f>SQRT(2*Wing!$A$2/($A$5*Wing!$A$8*B14))</f>
        <v>114.56663802388945</v>
      </c>
      <c r="F14" s="40">
        <f>SQRT(2*Wing!$A$2/($A$8*Wing!$A$8*B14))</f>
        <v>124.11552738876274</v>
      </c>
      <c r="G14" s="41">
        <f>I14/(0.5*$A$5*WingLighter!$A$8*WingLighter!C14*WingLighter!C14)</f>
        <v>0.18200781316736489</v>
      </c>
      <c r="H14" s="41">
        <f>SQRT((WingLighter!$A$2/WingLighter!$A$8)*(2/WingLighter!$A$5)*((G14^2)/(B14^3)))</f>
        <v>16.030535164531251</v>
      </c>
      <c r="I14" s="40">
        <f>WingLighter!M14 + WingLighter!M30 + FuselageLighter!F30 + FuselageLighter!F14 + FuselageLighter!E30</f>
        <v>303.34635527894147</v>
      </c>
      <c r="J14" s="42"/>
      <c r="K14" s="40">
        <f>Wing10kft!M14 + Wing10kft!M30 + Fuselage10kft!F30 + Fuselage10kft!F14 + Fuselage10kft!E30</f>
        <v>355.94505172398328</v>
      </c>
      <c r="L14" s="40">
        <f>Wing15kft!M14 + Wing15kft!M30 + Fuselage15kft!F30 + Fuselage15kft!F14 + Fuselage15kft!E30</f>
        <v>356.24718110580261</v>
      </c>
      <c r="M14" s="4">
        <f t="shared" si="2"/>
        <v>1.44</v>
      </c>
      <c r="N14" s="40">
        <f t="shared" si="0"/>
        <v>7.1467756283880428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 x14ac:dyDescent="0.25">
      <c r="A15" s="2"/>
      <c r="B15" s="5">
        <f>B14+0.2</f>
        <v>1.4</v>
      </c>
      <c r="C15" s="40">
        <f>Wing!M15 + Wing!M31 + Fuselage!F31 + Fuselage!F15 + Fuselage!E31</f>
        <v>438.06884525226735</v>
      </c>
      <c r="D15" s="41">
        <f>C15/(0.5*Wing!$A$5*$A$2*Wing!C15*Wing!C15)</f>
        <v>4.2893654687639469E-2</v>
      </c>
      <c r="E15" s="40">
        <f>SQRT(2*Wing!$A$2/($A$5*Wing!$A$8*B15))</f>
        <v>106.06809624588311</v>
      </c>
      <c r="F15" s="40">
        <f>SQRT(2*Wing!$A$2/($A$8*Wing!$A$8*B15))</f>
        <v>114.90864995038716</v>
      </c>
      <c r="G15" s="41">
        <f>I15/(0.5*$A$5*WingLighter!$A$8*WingLighter!C15*WingLighter!C15)</f>
        <v>0.24815815149291362</v>
      </c>
      <c r="H15" s="41">
        <f>SQRT((WingLighter!$A$2/WingLighter!$A$8)*(2/WingLighter!$A$5)*((G15^2)/(B15^3)))</f>
        <v>17.34468234640169</v>
      </c>
      <c r="I15" s="40">
        <f>WingLighter!M15 + WingLighter!M31 + FuselageLighter!F31 + FuselageLighter!F15 + FuselageLighter!E31</f>
        <v>354.51164498987663</v>
      </c>
      <c r="J15" s="42"/>
      <c r="K15" s="40">
        <f>Wing10kft!M15 + Wing10kft!M31 + Fuselage10kft!F31 + Fuselage10kft!F15 + Fuselage10kft!E31</f>
        <v>416.12734310502992</v>
      </c>
      <c r="L15" s="40">
        <f>Wing15kft!M15 + Wing15kft!M31 + Fuselage15kft!F31 + Fuselage15kft!F15 + Fuselage15kft!E31</f>
        <v>416.39033408381886</v>
      </c>
      <c r="M15" s="4">
        <f t="shared" si="2"/>
        <v>1.9599999999999997</v>
      </c>
      <c r="N15" s="40">
        <f t="shared" si="0"/>
        <v>6.1153092416182471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3.2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3.2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3.2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3.2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3.2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3.2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3.2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3.2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3.2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3.2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3.2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3.2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3.2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3.2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3.2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3.2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3.2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3.2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3.2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3.2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3.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3.2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3.2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3.2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3.2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3.2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3.2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3.2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3.2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3.2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3.2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3.2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3.2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3.2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3.2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3.2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3.2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3.2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3.2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3.2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3.2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3.2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3.2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3.2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3.2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3.2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3.2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3.2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3.2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3.2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3.2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3.2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3.2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3.2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3.2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3.2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3.2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3.2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3.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3.2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3.2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3.2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3.2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3.2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3.2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3.2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3.2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3.2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3.2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3.2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3.2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3.2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3.2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3.2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3.2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3.2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3.2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3.2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3.2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3.2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3.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3.2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3.2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3.2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3.2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3.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3.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3.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3.2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3.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3.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3.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3.2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3.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3.2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3.2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3.2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3.2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3.2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3.2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3.2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3.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3.2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3.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3.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3.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3.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3.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3.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3.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3.2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3.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3.2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3.2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3.2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3.2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3.2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3.2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3.2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3.2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3.2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3.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3.2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3.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3.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3.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3.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3.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3.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3.2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3.2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3.2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3.2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3.2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3.2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3.2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3.2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3.2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3.2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3.2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3.2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3.2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3.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3.2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3.2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3.2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3.2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3.2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3.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3.2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3.2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3.2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3.2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3.2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3.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3.2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3.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3.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3.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3.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3.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3.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3.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3.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3.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3.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3.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3.2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3.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3.2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3.2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3.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3.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3.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3.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3.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3.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3.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3.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3.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3.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3.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3.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3.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3.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3.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3.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3.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3.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3.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3.2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3.2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3.2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3.2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3.2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3.2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3.2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3.2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3.2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3.2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3.2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3.2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3.2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3.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3.2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3.2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3.2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3.2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3.2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3.2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3.2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3.2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3.2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3.2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3.2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3.2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3.2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3.2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3.2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3.2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3.2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3.2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3.2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3.2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3.2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3.2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3.2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3.2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3.2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3.2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3.2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3.2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3.2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3.2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3.2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3.2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3.2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3.2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3.2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3.2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3.2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3.2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3.2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3.2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3.2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3.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3.2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3.2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3.2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3.2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3.2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3.2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3.2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3.2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3.2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3.2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3.2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3.2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3.2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3.2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3.2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3.2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3.2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3.2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3.2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3.2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3.2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3.2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3.2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3.2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3.2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3.2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3.2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3.2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3.2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3.2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3.2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3.2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3.2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3.2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3.2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3.2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3.2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3.2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3.2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3.2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3.2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3.2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3.2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3.2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3.2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3.2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3.2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3.2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3.2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3.2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3.2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3.2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3.2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3.2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3.2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3.2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3.2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3.2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3.2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3.2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3.2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3.2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3.2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3.2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3.2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3.2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3.2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3.2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3.2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3.2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3.2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3.2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3.2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3.2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3.2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3.2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3.2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3.2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3.2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3.2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3.2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3.2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3.2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3.2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3.2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3.2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3.2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3.2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3.2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3.2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3.2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3.2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3.2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3.2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3.2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3.2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3.2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3.2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3.2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3.2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3.2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3.2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3.2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3.2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3.2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3.2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3.2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3.2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3.2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3.2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3.2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3.2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3.2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3.2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3.2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3.2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3.2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3.2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3.2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3.2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3.2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3.2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3.2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3.2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3.2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3.2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3.2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3.2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3.2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3.2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3.2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3.2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3.2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3.2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3.2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3.2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3.2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3.2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3.2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3.2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3.2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3.2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3.2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3.2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3.2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3.2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3.2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3.2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3.2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3.2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3.2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3.2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3.2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3.2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3.2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3.2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3.2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3.2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3.2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3.2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3.2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3.2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3.2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3.2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3.2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3.2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3.2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3.2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3.2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3.2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3.2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3.2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3.2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3.2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3.2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3.2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3.2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3.2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3.2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3.2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3.2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3.2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3.2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3.2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3.2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3.2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3.2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3.2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3.2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3.2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3.2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3.2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3.2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3.2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3.2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3.2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3.2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3.2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3.2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3.2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3.2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3.2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3.2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3.2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3.2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3.2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3.2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3.2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3.2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3.2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3.2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3.2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3.2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3.2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3.2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3.2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3.2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3.2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3.2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3.2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3.2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3.2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3.2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3.2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3.2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3.2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3.2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3.2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3.2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3.2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3.2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3.2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3.2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3.2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3.2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3.2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3.2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3.2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3.2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3.2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3.2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3.2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3.2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3.2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3.2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3.2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3.2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3.2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3.2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3.2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3.2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3.2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3.2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3.2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3.2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3.2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3.2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3.2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3.2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3.2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3.2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3.2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3.2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3.2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3.2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3.2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3.2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3.2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3.2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3.2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3.2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3.2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3.2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3.2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3.2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3.2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3.2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3.2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3.2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3.2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3.2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3.2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3.2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3.2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3.2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3.2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3.2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3.2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3.2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3.2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3.2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3.2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3.2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3.2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3.2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3.2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3.2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3.2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3.2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3.2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3.2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3.2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3.2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3.2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3.2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3.2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3.2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3.2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3.2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3.2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3.2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3.2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3.2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3.2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3.2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3.2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3.2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3.2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3.2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3.2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3.2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3.2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3.2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3.2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3.2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3.2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3.2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3.2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3.2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3.2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3.2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3.2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3.2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3.2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3.2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3.2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3.2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3.2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3.2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3.2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3.2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3.2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3.2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3.2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3.2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3.2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3.2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3.2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3.2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3.2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3.2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3.2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3.2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3.2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3.2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3.2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3.2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3.2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3.2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3.2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3.2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3.2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3.2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3.2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3.2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3.2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3.2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3.2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3.2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3.2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3.2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3.2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3.2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3.2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3.2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3.2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3.2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3.2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3.2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3.2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3.2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3.2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3.2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3.2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3.2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3.2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3.2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3.2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3.2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3.2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3.2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3.2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3.2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3.2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3.2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3.2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3.2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3.2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3.2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3.2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3.2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3.2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3.2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3.2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3.2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3.2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3.2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3.2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3.2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3.2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3.2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3.2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3.2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3.2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3.2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3.2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3.2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3.2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3.2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3.2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3.2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3.2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3.2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3.2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3.2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3.2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3.2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3.2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3.2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3.2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3.2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3.2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3.2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3.2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3.2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3.2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3.2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3.2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3.2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3.2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3.2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3.2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3.2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3.2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3.2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3.2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3.2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3.2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3.2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3.2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3.2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3.2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3.2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3.2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3.2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3.2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3.2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3.2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3.2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3.2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3.2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3.2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3.2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3.2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3.2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3.2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3.2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3.2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3.2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3.2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3.2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3.2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3.2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3.2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3.2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3.2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3.2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3.2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3.2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3.2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3.2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3.2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3.2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3.2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3.2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3.2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3.2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3.2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3.2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3.2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3.2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3.2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3.2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3.2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3.2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3.2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3.2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3.2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3.2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3.2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3.2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3.2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3.2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3.2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3.2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3.2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3.2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3.2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3.2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3.2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3.2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3.2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3.2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3.2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3.2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3.2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3.2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3.2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3.2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3.2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3.2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3.2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3.2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3.2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3.2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3.2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3.2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3.2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3.2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3.2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3.2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3.2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3.2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3.2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3.2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3.2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3.2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3.2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3.2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3.2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3.2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3.2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3.2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3.2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3.2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3.2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3.2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3.2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3.2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3.2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3.2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3.2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3.2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3.2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3.2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3.2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3.2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3.2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3.2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3.2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3.2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3.2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3.2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3.2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3.2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3.2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3.2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3.2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3.2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3.2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3.2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3.2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3.2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3.2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3.2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3.2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3.2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3.2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3.2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3.2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3.2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3.2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3.2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3.2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3.2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3.2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3.2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3.2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3.2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3.2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3.2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3.2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3.2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3.2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3.2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3.2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3.2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3.2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3.2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3.2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3.2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3.2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3.2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3.2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3.2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3.2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3.2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3.2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3.2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3.2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3.2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3.2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3.2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3.2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3.2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3.2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3.2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3.2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3.2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3.2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3.2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3.2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3.2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3.2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3.2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3.2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3.2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3.2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3.2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3.2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3.2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3.2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3.2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3.2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3.2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3.2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3.2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3.2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3.2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3.2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3.2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3.2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3.2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3.2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3.2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3.2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3.2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3.2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3.2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3.2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3.2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3.2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3.2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3.2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3.2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3.2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3.2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3.2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3.2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3.2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3.2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3.2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3.2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3.2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3.2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3.2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3.2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3.2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3.2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3.2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3.2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3.2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3.2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3.2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3.2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3.2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3.2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3.2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3.2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3.2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3.2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3.2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3.2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3.2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3.2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3.2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3.2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3.2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3.2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3.2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3.2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3.2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3.2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3.2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3.2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3.2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3.2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3.2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3.2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3.2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3.2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3.2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3.2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3.2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3.2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3.2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3.2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3.2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3.2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selection activeCell="L2" sqref="L2:L15"/>
    </sheetView>
  </sheetViews>
  <sheetFormatPr defaultColWidth="12.5546875" defaultRowHeight="15.75" customHeight="1" x14ac:dyDescent="0.25"/>
  <cols>
    <col min="1" max="1" width="28.6640625" customWidth="1"/>
    <col min="3" max="5" width="12.6640625" bestFit="1" customWidth="1"/>
    <col min="6" max="7" width="14.6640625" bestFit="1" customWidth="1"/>
    <col min="13" max="13" width="18.44140625" customWidth="1"/>
    <col min="14" max="14" width="17.6640625" customWidth="1"/>
    <col min="15" max="15" width="5" customWidth="1"/>
  </cols>
  <sheetData>
    <row r="1" spans="1:26" ht="15.75" customHeight="1" x14ac:dyDescent="0.25">
      <c r="A1" s="6" t="s">
        <v>15</v>
      </c>
      <c r="B1" s="6" t="s">
        <v>1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7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5">
        <v>2350</v>
      </c>
      <c r="B2" s="5">
        <v>0.2</v>
      </c>
      <c r="C2" s="34">
        <f t="shared" ref="C2:C15" si="0">SQRT(2*$A$2/($A$5*$A$8*ABS(B2)))</f>
        <v>241.15422747566447</v>
      </c>
      <c r="D2" s="34">
        <f t="shared" ref="D2:D15" si="1">0.5*$A$5*C2*C2</f>
        <v>69.117647058823508</v>
      </c>
      <c r="E2" s="34">
        <f t="shared" ref="E2:E15" si="2">(($A$2/$A$17)^2)*(1/(D2*3.14*$A$11))</f>
        <v>21.865400535004479</v>
      </c>
      <c r="F2" s="34">
        <f t="shared" ref="F2:F15" si="3">(C2*$A$5*$A$23/($A$20*10^-7))</f>
        <v>8129743.3052212158</v>
      </c>
      <c r="G2" s="34">
        <f t="shared" ref="G2:G15" si="4">(C2*$A$5*$A$26/($A$20*10^-7))</f>
        <v>7056003.6233995454</v>
      </c>
      <c r="H2" s="5">
        <f t="shared" ref="H2:H15" si="5">(C2*$A$5*$A$29/$A$20)</f>
        <v>0</v>
      </c>
      <c r="I2" s="5">
        <v>5.0000000000000001E-4</v>
      </c>
      <c r="J2" s="5">
        <v>5.0000000000000001E-4</v>
      </c>
      <c r="K2" s="5"/>
      <c r="L2" s="34">
        <f t="shared" ref="L2:L15" si="6">D2*(2*(I2*$N$2+J2*$N$5+K2*$N$8))</f>
        <v>11.743088235294113</v>
      </c>
      <c r="M2" s="35">
        <f t="shared" ref="M2:M15" si="7">2*E2 + L2</f>
        <v>55.473889305303075</v>
      </c>
      <c r="N2" s="5">
        <v>91</v>
      </c>
      <c r="O2" s="7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25">
      <c r="A3" s="10"/>
      <c r="B3" s="5">
        <f>B2+0.05</f>
        <v>0.25</v>
      </c>
      <c r="C3" s="34">
        <f t="shared" si="0"/>
        <v>215.69489827881333</v>
      </c>
      <c r="D3" s="34">
        <f t="shared" si="1"/>
        <v>55.294117647058826</v>
      </c>
      <c r="E3" s="34">
        <f t="shared" si="2"/>
        <v>27.331750668755596</v>
      </c>
      <c r="F3" s="34">
        <f t="shared" si="3"/>
        <v>7271463.468039386</v>
      </c>
      <c r="G3" s="34">
        <f t="shared" si="4"/>
        <v>6311081.5005624853</v>
      </c>
      <c r="H3" s="5">
        <f t="shared" si="5"/>
        <v>0</v>
      </c>
      <c r="I3" s="5">
        <v>4.1999999999999997E-3</v>
      </c>
      <c r="J3" s="5">
        <v>4.1999999999999997E-3</v>
      </c>
      <c r="K3" s="5"/>
      <c r="L3" s="34">
        <f t="shared" si="6"/>
        <v>78.913552941176476</v>
      </c>
      <c r="M3" s="35">
        <f t="shared" si="7"/>
        <v>133.57705427868768</v>
      </c>
      <c r="N3" s="10"/>
      <c r="O3" s="7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25">
      <c r="A4" s="6" t="s">
        <v>28</v>
      </c>
      <c r="B4" s="5">
        <f t="shared" ref="B4:B14" si="8">(B3+0.1)</f>
        <v>0.35</v>
      </c>
      <c r="C4" s="34">
        <f t="shared" si="0"/>
        <v>182.29546100357368</v>
      </c>
      <c r="D4" s="34">
        <f t="shared" si="1"/>
        <v>39.495798319327733</v>
      </c>
      <c r="E4" s="34">
        <f t="shared" si="2"/>
        <v>38.26445093625783</v>
      </c>
      <c r="F4" s="34">
        <f t="shared" si="3"/>
        <v>6145508.2881164616</v>
      </c>
      <c r="G4" s="34">
        <f t="shared" si="4"/>
        <v>5333837.3821388148</v>
      </c>
      <c r="H4" s="5">
        <f t="shared" si="5"/>
        <v>0</v>
      </c>
      <c r="I4" s="5">
        <v>4.1999999999999997E-3</v>
      </c>
      <c r="J4" s="5">
        <v>4.1999999999999997E-3</v>
      </c>
      <c r="K4" s="5"/>
      <c r="L4" s="34">
        <f t="shared" si="6"/>
        <v>56.366823529411768</v>
      </c>
      <c r="M4" s="35">
        <f t="shared" si="7"/>
        <v>132.89572540192742</v>
      </c>
      <c r="N4" s="6" t="s">
        <v>29</v>
      </c>
      <c r="O4" s="7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25">
      <c r="A5" s="11">
        <v>2.3770000000000002E-3</v>
      </c>
      <c r="B5" s="5">
        <f t="shared" si="8"/>
        <v>0.44999999999999996</v>
      </c>
      <c r="C5" s="34">
        <f t="shared" si="0"/>
        <v>160.76948498377632</v>
      </c>
      <c r="D5" s="34">
        <f t="shared" si="1"/>
        <v>30.718954248366011</v>
      </c>
      <c r="E5" s="34">
        <f t="shared" si="2"/>
        <v>49.197151203760086</v>
      </c>
      <c r="F5" s="34">
        <f t="shared" si="3"/>
        <v>5419828.8701474778</v>
      </c>
      <c r="G5" s="34">
        <f t="shared" si="4"/>
        <v>4704002.4155996973</v>
      </c>
      <c r="H5" s="5">
        <f t="shared" si="5"/>
        <v>0</v>
      </c>
      <c r="I5" s="5">
        <v>4.1999999999999997E-3</v>
      </c>
      <c r="J5" s="5">
        <v>4.1999999999999997E-3</v>
      </c>
      <c r="K5" s="5"/>
      <c r="L5" s="34">
        <f t="shared" si="6"/>
        <v>43.840862745098036</v>
      </c>
      <c r="M5" s="35">
        <f t="shared" si="7"/>
        <v>142.23516515261821</v>
      </c>
      <c r="N5" s="5">
        <v>78.900000000000006</v>
      </c>
      <c r="O5" s="7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25">
      <c r="A6" s="10"/>
      <c r="B6" s="5">
        <f t="shared" si="8"/>
        <v>0.54999999999999993</v>
      </c>
      <c r="C6" s="34">
        <f t="shared" si="0"/>
        <v>145.42147075359895</v>
      </c>
      <c r="D6" s="34">
        <f t="shared" si="1"/>
        <v>25.133689839572199</v>
      </c>
      <c r="E6" s="34">
        <f t="shared" si="2"/>
        <v>60.129851471262306</v>
      </c>
      <c r="F6" s="34">
        <f t="shared" si="3"/>
        <v>4902419.6700586434</v>
      </c>
      <c r="G6" s="34">
        <f t="shared" si="4"/>
        <v>4254930.2796735391</v>
      </c>
      <c r="H6" s="5">
        <f t="shared" si="5"/>
        <v>0</v>
      </c>
      <c r="I6" s="5">
        <v>4.1999999999999997E-3</v>
      </c>
      <c r="J6" s="5">
        <v>4.1999999999999997E-3</v>
      </c>
      <c r="K6" s="5"/>
      <c r="L6" s="34">
        <f t="shared" si="6"/>
        <v>35.869796791443861</v>
      </c>
      <c r="M6" s="35">
        <f t="shared" si="7"/>
        <v>156.12949973396849</v>
      </c>
      <c r="N6" s="10"/>
      <c r="O6" s="7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25">
      <c r="A7" s="6" t="s">
        <v>30</v>
      </c>
      <c r="B7" s="5">
        <f t="shared" si="8"/>
        <v>0.64999999999999991</v>
      </c>
      <c r="C7" s="34">
        <f t="shared" si="0"/>
        <v>133.76829730129464</v>
      </c>
      <c r="D7" s="34">
        <f t="shared" si="1"/>
        <v>21.266968325791858</v>
      </c>
      <c r="E7" s="34">
        <f t="shared" si="2"/>
        <v>71.062551738764526</v>
      </c>
      <c r="F7" s="34">
        <f t="shared" si="3"/>
        <v>4509570.206666952</v>
      </c>
      <c r="G7" s="34">
        <f t="shared" si="4"/>
        <v>3913966.5944656567</v>
      </c>
      <c r="H7" s="5">
        <f t="shared" si="5"/>
        <v>0</v>
      </c>
      <c r="I7" s="5">
        <v>4.1999999999999997E-3</v>
      </c>
      <c r="J7" s="5">
        <v>4.1999999999999997E-3</v>
      </c>
      <c r="K7" s="5"/>
      <c r="L7" s="34">
        <f t="shared" si="6"/>
        <v>30.351366515837107</v>
      </c>
      <c r="M7" s="35">
        <f t="shared" si="7"/>
        <v>172.47646999336615</v>
      </c>
      <c r="N7" s="6" t="s">
        <v>31</v>
      </c>
      <c r="O7" s="7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25">
      <c r="A8" s="5">
        <v>170</v>
      </c>
      <c r="B8" s="5">
        <f t="shared" si="8"/>
        <v>0.74999999999999989</v>
      </c>
      <c r="C8" s="34">
        <f t="shared" si="0"/>
        <v>124.53150758410183</v>
      </c>
      <c r="D8" s="34">
        <f t="shared" si="1"/>
        <v>18.43137254901961</v>
      </c>
      <c r="E8" s="34">
        <f t="shared" si="2"/>
        <v>81.995252006266782</v>
      </c>
      <c r="F8" s="34">
        <f t="shared" si="3"/>
        <v>4198181.3906750688</v>
      </c>
      <c r="G8" s="34">
        <f t="shared" si="4"/>
        <v>3643704.6032274184</v>
      </c>
      <c r="H8" s="5">
        <f t="shared" si="5"/>
        <v>0</v>
      </c>
      <c r="I8" s="5">
        <v>4.4999999999999997E-3</v>
      </c>
      <c r="J8" s="5">
        <v>4.4999999999999997E-3</v>
      </c>
      <c r="K8" s="5"/>
      <c r="L8" s="34">
        <f t="shared" si="6"/>
        <v>28.183411764705884</v>
      </c>
      <c r="M8" s="35">
        <f t="shared" si="7"/>
        <v>192.17391577723944</v>
      </c>
      <c r="N8" s="5"/>
      <c r="O8" s="7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25">
      <c r="A9" s="10"/>
      <c r="B9" s="5">
        <f t="shared" si="8"/>
        <v>0.84999999999999987</v>
      </c>
      <c r="C9" s="34">
        <f t="shared" si="0"/>
        <v>116.97698258192862</v>
      </c>
      <c r="D9" s="34">
        <f t="shared" si="1"/>
        <v>16.262975778546714</v>
      </c>
      <c r="E9" s="34">
        <f t="shared" si="2"/>
        <v>92.927952273769023</v>
      </c>
      <c r="F9" s="34">
        <f t="shared" si="3"/>
        <v>3943504.7478335435</v>
      </c>
      <c r="G9" s="34">
        <f t="shared" si="4"/>
        <v>3422664.4981196788</v>
      </c>
      <c r="H9" s="5">
        <f t="shared" si="5"/>
        <v>0</v>
      </c>
      <c r="I9" s="5">
        <v>4.4999999999999997E-3</v>
      </c>
      <c r="J9" s="5">
        <v>4.4999999999999997E-3</v>
      </c>
      <c r="K9" s="5"/>
      <c r="L9" s="34">
        <f t="shared" si="6"/>
        <v>24.86771626297578</v>
      </c>
      <c r="M9" s="35">
        <f t="shared" si="7"/>
        <v>210.72362081051384</v>
      </c>
      <c r="N9" s="10"/>
      <c r="O9" s="7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25">
      <c r="A10" s="6" t="s">
        <v>32</v>
      </c>
      <c r="B10" s="5">
        <f t="shared" si="8"/>
        <v>0.94999999999999984</v>
      </c>
      <c r="C10" s="34">
        <f t="shared" si="0"/>
        <v>110.64914814463593</v>
      </c>
      <c r="D10" s="34">
        <f t="shared" si="1"/>
        <v>14.551083591331272</v>
      </c>
      <c r="E10" s="34">
        <f t="shared" si="2"/>
        <v>103.86065254127125</v>
      </c>
      <c r="F10" s="34">
        <f t="shared" si="3"/>
        <v>3730182.0530932243</v>
      </c>
      <c r="G10" s="34">
        <f t="shared" si="4"/>
        <v>3237516.4989111004</v>
      </c>
      <c r="H10" s="5">
        <f t="shared" si="5"/>
        <v>0</v>
      </c>
      <c r="I10" s="5">
        <v>4.4999999999999997E-3</v>
      </c>
      <c r="J10" s="5">
        <v>4.4999999999999997E-3</v>
      </c>
      <c r="K10" s="5"/>
      <c r="L10" s="34">
        <f t="shared" si="6"/>
        <v>22.250061919504645</v>
      </c>
      <c r="M10" s="35">
        <f t="shared" si="7"/>
        <v>229.97136700204715</v>
      </c>
      <c r="N10" s="6" t="s">
        <v>33</v>
      </c>
      <c r="O10" s="7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25">
      <c r="A11" s="5">
        <v>0.95</v>
      </c>
      <c r="B11" s="5">
        <f t="shared" si="8"/>
        <v>1.0499999999999998</v>
      </c>
      <c r="C11" s="34">
        <f t="shared" si="0"/>
        <v>105.24833348246018</v>
      </c>
      <c r="D11" s="34">
        <f t="shared" si="1"/>
        <v>13.165266106442575</v>
      </c>
      <c r="E11" s="34">
        <f t="shared" si="2"/>
        <v>114.79335280877352</v>
      </c>
      <c r="F11" s="34">
        <f t="shared" si="3"/>
        <v>3548110.8644511146</v>
      </c>
      <c r="G11" s="34">
        <f t="shared" si="4"/>
        <v>3079492.4483915335</v>
      </c>
      <c r="H11" s="5">
        <f t="shared" si="5"/>
        <v>0</v>
      </c>
      <c r="I11" s="5">
        <v>5.0000000000000001E-3</v>
      </c>
      <c r="J11" s="5">
        <v>5.0000000000000001E-3</v>
      </c>
      <c r="K11" s="5"/>
      <c r="L11" s="34">
        <f t="shared" si="6"/>
        <v>22.367787114845935</v>
      </c>
      <c r="M11" s="35">
        <f t="shared" si="7"/>
        <v>251.95449273239296</v>
      </c>
      <c r="N11" s="12">
        <f>(A17*A17/A8)</f>
        <v>7.2058823529411766</v>
      </c>
      <c r="O11" s="7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25">
      <c r="A12" s="10"/>
      <c r="B12" s="5">
        <f t="shared" si="8"/>
        <v>1.1499999999999999</v>
      </c>
      <c r="C12" s="34">
        <f t="shared" si="0"/>
        <v>100.56826487894941</v>
      </c>
      <c r="D12" s="34">
        <f t="shared" si="1"/>
        <v>12.020460358056267</v>
      </c>
      <c r="E12" s="34">
        <f t="shared" si="2"/>
        <v>125.72605307627572</v>
      </c>
      <c r="F12" s="34">
        <f t="shared" si="3"/>
        <v>3390337.3234452573</v>
      </c>
      <c r="G12" s="34">
        <f t="shared" si="4"/>
        <v>2942556.9222355061</v>
      </c>
      <c r="H12" s="5">
        <f t="shared" si="5"/>
        <v>0</v>
      </c>
      <c r="I12" s="5">
        <v>5.0000000000000001E-3</v>
      </c>
      <c r="J12" s="5">
        <v>5.0000000000000001E-3</v>
      </c>
      <c r="K12" s="5"/>
      <c r="L12" s="34">
        <f t="shared" si="6"/>
        <v>20.422762148337601</v>
      </c>
      <c r="M12" s="35">
        <f t="shared" si="7"/>
        <v>271.87486830088903</v>
      </c>
      <c r="N12" s="10"/>
      <c r="O12" s="7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25">
      <c r="A13" s="6" t="s">
        <v>34</v>
      </c>
      <c r="B13" s="5">
        <f t="shared" si="8"/>
        <v>1.25</v>
      </c>
      <c r="C13" s="34">
        <f t="shared" si="0"/>
        <v>96.461690990265794</v>
      </c>
      <c r="D13" s="34">
        <f t="shared" si="1"/>
        <v>11.058823529411764</v>
      </c>
      <c r="E13" s="34">
        <f t="shared" si="2"/>
        <v>136.65875334377799</v>
      </c>
      <c r="F13" s="34">
        <f t="shared" si="3"/>
        <v>3251897.322088487</v>
      </c>
      <c r="G13" s="34">
        <f t="shared" si="4"/>
        <v>2822401.4493598188</v>
      </c>
      <c r="H13" s="5">
        <f t="shared" si="5"/>
        <v>0</v>
      </c>
      <c r="I13" s="5">
        <v>0.01</v>
      </c>
      <c r="J13" s="5">
        <v>0.01</v>
      </c>
      <c r="K13" s="5"/>
      <c r="L13" s="34">
        <f t="shared" si="6"/>
        <v>37.577882352941174</v>
      </c>
      <c r="M13" s="35">
        <f t="shared" si="7"/>
        <v>310.89538904049715</v>
      </c>
      <c r="N13" s="6" t="s">
        <v>35</v>
      </c>
      <c r="O13" s="7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25">
      <c r="A14" s="12">
        <f>(B3*B3)/(N23*3.14*N11)</f>
        <v>0.1943834087039048</v>
      </c>
      <c r="B14" s="5">
        <f t="shared" si="8"/>
        <v>1.35</v>
      </c>
      <c r="C14" s="34">
        <f t="shared" si="0"/>
        <v>92.820305432860764</v>
      </c>
      <c r="D14" s="34">
        <f t="shared" si="1"/>
        <v>10.239651416122005</v>
      </c>
      <c r="E14" s="34">
        <f t="shared" si="2"/>
        <v>147.59145361128023</v>
      </c>
      <c r="F14" s="34">
        <f t="shared" si="3"/>
        <v>3129139.6571413516</v>
      </c>
      <c r="G14" s="34">
        <f t="shared" si="4"/>
        <v>2715857.0609151353</v>
      </c>
      <c r="H14" s="5">
        <f t="shared" si="5"/>
        <v>0</v>
      </c>
      <c r="I14" s="5">
        <v>0.01</v>
      </c>
      <c r="J14" s="5">
        <v>0.01</v>
      </c>
      <c r="K14" s="5"/>
      <c r="L14" s="34">
        <f t="shared" si="6"/>
        <v>34.794335511982574</v>
      </c>
      <c r="M14" s="35">
        <f t="shared" si="7"/>
        <v>329.97724273454304</v>
      </c>
      <c r="N14" s="5">
        <v>16.3125</v>
      </c>
      <c r="O14" s="7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25">
      <c r="A15" s="10"/>
      <c r="B15" s="5">
        <f>B14+0.2</f>
        <v>1.55</v>
      </c>
      <c r="C15" s="34">
        <f t="shared" si="0"/>
        <v>86.625155721600592</v>
      </c>
      <c r="D15" s="34">
        <f t="shared" si="1"/>
        <v>8.9184060721062597</v>
      </c>
      <c r="E15" s="34">
        <f t="shared" si="2"/>
        <v>169.45685414628474</v>
      </c>
      <c r="F15" s="34">
        <f t="shared" si="3"/>
        <v>2920290.0034688157</v>
      </c>
      <c r="G15" s="34">
        <f t="shared" si="4"/>
        <v>2534591.3237653868</v>
      </c>
      <c r="H15" s="5">
        <f t="shared" si="5"/>
        <v>0</v>
      </c>
      <c r="I15" s="5">
        <v>1.7999999999999999E-2</v>
      </c>
      <c r="J15" s="5">
        <v>1.7999999999999999E-2</v>
      </c>
      <c r="K15" s="5"/>
      <c r="L15" s="34">
        <f t="shared" si="6"/>
        <v>54.548538899430724</v>
      </c>
      <c r="M15" s="35">
        <f t="shared" si="7"/>
        <v>393.46224719200018</v>
      </c>
      <c r="N15" s="10"/>
      <c r="O15" s="7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25">
      <c r="A16" s="6" t="s">
        <v>36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36"/>
      <c r="N16" s="6" t="s">
        <v>37</v>
      </c>
      <c r="O16" s="7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25">
      <c r="A17" s="5">
        <v>35</v>
      </c>
      <c r="B17" s="13"/>
      <c r="C17" s="13"/>
      <c r="D17" s="13"/>
      <c r="E17" s="13"/>
      <c r="F17" s="14" t="s">
        <v>38</v>
      </c>
      <c r="G17" s="14"/>
      <c r="H17" s="13"/>
      <c r="I17" s="14" t="s">
        <v>39</v>
      </c>
      <c r="J17" s="13"/>
      <c r="K17" s="13"/>
      <c r="L17" s="13"/>
      <c r="M17" s="38" t="s">
        <v>40</v>
      </c>
      <c r="N17" s="5">
        <v>6.5250000000000004</v>
      </c>
      <c r="O17" s="7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25">
      <c r="A18" s="10"/>
      <c r="B18" s="8"/>
      <c r="C18" s="8"/>
      <c r="D18" s="8"/>
      <c r="E18" s="8"/>
      <c r="F18" s="23">
        <f t="shared" ref="F18:F31" si="9">(C2*$A$5*$N$17/($A$20*10^-7))</f>
        <v>10008787.748409139</v>
      </c>
      <c r="G18" s="8"/>
      <c r="H18" s="8"/>
      <c r="I18" s="5">
        <v>5.0000000000000001E-4</v>
      </c>
      <c r="J18" s="8"/>
      <c r="K18" s="8"/>
      <c r="L18" s="8"/>
      <c r="M18" s="35">
        <f t="shared" ref="M18:M31" si="10">I18*2*D2*$N$14</f>
        <v>1.1274816176470583</v>
      </c>
      <c r="N18" s="10"/>
      <c r="O18" s="7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25">
      <c r="A19" s="6" t="s">
        <v>41</v>
      </c>
      <c r="B19" s="8"/>
      <c r="C19" s="8"/>
      <c r="D19" s="8"/>
      <c r="E19" s="8"/>
      <c r="F19" s="23">
        <f t="shared" si="9"/>
        <v>8952131.9111239612</v>
      </c>
      <c r="G19" s="8"/>
      <c r="H19" s="8"/>
      <c r="I19" s="5">
        <v>4.1999999999999997E-3</v>
      </c>
      <c r="J19" s="8"/>
      <c r="K19" s="8"/>
      <c r="L19" s="8"/>
      <c r="M19" s="35">
        <f t="shared" si="10"/>
        <v>7.5766764705882359</v>
      </c>
      <c r="N19" s="6" t="s">
        <v>42</v>
      </c>
      <c r="O19" s="7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5">
      <c r="A20" s="5">
        <v>3.7370000000000001</v>
      </c>
      <c r="B20" s="8"/>
      <c r="C20" s="8"/>
      <c r="D20" s="8"/>
      <c r="E20" s="8"/>
      <c r="F20" s="23">
        <f t="shared" si="9"/>
        <v>7565932.3735773414</v>
      </c>
      <c r="G20" s="8"/>
      <c r="H20" s="8"/>
      <c r="I20" s="5">
        <v>4.1999999999999997E-3</v>
      </c>
      <c r="J20" s="8"/>
      <c r="K20" s="8"/>
      <c r="L20" s="8"/>
      <c r="M20" s="35">
        <f t="shared" si="10"/>
        <v>5.4119117647058825</v>
      </c>
      <c r="N20" s="5">
        <v>0.05</v>
      </c>
      <c r="O20" s="7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25">
      <c r="A21" s="10"/>
      <c r="B21" s="8"/>
      <c r="C21" s="8"/>
      <c r="D21" s="8" t="s">
        <v>43</v>
      </c>
      <c r="E21" s="8"/>
      <c r="F21" s="23">
        <f t="shared" si="9"/>
        <v>6672525.1656060945</v>
      </c>
      <c r="G21" s="8"/>
      <c r="H21" s="8"/>
      <c r="I21" s="5">
        <v>4.1999999999999997E-3</v>
      </c>
      <c r="J21" s="8"/>
      <c r="K21" s="8"/>
      <c r="L21" s="8"/>
      <c r="M21" s="35">
        <f t="shared" si="10"/>
        <v>4.2092647058823527</v>
      </c>
      <c r="N21" s="10"/>
      <c r="O21" s="7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25">
      <c r="A22" s="6" t="s">
        <v>44</v>
      </c>
      <c r="B22" s="8"/>
      <c r="C22" s="8"/>
      <c r="D22" s="8"/>
      <c r="E22" s="8"/>
      <c r="F22" s="23">
        <f t="shared" si="9"/>
        <v>6035526.1032325756</v>
      </c>
      <c r="G22" s="8"/>
      <c r="H22" s="8"/>
      <c r="I22" s="5">
        <v>4.1999999999999997E-3</v>
      </c>
      <c r="J22" s="8"/>
      <c r="K22" s="8"/>
      <c r="L22" s="8"/>
      <c r="M22" s="35">
        <f t="shared" si="10"/>
        <v>3.4439438502673805</v>
      </c>
      <c r="N22" s="6" t="s">
        <v>45</v>
      </c>
      <c r="O22" s="7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25">
      <c r="A23" s="5">
        <v>5.3</v>
      </c>
      <c r="B23" s="8"/>
      <c r="C23" s="8"/>
      <c r="D23" s="8"/>
      <c r="E23" s="8"/>
      <c r="F23" s="23">
        <f t="shared" si="9"/>
        <v>5551876.5280192206</v>
      </c>
      <c r="G23" s="8"/>
      <c r="H23" s="8"/>
      <c r="I23" s="5">
        <v>4.1999999999999997E-3</v>
      </c>
      <c r="J23" s="8"/>
      <c r="K23" s="8"/>
      <c r="L23" s="8"/>
      <c r="M23" s="35">
        <f t="shared" si="10"/>
        <v>2.914106334841629</v>
      </c>
      <c r="N23" s="5">
        <f>M3/(0.5*C3*C3*A8*A5)</f>
        <v>1.4210324923264647E-2</v>
      </c>
      <c r="O23" s="7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25">
      <c r="A24" s="10"/>
      <c r="B24" s="8"/>
      <c r="C24" s="8"/>
      <c r="D24" s="8"/>
      <c r="E24" s="8"/>
      <c r="F24" s="23">
        <f t="shared" si="9"/>
        <v>5168515.7687084582</v>
      </c>
      <c r="G24" s="8"/>
      <c r="H24" s="8"/>
      <c r="I24" s="5">
        <v>4.4999999999999997E-3</v>
      </c>
      <c r="J24" s="8"/>
      <c r="K24" s="8"/>
      <c r="L24" s="8"/>
      <c r="M24" s="35">
        <f t="shared" si="10"/>
        <v>2.7059558823529413</v>
      </c>
      <c r="N24" s="10"/>
      <c r="O24" s="7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3.2" x14ac:dyDescent="0.25">
      <c r="A25" s="6" t="s">
        <v>46</v>
      </c>
      <c r="B25" s="8"/>
      <c r="C25" s="8"/>
      <c r="D25" s="8"/>
      <c r="E25" s="8"/>
      <c r="F25" s="23">
        <f t="shared" si="9"/>
        <v>4854975.1848328058</v>
      </c>
      <c r="G25" s="8"/>
      <c r="H25" s="8"/>
      <c r="I25" s="5">
        <v>4.4999999999999997E-3</v>
      </c>
      <c r="J25" s="8"/>
      <c r="K25" s="8"/>
      <c r="L25" s="8"/>
      <c r="M25" s="35">
        <f t="shared" si="10"/>
        <v>2.3876081314878892</v>
      </c>
      <c r="N25" s="10"/>
      <c r="O25" s="7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3.2" x14ac:dyDescent="0.25">
      <c r="A26" s="5">
        <v>4.5999999999999996</v>
      </c>
      <c r="B26" s="8"/>
      <c r="C26" s="8"/>
      <c r="D26" s="8"/>
      <c r="E26" s="8"/>
      <c r="F26" s="23">
        <f t="shared" si="9"/>
        <v>4592346.7729119416</v>
      </c>
      <c r="G26" s="8"/>
      <c r="H26" s="8"/>
      <c r="I26" s="5">
        <v>4.4999999999999997E-3</v>
      </c>
      <c r="J26" s="8"/>
      <c r="K26" s="8"/>
      <c r="L26" s="8"/>
      <c r="M26" s="35">
        <f t="shared" si="10"/>
        <v>2.1362809597523222</v>
      </c>
      <c r="N26" s="10"/>
      <c r="O26" s="7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3.2" x14ac:dyDescent="0.25">
      <c r="A27" s="10"/>
      <c r="B27" s="8"/>
      <c r="C27" s="8"/>
      <c r="D27" s="8"/>
      <c r="E27" s="8"/>
      <c r="F27" s="23">
        <f t="shared" si="9"/>
        <v>4368193.0925553823</v>
      </c>
      <c r="G27" s="8"/>
      <c r="H27" s="8"/>
      <c r="I27" s="5">
        <v>5.0000000000000001E-3</v>
      </c>
      <c r="J27" s="8"/>
      <c r="K27" s="8"/>
      <c r="L27" s="8"/>
      <c r="M27" s="35">
        <f t="shared" si="10"/>
        <v>2.1475840336134451</v>
      </c>
      <c r="N27" s="10"/>
      <c r="O27" s="7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3.2" x14ac:dyDescent="0.25">
      <c r="A28" s="6" t="s">
        <v>47</v>
      </c>
      <c r="B28" s="8"/>
      <c r="C28" s="8"/>
      <c r="D28" s="8"/>
      <c r="E28" s="8"/>
      <c r="F28" s="23">
        <f t="shared" si="9"/>
        <v>4173953.0255623213</v>
      </c>
      <c r="G28" s="8"/>
      <c r="H28" s="8"/>
      <c r="I28" s="5">
        <v>5.0000000000000001E-3</v>
      </c>
      <c r="J28" s="8"/>
      <c r="K28" s="8"/>
      <c r="L28" s="8"/>
      <c r="M28" s="35">
        <f t="shared" si="10"/>
        <v>1.9608375959079287</v>
      </c>
      <c r="N28" s="10"/>
      <c r="O28" s="7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3.2" x14ac:dyDescent="0.25">
      <c r="A29" s="5"/>
      <c r="B29" s="8"/>
      <c r="C29" s="8"/>
      <c r="D29" s="8"/>
      <c r="E29" s="8"/>
      <c r="F29" s="23">
        <f t="shared" si="9"/>
        <v>4003515.0993636562</v>
      </c>
      <c r="G29" s="8"/>
      <c r="H29" s="8"/>
      <c r="I29" s="5">
        <v>0.01</v>
      </c>
      <c r="J29" s="8"/>
      <c r="K29" s="8"/>
      <c r="L29" s="8"/>
      <c r="M29" s="35">
        <f t="shared" si="10"/>
        <v>3.6079411764705887</v>
      </c>
      <c r="N29" s="10"/>
      <c r="O29" s="7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3.2" x14ac:dyDescent="0.25">
      <c r="A30" s="7"/>
      <c r="B30" s="8"/>
      <c r="C30" s="8"/>
      <c r="D30" s="8"/>
      <c r="E30" s="8"/>
      <c r="F30" s="23">
        <f t="shared" si="9"/>
        <v>3852384.2005372304</v>
      </c>
      <c r="G30" s="8"/>
      <c r="H30" s="8"/>
      <c r="I30" s="5">
        <v>0.01</v>
      </c>
      <c r="J30" s="8"/>
      <c r="K30" s="8"/>
      <c r="L30" s="8"/>
      <c r="M30" s="35">
        <f t="shared" si="10"/>
        <v>3.340686274509804</v>
      </c>
      <c r="N30" s="7"/>
      <c r="O30" s="7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3.2" x14ac:dyDescent="0.25">
      <c r="A31" s="7"/>
      <c r="B31" s="8"/>
      <c r="C31" s="8"/>
      <c r="D31" s="8"/>
      <c r="E31" s="8"/>
      <c r="F31" s="23">
        <f t="shared" si="9"/>
        <v>3595262.6929498161</v>
      </c>
      <c r="G31" s="8"/>
      <c r="H31" s="8"/>
      <c r="I31" s="5">
        <v>1.7999999999999999E-2</v>
      </c>
      <c r="J31" s="8"/>
      <c r="K31" s="8"/>
      <c r="L31" s="8"/>
      <c r="M31" s="35">
        <f t="shared" si="10"/>
        <v>5.2373339658444005</v>
      </c>
      <c r="N31" s="7"/>
      <c r="O31" s="7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3.2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3.2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3.2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3.2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3.2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3.2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3.2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3.2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3.2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3.2" x14ac:dyDescent="0.25">
      <c r="A41" s="8"/>
      <c r="B41" s="8" t="s">
        <v>48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3.2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3.2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3.2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3.2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3.2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3.2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3.2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3.2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3.2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3.2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3.2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3.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3.2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3.2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3.2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3.2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3.2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3.2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.2" x14ac:dyDescent="0.25">
      <c r="A60" s="8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.2" x14ac:dyDescent="0.25">
      <c r="A61" s="8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.2" x14ac:dyDescent="0.25">
      <c r="A62" s="8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.2" x14ac:dyDescent="0.25">
      <c r="A63" s="8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.2" x14ac:dyDescent="0.25">
      <c r="A64" s="8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.2" x14ac:dyDescent="0.25">
      <c r="A65" s="8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.2" x14ac:dyDescent="0.25">
      <c r="A66" s="8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.2" x14ac:dyDescent="0.25">
      <c r="A67" s="8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.2" x14ac:dyDescent="0.25">
      <c r="A68" s="8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.2" x14ac:dyDescent="0.25">
      <c r="A69" s="8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.2" x14ac:dyDescent="0.25">
      <c r="A70" s="8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.2" x14ac:dyDescent="0.25">
      <c r="A71" s="8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.2" x14ac:dyDescent="0.25">
      <c r="A72" s="8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.2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3.2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3.2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3.2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3.2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3.2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3.2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3.2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3.2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3.2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3.2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3.2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3.2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3.2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3.2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3.2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3.2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3.2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3.2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3.2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3.2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3.2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3.2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3.2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3.2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3.2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3.2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3.2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3.2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3.2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3.2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3.2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3.2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3.2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3.2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3.2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3.2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3.2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3.2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3.2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3.2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3.2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3.2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3.2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3.2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3.2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3.2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3.2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3.2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3.2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3.2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3.2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3.2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3.2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3.2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3.2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3.2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3.2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3.2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3.2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3.2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3.2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3.2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3.2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3.2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3.2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3.2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3.2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3.2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3.2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3.2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3.2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3.2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3.2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3.2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3.2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3.2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3.2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3.2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3.2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3.2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3.2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3.2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3.2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3.2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3.2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3.2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3.2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3.2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3.2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3.2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3.2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3.2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3.2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3.2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3.2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3.2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3.2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3.2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3.2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3.2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3.2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3.2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3.2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3.2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3.2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3.2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3.2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3.2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3.2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3.2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3.2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3.2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3.2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3.2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3.2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3.2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3.2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3.2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3.2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3.2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3.2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3.2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3.2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3.2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3.2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3.2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3.2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3.2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3.2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3.2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3.2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3.2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3.2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3.2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3.2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3.2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3.2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3.2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3.2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3.2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3.2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3.2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3.2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3.2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3.2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3.2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3.2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3.2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3.2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3.2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3.2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3.2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3.2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3.2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3.2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3.2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3.2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3.2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3.2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3.2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3.2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3.2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3.2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3.2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3.2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3.2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3.2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3.2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3.2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3.2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3.2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3.2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3.2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3.2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3.2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3.2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3.2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3.2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3.2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3.2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3.2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3.2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3.2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3.2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3.2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3.2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3.2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3.2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3.2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3.2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3.2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3.2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3.2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3.2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3.2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3.2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3.2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3.2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3.2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3.2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3.2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3.2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3.2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3.2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3.2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3.2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3.2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3.2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3.2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3.2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3.2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3.2" x14ac:dyDescent="0.2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3.2" x14ac:dyDescent="0.2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3.2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3.2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3.2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3.2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3.2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3.2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3.2" x14ac:dyDescent="0.2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3.2" x14ac:dyDescent="0.2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3.2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3.2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3.2" x14ac:dyDescent="0.2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3.2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3.2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3.2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3.2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3.2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3.2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3.2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3.2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3.2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3.2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3.2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3.2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3.2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3.2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3.2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3.2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3.2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3.2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3.2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3.2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3.2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3.2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3.2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3.2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3.2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3.2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3.2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3.2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3.2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3.2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3.2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3.2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3.2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3.2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3.2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3.2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3.2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3.2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3.2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3.2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3.2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3.2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3.2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3.2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3.2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3.2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3.2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3.2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3.2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3.2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3.2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3.2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3.2" x14ac:dyDescent="0.2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3.2" x14ac:dyDescent="0.2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3.2" x14ac:dyDescent="0.2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3.2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3.2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3.2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3.2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3.2" x14ac:dyDescent="0.2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3.2" x14ac:dyDescent="0.2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3.2" x14ac:dyDescent="0.2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3.2" x14ac:dyDescent="0.2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3.2" x14ac:dyDescent="0.2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3.2" x14ac:dyDescent="0.2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3.2" x14ac:dyDescent="0.2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3.2" x14ac:dyDescent="0.2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3.2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3.2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3.2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3.2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3.2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3.2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3.2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3.2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3.2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3.2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3.2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3.2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3.2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3.2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3.2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3.2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3.2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3.2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3.2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3.2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3.2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3.2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3.2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3.2" x14ac:dyDescent="0.2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3.2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3.2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3.2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3.2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3.2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3.2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3.2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3.2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3.2" x14ac:dyDescent="0.2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3.2" x14ac:dyDescent="0.2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3.2" x14ac:dyDescent="0.2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3.2" x14ac:dyDescent="0.2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3.2" x14ac:dyDescent="0.2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3.2" x14ac:dyDescent="0.2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3.2" x14ac:dyDescent="0.2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3.2" x14ac:dyDescent="0.2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3.2" x14ac:dyDescent="0.2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3.2" x14ac:dyDescent="0.2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3.2" x14ac:dyDescent="0.2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3.2" x14ac:dyDescent="0.2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3.2" x14ac:dyDescent="0.2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3.2" x14ac:dyDescent="0.2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3.2" x14ac:dyDescent="0.2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3.2" x14ac:dyDescent="0.2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3.2" x14ac:dyDescent="0.2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3.2" x14ac:dyDescent="0.2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3.2" x14ac:dyDescent="0.2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3.2" x14ac:dyDescent="0.2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3.2" x14ac:dyDescent="0.2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3.2" x14ac:dyDescent="0.2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3.2" x14ac:dyDescent="0.2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3.2" x14ac:dyDescent="0.2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3.2" x14ac:dyDescent="0.2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3.2" x14ac:dyDescent="0.2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3.2" x14ac:dyDescent="0.2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3.2" x14ac:dyDescent="0.2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3.2" x14ac:dyDescent="0.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3.2" x14ac:dyDescent="0.2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3.2" x14ac:dyDescent="0.2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3.2" x14ac:dyDescent="0.2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3.2" x14ac:dyDescent="0.2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3.2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3.2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3.2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3.2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3.2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3.2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3.2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3.2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3.2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3.2" x14ac:dyDescent="0.2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3.2" x14ac:dyDescent="0.2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3.2" x14ac:dyDescent="0.2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3.2" x14ac:dyDescent="0.2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3.2" x14ac:dyDescent="0.2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3.2" x14ac:dyDescent="0.2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3.2" x14ac:dyDescent="0.2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3.2" x14ac:dyDescent="0.2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3.2" x14ac:dyDescent="0.2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3.2" x14ac:dyDescent="0.2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3.2" x14ac:dyDescent="0.2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3.2" x14ac:dyDescent="0.2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3.2" x14ac:dyDescent="0.2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3.2" x14ac:dyDescent="0.2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3.2" x14ac:dyDescent="0.2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3.2" x14ac:dyDescent="0.2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3.2" x14ac:dyDescent="0.2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3.2" x14ac:dyDescent="0.2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3.2" x14ac:dyDescent="0.2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3.2" x14ac:dyDescent="0.2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3.2" x14ac:dyDescent="0.2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3.2" x14ac:dyDescent="0.2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3.2" x14ac:dyDescent="0.2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3.2" x14ac:dyDescent="0.2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3.2" x14ac:dyDescent="0.2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3.2" x14ac:dyDescent="0.2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3.2" x14ac:dyDescent="0.2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3.2" x14ac:dyDescent="0.2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3.2" x14ac:dyDescent="0.2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3.2" x14ac:dyDescent="0.2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3.2" x14ac:dyDescent="0.2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3.2" x14ac:dyDescent="0.2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3.2" x14ac:dyDescent="0.2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3.2" x14ac:dyDescent="0.2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3.2" x14ac:dyDescent="0.2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3.2" x14ac:dyDescent="0.2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3.2" x14ac:dyDescent="0.2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3.2" x14ac:dyDescent="0.2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3.2" x14ac:dyDescent="0.2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3.2" x14ac:dyDescent="0.2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3.2" x14ac:dyDescent="0.2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3.2" x14ac:dyDescent="0.2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3.2" x14ac:dyDescent="0.2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3.2" x14ac:dyDescent="0.2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3.2" x14ac:dyDescent="0.2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3.2" x14ac:dyDescent="0.2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3.2" x14ac:dyDescent="0.2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3.2" x14ac:dyDescent="0.2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3.2" x14ac:dyDescent="0.2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3.2" x14ac:dyDescent="0.2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3.2" x14ac:dyDescent="0.2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3.2" x14ac:dyDescent="0.2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3.2" x14ac:dyDescent="0.2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3.2" x14ac:dyDescent="0.2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3.2" x14ac:dyDescent="0.2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3.2" x14ac:dyDescent="0.2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3.2" x14ac:dyDescent="0.2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3.2" x14ac:dyDescent="0.2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3.2" x14ac:dyDescent="0.2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3.2" x14ac:dyDescent="0.2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3.2" x14ac:dyDescent="0.2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3.2" x14ac:dyDescent="0.2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3.2" x14ac:dyDescent="0.2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3.2" x14ac:dyDescent="0.2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3.2" x14ac:dyDescent="0.2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3.2" x14ac:dyDescent="0.2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3.2" x14ac:dyDescent="0.2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3.2" x14ac:dyDescent="0.2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3.2" x14ac:dyDescent="0.2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3.2" x14ac:dyDescent="0.2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3.2" x14ac:dyDescent="0.2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3.2" x14ac:dyDescent="0.2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3.2" x14ac:dyDescent="0.2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3.2" x14ac:dyDescent="0.2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3.2" x14ac:dyDescent="0.2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3.2" x14ac:dyDescent="0.2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3.2" x14ac:dyDescent="0.2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3.2" x14ac:dyDescent="0.2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3.2" x14ac:dyDescent="0.2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3.2" x14ac:dyDescent="0.2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3.2" x14ac:dyDescent="0.2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3.2" x14ac:dyDescent="0.2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3.2" x14ac:dyDescent="0.2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3.2" x14ac:dyDescent="0.2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3.2" x14ac:dyDescent="0.2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3.2" x14ac:dyDescent="0.2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3.2" x14ac:dyDescent="0.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3.2" x14ac:dyDescent="0.2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3.2" x14ac:dyDescent="0.2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3.2" x14ac:dyDescent="0.2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3.2" x14ac:dyDescent="0.2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3.2" x14ac:dyDescent="0.2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3.2" x14ac:dyDescent="0.2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3.2" x14ac:dyDescent="0.2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3.2" x14ac:dyDescent="0.2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3.2" x14ac:dyDescent="0.2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3.2" x14ac:dyDescent="0.2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3.2" x14ac:dyDescent="0.2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3.2" x14ac:dyDescent="0.2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3.2" x14ac:dyDescent="0.2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3.2" x14ac:dyDescent="0.2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3.2" x14ac:dyDescent="0.2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3.2" x14ac:dyDescent="0.2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3.2" x14ac:dyDescent="0.2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3.2" x14ac:dyDescent="0.2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3.2" x14ac:dyDescent="0.2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3.2" x14ac:dyDescent="0.2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3.2" x14ac:dyDescent="0.2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3.2" x14ac:dyDescent="0.2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3.2" x14ac:dyDescent="0.2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3.2" x14ac:dyDescent="0.2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3.2" x14ac:dyDescent="0.2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3.2" x14ac:dyDescent="0.2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3.2" x14ac:dyDescent="0.2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3.2" x14ac:dyDescent="0.2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3.2" x14ac:dyDescent="0.2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3.2" x14ac:dyDescent="0.2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3.2" x14ac:dyDescent="0.2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3.2" x14ac:dyDescent="0.2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3.2" x14ac:dyDescent="0.2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3.2" x14ac:dyDescent="0.2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3.2" x14ac:dyDescent="0.2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3.2" x14ac:dyDescent="0.2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3.2" x14ac:dyDescent="0.2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3.2" x14ac:dyDescent="0.2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3.2" x14ac:dyDescent="0.2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3.2" x14ac:dyDescent="0.2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3.2" x14ac:dyDescent="0.2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3.2" x14ac:dyDescent="0.2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3.2" x14ac:dyDescent="0.2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3.2" x14ac:dyDescent="0.2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3.2" x14ac:dyDescent="0.2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3.2" x14ac:dyDescent="0.2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3.2" x14ac:dyDescent="0.2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3.2" x14ac:dyDescent="0.2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3.2" x14ac:dyDescent="0.2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3.2" x14ac:dyDescent="0.2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3.2" x14ac:dyDescent="0.2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3.2" x14ac:dyDescent="0.2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3.2" x14ac:dyDescent="0.2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3.2" x14ac:dyDescent="0.2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3.2" x14ac:dyDescent="0.2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3.2" x14ac:dyDescent="0.2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3.2" x14ac:dyDescent="0.2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3.2" x14ac:dyDescent="0.2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3.2" x14ac:dyDescent="0.2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3.2" x14ac:dyDescent="0.2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3.2" x14ac:dyDescent="0.2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3.2" x14ac:dyDescent="0.2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3.2" x14ac:dyDescent="0.2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3.2" x14ac:dyDescent="0.2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3.2" x14ac:dyDescent="0.2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3.2" x14ac:dyDescent="0.2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3.2" x14ac:dyDescent="0.2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3.2" x14ac:dyDescent="0.2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3.2" x14ac:dyDescent="0.2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3.2" x14ac:dyDescent="0.2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3.2" x14ac:dyDescent="0.2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3.2" x14ac:dyDescent="0.2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3.2" x14ac:dyDescent="0.2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3.2" x14ac:dyDescent="0.2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3.2" x14ac:dyDescent="0.2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3.2" x14ac:dyDescent="0.2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3.2" x14ac:dyDescent="0.2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3.2" x14ac:dyDescent="0.2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3.2" x14ac:dyDescent="0.2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3.2" x14ac:dyDescent="0.2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3.2" x14ac:dyDescent="0.2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3.2" x14ac:dyDescent="0.2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3.2" x14ac:dyDescent="0.2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3.2" x14ac:dyDescent="0.2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3.2" x14ac:dyDescent="0.2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3.2" x14ac:dyDescent="0.2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3.2" x14ac:dyDescent="0.2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3.2" x14ac:dyDescent="0.2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3.2" x14ac:dyDescent="0.2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3.2" x14ac:dyDescent="0.2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3.2" x14ac:dyDescent="0.2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3.2" x14ac:dyDescent="0.2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3.2" x14ac:dyDescent="0.2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3.2" x14ac:dyDescent="0.2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3.2" x14ac:dyDescent="0.2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3.2" x14ac:dyDescent="0.2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3.2" x14ac:dyDescent="0.2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3.2" x14ac:dyDescent="0.2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3.2" x14ac:dyDescent="0.2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3.2" x14ac:dyDescent="0.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3.2" x14ac:dyDescent="0.2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3.2" x14ac:dyDescent="0.2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3.2" x14ac:dyDescent="0.2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3.2" x14ac:dyDescent="0.2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3.2" x14ac:dyDescent="0.2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3.2" x14ac:dyDescent="0.2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3.2" x14ac:dyDescent="0.2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3.2" x14ac:dyDescent="0.2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3.2" x14ac:dyDescent="0.2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3.2" x14ac:dyDescent="0.2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3.2" x14ac:dyDescent="0.2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3.2" x14ac:dyDescent="0.2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3.2" x14ac:dyDescent="0.2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3.2" x14ac:dyDescent="0.2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3.2" x14ac:dyDescent="0.2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3.2" x14ac:dyDescent="0.2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3.2" x14ac:dyDescent="0.2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3.2" x14ac:dyDescent="0.2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3.2" x14ac:dyDescent="0.2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3.2" x14ac:dyDescent="0.2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3.2" x14ac:dyDescent="0.2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3.2" x14ac:dyDescent="0.2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3.2" x14ac:dyDescent="0.2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3.2" x14ac:dyDescent="0.2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3.2" x14ac:dyDescent="0.2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3.2" x14ac:dyDescent="0.2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3.2" x14ac:dyDescent="0.2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3.2" x14ac:dyDescent="0.2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3.2" x14ac:dyDescent="0.2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3.2" x14ac:dyDescent="0.2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3.2" x14ac:dyDescent="0.2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3.2" x14ac:dyDescent="0.2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3.2" x14ac:dyDescent="0.2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3.2" x14ac:dyDescent="0.2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3.2" x14ac:dyDescent="0.2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3.2" x14ac:dyDescent="0.2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3.2" x14ac:dyDescent="0.2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3.2" x14ac:dyDescent="0.2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3.2" x14ac:dyDescent="0.2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3.2" x14ac:dyDescent="0.2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3.2" x14ac:dyDescent="0.2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3.2" x14ac:dyDescent="0.2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3.2" x14ac:dyDescent="0.2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3.2" x14ac:dyDescent="0.2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3.2" x14ac:dyDescent="0.2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3.2" x14ac:dyDescent="0.2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3.2" x14ac:dyDescent="0.2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3.2" x14ac:dyDescent="0.2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3.2" x14ac:dyDescent="0.2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3.2" x14ac:dyDescent="0.2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3.2" x14ac:dyDescent="0.2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3.2" x14ac:dyDescent="0.2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3.2" x14ac:dyDescent="0.2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3.2" x14ac:dyDescent="0.2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3.2" x14ac:dyDescent="0.2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3.2" x14ac:dyDescent="0.2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3.2" x14ac:dyDescent="0.2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3.2" x14ac:dyDescent="0.2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3.2" x14ac:dyDescent="0.2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3.2" x14ac:dyDescent="0.2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3.2" x14ac:dyDescent="0.2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3.2" x14ac:dyDescent="0.2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3.2" x14ac:dyDescent="0.2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3.2" x14ac:dyDescent="0.2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3.2" x14ac:dyDescent="0.2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3.2" x14ac:dyDescent="0.2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3.2" x14ac:dyDescent="0.2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3.2" x14ac:dyDescent="0.2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3.2" x14ac:dyDescent="0.2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3.2" x14ac:dyDescent="0.2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3.2" x14ac:dyDescent="0.2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3.2" x14ac:dyDescent="0.2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3.2" x14ac:dyDescent="0.2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3.2" x14ac:dyDescent="0.2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3.2" x14ac:dyDescent="0.2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3.2" x14ac:dyDescent="0.2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3.2" x14ac:dyDescent="0.2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3.2" x14ac:dyDescent="0.2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3.2" x14ac:dyDescent="0.2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3.2" x14ac:dyDescent="0.2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3.2" x14ac:dyDescent="0.2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3.2" x14ac:dyDescent="0.2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3.2" x14ac:dyDescent="0.2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3.2" x14ac:dyDescent="0.2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3.2" x14ac:dyDescent="0.2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3.2" x14ac:dyDescent="0.2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3.2" x14ac:dyDescent="0.2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3.2" x14ac:dyDescent="0.2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3.2" x14ac:dyDescent="0.2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3.2" x14ac:dyDescent="0.2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3.2" x14ac:dyDescent="0.2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3.2" x14ac:dyDescent="0.2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3.2" x14ac:dyDescent="0.2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3.2" x14ac:dyDescent="0.2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3.2" x14ac:dyDescent="0.2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3.2" x14ac:dyDescent="0.2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3.2" x14ac:dyDescent="0.2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3.2" x14ac:dyDescent="0.2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3.2" x14ac:dyDescent="0.2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3.2" x14ac:dyDescent="0.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3.2" x14ac:dyDescent="0.2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3.2" x14ac:dyDescent="0.2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3.2" x14ac:dyDescent="0.2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3.2" x14ac:dyDescent="0.2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3.2" x14ac:dyDescent="0.2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3.2" x14ac:dyDescent="0.2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3.2" x14ac:dyDescent="0.2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3.2" x14ac:dyDescent="0.2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3.2" x14ac:dyDescent="0.2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3.2" x14ac:dyDescent="0.2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3.2" x14ac:dyDescent="0.2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3.2" x14ac:dyDescent="0.2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3.2" x14ac:dyDescent="0.2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3.2" x14ac:dyDescent="0.2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3.2" x14ac:dyDescent="0.2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3.2" x14ac:dyDescent="0.2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3.2" x14ac:dyDescent="0.2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3.2" x14ac:dyDescent="0.2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3.2" x14ac:dyDescent="0.2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3.2" x14ac:dyDescent="0.2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3.2" x14ac:dyDescent="0.2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3.2" x14ac:dyDescent="0.2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3.2" x14ac:dyDescent="0.2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3.2" x14ac:dyDescent="0.2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3.2" x14ac:dyDescent="0.2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3.2" x14ac:dyDescent="0.2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3.2" x14ac:dyDescent="0.2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3.2" x14ac:dyDescent="0.2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3.2" x14ac:dyDescent="0.2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3.2" x14ac:dyDescent="0.2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3.2" x14ac:dyDescent="0.2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3.2" x14ac:dyDescent="0.2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3.2" x14ac:dyDescent="0.2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3.2" x14ac:dyDescent="0.2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3.2" x14ac:dyDescent="0.2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3.2" x14ac:dyDescent="0.2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3.2" x14ac:dyDescent="0.2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3.2" x14ac:dyDescent="0.2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3.2" x14ac:dyDescent="0.2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3.2" x14ac:dyDescent="0.2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3.2" x14ac:dyDescent="0.2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3.2" x14ac:dyDescent="0.2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3.2" x14ac:dyDescent="0.2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3.2" x14ac:dyDescent="0.2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3.2" x14ac:dyDescent="0.2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3.2" x14ac:dyDescent="0.2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3.2" x14ac:dyDescent="0.2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3.2" x14ac:dyDescent="0.2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3.2" x14ac:dyDescent="0.2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3.2" x14ac:dyDescent="0.2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3.2" x14ac:dyDescent="0.2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3.2" x14ac:dyDescent="0.2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3.2" x14ac:dyDescent="0.2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3.2" x14ac:dyDescent="0.2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3.2" x14ac:dyDescent="0.2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3.2" x14ac:dyDescent="0.2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3.2" x14ac:dyDescent="0.2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3.2" x14ac:dyDescent="0.2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3.2" x14ac:dyDescent="0.2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3.2" x14ac:dyDescent="0.2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3.2" x14ac:dyDescent="0.2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3.2" x14ac:dyDescent="0.2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3.2" x14ac:dyDescent="0.2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3.2" x14ac:dyDescent="0.2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3.2" x14ac:dyDescent="0.2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3.2" x14ac:dyDescent="0.2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3.2" x14ac:dyDescent="0.2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3.2" x14ac:dyDescent="0.2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3.2" x14ac:dyDescent="0.2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3.2" x14ac:dyDescent="0.2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3.2" x14ac:dyDescent="0.2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3.2" x14ac:dyDescent="0.2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3.2" x14ac:dyDescent="0.2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3.2" x14ac:dyDescent="0.2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3.2" x14ac:dyDescent="0.2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3.2" x14ac:dyDescent="0.2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3.2" x14ac:dyDescent="0.2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3.2" x14ac:dyDescent="0.2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3.2" x14ac:dyDescent="0.2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3.2" x14ac:dyDescent="0.2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3.2" x14ac:dyDescent="0.2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3.2" x14ac:dyDescent="0.2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3.2" x14ac:dyDescent="0.2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3.2" x14ac:dyDescent="0.2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3.2" x14ac:dyDescent="0.2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3.2" x14ac:dyDescent="0.2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3.2" x14ac:dyDescent="0.2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3.2" x14ac:dyDescent="0.2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3.2" x14ac:dyDescent="0.2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3.2" x14ac:dyDescent="0.2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3.2" x14ac:dyDescent="0.2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3.2" x14ac:dyDescent="0.2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3.2" x14ac:dyDescent="0.2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3.2" x14ac:dyDescent="0.2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3.2" x14ac:dyDescent="0.2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3.2" x14ac:dyDescent="0.2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3.2" x14ac:dyDescent="0.2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3.2" x14ac:dyDescent="0.2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3.2" x14ac:dyDescent="0.2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3.2" x14ac:dyDescent="0.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3.2" x14ac:dyDescent="0.2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3.2" x14ac:dyDescent="0.2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3.2" x14ac:dyDescent="0.2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3.2" x14ac:dyDescent="0.2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3.2" x14ac:dyDescent="0.2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3.2" x14ac:dyDescent="0.2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3.2" x14ac:dyDescent="0.2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3.2" x14ac:dyDescent="0.2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3.2" x14ac:dyDescent="0.2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3.2" x14ac:dyDescent="0.2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3.2" x14ac:dyDescent="0.2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3.2" x14ac:dyDescent="0.2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3.2" x14ac:dyDescent="0.2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3.2" x14ac:dyDescent="0.2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3.2" x14ac:dyDescent="0.2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3.2" x14ac:dyDescent="0.2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3.2" x14ac:dyDescent="0.2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3.2" x14ac:dyDescent="0.2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3.2" x14ac:dyDescent="0.2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3.2" x14ac:dyDescent="0.2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3.2" x14ac:dyDescent="0.2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3.2" x14ac:dyDescent="0.2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3.2" x14ac:dyDescent="0.2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3.2" x14ac:dyDescent="0.2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3.2" x14ac:dyDescent="0.2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3.2" x14ac:dyDescent="0.2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3.2" x14ac:dyDescent="0.2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3.2" x14ac:dyDescent="0.2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3.2" x14ac:dyDescent="0.2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3.2" x14ac:dyDescent="0.2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3.2" x14ac:dyDescent="0.2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3.2" x14ac:dyDescent="0.2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3.2" x14ac:dyDescent="0.2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3.2" x14ac:dyDescent="0.2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3.2" x14ac:dyDescent="0.2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3.2" x14ac:dyDescent="0.2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3.2" x14ac:dyDescent="0.2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3.2" x14ac:dyDescent="0.2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3.2" x14ac:dyDescent="0.2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3.2" x14ac:dyDescent="0.2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3.2" x14ac:dyDescent="0.2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3.2" x14ac:dyDescent="0.2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3.2" x14ac:dyDescent="0.2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3.2" x14ac:dyDescent="0.2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3.2" x14ac:dyDescent="0.2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3.2" x14ac:dyDescent="0.2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3.2" x14ac:dyDescent="0.2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3.2" x14ac:dyDescent="0.2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3.2" x14ac:dyDescent="0.2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3.2" x14ac:dyDescent="0.2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3.2" x14ac:dyDescent="0.2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3.2" x14ac:dyDescent="0.2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3.2" x14ac:dyDescent="0.2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3.2" x14ac:dyDescent="0.2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3.2" x14ac:dyDescent="0.2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3.2" x14ac:dyDescent="0.2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3.2" x14ac:dyDescent="0.2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3.2" x14ac:dyDescent="0.2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3.2" x14ac:dyDescent="0.2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3.2" x14ac:dyDescent="0.2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3.2" x14ac:dyDescent="0.2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3.2" x14ac:dyDescent="0.2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3.2" x14ac:dyDescent="0.2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3.2" x14ac:dyDescent="0.2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3.2" x14ac:dyDescent="0.2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3.2" x14ac:dyDescent="0.2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3.2" x14ac:dyDescent="0.2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3.2" x14ac:dyDescent="0.2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3.2" x14ac:dyDescent="0.2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3.2" x14ac:dyDescent="0.2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3.2" x14ac:dyDescent="0.2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3.2" x14ac:dyDescent="0.2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3.2" x14ac:dyDescent="0.2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3.2" x14ac:dyDescent="0.2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3.2" x14ac:dyDescent="0.2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3.2" x14ac:dyDescent="0.2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3.2" x14ac:dyDescent="0.2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3.2" x14ac:dyDescent="0.2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3.2" x14ac:dyDescent="0.2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3.2" x14ac:dyDescent="0.2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3.2" x14ac:dyDescent="0.2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3.2" x14ac:dyDescent="0.2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3.2" x14ac:dyDescent="0.2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3.2" x14ac:dyDescent="0.2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3.2" x14ac:dyDescent="0.2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3.2" x14ac:dyDescent="0.2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3.2" x14ac:dyDescent="0.2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3.2" x14ac:dyDescent="0.2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3.2" x14ac:dyDescent="0.2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3.2" x14ac:dyDescent="0.2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3.2" x14ac:dyDescent="0.2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3.2" x14ac:dyDescent="0.2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3.2" x14ac:dyDescent="0.2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3.2" x14ac:dyDescent="0.2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3.2" x14ac:dyDescent="0.2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3.2" x14ac:dyDescent="0.2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3.2" x14ac:dyDescent="0.2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3.2" x14ac:dyDescent="0.2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3.2" x14ac:dyDescent="0.2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3.2" x14ac:dyDescent="0.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3.2" x14ac:dyDescent="0.2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3.2" x14ac:dyDescent="0.2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3.2" x14ac:dyDescent="0.2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3.2" x14ac:dyDescent="0.2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3.2" x14ac:dyDescent="0.2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3.2" x14ac:dyDescent="0.2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3.2" x14ac:dyDescent="0.2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3.2" x14ac:dyDescent="0.2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3.2" x14ac:dyDescent="0.2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3.2" x14ac:dyDescent="0.2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3.2" x14ac:dyDescent="0.2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3.2" x14ac:dyDescent="0.2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3.2" x14ac:dyDescent="0.2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3.2" x14ac:dyDescent="0.2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3.2" x14ac:dyDescent="0.2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3.2" x14ac:dyDescent="0.2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3.2" x14ac:dyDescent="0.2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3.2" x14ac:dyDescent="0.2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3.2" x14ac:dyDescent="0.2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3.2" x14ac:dyDescent="0.2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3.2" x14ac:dyDescent="0.2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3.2" x14ac:dyDescent="0.2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3.2" x14ac:dyDescent="0.2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3.2" x14ac:dyDescent="0.2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3.2" x14ac:dyDescent="0.2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3.2" x14ac:dyDescent="0.2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3.2" x14ac:dyDescent="0.2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3.2" x14ac:dyDescent="0.2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3.2" x14ac:dyDescent="0.2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3.2" x14ac:dyDescent="0.2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3.2" x14ac:dyDescent="0.2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3.2" x14ac:dyDescent="0.2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3.2" x14ac:dyDescent="0.2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3.2" x14ac:dyDescent="0.2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3.2" x14ac:dyDescent="0.2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3.2" x14ac:dyDescent="0.2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3.2" x14ac:dyDescent="0.2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3.2" x14ac:dyDescent="0.2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3.2" x14ac:dyDescent="0.2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3.2" x14ac:dyDescent="0.2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3.2" x14ac:dyDescent="0.2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3.2" x14ac:dyDescent="0.2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3.2" x14ac:dyDescent="0.2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3.2" x14ac:dyDescent="0.2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3.2" x14ac:dyDescent="0.2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3.2" x14ac:dyDescent="0.2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3.2" x14ac:dyDescent="0.2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3.2" x14ac:dyDescent="0.2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3.2" x14ac:dyDescent="0.2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3.2" x14ac:dyDescent="0.2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3.2" x14ac:dyDescent="0.2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3.2" x14ac:dyDescent="0.2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3.2" x14ac:dyDescent="0.2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3.2" x14ac:dyDescent="0.2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3.2" x14ac:dyDescent="0.2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3.2" x14ac:dyDescent="0.2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3.2" x14ac:dyDescent="0.2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3.2" x14ac:dyDescent="0.2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3.2" x14ac:dyDescent="0.2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3.2" x14ac:dyDescent="0.2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3.2" x14ac:dyDescent="0.2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3.2" x14ac:dyDescent="0.2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3.2" x14ac:dyDescent="0.25">
      <c r="A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3.2" x14ac:dyDescent="0.25">
      <c r="A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3.2" x14ac:dyDescent="0.25">
      <c r="A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3.2" x14ac:dyDescent="0.25">
      <c r="A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3.2" x14ac:dyDescent="0.25">
      <c r="A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3.2" x14ac:dyDescent="0.25">
      <c r="A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3.2" x14ac:dyDescent="0.25">
      <c r="A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3.2" x14ac:dyDescent="0.25">
      <c r="A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3.2" x14ac:dyDescent="0.25">
      <c r="A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3.2" x14ac:dyDescent="0.25">
      <c r="A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3.2" x14ac:dyDescent="0.25">
      <c r="A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3.2" x14ac:dyDescent="0.25">
      <c r="A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3.2" x14ac:dyDescent="0.25">
      <c r="A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autoFilter ref="A16:A17" xr:uid="{00000000-0009-0000-0000-000002000000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selection activeCell="I7" sqref="I7"/>
    </sheetView>
  </sheetViews>
  <sheetFormatPr defaultColWidth="12.5546875" defaultRowHeight="15.75" customHeight="1" x14ac:dyDescent="0.25"/>
  <cols>
    <col min="1" max="1" width="15.6640625" customWidth="1"/>
  </cols>
  <sheetData>
    <row r="1" spans="1:26" ht="15.75" customHeight="1" x14ac:dyDescent="0.25">
      <c r="A1" s="16" t="s">
        <v>49</v>
      </c>
      <c r="B1" s="16" t="s">
        <v>50</v>
      </c>
      <c r="C1" s="16" t="s">
        <v>51</v>
      </c>
      <c r="D1" s="16" t="s">
        <v>52</v>
      </c>
      <c r="E1" s="16" t="s">
        <v>53</v>
      </c>
      <c r="F1" s="16" t="s">
        <v>54</v>
      </c>
      <c r="G1" s="17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3">
        <v>23.8</v>
      </c>
      <c r="B2" s="5">
        <v>0.2</v>
      </c>
      <c r="C2" s="3">
        <f>Wing!C2</f>
        <v>241.15422747566447</v>
      </c>
      <c r="D2" s="3">
        <f>(Wing!$A$5*$A$2*C2/(Wing!$A$20*10^-7))</f>
        <v>36507149.181936786</v>
      </c>
      <c r="E2" s="3">
        <f t="shared" ref="E2:E15" si="0">0.074/(D2^0.2)</f>
        <v>2.2738202801513598E-3</v>
      </c>
      <c r="F2" s="18">
        <f>0.5*E2*$A$5*Wing!$A$5*C2*C2</f>
        <v>147.37311381745005</v>
      </c>
      <c r="G2" s="17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17"/>
      <c r="B3" s="5">
        <f>B2+0.05</f>
        <v>0.25</v>
      </c>
      <c r="C3" s="3">
        <f>Wing!C3</f>
        <v>215.69489827881333</v>
      </c>
      <c r="D3" s="3">
        <f>(Wing!$A$5*$A$2*C3/(Wing!$A$20*10^-7))</f>
        <v>32652986.8942146</v>
      </c>
      <c r="E3" s="3">
        <f t="shared" si="0"/>
        <v>2.3251294498897296E-3</v>
      </c>
      <c r="F3" s="18">
        <f>0.5*E3*$A$5*Wing!$A$5*C3*C3</f>
        <v>120.55889202856244</v>
      </c>
      <c r="G3" s="17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16" t="s">
        <v>30</v>
      </c>
      <c r="B4" s="5">
        <f t="shared" ref="B4:B14" si="1">(B3+0.1)</f>
        <v>0.35</v>
      </c>
      <c r="C4" s="3">
        <f>Wing!C4</f>
        <v>182.29546100357368</v>
      </c>
      <c r="D4" s="3">
        <f>(Wing!$A$5*$A$2*C4/(Wing!$A$20*10^-7))</f>
        <v>27596810.80323996</v>
      </c>
      <c r="E4" s="3">
        <f t="shared" si="0"/>
        <v>2.4046946684761717E-3</v>
      </c>
      <c r="F4" s="18">
        <f>0.5*E4*$A$5*Wing!$A$5*C4*C4</f>
        <v>89.060271741683493</v>
      </c>
      <c r="G4" s="1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">
        <v>937.72</v>
      </c>
      <c r="B5" s="5">
        <f t="shared" si="1"/>
        <v>0.44999999999999996</v>
      </c>
      <c r="C5" s="3">
        <f>Wing!C5</f>
        <v>160.76948498377632</v>
      </c>
      <c r="D5" s="3">
        <f>(Wing!$A$5*$A$2*C5/(Wing!$A$20*10^-7))</f>
        <v>24338099.454624526</v>
      </c>
      <c r="E5" s="3">
        <f t="shared" si="0"/>
        <v>2.4658939066009937E-3</v>
      </c>
      <c r="F5" s="18">
        <f>0.5*E5*$A$5*Wing!$A$5*C5*C5</f>
        <v>71.031991897124527</v>
      </c>
      <c r="G5" s="1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17"/>
      <c r="B6" s="5">
        <f t="shared" si="1"/>
        <v>0.54999999999999993</v>
      </c>
      <c r="C6" s="3">
        <f>Wing!C6</f>
        <v>145.42147075359895</v>
      </c>
      <c r="D6" s="3">
        <f>(Wing!$A$5*$A$2*C6/(Wing!$A$20*10^-7))</f>
        <v>22014639.273093533</v>
      </c>
      <c r="E6" s="3">
        <f t="shared" si="0"/>
        <v>2.5158770009484437E-3</v>
      </c>
      <c r="F6" s="18">
        <f>0.5*E6*$A$5*Wing!$A$5*C6*C6</f>
        <v>59.295104022716913</v>
      </c>
      <c r="G6" s="1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17"/>
      <c r="B7" s="5">
        <f t="shared" si="1"/>
        <v>0.64999999999999991</v>
      </c>
      <c r="C7" s="3">
        <f>Wing!C7</f>
        <v>133.76829730129464</v>
      </c>
      <c r="D7" s="3">
        <f>(Wing!$A$5*$A$2*C7/(Wing!$A$20*10^-7))</f>
        <v>20250522.814844053</v>
      </c>
      <c r="E7" s="3">
        <f t="shared" si="0"/>
        <v>2.5582587706664689E-3</v>
      </c>
      <c r="F7" s="18">
        <f>0.5*E7*$A$5*Wing!$A$5*C7*C7</f>
        <v>51.017977139447957</v>
      </c>
      <c r="G7" s="1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17"/>
      <c r="B8" s="5">
        <f t="shared" si="1"/>
        <v>0.74999999999999989</v>
      </c>
      <c r="C8" s="3">
        <f>Wing!C8</f>
        <v>124.53150758410183</v>
      </c>
      <c r="D8" s="3">
        <f>(Wing!$A$5*$A$2*C8/(Wing!$A$20*10^-7))</f>
        <v>18852210.773220122</v>
      </c>
      <c r="E8" s="3">
        <f t="shared" si="0"/>
        <v>2.5951308616506317E-3</v>
      </c>
      <c r="F8" s="18">
        <f>0.5*E8*$A$5*Wing!$A$5*C8*C8</f>
        <v>44.852857742976639</v>
      </c>
      <c r="G8" s="1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17"/>
      <c r="B9" s="5">
        <f t="shared" si="1"/>
        <v>0.84999999999999987</v>
      </c>
      <c r="C9" s="3">
        <f>Wing!C9</f>
        <v>116.97698258192862</v>
      </c>
      <c r="D9" s="3">
        <f>(Wing!$A$5*$A$2*C9/(Wing!$A$20*10^-7))</f>
        <v>17708568.490271382</v>
      </c>
      <c r="E9" s="3">
        <f t="shared" si="0"/>
        <v>2.6278164600597926E-3</v>
      </c>
      <c r="F9" s="18">
        <f>0.5*E9*$A$5*Wing!$A$5*C9*C9</f>
        <v>40.074510170789488</v>
      </c>
      <c r="G9" s="1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17"/>
      <c r="B10" s="5">
        <f t="shared" si="1"/>
        <v>0.94999999999999984</v>
      </c>
      <c r="C10" s="3">
        <f>Wing!C10</f>
        <v>110.64914814463593</v>
      </c>
      <c r="D10" s="3">
        <f>(Wing!$A$5*$A$2*C10/(Wing!$A$20*10^-7))</f>
        <v>16750628.842192216</v>
      </c>
      <c r="E10" s="3">
        <f t="shared" si="0"/>
        <v>2.6572076653039321E-3</v>
      </c>
      <c r="F10" s="18">
        <f>0.5*E10*$A$5*Wing!$A$5*C10*C10</f>
        <v>36.257179033967113</v>
      </c>
      <c r="G10" s="1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17"/>
      <c r="B11" s="5">
        <f t="shared" si="1"/>
        <v>1.0499999999999998</v>
      </c>
      <c r="C11" s="3">
        <f>Wing!C11</f>
        <v>105.24833348246018</v>
      </c>
      <c r="D11" s="3">
        <f>(Wing!$A$5*$A$2*C11/(Wing!$A$20*10^-7))</f>
        <v>15933026.146025762</v>
      </c>
      <c r="E11" s="3">
        <f t="shared" si="0"/>
        <v>2.6839354459620322E-3</v>
      </c>
      <c r="F11" s="18">
        <f>0.5*E11*$A$5*Wing!$A$5*C11*C11</f>
        <v>33.134077725549936</v>
      </c>
      <c r="G11" s="1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17"/>
      <c r="B12" s="5">
        <f t="shared" si="1"/>
        <v>1.1499999999999999</v>
      </c>
      <c r="C12" s="3">
        <f>Wing!C12</f>
        <v>100.56826487894941</v>
      </c>
      <c r="D12" s="3">
        <f>(Wing!$A$5*$A$2*C12/(Wing!$A$20*10^-7))</f>
        <v>15224533.641131533</v>
      </c>
      <c r="E12" s="3">
        <f t="shared" si="0"/>
        <v>2.7084630809454495E-3</v>
      </c>
      <c r="F12" s="18">
        <f>0.5*E12*$A$5*Wing!$A$5*C12*C12</f>
        <v>30.529324811359551</v>
      </c>
      <c r="G12" s="1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17"/>
      <c r="B13" s="5">
        <f t="shared" si="1"/>
        <v>1.25</v>
      </c>
      <c r="C13" s="3">
        <f>Wing!C13</f>
        <v>96.461690990265794</v>
      </c>
      <c r="D13" s="3">
        <f>(Wing!$A$5*$A$2*C13/(Wing!$A$20*10^-7))</f>
        <v>14602859.672774713</v>
      </c>
      <c r="E13" s="3">
        <f t="shared" si="0"/>
        <v>2.731141096972302E-3</v>
      </c>
      <c r="F13" s="18">
        <f>0.5*E13*$A$5*Wing!$A$5*C13*C13</f>
        <v>28.32215166689053</v>
      </c>
      <c r="G13" s="1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17"/>
      <c r="B14" s="5">
        <f t="shared" si="1"/>
        <v>1.35</v>
      </c>
      <c r="C14" s="3">
        <f>Wing!C14</f>
        <v>92.820305432860764</v>
      </c>
      <c r="D14" s="3">
        <f>(Wing!$A$5*$A$2*C14/(Wing!$A$20*10^-7))</f>
        <v>14051608.271691354</v>
      </c>
      <c r="E14" s="3">
        <f t="shared" si="0"/>
        <v>2.752241333866365E-3</v>
      </c>
      <c r="F14" s="18">
        <f>0.5*E14*$A$5*Wing!$A$5*C14*C14</f>
        <v>26.426817418056402</v>
      </c>
      <c r="G14" s="1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17"/>
      <c r="B15" s="5">
        <f>B14+0.2</f>
        <v>1.55</v>
      </c>
      <c r="C15" s="3">
        <f>Wing!C15</f>
        <v>86.625155721600592</v>
      </c>
      <c r="D15" s="3">
        <f>(Wing!$A$5*$A$2*C15/(Wing!$A$20*10^-7))</f>
        <v>13113755.109916568</v>
      </c>
      <c r="E15" s="3">
        <f t="shared" si="0"/>
        <v>2.7905274944298622E-3</v>
      </c>
      <c r="F15" s="18">
        <f>0.5*E15*$A$5*Wing!$A$5*C15*C15</f>
        <v>23.337091418900982</v>
      </c>
      <c r="G15" s="1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17"/>
      <c r="B16" s="17"/>
      <c r="C16" s="17"/>
      <c r="D16" s="17"/>
      <c r="E16" s="17"/>
      <c r="F16" s="17"/>
      <c r="G16" s="1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16" t="s">
        <v>55</v>
      </c>
      <c r="B17" s="3"/>
      <c r="C17" s="3"/>
      <c r="D17" s="16" t="s">
        <v>56</v>
      </c>
      <c r="E17" s="16" t="s">
        <v>57</v>
      </c>
      <c r="F17" s="16" t="s">
        <v>58</v>
      </c>
      <c r="G17" s="1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3">
        <f>0.5^2*3.14</f>
        <v>0.78500000000000003</v>
      </c>
      <c r="B18" s="3"/>
      <c r="C18" s="3"/>
      <c r="D18" s="18">
        <f t="shared" ref="D18:D31" si="2">E18+F18</f>
        <v>124.2493382352941</v>
      </c>
      <c r="E18" s="18">
        <f>0.5*$A$21*C2*C2*Wing!$A$5*0.25</f>
        <v>69.449411764705872</v>
      </c>
      <c r="F18" s="18">
        <f>0.5*$A$18*C2*C2*Wing!$A$5*1.01</f>
        <v>54.799926470588233</v>
      </c>
      <c r="G18" s="1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17"/>
      <c r="B19" s="3"/>
      <c r="C19" s="3"/>
      <c r="D19" s="18">
        <f t="shared" si="2"/>
        <v>99.399470588235289</v>
      </c>
      <c r="E19" s="18">
        <f>0.5*$A$21*C3*C3*Wing!$A$5*0.25</f>
        <v>55.559529411764707</v>
      </c>
      <c r="F19" s="18">
        <f>0.5*$A$18*C3*C3*Wing!$A$5*1.01</f>
        <v>43.839941176470589</v>
      </c>
      <c r="G19" s="1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16" t="s">
        <v>59</v>
      </c>
      <c r="B20" s="3"/>
      <c r="C20" s="3"/>
      <c r="D20" s="18">
        <f t="shared" si="2"/>
        <v>70.999621848739508</v>
      </c>
      <c r="E20" s="18">
        <f>0.5*$A$21*C4*C4*Wing!$A$5*0.25</f>
        <v>39.685378151260508</v>
      </c>
      <c r="F20" s="18">
        <f>0.5*$A$18*C4*C4*Wing!$A$5*1.01</f>
        <v>31.314243697478997</v>
      </c>
      <c r="G20" s="1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>
        <f>2*3.14*(0.8^2)</f>
        <v>4.0192000000000005</v>
      </c>
      <c r="B21" s="3"/>
      <c r="C21" s="3"/>
      <c r="D21" s="18">
        <f t="shared" si="2"/>
        <v>55.221928104575156</v>
      </c>
      <c r="E21" s="18">
        <f>0.5*$A$21*C5*C5*Wing!$A$5*0.25</f>
        <v>30.866405228758168</v>
      </c>
      <c r="F21" s="18">
        <f>0.5*$A$18*C5*C5*Wing!$A$5*1.01</f>
        <v>24.355522875816991</v>
      </c>
      <c r="G21" s="1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17"/>
      <c r="B22" s="3"/>
      <c r="C22" s="3"/>
      <c r="D22" s="18">
        <f t="shared" si="2"/>
        <v>45.181577540106971</v>
      </c>
      <c r="E22" s="18">
        <f>0.5*$A$21*C6*C6*Wing!$A$5*0.25</f>
        <v>25.254331550802149</v>
      </c>
      <c r="F22" s="18">
        <f>0.5*$A$18*C6*C6*Wing!$A$5*1.01</f>
        <v>19.927245989304819</v>
      </c>
      <c r="G22" s="1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17"/>
      <c r="B23" s="3"/>
      <c r="C23" s="3"/>
      <c r="D23" s="18">
        <f t="shared" si="2"/>
        <v>38.230565610859728</v>
      </c>
      <c r="E23" s="18">
        <f>0.5*$A$21*C7*C7*Wing!$A$5*0.25</f>
        <v>21.369049773755656</v>
      </c>
      <c r="F23" s="18">
        <f>0.5*$A$18*C7*C7*Wing!$A$5*1.01</f>
        <v>16.861515837104072</v>
      </c>
      <c r="G23" s="1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17"/>
      <c r="B24" s="3"/>
      <c r="C24" s="3"/>
      <c r="D24" s="18">
        <f t="shared" si="2"/>
        <v>33.133156862745103</v>
      </c>
      <c r="E24" s="18">
        <f>0.5*$A$21*C8*C8*Wing!$A$5*0.25</f>
        <v>18.519843137254906</v>
      </c>
      <c r="F24" s="18">
        <f>0.5*$A$18*C8*C8*Wing!$A$5*1.01</f>
        <v>14.613313725490197</v>
      </c>
      <c r="G24" s="1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2" x14ac:dyDescent="0.25">
      <c r="A25" s="17"/>
      <c r="B25" s="3"/>
      <c r="C25" s="3"/>
      <c r="D25" s="18">
        <f t="shared" si="2"/>
        <v>29.235138408304501</v>
      </c>
      <c r="E25" s="18">
        <f>0.5*$A$21*C9*C9*Wing!$A$5*0.25</f>
        <v>16.34103806228374</v>
      </c>
      <c r="F25" s="18">
        <f>0.5*$A$18*C9*C9*Wing!$A$5*1.01</f>
        <v>12.894100346020762</v>
      </c>
      <c r="G25" s="1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2" x14ac:dyDescent="0.25">
      <c r="A26" s="17"/>
      <c r="B26" s="3"/>
      <c r="C26" s="3"/>
      <c r="D26" s="18">
        <f t="shared" si="2"/>
        <v>26.157755417956661</v>
      </c>
      <c r="E26" s="18">
        <f>0.5*$A$21*C10*C10*Wing!$A$5*0.25</f>
        <v>14.620928792569662</v>
      </c>
      <c r="F26" s="18">
        <f>0.5*$A$18*C10*C10*Wing!$A$5*1.01</f>
        <v>11.536826625386999</v>
      </c>
      <c r="G26" s="1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2" x14ac:dyDescent="0.25">
      <c r="A27" s="17"/>
      <c r="B27" s="3"/>
      <c r="C27" s="3"/>
      <c r="D27" s="18">
        <f t="shared" si="2"/>
        <v>23.6665406162465</v>
      </c>
      <c r="E27" s="18">
        <f>0.5*$A$21*C11*C11*Wing!$A$5*0.25</f>
        <v>13.228459383753503</v>
      </c>
      <c r="F27" s="18">
        <f>0.5*$A$18*C11*C11*Wing!$A$5*1.01</f>
        <v>10.438081232492996</v>
      </c>
      <c r="G27" s="17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2" x14ac:dyDescent="0.25">
      <c r="A28" s="17"/>
      <c r="B28" s="3"/>
      <c r="C28" s="3"/>
      <c r="D28" s="18">
        <f t="shared" si="2"/>
        <v>21.608580562659849</v>
      </c>
      <c r="E28" s="18">
        <f>0.5*$A$21*C12*C12*Wing!$A$5*0.25</f>
        <v>12.078158567774938</v>
      </c>
      <c r="F28" s="18">
        <f>0.5*$A$18*C12*C12*Wing!$A$5*1.01</f>
        <v>9.5304219948849109</v>
      </c>
      <c r="G28" s="17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2" x14ac:dyDescent="0.25">
      <c r="A29" s="17"/>
      <c r="B29" s="3"/>
      <c r="C29" s="3"/>
      <c r="D29" s="18">
        <f t="shared" si="2"/>
        <v>19.879894117647055</v>
      </c>
      <c r="E29" s="18">
        <f>0.5*$A$21*C13*C13*Wing!$A$5*0.25</f>
        <v>11.111905882352941</v>
      </c>
      <c r="F29" s="18">
        <f>0.5*$A$18*C13*C13*Wing!$A$5*1.01</f>
        <v>8.7679882352941156</v>
      </c>
      <c r="G29" s="17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2" x14ac:dyDescent="0.25">
      <c r="A30" s="17"/>
      <c r="B30" s="3"/>
      <c r="C30" s="3"/>
      <c r="D30" s="18">
        <f t="shared" si="2"/>
        <v>18.407309368191722</v>
      </c>
      <c r="E30" s="18">
        <f>0.5*$A$21*C14*C14*Wing!$A$5*0.25</f>
        <v>10.288801742919391</v>
      </c>
      <c r="F30" s="18">
        <f>0.5*$A$18*C14*C14*Wing!$A$5*1.01</f>
        <v>8.1185076252723309</v>
      </c>
      <c r="G30" s="17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2" x14ac:dyDescent="0.25">
      <c r="A31" s="17"/>
      <c r="B31" s="3"/>
      <c r="C31" s="3"/>
      <c r="D31" s="18">
        <f t="shared" si="2"/>
        <v>16.032172675521821</v>
      </c>
      <c r="E31" s="18">
        <f>0.5*$A$21*C15*C15*Wing!$A$5*0.25</f>
        <v>8.9612144212523717</v>
      </c>
      <c r="F31" s="18">
        <f>0.5*$A$18*C15*C15*Wing!$A$5*1.01</f>
        <v>7.0709582542694482</v>
      </c>
      <c r="G31" s="17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2" x14ac:dyDescent="0.25">
      <c r="A32" s="17"/>
      <c r="B32" s="17"/>
      <c r="C32" s="17"/>
      <c r="D32" s="17"/>
      <c r="E32" s="17"/>
      <c r="F32" s="17"/>
      <c r="G32" s="17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2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2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2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2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2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2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2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2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2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2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2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2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2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2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2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2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2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2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2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2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2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2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2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2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2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2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2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2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2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2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2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2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2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2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2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2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2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2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2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2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2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2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2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2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2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2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2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2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2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2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2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2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2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2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2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2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2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2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2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2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2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2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2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2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2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2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2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2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2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2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2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2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2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2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2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2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2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2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2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2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2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2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2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2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2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2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2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2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2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2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2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2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2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2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2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2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2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2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2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2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2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2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2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2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2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2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2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2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2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2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2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2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2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2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2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2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2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2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2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2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2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2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2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2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2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2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2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2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2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2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2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2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2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2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2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2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2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2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2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2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2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2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2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2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2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2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2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2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2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2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2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2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2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2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2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2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2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2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2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2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2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2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2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2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2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2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2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2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2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2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2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2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2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2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2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2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2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2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2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2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2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2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2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2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2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2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2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2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2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2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2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2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2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2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2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2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2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2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2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2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2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2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2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2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2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2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2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2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2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2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2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2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2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2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2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2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2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2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2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2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2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2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2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2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2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2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2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2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2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2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2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2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2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2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2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2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2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2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2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2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2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2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2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2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2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2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2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2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2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2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2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2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2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2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2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2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2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2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2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2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2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2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2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2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2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2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2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2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2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2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2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2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2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2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2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2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2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2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2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2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2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2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2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2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2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2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2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2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2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2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2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2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2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2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2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2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2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2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2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2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2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2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2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2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2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2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2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2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2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2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2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2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2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2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2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2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2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2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2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2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2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2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2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2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2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2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2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2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2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2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2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2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2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2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2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2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2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2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2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2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2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2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2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2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2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2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2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2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2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2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2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2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2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2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2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2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2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2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2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2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2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2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2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2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2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2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2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2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2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2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2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2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2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2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2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2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2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2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2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2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2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2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2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2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2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2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2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2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2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2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2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2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2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2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2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2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2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2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2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2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2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2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2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2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2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2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2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2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2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2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2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2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2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2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2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2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2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2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2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2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2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2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2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2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2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2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2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2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2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2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2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2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2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2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2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2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2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2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2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2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2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2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2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2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2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2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2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2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2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2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2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2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2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2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2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2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2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2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2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2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2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2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2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2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2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2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2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2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2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2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2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2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2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2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2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2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2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2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2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2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2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2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2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2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2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2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2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2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2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2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2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2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2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2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2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2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2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2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2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2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2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2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2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2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2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2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2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2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2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2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2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2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2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2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2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2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2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2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2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2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2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2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2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2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2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2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2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2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2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2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2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2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2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2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2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2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2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2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2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2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2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2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2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2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2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2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2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2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2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2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2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2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2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2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2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2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2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2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2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2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2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2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2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2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2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2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2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2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2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2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2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2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2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2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2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2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2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2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2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2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2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2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2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2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2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2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2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2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2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2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2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2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2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2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2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2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2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2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2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2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2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2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2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2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2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2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2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2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2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2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2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2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2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2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2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2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2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2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2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2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2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2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2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2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2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2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2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2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2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2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2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2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2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2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2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2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2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2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2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2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2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2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2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2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2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2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2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2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2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2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2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2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2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2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2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2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2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2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2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2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2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2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2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2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2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2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2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2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2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2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2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2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2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2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2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2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2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2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2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2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2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2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2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2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2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2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2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2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2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2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2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2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2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2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2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2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2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2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2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2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2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2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2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2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2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2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2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2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2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2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2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2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2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2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2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2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2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2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2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2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2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2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2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2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2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2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2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2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2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2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2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2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2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2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2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2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2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2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2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2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2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2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2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2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2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2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2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2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2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2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2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2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2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2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2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2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2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2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2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2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2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2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2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2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2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2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2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2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2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2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2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2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2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2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2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2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2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2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2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2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2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2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2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2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2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2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2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2" x14ac:dyDescent="0.25">
      <c r="A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2" x14ac:dyDescent="0.25">
      <c r="A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2" x14ac:dyDescent="0.25">
      <c r="A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2" x14ac:dyDescent="0.25">
      <c r="A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2" x14ac:dyDescent="0.25">
      <c r="A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2" x14ac:dyDescent="0.25">
      <c r="A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2" x14ac:dyDescent="0.25">
      <c r="A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2" x14ac:dyDescent="0.25">
      <c r="A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2" x14ac:dyDescent="0.25">
      <c r="A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2" x14ac:dyDescent="0.25">
      <c r="A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2" x14ac:dyDescent="0.25">
      <c r="A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2" x14ac:dyDescent="0.25">
      <c r="A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2" x14ac:dyDescent="0.25">
      <c r="A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>
      <selection activeCell="E16" sqref="E16"/>
    </sheetView>
  </sheetViews>
  <sheetFormatPr defaultColWidth="12.5546875" defaultRowHeight="15.75" customHeight="1" x14ac:dyDescent="0.25"/>
  <cols>
    <col min="1" max="1" width="28.6640625" customWidth="1"/>
    <col min="3" max="5" width="12.6640625" bestFit="1" customWidth="1"/>
    <col min="6" max="7" width="13.6640625" bestFit="1" customWidth="1"/>
    <col min="8" max="10" width="12.6640625" bestFit="1" customWidth="1"/>
    <col min="12" max="12" width="12.6640625" bestFit="1" customWidth="1"/>
    <col min="13" max="13" width="18.44140625" customWidth="1"/>
    <col min="14" max="14" width="17.6640625" customWidth="1"/>
    <col min="15" max="15" width="5" customWidth="1"/>
  </cols>
  <sheetData>
    <row r="1" spans="1:26" ht="15.75" customHeight="1" x14ac:dyDescent="0.25">
      <c r="A1" s="6" t="s">
        <v>15</v>
      </c>
      <c r="B1" s="6" t="s">
        <v>1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7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5">
        <v>2350</v>
      </c>
      <c r="B2" s="5">
        <v>0.01</v>
      </c>
      <c r="C2" s="34">
        <f t="shared" ref="C2:C15" si="0">SQRT(2*$A$2/($A$5*$A$8*ABS(B2)))</f>
        <v>1255.0146396642667</v>
      </c>
      <c r="D2" s="34">
        <f t="shared" ref="D2:D15" si="1">0.5*$A$5*C2*C2</f>
        <v>1382.3529411764705</v>
      </c>
      <c r="E2" s="34">
        <f t="shared" ref="E2:E15" si="2">(($A$2/$A$17)^2)*(1/(D2*3.14*$A$11))</f>
        <v>1.093270026750224</v>
      </c>
      <c r="F2" s="34">
        <f t="shared" ref="F2:F15" si="3">(C2*$A$5*$A$23/($A$20*10^-7))</f>
        <v>33037674.431562658</v>
      </c>
      <c r="G2" s="34">
        <f t="shared" ref="G2:G15" si="4">(C2*$A$5*$A$26/($A$20*10^-7))</f>
        <v>28674207.997205324</v>
      </c>
      <c r="H2" s="34">
        <f t="shared" ref="H2:H15" si="5">(C2*$A$5*$A$29/$A$20)</f>
        <v>0</v>
      </c>
      <c r="I2" s="34">
        <v>5.0000000000000001E-4</v>
      </c>
      <c r="J2" s="34">
        <v>5.0000000000000001E-4</v>
      </c>
      <c r="K2" s="34"/>
      <c r="L2" s="34">
        <f t="shared" ref="L2:L15" si="6">D2*(2*(I2*$N$2+J2*$N$5+K2*$N$8))</f>
        <v>234.86176470588234</v>
      </c>
      <c r="M2" s="35">
        <f t="shared" ref="M2:M15" si="7">2*E2 + L2</f>
        <v>237.04830475938277</v>
      </c>
      <c r="N2" s="5">
        <v>91</v>
      </c>
      <c r="O2" s="7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25">
      <c r="A3" s="10"/>
      <c r="B3" s="5">
        <f>0.1</f>
        <v>0.1</v>
      </c>
      <c r="C3" s="34">
        <f t="shared" si="0"/>
        <v>396.87047581945791</v>
      </c>
      <c r="D3" s="34">
        <f t="shared" si="1"/>
        <v>138.23529411764704</v>
      </c>
      <c r="E3" s="34">
        <f t="shared" si="2"/>
        <v>10.93270026750224</v>
      </c>
      <c r="F3" s="34">
        <f t="shared" si="3"/>
        <v>10447429.979884665</v>
      </c>
      <c r="G3" s="34">
        <f t="shared" si="4"/>
        <v>9067580.7372583896</v>
      </c>
      <c r="H3" s="34">
        <f t="shared" si="5"/>
        <v>0</v>
      </c>
      <c r="I3" s="34">
        <v>4.1999999999999997E-3</v>
      </c>
      <c r="J3" s="34">
        <v>4.1999999999999997E-3</v>
      </c>
      <c r="K3" s="34"/>
      <c r="L3" s="34">
        <f t="shared" si="6"/>
        <v>197.28388235294116</v>
      </c>
      <c r="M3" s="35">
        <f t="shared" si="7"/>
        <v>219.14928288794565</v>
      </c>
      <c r="N3" s="10"/>
      <c r="O3" s="7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25">
      <c r="A4" s="6" t="s">
        <v>28</v>
      </c>
      <c r="B4" s="5">
        <f t="shared" ref="B4:B14" si="8">(B3+0.1)</f>
        <v>0.2</v>
      </c>
      <c r="C4" s="34">
        <f t="shared" si="0"/>
        <v>280.62980470467045</v>
      </c>
      <c r="D4" s="34">
        <f t="shared" si="1"/>
        <v>69.117647058823536</v>
      </c>
      <c r="E4" s="34">
        <f t="shared" si="2"/>
        <v>21.865400535004476</v>
      </c>
      <c r="F4" s="34">
        <f t="shared" si="3"/>
        <v>7387448.5847480837</v>
      </c>
      <c r="G4" s="34">
        <f t="shared" si="4"/>
        <v>6411747.8282719217</v>
      </c>
      <c r="H4" s="34">
        <f t="shared" si="5"/>
        <v>0</v>
      </c>
      <c r="I4" s="34">
        <v>4.1999999999999997E-3</v>
      </c>
      <c r="J4" s="34">
        <v>4.1999999999999997E-3</v>
      </c>
      <c r="K4" s="34"/>
      <c r="L4" s="34">
        <f t="shared" si="6"/>
        <v>98.641941176470596</v>
      </c>
      <c r="M4" s="35">
        <f t="shared" si="7"/>
        <v>142.37274224647956</v>
      </c>
      <c r="N4" s="6" t="s">
        <v>29</v>
      </c>
      <c r="O4" s="7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25">
      <c r="A5" s="11">
        <v>1.7553E-3</v>
      </c>
      <c r="B5" s="5">
        <f t="shared" si="8"/>
        <v>0.30000000000000004</v>
      </c>
      <c r="C5" s="34">
        <f t="shared" si="0"/>
        <v>229.13327604777885</v>
      </c>
      <c r="D5" s="34">
        <f t="shared" si="1"/>
        <v>46.078431372548998</v>
      </c>
      <c r="E5" s="34">
        <f t="shared" si="2"/>
        <v>32.798100802506731</v>
      </c>
      <c r="F5" s="34">
        <f t="shared" si="3"/>
        <v>6031826.5112261763</v>
      </c>
      <c r="G5" s="34">
        <f t="shared" si="4"/>
        <v>5235170.1795547949</v>
      </c>
      <c r="H5" s="34">
        <f t="shared" si="5"/>
        <v>0</v>
      </c>
      <c r="I5" s="34">
        <v>4.1999999999999997E-3</v>
      </c>
      <c r="J5" s="34">
        <v>4.1999999999999997E-3</v>
      </c>
      <c r="K5" s="34"/>
      <c r="L5" s="34">
        <f t="shared" si="6"/>
        <v>65.761294117647026</v>
      </c>
      <c r="M5" s="35">
        <f t="shared" si="7"/>
        <v>131.35749572266047</v>
      </c>
      <c r="N5" s="5">
        <v>78.900000000000006</v>
      </c>
      <c r="O5" s="7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25">
      <c r="A6" s="10"/>
      <c r="B6" s="5">
        <f t="shared" si="8"/>
        <v>0.4</v>
      </c>
      <c r="C6" s="34">
        <f t="shared" si="0"/>
        <v>198.43523790972895</v>
      </c>
      <c r="D6" s="34">
        <f t="shared" si="1"/>
        <v>34.558823529411761</v>
      </c>
      <c r="E6" s="34">
        <f t="shared" si="2"/>
        <v>43.730801070008958</v>
      </c>
      <c r="F6" s="34">
        <f t="shared" si="3"/>
        <v>5223714.9899423327</v>
      </c>
      <c r="G6" s="34">
        <f t="shared" si="4"/>
        <v>4533790.3686291948</v>
      </c>
      <c r="H6" s="34">
        <f t="shared" si="5"/>
        <v>0</v>
      </c>
      <c r="I6" s="34">
        <v>4.1999999999999997E-3</v>
      </c>
      <c r="J6" s="34">
        <v>4.1999999999999997E-3</v>
      </c>
      <c r="K6" s="34"/>
      <c r="L6" s="34">
        <f t="shared" si="6"/>
        <v>49.320970588235291</v>
      </c>
      <c r="M6" s="35">
        <f t="shared" si="7"/>
        <v>136.7825727282532</v>
      </c>
      <c r="N6" s="10"/>
      <c r="O6" s="7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25">
      <c r="A7" s="6" t="s">
        <v>30</v>
      </c>
      <c r="B7" s="5">
        <f t="shared" si="8"/>
        <v>0.5</v>
      </c>
      <c r="C7" s="34">
        <f t="shared" si="0"/>
        <v>177.48587243899888</v>
      </c>
      <c r="D7" s="34">
        <f t="shared" si="1"/>
        <v>27.647058823529406</v>
      </c>
      <c r="E7" s="34">
        <f t="shared" si="2"/>
        <v>54.663501337511207</v>
      </c>
      <c r="F7" s="34">
        <f t="shared" si="3"/>
        <v>4672232.7250382742</v>
      </c>
      <c r="G7" s="34">
        <f t="shared" si="4"/>
        <v>4055145.3839954832</v>
      </c>
      <c r="H7" s="34">
        <f t="shared" si="5"/>
        <v>0</v>
      </c>
      <c r="I7" s="34">
        <v>4.1999999999999997E-3</v>
      </c>
      <c r="J7" s="34">
        <v>4.1999999999999997E-3</v>
      </c>
      <c r="K7" s="34"/>
      <c r="L7" s="34">
        <f t="shared" si="6"/>
        <v>39.456776470588224</v>
      </c>
      <c r="M7" s="35">
        <f t="shared" si="7"/>
        <v>148.78377914561065</v>
      </c>
      <c r="N7" s="6" t="s">
        <v>31</v>
      </c>
      <c r="O7" s="7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25">
      <c r="A8" s="5">
        <v>170</v>
      </c>
      <c r="B8" s="5">
        <f t="shared" si="8"/>
        <v>0.6</v>
      </c>
      <c r="C8" s="34">
        <f t="shared" si="0"/>
        <v>162.02169328887359</v>
      </c>
      <c r="D8" s="34">
        <f t="shared" si="1"/>
        <v>23.039215686274513</v>
      </c>
      <c r="E8" s="34">
        <f t="shared" si="2"/>
        <v>65.59620160501342</v>
      </c>
      <c r="F8" s="34">
        <f t="shared" si="3"/>
        <v>4265145.4290288268</v>
      </c>
      <c r="G8" s="34">
        <f t="shared" si="4"/>
        <v>3701824.3346287925</v>
      </c>
      <c r="H8" s="34">
        <f t="shared" si="5"/>
        <v>0</v>
      </c>
      <c r="I8" s="34">
        <v>4.4999999999999997E-3</v>
      </c>
      <c r="J8" s="34">
        <v>4.4999999999999997E-3</v>
      </c>
      <c r="K8" s="34"/>
      <c r="L8" s="34">
        <f t="shared" si="6"/>
        <v>35.229264705882358</v>
      </c>
      <c r="M8" s="35">
        <f t="shared" si="7"/>
        <v>166.42166791590921</v>
      </c>
      <c r="N8" s="5"/>
      <c r="O8" s="7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25">
      <c r="A9" s="10"/>
      <c r="B9" s="5">
        <f t="shared" si="8"/>
        <v>0.7</v>
      </c>
      <c r="C9" s="34">
        <f t="shared" si="0"/>
        <v>150.00294024602266</v>
      </c>
      <c r="D9" s="34">
        <f t="shared" si="1"/>
        <v>19.747899159663863</v>
      </c>
      <c r="E9" s="34">
        <f t="shared" si="2"/>
        <v>76.528901872515675</v>
      </c>
      <c r="F9" s="34">
        <f t="shared" si="3"/>
        <v>3948757.3666479089</v>
      </c>
      <c r="G9" s="34">
        <f t="shared" si="4"/>
        <v>3427223.3748264867</v>
      </c>
      <c r="H9" s="34">
        <f t="shared" si="5"/>
        <v>0</v>
      </c>
      <c r="I9" s="34">
        <v>4.4999999999999997E-3</v>
      </c>
      <c r="J9" s="34">
        <v>4.4999999999999997E-3</v>
      </c>
      <c r="K9" s="34"/>
      <c r="L9" s="34">
        <f t="shared" si="6"/>
        <v>30.19651260504201</v>
      </c>
      <c r="M9" s="35">
        <f t="shared" si="7"/>
        <v>183.25431635007337</v>
      </c>
      <c r="N9" s="10"/>
      <c r="O9" s="7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25">
      <c r="A10" s="6" t="s">
        <v>32</v>
      </c>
      <c r="B10" s="5">
        <f t="shared" si="8"/>
        <v>0.79999999999999993</v>
      </c>
      <c r="C10" s="34">
        <f t="shared" si="0"/>
        <v>140.31490235233522</v>
      </c>
      <c r="D10" s="34">
        <f t="shared" si="1"/>
        <v>17.279411764705884</v>
      </c>
      <c r="E10" s="34">
        <f t="shared" si="2"/>
        <v>87.461602140017902</v>
      </c>
      <c r="F10" s="34">
        <f t="shared" si="3"/>
        <v>3693724.2923740419</v>
      </c>
      <c r="G10" s="34">
        <f t="shared" si="4"/>
        <v>3205873.9141359609</v>
      </c>
      <c r="H10" s="34">
        <f t="shared" si="5"/>
        <v>0</v>
      </c>
      <c r="I10" s="34">
        <v>4.4999999999999997E-3</v>
      </c>
      <c r="J10" s="34">
        <v>4.4999999999999997E-3</v>
      </c>
      <c r="K10" s="34"/>
      <c r="L10" s="34">
        <f t="shared" si="6"/>
        <v>26.421948529411765</v>
      </c>
      <c r="M10" s="35">
        <f t="shared" si="7"/>
        <v>201.34515280944757</v>
      </c>
      <c r="N10" s="6" t="s">
        <v>33</v>
      </c>
      <c r="O10" s="7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25">
      <c r="A11" s="5">
        <v>0.95</v>
      </c>
      <c r="B11" s="5">
        <f t="shared" si="8"/>
        <v>0.89999999999999991</v>
      </c>
      <c r="C11" s="34">
        <f t="shared" si="0"/>
        <v>132.29015860648599</v>
      </c>
      <c r="D11" s="34">
        <f t="shared" si="1"/>
        <v>15.359477124183009</v>
      </c>
      <c r="E11" s="34">
        <f t="shared" si="2"/>
        <v>98.394302407520129</v>
      </c>
      <c r="F11" s="34">
        <f t="shared" si="3"/>
        <v>3482476.6599615561</v>
      </c>
      <c r="G11" s="34">
        <f t="shared" si="4"/>
        <v>3022526.9124194635</v>
      </c>
      <c r="H11" s="34">
        <f t="shared" si="5"/>
        <v>0</v>
      </c>
      <c r="I11" s="34">
        <v>5.0000000000000001E-3</v>
      </c>
      <c r="J11" s="34">
        <v>5.0000000000000001E-3</v>
      </c>
      <c r="K11" s="34"/>
      <c r="L11" s="34">
        <f t="shared" si="6"/>
        <v>26.095751633986932</v>
      </c>
      <c r="M11" s="35">
        <f t="shared" si="7"/>
        <v>222.88435644902719</v>
      </c>
      <c r="N11" s="12">
        <f>(A17*A17/A8)</f>
        <v>7.2058823529411766</v>
      </c>
      <c r="O11" s="7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25">
      <c r="A12" s="10"/>
      <c r="B12" s="5">
        <f t="shared" si="8"/>
        <v>0.99999999999999989</v>
      </c>
      <c r="C12" s="34">
        <f t="shared" si="0"/>
        <v>125.50146396642668</v>
      </c>
      <c r="D12" s="34">
        <f t="shared" si="1"/>
        <v>13.823529411764707</v>
      </c>
      <c r="E12" s="34">
        <f t="shared" si="2"/>
        <v>109.32700267502238</v>
      </c>
      <c r="F12" s="34">
        <f t="shared" si="3"/>
        <v>3303767.4431562661</v>
      </c>
      <c r="G12" s="34">
        <f t="shared" si="4"/>
        <v>2867420.7997205327</v>
      </c>
      <c r="H12" s="34">
        <f t="shared" si="5"/>
        <v>0</v>
      </c>
      <c r="I12" s="34">
        <v>5.0000000000000001E-3</v>
      </c>
      <c r="J12" s="34">
        <v>5.0000000000000001E-3</v>
      </c>
      <c r="K12" s="34"/>
      <c r="L12" s="34">
        <f t="shared" si="6"/>
        <v>23.486176470588237</v>
      </c>
      <c r="M12" s="35">
        <f t="shared" si="7"/>
        <v>242.14018182063302</v>
      </c>
      <c r="N12" s="10"/>
      <c r="O12" s="7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25">
      <c r="A13" s="6" t="s">
        <v>34</v>
      </c>
      <c r="B13" s="5">
        <f t="shared" si="8"/>
        <v>1.0999999999999999</v>
      </c>
      <c r="C13" s="34">
        <f t="shared" si="0"/>
        <v>119.66095078754158</v>
      </c>
      <c r="D13" s="34">
        <f t="shared" si="1"/>
        <v>12.566844919786094</v>
      </c>
      <c r="E13" s="34">
        <f t="shared" si="2"/>
        <v>120.25970294252465</v>
      </c>
      <c r="F13" s="34">
        <f t="shared" si="3"/>
        <v>3150018.6606170633</v>
      </c>
      <c r="G13" s="34">
        <f t="shared" si="4"/>
        <v>2733978.4601582061</v>
      </c>
      <c r="H13" s="34">
        <f t="shared" si="5"/>
        <v>0</v>
      </c>
      <c r="I13" s="34">
        <v>0.01</v>
      </c>
      <c r="J13" s="34">
        <v>0.01</v>
      </c>
      <c r="K13" s="34"/>
      <c r="L13" s="34">
        <f t="shared" si="6"/>
        <v>42.702139037433149</v>
      </c>
      <c r="M13" s="35">
        <f t="shared" si="7"/>
        <v>283.22154492248245</v>
      </c>
      <c r="N13" s="6" t="s">
        <v>35</v>
      </c>
      <c r="O13" s="7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25">
      <c r="A14" s="12">
        <f>(B3*B3)/(N23*3.14*N11)</f>
        <v>4.7392649965629502E-2</v>
      </c>
      <c r="B14" s="5">
        <f t="shared" si="8"/>
        <v>1.2</v>
      </c>
      <c r="C14" s="34">
        <f t="shared" si="0"/>
        <v>114.56663802388945</v>
      </c>
      <c r="D14" s="34">
        <f t="shared" si="1"/>
        <v>11.519607843137255</v>
      </c>
      <c r="E14" s="34">
        <f t="shared" si="2"/>
        <v>131.19240321002687</v>
      </c>
      <c r="F14" s="34">
        <f t="shared" si="3"/>
        <v>3015913.2556130895</v>
      </c>
      <c r="G14" s="34">
        <f t="shared" si="4"/>
        <v>2617585.0897773979</v>
      </c>
      <c r="H14" s="34">
        <f t="shared" si="5"/>
        <v>0</v>
      </c>
      <c r="I14" s="34">
        <v>0.01</v>
      </c>
      <c r="J14" s="34">
        <v>0.01</v>
      </c>
      <c r="K14" s="34"/>
      <c r="L14" s="34">
        <f t="shared" si="6"/>
        <v>39.143627450980397</v>
      </c>
      <c r="M14" s="35">
        <f t="shared" si="7"/>
        <v>301.52843387103411</v>
      </c>
      <c r="N14" s="5">
        <v>16.3125</v>
      </c>
      <c r="O14" s="7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25">
      <c r="A15" s="10"/>
      <c r="B15" s="5">
        <f>B14+0.2</f>
        <v>1.4</v>
      </c>
      <c r="C15" s="34">
        <f t="shared" si="0"/>
        <v>106.06809624588311</v>
      </c>
      <c r="D15" s="34">
        <f t="shared" si="1"/>
        <v>9.8739495798319314</v>
      </c>
      <c r="E15" s="34">
        <f t="shared" si="2"/>
        <v>153.05780374503135</v>
      </c>
      <c r="F15" s="34">
        <f t="shared" si="3"/>
        <v>2792193.1112170708</v>
      </c>
      <c r="G15" s="34">
        <f t="shared" si="4"/>
        <v>2423412.8889808538</v>
      </c>
      <c r="H15" s="34">
        <f t="shared" si="5"/>
        <v>0</v>
      </c>
      <c r="I15" s="34">
        <v>1.7999999999999999E-2</v>
      </c>
      <c r="J15" s="34">
        <v>1.7999999999999999E-2</v>
      </c>
      <c r="K15" s="34"/>
      <c r="L15" s="34">
        <f t="shared" si="6"/>
        <v>60.393025210084019</v>
      </c>
      <c r="M15" s="35">
        <f t="shared" si="7"/>
        <v>366.50863270014673</v>
      </c>
      <c r="N15" s="10"/>
      <c r="O15" s="7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25">
      <c r="A16" s="6" t="s">
        <v>36</v>
      </c>
      <c r="B16" s="10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6" t="s">
        <v>37</v>
      </c>
      <c r="O16" s="7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25">
      <c r="A17" s="5">
        <v>35</v>
      </c>
      <c r="B17" s="13"/>
      <c r="C17" s="37"/>
      <c r="D17" s="37"/>
      <c r="E17" s="37"/>
      <c r="F17" s="38" t="s">
        <v>38</v>
      </c>
      <c r="G17" s="38"/>
      <c r="H17" s="37"/>
      <c r="I17" s="38" t="s">
        <v>39</v>
      </c>
      <c r="J17" s="37"/>
      <c r="K17" s="37"/>
      <c r="L17" s="37"/>
      <c r="M17" s="38" t="s">
        <v>40</v>
      </c>
      <c r="N17" s="5">
        <v>6.5250000000000004</v>
      </c>
      <c r="O17" s="7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25">
      <c r="A18" s="10"/>
      <c r="B18" s="8"/>
      <c r="C18" s="39"/>
      <c r="D18" s="39"/>
      <c r="E18" s="39"/>
      <c r="F18" s="23">
        <f t="shared" ref="F18:F31" si="9">(C2*$A$5*$N$17/($A$20*10^-7))</f>
        <v>40673740.691687994</v>
      </c>
      <c r="G18" s="39"/>
      <c r="H18" s="39"/>
      <c r="I18" s="34">
        <v>5.0000000000000001E-4</v>
      </c>
      <c r="J18" s="39"/>
      <c r="K18" s="39"/>
      <c r="L18" s="39"/>
      <c r="M18" s="35">
        <f t="shared" ref="M18:M31" si="10">I18*2*D2*$N$14</f>
        <v>22.549632352941178</v>
      </c>
      <c r="N18" s="10"/>
      <c r="O18" s="7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25">
      <c r="A19" s="6" t="s">
        <v>41</v>
      </c>
      <c r="B19" s="8"/>
      <c r="C19" s="39"/>
      <c r="D19" s="39"/>
      <c r="E19" s="39"/>
      <c r="F19" s="23">
        <f t="shared" si="9"/>
        <v>12862166.154480651</v>
      </c>
      <c r="G19" s="39"/>
      <c r="H19" s="39"/>
      <c r="I19" s="34">
        <v>4.1999999999999997E-3</v>
      </c>
      <c r="J19" s="39"/>
      <c r="K19" s="39"/>
      <c r="L19" s="39"/>
      <c r="M19" s="35">
        <f t="shared" si="10"/>
        <v>18.941691176470584</v>
      </c>
      <c r="N19" s="6" t="s">
        <v>42</v>
      </c>
      <c r="O19" s="7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5">
      <c r="A20" s="5">
        <v>3.5339999999999998</v>
      </c>
      <c r="B20" s="8"/>
      <c r="C20" s="39"/>
      <c r="D20" s="39"/>
      <c r="E20" s="39"/>
      <c r="F20" s="23">
        <f t="shared" si="9"/>
        <v>9094924.9085813686</v>
      </c>
      <c r="G20" s="39"/>
      <c r="H20" s="39"/>
      <c r="I20" s="34">
        <v>4.1999999999999997E-3</v>
      </c>
      <c r="J20" s="39"/>
      <c r="K20" s="39"/>
      <c r="L20" s="39"/>
      <c r="M20" s="35">
        <f t="shared" si="10"/>
        <v>9.470845588235294</v>
      </c>
      <c r="N20" s="5">
        <v>0.05</v>
      </c>
      <c r="O20" s="7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25">
      <c r="A21" s="10"/>
      <c r="B21" s="8"/>
      <c r="C21" s="39"/>
      <c r="D21" s="39" t="s">
        <v>43</v>
      </c>
      <c r="E21" s="39"/>
      <c r="F21" s="23">
        <f t="shared" si="9"/>
        <v>7425975.0916510951</v>
      </c>
      <c r="G21" s="39"/>
      <c r="H21" s="39"/>
      <c r="I21" s="34">
        <v>4.1999999999999997E-3</v>
      </c>
      <c r="J21" s="39"/>
      <c r="K21" s="39"/>
      <c r="L21" s="39"/>
      <c r="M21" s="35">
        <f t="shared" si="10"/>
        <v>6.3138970588235264</v>
      </c>
      <c r="N21" s="10"/>
      <c r="O21" s="7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25">
      <c r="A22" s="6" t="s">
        <v>44</v>
      </c>
      <c r="B22" s="8"/>
      <c r="C22" s="39"/>
      <c r="D22" s="39"/>
      <c r="E22" s="39"/>
      <c r="F22" s="23">
        <f t="shared" si="9"/>
        <v>6431083.0772403255</v>
      </c>
      <c r="G22" s="39"/>
      <c r="H22" s="39"/>
      <c r="I22" s="34">
        <v>4.1999999999999997E-3</v>
      </c>
      <c r="J22" s="39"/>
      <c r="K22" s="39"/>
      <c r="L22" s="39"/>
      <c r="M22" s="35">
        <f t="shared" si="10"/>
        <v>4.7354227941176461</v>
      </c>
      <c r="N22" s="6" t="s">
        <v>45</v>
      </c>
      <c r="O22" s="7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25">
      <c r="A23" s="5">
        <v>5.3</v>
      </c>
      <c r="B23" s="8"/>
      <c r="C23" s="39"/>
      <c r="D23" s="39"/>
      <c r="E23" s="39"/>
      <c r="F23" s="23">
        <f t="shared" si="9"/>
        <v>5752135.5718631595</v>
      </c>
      <c r="G23" s="39"/>
      <c r="H23" s="39"/>
      <c r="I23" s="34">
        <v>4.1999999999999997E-3</v>
      </c>
      <c r="J23" s="39"/>
      <c r="K23" s="39"/>
      <c r="L23" s="39"/>
      <c r="M23" s="35">
        <f t="shared" si="10"/>
        <v>3.7883382352941166</v>
      </c>
      <c r="N23" s="5">
        <f>M3/(0.5*C3*C3*A8*A5)</f>
        <v>9.325501399487051E-3</v>
      </c>
      <c r="O23" s="7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25">
      <c r="A24" s="10"/>
      <c r="B24" s="8"/>
      <c r="C24" s="39"/>
      <c r="D24" s="39"/>
      <c r="E24" s="39"/>
      <c r="F24" s="23">
        <f t="shared" si="9"/>
        <v>5250957.3442288861</v>
      </c>
      <c r="G24" s="39"/>
      <c r="H24" s="39"/>
      <c r="I24" s="34">
        <v>4.4999999999999997E-3</v>
      </c>
      <c r="J24" s="39"/>
      <c r="K24" s="39"/>
      <c r="L24" s="39"/>
      <c r="M24" s="35">
        <f t="shared" si="10"/>
        <v>3.3824448529411768</v>
      </c>
      <c r="N24" s="10"/>
      <c r="O24" s="7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3.2" x14ac:dyDescent="0.25">
      <c r="A25" s="6" t="s">
        <v>46</v>
      </c>
      <c r="B25" s="8"/>
      <c r="C25" s="39"/>
      <c r="D25" s="39"/>
      <c r="E25" s="39"/>
      <c r="F25" s="23">
        <f t="shared" si="9"/>
        <v>4861441.8523353981</v>
      </c>
      <c r="G25" s="39"/>
      <c r="H25" s="39"/>
      <c r="I25" s="34">
        <v>4.4999999999999997E-3</v>
      </c>
      <c r="J25" s="39"/>
      <c r="K25" s="39"/>
      <c r="L25" s="39"/>
      <c r="M25" s="35">
        <f t="shared" si="10"/>
        <v>2.8992384453781503</v>
      </c>
      <c r="N25" s="10"/>
      <c r="O25" s="7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3.2" x14ac:dyDescent="0.25">
      <c r="A26" s="5">
        <v>4.5999999999999996</v>
      </c>
      <c r="B26" s="8"/>
      <c r="C26" s="39"/>
      <c r="D26" s="39"/>
      <c r="E26" s="39"/>
      <c r="F26" s="23">
        <f t="shared" si="9"/>
        <v>4547462.4542906843</v>
      </c>
      <c r="G26" s="39"/>
      <c r="H26" s="39"/>
      <c r="I26" s="34">
        <v>4.4999999999999997E-3</v>
      </c>
      <c r="J26" s="39"/>
      <c r="K26" s="39"/>
      <c r="L26" s="39"/>
      <c r="M26" s="35">
        <f t="shared" si="10"/>
        <v>2.5368336397058826</v>
      </c>
      <c r="N26" s="10"/>
      <c r="O26" s="7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3.2" x14ac:dyDescent="0.25">
      <c r="A27" s="10"/>
      <c r="B27" s="8"/>
      <c r="C27" s="39"/>
      <c r="D27" s="39"/>
      <c r="E27" s="39"/>
      <c r="F27" s="23">
        <f t="shared" si="9"/>
        <v>4287388.7181602176</v>
      </c>
      <c r="G27" s="39"/>
      <c r="H27" s="39"/>
      <c r="I27" s="34">
        <v>5.0000000000000001E-3</v>
      </c>
      <c r="J27" s="39"/>
      <c r="K27" s="39"/>
      <c r="L27" s="39"/>
      <c r="M27" s="35">
        <f t="shared" si="10"/>
        <v>2.5055147058823537</v>
      </c>
      <c r="N27" s="10"/>
      <c r="O27" s="7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3.2" x14ac:dyDescent="0.25">
      <c r="A28" s="6" t="s">
        <v>47</v>
      </c>
      <c r="B28" s="8"/>
      <c r="C28" s="39"/>
      <c r="D28" s="39"/>
      <c r="E28" s="39"/>
      <c r="F28" s="23">
        <f t="shared" si="9"/>
        <v>4067374.0691687996</v>
      </c>
      <c r="G28" s="39"/>
      <c r="H28" s="39"/>
      <c r="I28" s="34">
        <v>5.0000000000000001E-3</v>
      </c>
      <c r="J28" s="39"/>
      <c r="K28" s="39"/>
      <c r="L28" s="39"/>
      <c r="M28" s="35">
        <f t="shared" si="10"/>
        <v>2.2549632352941176</v>
      </c>
      <c r="N28" s="10"/>
      <c r="O28" s="7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3.2" x14ac:dyDescent="0.25">
      <c r="A29" s="5"/>
      <c r="B29" s="8"/>
      <c r="C29" s="39"/>
      <c r="D29" s="39"/>
      <c r="E29" s="39"/>
      <c r="F29" s="23">
        <f t="shared" si="9"/>
        <v>3878089.0114200641</v>
      </c>
      <c r="G29" s="39"/>
      <c r="H29" s="39"/>
      <c r="I29" s="34">
        <v>0.01</v>
      </c>
      <c r="J29" s="39"/>
      <c r="K29" s="39"/>
      <c r="L29" s="39"/>
      <c r="M29" s="35">
        <f t="shared" si="10"/>
        <v>4.0999331550802127</v>
      </c>
      <c r="N29" s="10"/>
      <c r="O29" s="7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3.2" x14ac:dyDescent="0.25">
      <c r="A30" s="7"/>
      <c r="B30" s="8"/>
      <c r="C30" s="39"/>
      <c r="D30" s="39"/>
      <c r="E30" s="39"/>
      <c r="F30" s="23">
        <f t="shared" si="9"/>
        <v>3712987.5458255489</v>
      </c>
      <c r="G30" s="39"/>
      <c r="H30" s="39"/>
      <c r="I30" s="34">
        <v>0.01</v>
      </c>
      <c r="J30" s="39"/>
      <c r="K30" s="39"/>
      <c r="L30" s="39"/>
      <c r="M30" s="35">
        <f t="shared" si="10"/>
        <v>3.7582720588235294</v>
      </c>
      <c r="N30" s="7"/>
      <c r="O30" s="7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3.2" x14ac:dyDescent="0.25">
      <c r="A31" s="7"/>
      <c r="B31" s="8"/>
      <c r="C31" s="39"/>
      <c r="D31" s="39"/>
      <c r="E31" s="39"/>
      <c r="F31" s="23">
        <f t="shared" si="9"/>
        <v>3437558.5001304504</v>
      </c>
      <c r="G31" s="39"/>
      <c r="H31" s="39"/>
      <c r="I31" s="34">
        <v>1.7999999999999999E-2</v>
      </c>
      <c r="J31" s="39"/>
      <c r="K31" s="39"/>
      <c r="L31" s="39"/>
      <c r="M31" s="35">
        <f t="shared" si="10"/>
        <v>5.7984768907563007</v>
      </c>
      <c r="N31" s="7"/>
      <c r="O31" s="7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3.2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3.2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3.2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3.2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3.2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3.2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3.2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3.2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3.2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3.2" x14ac:dyDescent="0.25">
      <c r="A41" s="8"/>
      <c r="B41" s="8" t="s">
        <v>48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3.2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3.2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3.2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3.2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3.2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3.2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3.2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3.2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3.2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3.2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3.2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3.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3.2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3.2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3.2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3.2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3.2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3.2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.2" x14ac:dyDescent="0.25">
      <c r="A60" s="8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.2" x14ac:dyDescent="0.25">
      <c r="A61" s="8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.2" x14ac:dyDescent="0.25">
      <c r="A62" s="8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.2" x14ac:dyDescent="0.25">
      <c r="A63" s="8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.2" x14ac:dyDescent="0.25">
      <c r="A64" s="8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.2" x14ac:dyDescent="0.25">
      <c r="A65" s="8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.2" x14ac:dyDescent="0.25">
      <c r="A66" s="8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.2" x14ac:dyDescent="0.25">
      <c r="A67" s="8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.2" x14ac:dyDescent="0.25">
      <c r="A68" s="8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.2" x14ac:dyDescent="0.25">
      <c r="A69" s="8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.2" x14ac:dyDescent="0.25">
      <c r="A70" s="8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.2" x14ac:dyDescent="0.25">
      <c r="A71" s="8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.2" x14ac:dyDescent="0.25">
      <c r="A72" s="8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.2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3.2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3.2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3.2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3.2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3.2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3.2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3.2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3.2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3.2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3.2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3.2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3.2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3.2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3.2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3.2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3.2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3.2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3.2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3.2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3.2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3.2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3.2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3.2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3.2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3.2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3.2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3.2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3.2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3.2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3.2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3.2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3.2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3.2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3.2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3.2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3.2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3.2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3.2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3.2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3.2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3.2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3.2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3.2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3.2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3.2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3.2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3.2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3.2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3.2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3.2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3.2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3.2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3.2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3.2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3.2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3.2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3.2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3.2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3.2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3.2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3.2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3.2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3.2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3.2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3.2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3.2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3.2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3.2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3.2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3.2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3.2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3.2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3.2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3.2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3.2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3.2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3.2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3.2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3.2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3.2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3.2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3.2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3.2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3.2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3.2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3.2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3.2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3.2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3.2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3.2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3.2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3.2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3.2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3.2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3.2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3.2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3.2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3.2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3.2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3.2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3.2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3.2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3.2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3.2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3.2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3.2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3.2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3.2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3.2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3.2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3.2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3.2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3.2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3.2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3.2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3.2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3.2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3.2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3.2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3.2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3.2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3.2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3.2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3.2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3.2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3.2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3.2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3.2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3.2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3.2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3.2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3.2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3.2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3.2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3.2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3.2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3.2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3.2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3.2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3.2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3.2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3.2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3.2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3.2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3.2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3.2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3.2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3.2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3.2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3.2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3.2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3.2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3.2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3.2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3.2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3.2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3.2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3.2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3.2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3.2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3.2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3.2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3.2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3.2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3.2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3.2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3.2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3.2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3.2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3.2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3.2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3.2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3.2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3.2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3.2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3.2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3.2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3.2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3.2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3.2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3.2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3.2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3.2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3.2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3.2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3.2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3.2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3.2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3.2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3.2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3.2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3.2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3.2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3.2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3.2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3.2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3.2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3.2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3.2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3.2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3.2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3.2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3.2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3.2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3.2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3.2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3.2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3.2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3.2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3.2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3.2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3.2" x14ac:dyDescent="0.2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3.2" x14ac:dyDescent="0.2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3.2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3.2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3.2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3.2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3.2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3.2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3.2" x14ac:dyDescent="0.2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3.2" x14ac:dyDescent="0.2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3.2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3.2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3.2" x14ac:dyDescent="0.2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3.2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3.2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3.2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3.2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3.2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3.2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3.2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3.2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3.2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3.2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3.2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3.2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3.2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3.2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3.2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3.2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3.2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3.2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3.2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3.2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3.2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3.2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3.2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3.2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3.2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3.2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3.2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3.2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3.2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3.2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3.2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3.2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3.2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3.2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3.2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3.2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3.2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3.2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3.2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3.2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3.2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3.2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3.2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3.2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3.2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3.2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3.2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3.2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3.2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3.2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3.2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3.2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3.2" x14ac:dyDescent="0.2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3.2" x14ac:dyDescent="0.2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3.2" x14ac:dyDescent="0.2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3.2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3.2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3.2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3.2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3.2" x14ac:dyDescent="0.2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3.2" x14ac:dyDescent="0.2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3.2" x14ac:dyDescent="0.2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3.2" x14ac:dyDescent="0.2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3.2" x14ac:dyDescent="0.2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3.2" x14ac:dyDescent="0.2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3.2" x14ac:dyDescent="0.2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3.2" x14ac:dyDescent="0.2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3.2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3.2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3.2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3.2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3.2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3.2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3.2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3.2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3.2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3.2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3.2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3.2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3.2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3.2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3.2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3.2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3.2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3.2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3.2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3.2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3.2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3.2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3.2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3.2" x14ac:dyDescent="0.2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3.2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3.2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3.2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3.2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3.2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3.2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3.2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3.2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3.2" x14ac:dyDescent="0.2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3.2" x14ac:dyDescent="0.2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3.2" x14ac:dyDescent="0.2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3.2" x14ac:dyDescent="0.2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3.2" x14ac:dyDescent="0.2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3.2" x14ac:dyDescent="0.2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3.2" x14ac:dyDescent="0.2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3.2" x14ac:dyDescent="0.2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3.2" x14ac:dyDescent="0.2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3.2" x14ac:dyDescent="0.2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3.2" x14ac:dyDescent="0.2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3.2" x14ac:dyDescent="0.2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3.2" x14ac:dyDescent="0.2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3.2" x14ac:dyDescent="0.2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3.2" x14ac:dyDescent="0.2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3.2" x14ac:dyDescent="0.2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3.2" x14ac:dyDescent="0.2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3.2" x14ac:dyDescent="0.2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3.2" x14ac:dyDescent="0.2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3.2" x14ac:dyDescent="0.2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3.2" x14ac:dyDescent="0.2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3.2" x14ac:dyDescent="0.2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3.2" x14ac:dyDescent="0.2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3.2" x14ac:dyDescent="0.2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3.2" x14ac:dyDescent="0.2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3.2" x14ac:dyDescent="0.2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3.2" x14ac:dyDescent="0.2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3.2" x14ac:dyDescent="0.2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3.2" x14ac:dyDescent="0.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3.2" x14ac:dyDescent="0.2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3.2" x14ac:dyDescent="0.2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3.2" x14ac:dyDescent="0.2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3.2" x14ac:dyDescent="0.2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3.2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3.2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3.2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3.2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3.2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3.2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3.2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3.2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3.2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3.2" x14ac:dyDescent="0.2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3.2" x14ac:dyDescent="0.2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3.2" x14ac:dyDescent="0.2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3.2" x14ac:dyDescent="0.2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3.2" x14ac:dyDescent="0.2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3.2" x14ac:dyDescent="0.2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3.2" x14ac:dyDescent="0.2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3.2" x14ac:dyDescent="0.2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3.2" x14ac:dyDescent="0.2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3.2" x14ac:dyDescent="0.2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3.2" x14ac:dyDescent="0.2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3.2" x14ac:dyDescent="0.2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3.2" x14ac:dyDescent="0.2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3.2" x14ac:dyDescent="0.2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3.2" x14ac:dyDescent="0.2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3.2" x14ac:dyDescent="0.2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3.2" x14ac:dyDescent="0.2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3.2" x14ac:dyDescent="0.2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3.2" x14ac:dyDescent="0.2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3.2" x14ac:dyDescent="0.2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3.2" x14ac:dyDescent="0.2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3.2" x14ac:dyDescent="0.2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3.2" x14ac:dyDescent="0.2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3.2" x14ac:dyDescent="0.2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3.2" x14ac:dyDescent="0.2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3.2" x14ac:dyDescent="0.2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3.2" x14ac:dyDescent="0.2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3.2" x14ac:dyDescent="0.2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3.2" x14ac:dyDescent="0.2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3.2" x14ac:dyDescent="0.2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3.2" x14ac:dyDescent="0.2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3.2" x14ac:dyDescent="0.2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3.2" x14ac:dyDescent="0.2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3.2" x14ac:dyDescent="0.2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3.2" x14ac:dyDescent="0.2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3.2" x14ac:dyDescent="0.2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3.2" x14ac:dyDescent="0.2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3.2" x14ac:dyDescent="0.2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3.2" x14ac:dyDescent="0.2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3.2" x14ac:dyDescent="0.2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3.2" x14ac:dyDescent="0.2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3.2" x14ac:dyDescent="0.2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3.2" x14ac:dyDescent="0.2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3.2" x14ac:dyDescent="0.2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3.2" x14ac:dyDescent="0.2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3.2" x14ac:dyDescent="0.2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3.2" x14ac:dyDescent="0.2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3.2" x14ac:dyDescent="0.2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3.2" x14ac:dyDescent="0.2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3.2" x14ac:dyDescent="0.2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3.2" x14ac:dyDescent="0.2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3.2" x14ac:dyDescent="0.2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3.2" x14ac:dyDescent="0.2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3.2" x14ac:dyDescent="0.2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3.2" x14ac:dyDescent="0.2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3.2" x14ac:dyDescent="0.2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3.2" x14ac:dyDescent="0.2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3.2" x14ac:dyDescent="0.2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3.2" x14ac:dyDescent="0.2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3.2" x14ac:dyDescent="0.2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3.2" x14ac:dyDescent="0.2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3.2" x14ac:dyDescent="0.2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3.2" x14ac:dyDescent="0.2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3.2" x14ac:dyDescent="0.2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3.2" x14ac:dyDescent="0.2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3.2" x14ac:dyDescent="0.2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3.2" x14ac:dyDescent="0.2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3.2" x14ac:dyDescent="0.2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3.2" x14ac:dyDescent="0.2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3.2" x14ac:dyDescent="0.2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3.2" x14ac:dyDescent="0.2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3.2" x14ac:dyDescent="0.2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3.2" x14ac:dyDescent="0.2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3.2" x14ac:dyDescent="0.2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3.2" x14ac:dyDescent="0.2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3.2" x14ac:dyDescent="0.2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3.2" x14ac:dyDescent="0.2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3.2" x14ac:dyDescent="0.2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3.2" x14ac:dyDescent="0.2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3.2" x14ac:dyDescent="0.2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3.2" x14ac:dyDescent="0.2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3.2" x14ac:dyDescent="0.2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3.2" x14ac:dyDescent="0.2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3.2" x14ac:dyDescent="0.2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3.2" x14ac:dyDescent="0.2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3.2" x14ac:dyDescent="0.2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3.2" x14ac:dyDescent="0.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3.2" x14ac:dyDescent="0.2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3.2" x14ac:dyDescent="0.2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3.2" x14ac:dyDescent="0.2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3.2" x14ac:dyDescent="0.2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3.2" x14ac:dyDescent="0.2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3.2" x14ac:dyDescent="0.2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3.2" x14ac:dyDescent="0.2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3.2" x14ac:dyDescent="0.2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3.2" x14ac:dyDescent="0.2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3.2" x14ac:dyDescent="0.2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3.2" x14ac:dyDescent="0.2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3.2" x14ac:dyDescent="0.2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3.2" x14ac:dyDescent="0.2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3.2" x14ac:dyDescent="0.2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3.2" x14ac:dyDescent="0.2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3.2" x14ac:dyDescent="0.2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3.2" x14ac:dyDescent="0.2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3.2" x14ac:dyDescent="0.2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3.2" x14ac:dyDescent="0.2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3.2" x14ac:dyDescent="0.2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3.2" x14ac:dyDescent="0.2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3.2" x14ac:dyDescent="0.2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3.2" x14ac:dyDescent="0.2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3.2" x14ac:dyDescent="0.2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3.2" x14ac:dyDescent="0.2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3.2" x14ac:dyDescent="0.2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3.2" x14ac:dyDescent="0.2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3.2" x14ac:dyDescent="0.2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3.2" x14ac:dyDescent="0.2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3.2" x14ac:dyDescent="0.2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3.2" x14ac:dyDescent="0.2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3.2" x14ac:dyDescent="0.2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3.2" x14ac:dyDescent="0.2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3.2" x14ac:dyDescent="0.2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3.2" x14ac:dyDescent="0.2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3.2" x14ac:dyDescent="0.2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3.2" x14ac:dyDescent="0.2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3.2" x14ac:dyDescent="0.2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3.2" x14ac:dyDescent="0.2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3.2" x14ac:dyDescent="0.2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3.2" x14ac:dyDescent="0.2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3.2" x14ac:dyDescent="0.2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3.2" x14ac:dyDescent="0.2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3.2" x14ac:dyDescent="0.2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3.2" x14ac:dyDescent="0.2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3.2" x14ac:dyDescent="0.2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3.2" x14ac:dyDescent="0.2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3.2" x14ac:dyDescent="0.2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3.2" x14ac:dyDescent="0.2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3.2" x14ac:dyDescent="0.2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3.2" x14ac:dyDescent="0.2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3.2" x14ac:dyDescent="0.2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3.2" x14ac:dyDescent="0.2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3.2" x14ac:dyDescent="0.2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3.2" x14ac:dyDescent="0.2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3.2" x14ac:dyDescent="0.2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3.2" x14ac:dyDescent="0.2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3.2" x14ac:dyDescent="0.2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3.2" x14ac:dyDescent="0.2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3.2" x14ac:dyDescent="0.2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3.2" x14ac:dyDescent="0.2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3.2" x14ac:dyDescent="0.2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3.2" x14ac:dyDescent="0.2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3.2" x14ac:dyDescent="0.2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3.2" x14ac:dyDescent="0.2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3.2" x14ac:dyDescent="0.2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3.2" x14ac:dyDescent="0.2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3.2" x14ac:dyDescent="0.2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3.2" x14ac:dyDescent="0.2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3.2" x14ac:dyDescent="0.2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3.2" x14ac:dyDescent="0.2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3.2" x14ac:dyDescent="0.2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3.2" x14ac:dyDescent="0.2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3.2" x14ac:dyDescent="0.2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3.2" x14ac:dyDescent="0.2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3.2" x14ac:dyDescent="0.2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3.2" x14ac:dyDescent="0.2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3.2" x14ac:dyDescent="0.2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3.2" x14ac:dyDescent="0.2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3.2" x14ac:dyDescent="0.2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3.2" x14ac:dyDescent="0.2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3.2" x14ac:dyDescent="0.2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3.2" x14ac:dyDescent="0.2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3.2" x14ac:dyDescent="0.2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3.2" x14ac:dyDescent="0.2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3.2" x14ac:dyDescent="0.2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3.2" x14ac:dyDescent="0.2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3.2" x14ac:dyDescent="0.2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3.2" x14ac:dyDescent="0.2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3.2" x14ac:dyDescent="0.2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3.2" x14ac:dyDescent="0.2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3.2" x14ac:dyDescent="0.2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3.2" x14ac:dyDescent="0.2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3.2" x14ac:dyDescent="0.2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3.2" x14ac:dyDescent="0.2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3.2" x14ac:dyDescent="0.2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3.2" x14ac:dyDescent="0.2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3.2" x14ac:dyDescent="0.2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3.2" x14ac:dyDescent="0.2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3.2" x14ac:dyDescent="0.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3.2" x14ac:dyDescent="0.2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3.2" x14ac:dyDescent="0.2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3.2" x14ac:dyDescent="0.2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3.2" x14ac:dyDescent="0.2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3.2" x14ac:dyDescent="0.2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3.2" x14ac:dyDescent="0.2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3.2" x14ac:dyDescent="0.2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3.2" x14ac:dyDescent="0.2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3.2" x14ac:dyDescent="0.2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3.2" x14ac:dyDescent="0.2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3.2" x14ac:dyDescent="0.2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3.2" x14ac:dyDescent="0.2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3.2" x14ac:dyDescent="0.2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3.2" x14ac:dyDescent="0.2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3.2" x14ac:dyDescent="0.2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3.2" x14ac:dyDescent="0.2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3.2" x14ac:dyDescent="0.2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3.2" x14ac:dyDescent="0.2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3.2" x14ac:dyDescent="0.2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3.2" x14ac:dyDescent="0.2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3.2" x14ac:dyDescent="0.2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3.2" x14ac:dyDescent="0.2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3.2" x14ac:dyDescent="0.2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3.2" x14ac:dyDescent="0.2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3.2" x14ac:dyDescent="0.2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3.2" x14ac:dyDescent="0.2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3.2" x14ac:dyDescent="0.2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3.2" x14ac:dyDescent="0.2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3.2" x14ac:dyDescent="0.2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3.2" x14ac:dyDescent="0.2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3.2" x14ac:dyDescent="0.2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3.2" x14ac:dyDescent="0.2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3.2" x14ac:dyDescent="0.2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3.2" x14ac:dyDescent="0.2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3.2" x14ac:dyDescent="0.2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3.2" x14ac:dyDescent="0.2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3.2" x14ac:dyDescent="0.2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3.2" x14ac:dyDescent="0.2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3.2" x14ac:dyDescent="0.2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3.2" x14ac:dyDescent="0.2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3.2" x14ac:dyDescent="0.2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3.2" x14ac:dyDescent="0.2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3.2" x14ac:dyDescent="0.2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3.2" x14ac:dyDescent="0.2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3.2" x14ac:dyDescent="0.2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3.2" x14ac:dyDescent="0.2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3.2" x14ac:dyDescent="0.2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3.2" x14ac:dyDescent="0.2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3.2" x14ac:dyDescent="0.2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3.2" x14ac:dyDescent="0.2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3.2" x14ac:dyDescent="0.2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3.2" x14ac:dyDescent="0.2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3.2" x14ac:dyDescent="0.2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3.2" x14ac:dyDescent="0.2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3.2" x14ac:dyDescent="0.2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3.2" x14ac:dyDescent="0.2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3.2" x14ac:dyDescent="0.2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3.2" x14ac:dyDescent="0.2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3.2" x14ac:dyDescent="0.2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3.2" x14ac:dyDescent="0.2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3.2" x14ac:dyDescent="0.2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3.2" x14ac:dyDescent="0.2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3.2" x14ac:dyDescent="0.2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3.2" x14ac:dyDescent="0.2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3.2" x14ac:dyDescent="0.2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3.2" x14ac:dyDescent="0.2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3.2" x14ac:dyDescent="0.2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3.2" x14ac:dyDescent="0.2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3.2" x14ac:dyDescent="0.2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3.2" x14ac:dyDescent="0.2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3.2" x14ac:dyDescent="0.2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3.2" x14ac:dyDescent="0.2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3.2" x14ac:dyDescent="0.2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3.2" x14ac:dyDescent="0.2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3.2" x14ac:dyDescent="0.2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3.2" x14ac:dyDescent="0.2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3.2" x14ac:dyDescent="0.2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3.2" x14ac:dyDescent="0.2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3.2" x14ac:dyDescent="0.2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3.2" x14ac:dyDescent="0.2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3.2" x14ac:dyDescent="0.2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3.2" x14ac:dyDescent="0.2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3.2" x14ac:dyDescent="0.2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3.2" x14ac:dyDescent="0.2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3.2" x14ac:dyDescent="0.2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3.2" x14ac:dyDescent="0.2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3.2" x14ac:dyDescent="0.2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3.2" x14ac:dyDescent="0.2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3.2" x14ac:dyDescent="0.2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3.2" x14ac:dyDescent="0.2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3.2" x14ac:dyDescent="0.2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3.2" x14ac:dyDescent="0.2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3.2" x14ac:dyDescent="0.2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3.2" x14ac:dyDescent="0.2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3.2" x14ac:dyDescent="0.2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3.2" x14ac:dyDescent="0.2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3.2" x14ac:dyDescent="0.2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3.2" x14ac:dyDescent="0.2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3.2" x14ac:dyDescent="0.2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3.2" x14ac:dyDescent="0.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3.2" x14ac:dyDescent="0.2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3.2" x14ac:dyDescent="0.2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3.2" x14ac:dyDescent="0.2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3.2" x14ac:dyDescent="0.2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3.2" x14ac:dyDescent="0.2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3.2" x14ac:dyDescent="0.2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3.2" x14ac:dyDescent="0.2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3.2" x14ac:dyDescent="0.2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3.2" x14ac:dyDescent="0.2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3.2" x14ac:dyDescent="0.2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3.2" x14ac:dyDescent="0.2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3.2" x14ac:dyDescent="0.2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3.2" x14ac:dyDescent="0.2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3.2" x14ac:dyDescent="0.2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3.2" x14ac:dyDescent="0.2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3.2" x14ac:dyDescent="0.2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3.2" x14ac:dyDescent="0.2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3.2" x14ac:dyDescent="0.2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3.2" x14ac:dyDescent="0.2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3.2" x14ac:dyDescent="0.2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3.2" x14ac:dyDescent="0.2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3.2" x14ac:dyDescent="0.2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3.2" x14ac:dyDescent="0.2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3.2" x14ac:dyDescent="0.2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3.2" x14ac:dyDescent="0.2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3.2" x14ac:dyDescent="0.2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3.2" x14ac:dyDescent="0.2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3.2" x14ac:dyDescent="0.2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3.2" x14ac:dyDescent="0.2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3.2" x14ac:dyDescent="0.2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3.2" x14ac:dyDescent="0.2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3.2" x14ac:dyDescent="0.2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3.2" x14ac:dyDescent="0.2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3.2" x14ac:dyDescent="0.2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3.2" x14ac:dyDescent="0.2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3.2" x14ac:dyDescent="0.2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3.2" x14ac:dyDescent="0.2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3.2" x14ac:dyDescent="0.2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3.2" x14ac:dyDescent="0.2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3.2" x14ac:dyDescent="0.2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3.2" x14ac:dyDescent="0.2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3.2" x14ac:dyDescent="0.2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3.2" x14ac:dyDescent="0.2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3.2" x14ac:dyDescent="0.2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3.2" x14ac:dyDescent="0.2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3.2" x14ac:dyDescent="0.2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3.2" x14ac:dyDescent="0.2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3.2" x14ac:dyDescent="0.2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3.2" x14ac:dyDescent="0.2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3.2" x14ac:dyDescent="0.2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3.2" x14ac:dyDescent="0.2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3.2" x14ac:dyDescent="0.2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3.2" x14ac:dyDescent="0.2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3.2" x14ac:dyDescent="0.2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3.2" x14ac:dyDescent="0.2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3.2" x14ac:dyDescent="0.2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3.2" x14ac:dyDescent="0.2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3.2" x14ac:dyDescent="0.2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3.2" x14ac:dyDescent="0.2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3.2" x14ac:dyDescent="0.2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3.2" x14ac:dyDescent="0.2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3.2" x14ac:dyDescent="0.2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3.2" x14ac:dyDescent="0.2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3.2" x14ac:dyDescent="0.2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3.2" x14ac:dyDescent="0.2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3.2" x14ac:dyDescent="0.2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3.2" x14ac:dyDescent="0.2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3.2" x14ac:dyDescent="0.2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3.2" x14ac:dyDescent="0.2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3.2" x14ac:dyDescent="0.2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3.2" x14ac:dyDescent="0.2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3.2" x14ac:dyDescent="0.2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3.2" x14ac:dyDescent="0.2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3.2" x14ac:dyDescent="0.2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3.2" x14ac:dyDescent="0.2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3.2" x14ac:dyDescent="0.2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3.2" x14ac:dyDescent="0.2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3.2" x14ac:dyDescent="0.2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3.2" x14ac:dyDescent="0.2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3.2" x14ac:dyDescent="0.2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3.2" x14ac:dyDescent="0.2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3.2" x14ac:dyDescent="0.2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3.2" x14ac:dyDescent="0.2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3.2" x14ac:dyDescent="0.2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3.2" x14ac:dyDescent="0.2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3.2" x14ac:dyDescent="0.2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3.2" x14ac:dyDescent="0.2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3.2" x14ac:dyDescent="0.2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3.2" x14ac:dyDescent="0.2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3.2" x14ac:dyDescent="0.2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3.2" x14ac:dyDescent="0.2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3.2" x14ac:dyDescent="0.2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3.2" x14ac:dyDescent="0.2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3.2" x14ac:dyDescent="0.2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3.2" x14ac:dyDescent="0.2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3.2" x14ac:dyDescent="0.2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3.2" x14ac:dyDescent="0.2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3.2" x14ac:dyDescent="0.2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3.2" x14ac:dyDescent="0.2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3.2" x14ac:dyDescent="0.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3.2" x14ac:dyDescent="0.2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3.2" x14ac:dyDescent="0.2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3.2" x14ac:dyDescent="0.2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3.2" x14ac:dyDescent="0.2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3.2" x14ac:dyDescent="0.2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3.2" x14ac:dyDescent="0.2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3.2" x14ac:dyDescent="0.2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3.2" x14ac:dyDescent="0.2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3.2" x14ac:dyDescent="0.2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3.2" x14ac:dyDescent="0.2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3.2" x14ac:dyDescent="0.2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3.2" x14ac:dyDescent="0.2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3.2" x14ac:dyDescent="0.2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3.2" x14ac:dyDescent="0.2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3.2" x14ac:dyDescent="0.2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3.2" x14ac:dyDescent="0.2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3.2" x14ac:dyDescent="0.2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3.2" x14ac:dyDescent="0.2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3.2" x14ac:dyDescent="0.2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3.2" x14ac:dyDescent="0.2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3.2" x14ac:dyDescent="0.2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3.2" x14ac:dyDescent="0.2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3.2" x14ac:dyDescent="0.2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3.2" x14ac:dyDescent="0.2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3.2" x14ac:dyDescent="0.2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3.2" x14ac:dyDescent="0.2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3.2" x14ac:dyDescent="0.2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3.2" x14ac:dyDescent="0.2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3.2" x14ac:dyDescent="0.2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3.2" x14ac:dyDescent="0.2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3.2" x14ac:dyDescent="0.2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3.2" x14ac:dyDescent="0.2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3.2" x14ac:dyDescent="0.2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3.2" x14ac:dyDescent="0.2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3.2" x14ac:dyDescent="0.2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3.2" x14ac:dyDescent="0.2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3.2" x14ac:dyDescent="0.2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3.2" x14ac:dyDescent="0.2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3.2" x14ac:dyDescent="0.2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3.2" x14ac:dyDescent="0.2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3.2" x14ac:dyDescent="0.2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3.2" x14ac:dyDescent="0.2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3.2" x14ac:dyDescent="0.2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3.2" x14ac:dyDescent="0.2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3.2" x14ac:dyDescent="0.2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3.2" x14ac:dyDescent="0.2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3.2" x14ac:dyDescent="0.2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3.2" x14ac:dyDescent="0.2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3.2" x14ac:dyDescent="0.2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3.2" x14ac:dyDescent="0.2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3.2" x14ac:dyDescent="0.2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3.2" x14ac:dyDescent="0.2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3.2" x14ac:dyDescent="0.2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3.2" x14ac:dyDescent="0.2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3.2" x14ac:dyDescent="0.2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3.2" x14ac:dyDescent="0.2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3.2" x14ac:dyDescent="0.2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3.2" x14ac:dyDescent="0.2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3.2" x14ac:dyDescent="0.2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3.2" x14ac:dyDescent="0.2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3.2" x14ac:dyDescent="0.2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3.2" x14ac:dyDescent="0.2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3.2" x14ac:dyDescent="0.2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3.2" x14ac:dyDescent="0.2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3.2" x14ac:dyDescent="0.2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3.2" x14ac:dyDescent="0.2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3.2" x14ac:dyDescent="0.2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3.2" x14ac:dyDescent="0.2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3.2" x14ac:dyDescent="0.2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3.2" x14ac:dyDescent="0.2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3.2" x14ac:dyDescent="0.2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3.2" x14ac:dyDescent="0.2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3.2" x14ac:dyDescent="0.2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3.2" x14ac:dyDescent="0.2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3.2" x14ac:dyDescent="0.2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3.2" x14ac:dyDescent="0.2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3.2" x14ac:dyDescent="0.2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3.2" x14ac:dyDescent="0.2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3.2" x14ac:dyDescent="0.2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3.2" x14ac:dyDescent="0.2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3.2" x14ac:dyDescent="0.2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3.2" x14ac:dyDescent="0.2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3.2" x14ac:dyDescent="0.2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3.2" x14ac:dyDescent="0.2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3.2" x14ac:dyDescent="0.2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3.2" x14ac:dyDescent="0.2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3.2" x14ac:dyDescent="0.2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3.2" x14ac:dyDescent="0.2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3.2" x14ac:dyDescent="0.2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3.2" x14ac:dyDescent="0.2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3.2" x14ac:dyDescent="0.2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3.2" x14ac:dyDescent="0.2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3.2" x14ac:dyDescent="0.2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3.2" x14ac:dyDescent="0.2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3.2" x14ac:dyDescent="0.2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3.2" x14ac:dyDescent="0.2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3.2" x14ac:dyDescent="0.2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3.2" x14ac:dyDescent="0.2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3.2" x14ac:dyDescent="0.2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3.2" x14ac:dyDescent="0.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3.2" x14ac:dyDescent="0.2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3.2" x14ac:dyDescent="0.2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3.2" x14ac:dyDescent="0.2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3.2" x14ac:dyDescent="0.2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3.2" x14ac:dyDescent="0.2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3.2" x14ac:dyDescent="0.2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3.2" x14ac:dyDescent="0.2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3.2" x14ac:dyDescent="0.2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3.2" x14ac:dyDescent="0.2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3.2" x14ac:dyDescent="0.2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3.2" x14ac:dyDescent="0.2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3.2" x14ac:dyDescent="0.2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3.2" x14ac:dyDescent="0.2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3.2" x14ac:dyDescent="0.2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3.2" x14ac:dyDescent="0.2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3.2" x14ac:dyDescent="0.2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3.2" x14ac:dyDescent="0.2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3.2" x14ac:dyDescent="0.2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3.2" x14ac:dyDescent="0.2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3.2" x14ac:dyDescent="0.2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3.2" x14ac:dyDescent="0.2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3.2" x14ac:dyDescent="0.2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3.2" x14ac:dyDescent="0.2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3.2" x14ac:dyDescent="0.2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3.2" x14ac:dyDescent="0.2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3.2" x14ac:dyDescent="0.2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3.2" x14ac:dyDescent="0.2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3.2" x14ac:dyDescent="0.2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3.2" x14ac:dyDescent="0.2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3.2" x14ac:dyDescent="0.2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3.2" x14ac:dyDescent="0.2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3.2" x14ac:dyDescent="0.2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3.2" x14ac:dyDescent="0.2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3.2" x14ac:dyDescent="0.2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3.2" x14ac:dyDescent="0.2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3.2" x14ac:dyDescent="0.2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3.2" x14ac:dyDescent="0.2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3.2" x14ac:dyDescent="0.2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3.2" x14ac:dyDescent="0.2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3.2" x14ac:dyDescent="0.2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3.2" x14ac:dyDescent="0.2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3.2" x14ac:dyDescent="0.2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3.2" x14ac:dyDescent="0.2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3.2" x14ac:dyDescent="0.2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3.2" x14ac:dyDescent="0.2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3.2" x14ac:dyDescent="0.2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3.2" x14ac:dyDescent="0.2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3.2" x14ac:dyDescent="0.2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3.2" x14ac:dyDescent="0.2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3.2" x14ac:dyDescent="0.2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3.2" x14ac:dyDescent="0.2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3.2" x14ac:dyDescent="0.2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3.2" x14ac:dyDescent="0.2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3.2" x14ac:dyDescent="0.2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3.2" x14ac:dyDescent="0.2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3.2" x14ac:dyDescent="0.2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3.2" x14ac:dyDescent="0.2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3.2" x14ac:dyDescent="0.2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3.2" x14ac:dyDescent="0.2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3.2" x14ac:dyDescent="0.2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3.2" x14ac:dyDescent="0.2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3.2" x14ac:dyDescent="0.2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3.2" x14ac:dyDescent="0.25">
      <c r="A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3.2" x14ac:dyDescent="0.25">
      <c r="A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3.2" x14ac:dyDescent="0.25">
      <c r="A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3.2" x14ac:dyDescent="0.25">
      <c r="A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3.2" x14ac:dyDescent="0.25">
      <c r="A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3.2" x14ac:dyDescent="0.25">
      <c r="A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3.2" x14ac:dyDescent="0.25">
      <c r="A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3.2" x14ac:dyDescent="0.25">
      <c r="A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3.2" x14ac:dyDescent="0.25">
      <c r="A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3.2" x14ac:dyDescent="0.25">
      <c r="A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3.2" x14ac:dyDescent="0.25">
      <c r="A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3.2" x14ac:dyDescent="0.25">
      <c r="A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3.2" x14ac:dyDescent="0.25">
      <c r="A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autoFilter ref="A16:A17" xr:uid="{00000000-0009-0000-0000-000004000000}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>
      <selection activeCell="C2" sqref="C2:F31"/>
    </sheetView>
  </sheetViews>
  <sheetFormatPr defaultColWidth="12.5546875" defaultRowHeight="15.75" customHeight="1" x14ac:dyDescent="0.25"/>
  <cols>
    <col min="1" max="1" width="15.6640625" customWidth="1"/>
    <col min="3" max="3" width="12.6640625" bestFit="1" customWidth="1"/>
    <col min="4" max="4" width="14.6640625" bestFit="1" customWidth="1"/>
    <col min="5" max="6" width="12.6640625" bestFit="1" customWidth="1"/>
  </cols>
  <sheetData>
    <row r="1" spans="1:26" ht="15.75" customHeight="1" x14ac:dyDescent="0.25">
      <c r="A1" s="16" t="s">
        <v>49</v>
      </c>
      <c r="B1" s="16" t="s">
        <v>50</v>
      </c>
      <c r="C1" s="16" t="s">
        <v>51</v>
      </c>
      <c r="D1" s="16" t="s">
        <v>52</v>
      </c>
      <c r="E1" s="16" t="s">
        <v>53</v>
      </c>
      <c r="F1" s="16" t="s">
        <v>54</v>
      </c>
      <c r="G1" s="17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3">
        <v>23.8</v>
      </c>
      <c r="B2" s="3">
        <f>Wing10kft!B2</f>
        <v>0.01</v>
      </c>
      <c r="C2" s="23">
        <f>Wing10kft!C2</f>
        <v>1255.0146396642667</v>
      </c>
      <c r="D2" s="23">
        <f>(Wing10kft!$A$5*$A$2*C2/(Wing10kft!$A$20*10^-7))</f>
        <v>148357858.76814932</v>
      </c>
      <c r="E2" s="23">
        <f t="shared" ref="E2:E15" si="0">0.074/(D2^0.2)</f>
        <v>1.7177881734912553E-3</v>
      </c>
      <c r="F2" s="24">
        <f>0.5*E2*$A$5*Wing10kft!$A$5*C2*C2</f>
        <v>2226.7000977697744</v>
      </c>
      <c r="G2" s="17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17"/>
      <c r="B3" s="3">
        <f>Wing10kft!B3</f>
        <v>0.1</v>
      </c>
      <c r="C3" s="23">
        <f>Wing10kft!C3</f>
        <v>396.87047581945791</v>
      </c>
      <c r="D3" s="23">
        <f>(Wing10kft!$A$5*$A$2*C3/(Wing10kft!$A$20*10^-7))</f>
        <v>46914874.249293409</v>
      </c>
      <c r="E3" s="23">
        <f t="shared" si="0"/>
        <v>2.1625671836876278E-3</v>
      </c>
      <c r="F3" s="24">
        <f>0.5*E3*$A$5*Wing10kft!$A$5*C3*C3</f>
        <v>280.3249337526924</v>
      </c>
      <c r="G3" s="17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16" t="s">
        <v>30</v>
      </c>
      <c r="B4" s="3">
        <f>Wing10kft!B4</f>
        <v>0.2</v>
      </c>
      <c r="C4" s="23">
        <f>Wing10kft!C4</f>
        <v>280.62980470467045</v>
      </c>
      <c r="D4" s="23">
        <f>(Wing10kft!$A$5*$A$2*C4/(Wing10kft!$A$20*10^-7))</f>
        <v>33173825.720189508</v>
      </c>
      <c r="E4" s="23">
        <f t="shared" si="0"/>
        <v>2.3177821184282498E-3</v>
      </c>
      <c r="F4" s="24">
        <f>0.5*E4*$A$5*Wing10kft!$A$5*C4*C4</f>
        <v>150.22241244169015</v>
      </c>
      <c r="G4" s="1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">
        <v>937.72</v>
      </c>
      <c r="B5" s="3">
        <f>Wing10kft!B5</f>
        <v>0.30000000000000004</v>
      </c>
      <c r="C5" s="23">
        <f>Wing10kft!C5</f>
        <v>229.13327604777885</v>
      </c>
      <c r="D5" s="23">
        <f>(Wing10kft!$A$5*$A$2*C5/(Wing10kft!$A$20*10^-7))</f>
        <v>27086315.276826985</v>
      </c>
      <c r="E5" s="23">
        <f t="shared" si="0"/>
        <v>2.4136913491189967E-3</v>
      </c>
      <c r="F5" s="24">
        <f>0.5*E5*$A$5*Wing10kft!$A$5*C5*C5</f>
        <v>104.29238494029964</v>
      </c>
      <c r="G5" s="1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17"/>
      <c r="B6" s="3">
        <f>Wing10kft!B6</f>
        <v>0.4</v>
      </c>
      <c r="C6" s="23">
        <f>Wing10kft!C6</f>
        <v>198.43523790972895</v>
      </c>
      <c r="D6" s="23">
        <f>(Wing10kft!$A$5*$A$2*C6/(Wing10kft!$A$20*10^-7))</f>
        <v>23457437.124646705</v>
      </c>
      <c r="E6" s="23">
        <f t="shared" si="0"/>
        <v>2.4841373664725489E-3</v>
      </c>
      <c r="F6" s="24">
        <f>0.5*E6*$A$5*Wing10kft!$A$5*C6*C6</f>
        <v>80.502197566592642</v>
      </c>
      <c r="G6" s="1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17"/>
      <c r="B7" s="3">
        <f>Wing10kft!B7</f>
        <v>0.5</v>
      </c>
      <c r="C7" s="23">
        <f>Wing10kft!C7</f>
        <v>177.48587243899888</v>
      </c>
      <c r="D7" s="23">
        <f>(Wing10kft!$A$5*$A$2*C7/(Wing10kft!$A$20*10^-7))</f>
        <v>20980969.595454894</v>
      </c>
      <c r="E7" s="23">
        <f t="shared" si="0"/>
        <v>2.5401923796599963E-3</v>
      </c>
      <c r="F7" s="24">
        <f>0.5*E7*$A$5*Wing10kft!$A$5*C7*C7</f>
        <v>65.854995481161325</v>
      </c>
      <c r="G7" s="1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17"/>
      <c r="B8" s="3">
        <f>Wing10kft!B8</f>
        <v>0.6</v>
      </c>
      <c r="C8" s="23">
        <f>Wing10kft!C8</f>
        <v>162.02169328887359</v>
      </c>
      <c r="D8" s="23">
        <f>(Wing10kft!$A$5*$A$2*C8/(Wing10kft!$A$20*10^-7))</f>
        <v>19152917.209601145</v>
      </c>
      <c r="E8" s="23">
        <f t="shared" si="0"/>
        <v>2.5869303347391646E-3</v>
      </c>
      <c r="F8" s="24">
        <f>0.5*E8*$A$5*Wing10kft!$A$5*C8*C8</f>
        <v>55.888905261816511</v>
      </c>
      <c r="G8" s="1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17"/>
      <c r="B9" s="3">
        <f>Wing10kft!B9</f>
        <v>0.7</v>
      </c>
      <c r="C9" s="23">
        <f>Wing10kft!C9</f>
        <v>150.00294024602266</v>
      </c>
      <c r="D9" s="23">
        <f>(Wing10kft!$A$5*$A$2*C9/(Wing10kft!$A$20*10^-7))</f>
        <v>17732155.721928347</v>
      </c>
      <c r="E9" s="23">
        <f t="shared" si="0"/>
        <v>2.6271169859217445E-3</v>
      </c>
      <c r="F9" s="24">
        <f>0.5*E9*$A$5*Wing10kft!$A$5*C9*C9</f>
        <v>48.648952345298859</v>
      </c>
      <c r="G9" s="1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17"/>
      <c r="B10" s="3">
        <f>Wing10kft!B10</f>
        <v>0.79999999999999993</v>
      </c>
      <c r="C10" s="23">
        <f>Wing10kft!C10</f>
        <v>140.31490235233522</v>
      </c>
      <c r="D10" s="23">
        <f>(Wing10kft!$A$5*$A$2*C10/(Wing10kft!$A$20*10^-7))</f>
        <v>16586912.860094754</v>
      </c>
      <c r="E10" s="23">
        <f t="shared" si="0"/>
        <v>2.6624325066800726E-3</v>
      </c>
      <c r="F10" s="24">
        <f>0.5*E10*$A$5*Wing10kft!$A$5*C10*C10</f>
        <v>43.140059513863889</v>
      </c>
      <c r="G10" s="1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17"/>
      <c r="B11" s="3">
        <f>Wing10kft!B11</f>
        <v>0.89999999999999991</v>
      </c>
      <c r="C11" s="23">
        <f>Wing10kft!C11</f>
        <v>132.29015860648599</v>
      </c>
      <c r="D11" s="23">
        <f>(Wing10kft!$A$5*$A$2*C11/(Wing10kft!$A$20*10^-7))</f>
        <v>15638291.416431138</v>
      </c>
      <c r="E11" s="23">
        <f t="shared" si="0"/>
        <v>2.6939768497168735E-3</v>
      </c>
      <c r="F11" s="24">
        <f>0.5*E11*$A$5*Wing10kft!$A$5*C11*C11</f>
        <v>38.801049235711055</v>
      </c>
      <c r="G11" s="1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17"/>
      <c r="B12" s="3">
        <f>Wing10kft!B12</f>
        <v>0.99999999999999989</v>
      </c>
      <c r="C12" s="23">
        <f>Wing10kft!C12</f>
        <v>125.50146396642668</v>
      </c>
      <c r="D12" s="23">
        <f>(Wing10kft!$A$5*$A$2*C12/(Wing10kft!$A$20*10^-7))</f>
        <v>14835785.876814932</v>
      </c>
      <c r="E12" s="23">
        <f t="shared" si="0"/>
        <v>2.7225107822564992E-3</v>
      </c>
      <c r="F12" s="24">
        <f>0.5*E12*$A$5*Wing10kft!$A$5*C12*C12</f>
        <v>35.290818266078105</v>
      </c>
      <c r="G12" s="1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17"/>
      <c r="B13" s="3">
        <f>Wing10kft!B13</f>
        <v>1.0999999999999999</v>
      </c>
      <c r="C13" s="23">
        <f>Wing10kft!C13</f>
        <v>119.66095078754158</v>
      </c>
      <c r="D13" s="23">
        <f>(Wing10kft!$A$5*$A$2*C13/(Wing10kft!$A$20*10^-7))</f>
        <v>14145366.815601155</v>
      </c>
      <c r="E13" s="23">
        <f t="shared" si="0"/>
        <v>2.7485831321237479E-3</v>
      </c>
      <c r="F13" s="24">
        <f>0.5*E13*$A$5*Wing10kft!$A$5*C13*C13</f>
        <v>32.389803371333898</v>
      </c>
      <c r="G13" s="1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17"/>
      <c r="B14" s="3">
        <f>Wing10kft!B14</f>
        <v>1.2</v>
      </c>
      <c r="C14" s="23">
        <f>Wing10kft!C14</f>
        <v>114.56663802388945</v>
      </c>
      <c r="D14" s="23">
        <f>(Wing10kft!$A$5*$A$2*C14/(Wing10kft!$A$20*10^-7))</f>
        <v>13543157.638413496</v>
      </c>
      <c r="E14" s="23">
        <f t="shared" si="0"/>
        <v>2.7726032822035667E-3</v>
      </c>
      <c r="F14" s="24">
        <f>0.5*E14*$A$5*Wing10kft!$A$5*C14*C14</f>
        <v>29.950122754909962</v>
      </c>
      <c r="G14" s="1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17"/>
      <c r="B15" s="3">
        <f>Wing10kft!B15</f>
        <v>1.4</v>
      </c>
      <c r="C15" s="23">
        <f>Wing10kft!C15</f>
        <v>106.06809624588311</v>
      </c>
      <c r="D15" s="23">
        <f>(Wing10kft!$A$5*$A$2*C15/(Wing10kft!$A$20*10^-7))</f>
        <v>12538527.556031374</v>
      </c>
      <c r="E15" s="23">
        <f t="shared" si="0"/>
        <v>2.8156742684892558E-3</v>
      </c>
      <c r="F15" s="24">
        <f>0.5*E15*$A$5*Wing10kft!$A$5*C15*C15</f>
        <v>26.070328051942017</v>
      </c>
      <c r="G15" s="1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17"/>
      <c r="B16" s="17"/>
      <c r="C16" s="25"/>
      <c r="D16" s="25"/>
      <c r="E16" s="25"/>
      <c r="F16" s="25"/>
      <c r="G16" s="1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16" t="s">
        <v>55</v>
      </c>
      <c r="B17" s="3"/>
      <c r="C17" s="23"/>
      <c r="D17" s="26" t="s">
        <v>56</v>
      </c>
      <c r="E17" s="26" t="s">
        <v>57</v>
      </c>
      <c r="F17" s="26" t="s">
        <v>58</v>
      </c>
      <c r="G17" s="1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3">
        <f>0.5^2*3.14</f>
        <v>0.78500000000000003</v>
      </c>
      <c r="B18" s="3"/>
      <c r="C18" s="23"/>
      <c r="D18" s="24">
        <f t="shared" ref="D18:D31" si="1">E18+F18</f>
        <v>2484.9867647058823</v>
      </c>
      <c r="E18" s="24">
        <f>0.5*$A$21*C2*C2*Wing10kft!$A$5*0.25</f>
        <v>1388.9882352941177</v>
      </c>
      <c r="F18" s="24">
        <f>0.5*$A$18*C2*C2*Wing10kft!$A$5*1.01</f>
        <v>1095.9985294117646</v>
      </c>
      <c r="G18" s="1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17"/>
      <c r="B19" s="3"/>
      <c r="C19" s="23"/>
      <c r="D19" s="24">
        <f t="shared" si="1"/>
        <v>248.49867647058824</v>
      </c>
      <c r="E19" s="24">
        <f>0.5*$A$21*C3*C3*Wing10kft!$A$5*0.25</f>
        <v>138.89882352941177</v>
      </c>
      <c r="F19" s="24">
        <f>0.5*$A$18*C3*C3*Wing10kft!$A$5*1.01</f>
        <v>109.59985294117647</v>
      </c>
      <c r="G19" s="1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16" t="s">
        <v>59</v>
      </c>
      <c r="B20" s="3"/>
      <c r="C20" s="23"/>
      <c r="D20" s="24">
        <f t="shared" si="1"/>
        <v>124.24933823529415</v>
      </c>
      <c r="E20" s="24">
        <f>0.5*$A$21*C4*C4*Wing10kft!$A$5*0.25</f>
        <v>69.4494117647059</v>
      </c>
      <c r="F20" s="24">
        <f>0.5*$A$18*C4*C4*Wing10kft!$A$5*1.01</f>
        <v>54.799926470588247</v>
      </c>
      <c r="G20" s="1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>
        <f>2*3.14*(0.8^2)</f>
        <v>4.0192000000000005</v>
      </c>
      <c r="B21" s="3"/>
      <c r="C21" s="23"/>
      <c r="D21" s="24">
        <f t="shared" si="1"/>
        <v>82.832892156862727</v>
      </c>
      <c r="E21" s="24">
        <f>0.5*$A$21*C5*C5*Wing10kft!$A$5*0.25</f>
        <v>46.299607843137245</v>
      </c>
      <c r="F21" s="24">
        <f>0.5*$A$18*C5*C5*Wing10kft!$A$5*1.01</f>
        <v>36.533284313725474</v>
      </c>
      <c r="G21" s="1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17"/>
      <c r="B22" s="3"/>
      <c r="C22" s="23"/>
      <c r="D22" s="24">
        <f t="shared" si="1"/>
        <v>62.124669117647059</v>
      </c>
      <c r="E22" s="24">
        <f>0.5*$A$21*C6*C6*Wing10kft!$A$5*0.25</f>
        <v>34.724705882352943</v>
      </c>
      <c r="F22" s="24">
        <f>0.5*$A$18*C6*C6*Wing10kft!$A$5*1.01</f>
        <v>27.399963235294116</v>
      </c>
      <c r="G22" s="1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17"/>
      <c r="B23" s="3"/>
      <c r="C23" s="23"/>
      <c r="D23" s="24">
        <f t="shared" si="1"/>
        <v>49.699735294117644</v>
      </c>
      <c r="E23" s="24">
        <f>0.5*$A$21*C7*C7*Wing10kft!$A$5*0.25</f>
        <v>27.77976470588235</v>
      </c>
      <c r="F23" s="24">
        <f>0.5*$A$18*C7*C7*Wing10kft!$A$5*1.01</f>
        <v>21.919970588235291</v>
      </c>
      <c r="G23" s="1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17"/>
      <c r="B24" s="3"/>
      <c r="C24" s="23"/>
      <c r="D24" s="24">
        <f t="shared" si="1"/>
        <v>41.416446078431377</v>
      </c>
      <c r="E24" s="24">
        <f>0.5*$A$21*C8*C8*Wing10kft!$A$5*0.25</f>
        <v>23.149803921568633</v>
      </c>
      <c r="F24" s="24">
        <f>0.5*$A$18*C8*C8*Wing10kft!$A$5*1.01</f>
        <v>18.266642156862748</v>
      </c>
      <c r="G24" s="1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2" x14ac:dyDescent="0.25">
      <c r="A25" s="17"/>
      <c r="B25" s="3"/>
      <c r="C25" s="23"/>
      <c r="D25" s="24">
        <f t="shared" si="1"/>
        <v>35.499810924369747</v>
      </c>
      <c r="E25" s="24">
        <f>0.5*$A$21*C9*C9*Wing10kft!$A$5*0.25</f>
        <v>19.842689075630251</v>
      </c>
      <c r="F25" s="24">
        <f>0.5*$A$18*C9*C9*Wing10kft!$A$5*1.01</f>
        <v>15.657121848739495</v>
      </c>
      <c r="G25" s="1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2" x14ac:dyDescent="0.25">
      <c r="A26" s="17"/>
      <c r="B26" s="3"/>
      <c r="C26" s="23"/>
      <c r="D26" s="24">
        <f t="shared" si="1"/>
        <v>31.062334558823537</v>
      </c>
      <c r="E26" s="24">
        <f>0.5*$A$21*C10*C10*Wing10kft!$A$5*0.25</f>
        <v>17.362352941176475</v>
      </c>
      <c r="F26" s="24">
        <f>0.5*$A$18*C10*C10*Wing10kft!$A$5*1.01</f>
        <v>13.699981617647062</v>
      </c>
      <c r="G26" s="1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2" x14ac:dyDescent="0.25">
      <c r="A27" s="17"/>
      <c r="B27" s="3"/>
      <c r="C27" s="23"/>
      <c r="D27" s="24">
        <f t="shared" si="1"/>
        <v>27.610964052287585</v>
      </c>
      <c r="E27" s="24">
        <f>0.5*$A$21*C11*C11*Wing10kft!$A$5*0.25</f>
        <v>15.433202614379088</v>
      </c>
      <c r="F27" s="24">
        <f>0.5*$A$18*C11*C11*Wing10kft!$A$5*1.01</f>
        <v>12.177761437908499</v>
      </c>
      <c r="G27" s="17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2" x14ac:dyDescent="0.25">
      <c r="A28" s="17"/>
      <c r="B28" s="3"/>
      <c r="C28" s="23"/>
      <c r="D28" s="24">
        <f t="shared" si="1"/>
        <v>24.849867647058826</v>
      </c>
      <c r="E28" s="24">
        <f>0.5*$A$21*C12*C12*Wing10kft!$A$5*0.25</f>
        <v>13.889882352941179</v>
      </c>
      <c r="F28" s="24">
        <f>0.5*$A$18*C12*C12*Wing10kft!$A$5*1.01</f>
        <v>10.959985294117647</v>
      </c>
      <c r="G28" s="17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2" x14ac:dyDescent="0.25">
      <c r="A29" s="17"/>
      <c r="B29" s="3"/>
      <c r="C29" s="23"/>
      <c r="D29" s="24">
        <f t="shared" si="1"/>
        <v>22.590788770053475</v>
      </c>
      <c r="E29" s="24">
        <f>0.5*$A$21*C13*C13*Wing10kft!$A$5*0.25</f>
        <v>12.627165775401069</v>
      </c>
      <c r="F29" s="24">
        <f>0.5*$A$18*C13*C13*Wing10kft!$A$5*1.01</f>
        <v>9.9636229946524058</v>
      </c>
      <c r="G29" s="17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2" x14ac:dyDescent="0.25">
      <c r="A30" s="17"/>
      <c r="B30" s="3"/>
      <c r="C30" s="23"/>
      <c r="D30" s="24">
        <f t="shared" si="1"/>
        <v>20.708223039215689</v>
      </c>
      <c r="E30" s="24">
        <f>0.5*$A$21*C14*C14*Wing10kft!$A$5*0.25</f>
        <v>11.574901960784315</v>
      </c>
      <c r="F30" s="24">
        <f>0.5*$A$18*C14*C14*Wing10kft!$A$5*1.01</f>
        <v>9.1333210784313739</v>
      </c>
      <c r="G30" s="17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2" x14ac:dyDescent="0.25">
      <c r="A31" s="17"/>
      <c r="B31" s="3"/>
      <c r="C31" s="23"/>
      <c r="D31" s="24">
        <f t="shared" si="1"/>
        <v>17.749905462184874</v>
      </c>
      <c r="E31" s="24">
        <f>0.5*$A$21*C15*C15*Wing10kft!$A$5*0.25</f>
        <v>9.9213445378151253</v>
      </c>
      <c r="F31" s="24">
        <f>0.5*$A$18*C15*C15*Wing10kft!$A$5*1.01</f>
        <v>7.8285609243697474</v>
      </c>
      <c r="G31" s="17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2" x14ac:dyDescent="0.25">
      <c r="A32" s="17"/>
      <c r="B32" s="17"/>
      <c r="C32" s="17"/>
      <c r="D32" s="17"/>
      <c r="E32" s="17"/>
      <c r="F32" s="17"/>
      <c r="G32" s="17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2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2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2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2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2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2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2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2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2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2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2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2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2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2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2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2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2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2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2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2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2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2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2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2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2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2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2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2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2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2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2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2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2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2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2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2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2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2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2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2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2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2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2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2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2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2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2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2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2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2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2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2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2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2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2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2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2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2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2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2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2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2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2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2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2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2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2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2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2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2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2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2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2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2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2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2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2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2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2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2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2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2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2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2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2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2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2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2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2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2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2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2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2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2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2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2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2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2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2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2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2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2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2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2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2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2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2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2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2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2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2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2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2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2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2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2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2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2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2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2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2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2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2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2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2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2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2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2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2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2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2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2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2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2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2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2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2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2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2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2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2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2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2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2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2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2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2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2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2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2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2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2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2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2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2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2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2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2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2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2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2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2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2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2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2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2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2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2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2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2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2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2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2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2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2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2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2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2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2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2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2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2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2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2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2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2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2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2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2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2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2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2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2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2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2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2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2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2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2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2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2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2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2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2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2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2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2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2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2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2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2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2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2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2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2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2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2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2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2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2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2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2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2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2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2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2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2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2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2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2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2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2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2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2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2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2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2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2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2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2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2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2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2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2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2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2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2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2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2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2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2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2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2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2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2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2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2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2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2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2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2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2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2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2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2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2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2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2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2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2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2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2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2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2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2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2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2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2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2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2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2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2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2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2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2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2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2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2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2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2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2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2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2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2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2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2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2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2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2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2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2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2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2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2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2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2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2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2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2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2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2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2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2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2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2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2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2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2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2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2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2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2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2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2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2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2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2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2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2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2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2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2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2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2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2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2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2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2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2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2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2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2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2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2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2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2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2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2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2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2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2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2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2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2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2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2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2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2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2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2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2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2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2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2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2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2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2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2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2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2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2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2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2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2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2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2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2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2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2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2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2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2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2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2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2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2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2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2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2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2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2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2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2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2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2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2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2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2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2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2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2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2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2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2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2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2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2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2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2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2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2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2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2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2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2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2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2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2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2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2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2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2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2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2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2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2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2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2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2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2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2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2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2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2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2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2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2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2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2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2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2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2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2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2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2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2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2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2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2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2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2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2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2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2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2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2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2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2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2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2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2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2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2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2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2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2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2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2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2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2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2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2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2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2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2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2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2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2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2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2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2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2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2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2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2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2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2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2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2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2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2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2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2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2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2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2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2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2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2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2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2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2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2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2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2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2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2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2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2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2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2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2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2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2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2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2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2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2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2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2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2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2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2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2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2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2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2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2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2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2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2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2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2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2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2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2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2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2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2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2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2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2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2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2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2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2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2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2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2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2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2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2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2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2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2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2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2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2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2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2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2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2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2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2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2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2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2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2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2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2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2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2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2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2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2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2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2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2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2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2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2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2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2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2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2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2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2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2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2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2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2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2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2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2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2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2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2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2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2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2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2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2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2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2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2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2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2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2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2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2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2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2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2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2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2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2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2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2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2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2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2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2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2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2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2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2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2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2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2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2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2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2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2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2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2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2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2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2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2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2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2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2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2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2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2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2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2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2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2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2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2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2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2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2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2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2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2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2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2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2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2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2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2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2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2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2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2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2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2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2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2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2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2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2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2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2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2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2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2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2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2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2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2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2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2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2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2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2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2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2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2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2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2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2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2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2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2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2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2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2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2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2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2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2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2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2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2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2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2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2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2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2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2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2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2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2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2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2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2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2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2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2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2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2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2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2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2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2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2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2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2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2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2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2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2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2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2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2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2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2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2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2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2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2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2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2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2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2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2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2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2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2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2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2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2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2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2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2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2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2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2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2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2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2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2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2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2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2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2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2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2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2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2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2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2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2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2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2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2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2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2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2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2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2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2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2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2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2" x14ac:dyDescent="0.25">
      <c r="A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2" x14ac:dyDescent="0.25">
      <c r="A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2" x14ac:dyDescent="0.25">
      <c r="A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2" x14ac:dyDescent="0.25">
      <c r="A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2" x14ac:dyDescent="0.25">
      <c r="A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2" x14ac:dyDescent="0.25">
      <c r="A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2" x14ac:dyDescent="0.25">
      <c r="A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2" x14ac:dyDescent="0.25">
      <c r="A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2" x14ac:dyDescent="0.25">
      <c r="A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2" x14ac:dyDescent="0.25">
      <c r="A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2" x14ac:dyDescent="0.25">
      <c r="A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2" x14ac:dyDescent="0.25">
      <c r="A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2" x14ac:dyDescent="0.25">
      <c r="A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>
      <selection activeCell="B19" sqref="B19"/>
    </sheetView>
  </sheetViews>
  <sheetFormatPr defaultColWidth="12.5546875" defaultRowHeight="15.75" customHeight="1" x14ac:dyDescent="0.25"/>
  <cols>
    <col min="1" max="1" width="28.6640625" customWidth="1"/>
    <col min="3" max="5" width="12.6640625" bestFit="1" customWidth="1"/>
    <col min="6" max="7" width="14.6640625" bestFit="1" customWidth="1"/>
    <col min="8" max="10" width="12.6640625" bestFit="1" customWidth="1"/>
    <col min="12" max="12" width="12.6640625" bestFit="1" customWidth="1"/>
    <col min="13" max="13" width="18.44140625" customWidth="1"/>
    <col min="14" max="14" width="17.6640625" customWidth="1"/>
    <col min="15" max="15" width="5" customWidth="1"/>
  </cols>
  <sheetData>
    <row r="1" spans="1:26" ht="15.75" customHeight="1" x14ac:dyDescent="0.25">
      <c r="A1" s="6" t="s">
        <v>15</v>
      </c>
      <c r="B1" s="6" t="s">
        <v>1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7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5">
        <v>2350</v>
      </c>
      <c r="B2" s="5">
        <v>0.01</v>
      </c>
      <c r="C2" s="34">
        <f t="shared" ref="C2:C15" si="0">SQRT(2*$A$2/($A$5*$A$8*ABS(B2)))</f>
        <v>1359.6174817495123</v>
      </c>
      <c r="D2" s="34">
        <f t="shared" ref="D2:D15" si="1">0.5*$A$5*C2*C2</f>
        <v>1382.3529411764705</v>
      </c>
      <c r="E2" s="34">
        <f t="shared" ref="E2:E15" si="2">(($A$2/$A$17)^2)*(1/(D2*3.14*$A$11))</f>
        <v>1.093270026750224</v>
      </c>
      <c r="F2" s="34">
        <f t="shared" ref="F2:F15" si="3">(C2*$A$5*$A$23/($A$20*10^-7))</f>
        <v>31420561.808263041</v>
      </c>
      <c r="G2" s="34">
        <f t="shared" ref="G2:G15" si="4">(C2*$A$5*$A$26/($A$20*10^-7))</f>
        <v>27270676.286416981</v>
      </c>
      <c r="H2" s="43">
        <f t="shared" ref="H2:H15" si="5">(C2*$A$5*$A$29/$A$20)</f>
        <v>0</v>
      </c>
      <c r="I2" s="43">
        <v>5.0000000000000001E-4</v>
      </c>
      <c r="J2" s="43">
        <v>5.0000000000000001E-4</v>
      </c>
      <c r="K2" s="34"/>
      <c r="L2" s="34">
        <f t="shared" ref="L2:L15" si="6">D2*(2*(I2*$N$2+J2*$N$5+K2*$N$8))</f>
        <v>234.86176470588234</v>
      </c>
      <c r="M2" s="35">
        <f t="shared" ref="M2:M15" si="7">2*E2 + L2</f>
        <v>237.04830475938277</v>
      </c>
      <c r="N2" s="5">
        <v>91</v>
      </c>
      <c r="O2" s="7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25">
      <c r="A3" s="10"/>
      <c r="B3" s="5">
        <f>0.1</f>
        <v>0.1</v>
      </c>
      <c r="C3" s="34">
        <f t="shared" si="0"/>
        <v>429.94879889108722</v>
      </c>
      <c r="D3" s="34">
        <f t="shared" si="1"/>
        <v>138.23529411764707</v>
      </c>
      <c r="E3" s="34">
        <f t="shared" si="2"/>
        <v>10.932700267502238</v>
      </c>
      <c r="F3" s="34">
        <f t="shared" si="3"/>
        <v>9936054.0676210001</v>
      </c>
      <c r="G3" s="34">
        <f t="shared" si="4"/>
        <v>8623745.0398219991</v>
      </c>
      <c r="H3" s="43">
        <f t="shared" si="5"/>
        <v>0</v>
      </c>
      <c r="I3" s="43">
        <v>4.1999999999999997E-3</v>
      </c>
      <c r="J3" s="43">
        <v>4.1999999999999997E-3</v>
      </c>
      <c r="K3" s="34"/>
      <c r="L3" s="34">
        <f t="shared" si="6"/>
        <v>197.28388235294119</v>
      </c>
      <c r="M3" s="35">
        <f t="shared" si="7"/>
        <v>219.14928288794567</v>
      </c>
      <c r="N3" s="10"/>
      <c r="O3" s="7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25">
      <c r="A4" s="6" t="s">
        <v>28</v>
      </c>
      <c r="B4" s="5">
        <f t="shared" ref="B4:B14" si="8">(B3+0.1)</f>
        <v>0.2</v>
      </c>
      <c r="C4" s="34">
        <f t="shared" si="0"/>
        <v>304.01971125889895</v>
      </c>
      <c r="D4" s="34">
        <f t="shared" si="1"/>
        <v>69.117647058823536</v>
      </c>
      <c r="E4" s="34">
        <f t="shared" si="2"/>
        <v>21.865400535004476</v>
      </c>
      <c r="F4" s="34">
        <f t="shared" si="3"/>
        <v>7025851.2094509881</v>
      </c>
      <c r="G4" s="34">
        <f t="shared" si="4"/>
        <v>6097908.5968819903</v>
      </c>
      <c r="H4" s="43">
        <f t="shared" si="5"/>
        <v>0</v>
      </c>
      <c r="I4" s="43">
        <v>4.1999999999999997E-3</v>
      </c>
      <c r="J4" s="43">
        <v>4.1999999999999997E-3</v>
      </c>
      <c r="K4" s="34"/>
      <c r="L4" s="34">
        <f t="shared" si="6"/>
        <v>98.641941176470596</v>
      </c>
      <c r="M4" s="35">
        <f t="shared" si="7"/>
        <v>142.37274224647956</v>
      </c>
      <c r="N4" s="6" t="s">
        <v>29</v>
      </c>
      <c r="O4" s="7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25">
      <c r="A5" s="3">
        <v>1.4955999999999999E-3</v>
      </c>
      <c r="B5" s="5">
        <f t="shared" si="8"/>
        <v>0.30000000000000004</v>
      </c>
      <c r="C5" s="34">
        <f t="shared" si="0"/>
        <v>248.23105477752546</v>
      </c>
      <c r="D5" s="34">
        <f t="shared" si="1"/>
        <v>46.078431372549019</v>
      </c>
      <c r="E5" s="34">
        <f t="shared" si="2"/>
        <v>32.798100802506717</v>
      </c>
      <c r="F5" s="34">
        <f t="shared" si="3"/>
        <v>5736583.4906236604</v>
      </c>
      <c r="G5" s="34">
        <f t="shared" si="4"/>
        <v>4978921.5201639319</v>
      </c>
      <c r="H5" s="43">
        <f t="shared" si="5"/>
        <v>0</v>
      </c>
      <c r="I5" s="43">
        <v>4.1999999999999997E-3</v>
      </c>
      <c r="J5" s="43">
        <v>4.1999999999999997E-3</v>
      </c>
      <c r="K5" s="34"/>
      <c r="L5" s="34">
        <f t="shared" si="6"/>
        <v>65.761294117647054</v>
      </c>
      <c r="M5" s="35">
        <f t="shared" si="7"/>
        <v>131.35749572266047</v>
      </c>
      <c r="N5" s="5">
        <v>78.900000000000006</v>
      </c>
      <c r="O5" s="7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25">
      <c r="A6" s="10"/>
      <c r="B6" s="5">
        <f t="shared" si="8"/>
        <v>0.4</v>
      </c>
      <c r="C6" s="34">
        <f t="shared" si="0"/>
        <v>214.97439944554361</v>
      </c>
      <c r="D6" s="34">
        <f t="shared" si="1"/>
        <v>34.558823529411768</v>
      </c>
      <c r="E6" s="34">
        <f t="shared" si="2"/>
        <v>43.730801070008951</v>
      </c>
      <c r="F6" s="34">
        <f t="shared" si="3"/>
        <v>4968027.0338105001</v>
      </c>
      <c r="G6" s="34">
        <f t="shared" si="4"/>
        <v>4311872.5199109996</v>
      </c>
      <c r="H6" s="43">
        <f t="shared" si="5"/>
        <v>0</v>
      </c>
      <c r="I6" s="43">
        <v>4.1999999999999997E-3</v>
      </c>
      <c r="J6" s="43">
        <v>4.1999999999999997E-3</v>
      </c>
      <c r="K6" s="34"/>
      <c r="L6" s="34">
        <f t="shared" si="6"/>
        <v>49.320970588235298</v>
      </c>
      <c r="M6" s="35">
        <f t="shared" si="7"/>
        <v>136.7825727282532</v>
      </c>
      <c r="N6" s="10"/>
      <c r="O6" s="7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25">
      <c r="A7" s="6" t="s">
        <v>30</v>
      </c>
      <c r="B7" s="5">
        <f t="shared" si="8"/>
        <v>0.5</v>
      </c>
      <c r="C7" s="34">
        <f t="shared" si="0"/>
        <v>192.27894823297146</v>
      </c>
      <c r="D7" s="34">
        <f t="shared" si="1"/>
        <v>27.647058823529413</v>
      </c>
      <c r="E7" s="34">
        <f t="shared" si="2"/>
        <v>54.663501337511192</v>
      </c>
      <c r="F7" s="34">
        <f t="shared" si="3"/>
        <v>4443538.4646627698</v>
      </c>
      <c r="G7" s="34">
        <f t="shared" si="4"/>
        <v>3856656.0259337248</v>
      </c>
      <c r="H7" s="43">
        <f t="shared" si="5"/>
        <v>0</v>
      </c>
      <c r="I7" s="43">
        <v>4.1999999999999997E-3</v>
      </c>
      <c r="J7" s="43">
        <v>4.1999999999999997E-3</v>
      </c>
      <c r="K7" s="34"/>
      <c r="L7" s="34">
        <f t="shared" si="6"/>
        <v>39.456776470588238</v>
      </c>
      <c r="M7" s="35">
        <f t="shared" si="7"/>
        <v>148.78377914561062</v>
      </c>
      <c r="N7" s="6" t="s">
        <v>31</v>
      </c>
      <c r="O7" s="7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25">
      <c r="A8" s="5">
        <v>170</v>
      </c>
      <c r="B8" s="5">
        <f t="shared" si="8"/>
        <v>0.6</v>
      </c>
      <c r="C8" s="34">
        <f t="shared" si="0"/>
        <v>175.52586213427762</v>
      </c>
      <c r="D8" s="34">
        <f t="shared" si="1"/>
        <v>23.039215686274513</v>
      </c>
      <c r="E8" s="34">
        <f t="shared" si="2"/>
        <v>65.59620160501342</v>
      </c>
      <c r="F8" s="34">
        <f t="shared" si="3"/>
        <v>4056377.0870627859</v>
      </c>
      <c r="G8" s="34">
        <f t="shared" si="4"/>
        <v>3520629.1699035503</v>
      </c>
      <c r="H8" s="43">
        <f t="shared" si="5"/>
        <v>0</v>
      </c>
      <c r="I8" s="43">
        <v>4.4999999999999997E-3</v>
      </c>
      <c r="J8" s="43">
        <v>4.4999999999999997E-3</v>
      </c>
      <c r="K8" s="34"/>
      <c r="L8" s="34">
        <f t="shared" si="6"/>
        <v>35.229264705882358</v>
      </c>
      <c r="M8" s="35">
        <f t="shared" si="7"/>
        <v>166.42166791590921</v>
      </c>
      <c r="N8" s="5"/>
      <c r="O8" s="7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25">
      <c r="A9" s="10"/>
      <c r="B9" s="5">
        <f t="shared" si="8"/>
        <v>0.7</v>
      </c>
      <c r="C9" s="34">
        <f t="shared" si="0"/>
        <v>162.50537119382</v>
      </c>
      <c r="D9" s="34">
        <f t="shared" si="1"/>
        <v>19.747899159663863</v>
      </c>
      <c r="E9" s="34">
        <f t="shared" si="2"/>
        <v>76.528901872515675</v>
      </c>
      <c r="F9" s="34">
        <f t="shared" si="3"/>
        <v>3755475.43945956</v>
      </c>
      <c r="G9" s="34">
        <f t="shared" si="4"/>
        <v>3259469.249342259</v>
      </c>
      <c r="H9" s="43">
        <f t="shared" si="5"/>
        <v>0</v>
      </c>
      <c r="I9" s="43">
        <v>4.4999999999999997E-3</v>
      </c>
      <c r="J9" s="43">
        <v>4.4999999999999997E-3</v>
      </c>
      <c r="K9" s="34"/>
      <c r="L9" s="34">
        <f t="shared" si="6"/>
        <v>30.19651260504201</v>
      </c>
      <c r="M9" s="35">
        <f t="shared" si="7"/>
        <v>183.25431635007337</v>
      </c>
      <c r="N9" s="10"/>
      <c r="O9" s="7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25">
      <c r="A10" s="6" t="s">
        <v>32</v>
      </c>
      <c r="B10" s="5">
        <f t="shared" si="8"/>
        <v>0.79999999999999993</v>
      </c>
      <c r="C10" s="34">
        <f t="shared" si="0"/>
        <v>152.00985562944948</v>
      </c>
      <c r="D10" s="34">
        <f t="shared" si="1"/>
        <v>17.279411764705884</v>
      </c>
      <c r="E10" s="34">
        <f t="shared" si="2"/>
        <v>87.461602140017902</v>
      </c>
      <c r="F10" s="34">
        <f t="shared" si="3"/>
        <v>3512925.604725494</v>
      </c>
      <c r="G10" s="34">
        <f t="shared" si="4"/>
        <v>3048954.2984409952</v>
      </c>
      <c r="H10" s="43">
        <f t="shared" si="5"/>
        <v>0</v>
      </c>
      <c r="I10" s="43">
        <v>4.4999999999999997E-3</v>
      </c>
      <c r="J10" s="43">
        <v>4.4999999999999997E-3</v>
      </c>
      <c r="K10" s="34"/>
      <c r="L10" s="34">
        <f t="shared" si="6"/>
        <v>26.421948529411765</v>
      </c>
      <c r="M10" s="35">
        <f t="shared" si="7"/>
        <v>201.34515280944757</v>
      </c>
      <c r="N10" s="6" t="s">
        <v>33</v>
      </c>
      <c r="O10" s="7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25">
      <c r="A11" s="5">
        <v>0.95</v>
      </c>
      <c r="B11" s="5">
        <f t="shared" si="8"/>
        <v>0.89999999999999991</v>
      </c>
      <c r="C11" s="34">
        <f t="shared" si="0"/>
        <v>143.31626629702907</v>
      </c>
      <c r="D11" s="34">
        <f t="shared" si="1"/>
        <v>15.359477124183007</v>
      </c>
      <c r="E11" s="34">
        <f t="shared" si="2"/>
        <v>98.394302407520144</v>
      </c>
      <c r="F11" s="34">
        <f t="shared" si="3"/>
        <v>3312018.0225403332</v>
      </c>
      <c r="G11" s="34">
        <f t="shared" si="4"/>
        <v>2874581.6799406665</v>
      </c>
      <c r="H11" s="43">
        <f t="shared" si="5"/>
        <v>0</v>
      </c>
      <c r="I11" s="43">
        <v>5.0000000000000001E-3</v>
      </c>
      <c r="J11" s="43">
        <v>5.0000000000000001E-3</v>
      </c>
      <c r="K11" s="34"/>
      <c r="L11" s="34">
        <f t="shared" si="6"/>
        <v>26.095751633986929</v>
      </c>
      <c r="M11" s="35">
        <f t="shared" si="7"/>
        <v>222.88435644902722</v>
      </c>
      <c r="N11" s="12">
        <f>(A17*A17/A8)</f>
        <v>7.2058823529411766</v>
      </c>
      <c r="O11" s="7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25">
      <c r="A12" s="10"/>
      <c r="B12" s="5">
        <f t="shared" si="8"/>
        <v>0.99999999999999989</v>
      </c>
      <c r="C12" s="34">
        <f t="shared" si="0"/>
        <v>135.96174817495125</v>
      </c>
      <c r="D12" s="34">
        <f t="shared" si="1"/>
        <v>13.82352941176471</v>
      </c>
      <c r="E12" s="34">
        <f t="shared" si="2"/>
        <v>109.32700267502234</v>
      </c>
      <c r="F12" s="34">
        <f t="shared" si="3"/>
        <v>3142056.1808263049</v>
      </c>
      <c r="G12" s="34">
        <f t="shared" si="4"/>
        <v>2727067.6286416985</v>
      </c>
      <c r="H12" s="43">
        <f t="shared" si="5"/>
        <v>0</v>
      </c>
      <c r="I12" s="43">
        <v>5.0000000000000001E-3</v>
      </c>
      <c r="J12" s="43">
        <v>5.0000000000000001E-3</v>
      </c>
      <c r="K12" s="34"/>
      <c r="L12" s="34">
        <f t="shared" si="6"/>
        <v>23.486176470588244</v>
      </c>
      <c r="M12" s="35">
        <f t="shared" si="7"/>
        <v>242.14018182063293</v>
      </c>
      <c r="N12" s="10"/>
      <c r="O12" s="7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25">
      <c r="A13" s="6" t="s">
        <v>34</v>
      </c>
      <c r="B13" s="5">
        <f t="shared" si="8"/>
        <v>1.0999999999999999</v>
      </c>
      <c r="C13" s="34">
        <f t="shared" si="0"/>
        <v>129.63444045324619</v>
      </c>
      <c r="D13" s="34">
        <f t="shared" si="1"/>
        <v>12.566844919786094</v>
      </c>
      <c r="E13" s="34">
        <f t="shared" si="2"/>
        <v>120.25970294252465</v>
      </c>
      <c r="F13" s="34">
        <f t="shared" si="3"/>
        <v>2995833.021725765</v>
      </c>
      <c r="G13" s="34">
        <f t="shared" si="4"/>
        <v>2600156.9622525508</v>
      </c>
      <c r="H13" s="43">
        <f t="shared" si="5"/>
        <v>0</v>
      </c>
      <c r="I13" s="43">
        <v>0.01</v>
      </c>
      <c r="J13" s="43">
        <v>0.01</v>
      </c>
      <c r="K13" s="34"/>
      <c r="L13" s="34">
        <f t="shared" si="6"/>
        <v>42.702139037433149</v>
      </c>
      <c r="M13" s="35">
        <f t="shared" si="7"/>
        <v>283.22154492248245</v>
      </c>
      <c r="N13" s="6" t="s">
        <v>35</v>
      </c>
      <c r="O13" s="7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25">
      <c r="A14" s="12">
        <f>(B3*B3)/(N23*3.14*N11)</f>
        <v>4.7392649965629516E-2</v>
      </c>
      <c r="B14" s="5">
        <f t="shared" si="8"/>
        <v>1.2</v>
      </c>
      <c r="C14" s="34">
        <f t="shared" si="0"/>
        <v>124.11552738876274</v>
      </c>
      <c r="D14" s="34">
        <f t="shared" si="1"/>
        <v>11.519607843137255</v>
      </c>
      <c r="E14" s="34">
        <f t="shared" si="2"/>
        <v>131.19240321002687</v>
      </c>
      <c r="F14" s="34">
        <f t="shared" si="3"/>
        <v>2868291.7453118302</v>
      </c>
      <c r="G14" s="34">
        <f t="shared" si="4"/>
        <v>2489460.7600819659</v>
      </c>
      <c r="H14" s="43">
        <f t="shared" si="5"/>
        <v>0</v>
      </c>
      <c r="I14" s="43">
        <v>0.01</v>
      </c>
      <c r="J14" s="43">
        <v>0.01</v>
      </c>
      <c r="K14" s="34"/>
      <c r="L14" s="34">
        <f t="shared" si="6"/>
        <v>39.143627450980397</v>
      </c>
      <c r="M14" s="35">
        <f t="shared" si="7"/>
        <v>301.52843387103411</v>
      </c>
      <c r="N14" s="5">
        <v>16.3125</v>
      </c>
      <c r="O14" s="7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25">
      <c r="A15" s="10"/>
      <c r="B15" s="5">
        <f>B14+0.2</f>
        <v>1.4</v>
      </c>
      <c r="C15" s="34">
        <f t="shared" si="0"/>
        <v>114.90864995038716</v>
      </c>
      <c r="D15" s="34">
        <f t="shared" si="1"/>
        <v>9.8739495798319314</v>
      </c>
      <c r="E15" s="34">
        <f t="shared" si="2"/>
        <v>153.05780374503135</v>
      </c>
      <c r="F15" s="34">
        <f t="shared" si="3"/>
        <v>2655522.1498213843</v>
      </c>
      <c r="G15" s="34">
        <f t="shared" si="4"/>
        <v>2304792.8092789371</v>
      </c>
      <c r="H15" s="43">
        <f t="shared" si="5"/>
        <v>0</v>
      </c>
      <c r="I15" s="43">
        <v>1.7999999999999999E-2</v>
      </c>
      <c r="J15" s="43">
        <v>1.7999999999999999E-2</v>
      </c>
      <c r="K15" s="34"/>
      <c r="L15" s="34">
        <f t="shared" si="6"/>
        <v>60.393025210084019</v>
      </c>
      <c r="M15" s="35">
        <f t="shared" si="7"/>
        <v>366.50863270014673</v>
      </c>
      <c r="N15" s="10"/>
      <c r="O15" s="7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25">
      <c r="A16" s="6" t="s">
        <v>36</v>
      </c>
      <c r="B16" s="10"/>
      <c r="C16" s="36"/>
      <c r="D16" s="36"/>
      <c r="E16" s="36"/>
      <c r="F16" s="36"/>
      <c r="G16" s="36"/>
      <c r="H16" s="44"/>
      <c r="I16" s="44"/>
      <c r="J16" s="44"/>
      <c r="K16" s="36"/>
      <c r="L16" s="36"/>
      <c r="M16" s="36"/>
      <c r="N16" s="6" t="s">
        <v>37</v>
      </c>
      <c r="O16" s="7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25">
      <c r="A17" s="5">
        <v>35</v>
      </c>
      <c r="B17" s="13"/>
      <c r="C17" s="37"/>
      <c r="D17" s="37"/>
      <c r="E17" s="37"/>
      <c r="F17" s="38" t="s">
        <v>38</v>
      </c>
      <c r="G17" s="38"/>
      <c r="H17" s="45"/>
      <c r="I17" s="46" t="s">
        <v>39</v>
      </c>
      <c r="J17" s="45"/>
      <c r="K17" s="37"/>
      <c r="L17" s="37"/>
      <c r="M17" s="38" t="s">
        <v>40</v>
      </c>
      <c r="N17" s="5">
        <v>6.5250000000000004</v>
      </c>
      <c r="O17" s="7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25">
      <c r="A18" s="10"/>
      <c r="B18" s="8"/>
      <c r="C18" s="39"/>
      <c r="D18" s="39"/>
      <c r="E18" s="39"/>
      <c r="F18" s="23">
        <f t="shared" ref="F18:F31" si="9">(C2*$A$5*$N$17/($A$20*10^-7))</f>
        <v>38682861.471493654</v>
      </c>
      <c r="G18" s="39"/>
      <c r="H18" s="47"/>
      <c r="I18" s="43">
        <v>5.0000000000000001E-4</v>
      </c>
      <c r="J18" s="47"/>
      <c r="K18" s="39"/>
      <c r="L18" s="39"/>
      <c r="M18" s="35">
        <f t="shared" ref="M18:M31" si="10">I18*2*D2*$N$14</f>
        <v>22.549632352941178</v>
      </c>
      <c r="N18" s="10"/>
      <c r="O18" s="7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25">
      <c r="A19" s="6" t="s">
        <v>41</v>
      </c>
      <c r="B19" s="8"/>
      <c r="C19" s="39"/>
      <c r="D19" s="39"/>
      <c r="E19" s="39"/>
      <c r="F19" s="23">
        <f t="shared" si="9"/>
        <v>12232594.866269251</v>
      </c>
      <c r="G19" s="39"/>
      <c r="H19" s="47"/>
      <c r="I19" s="43">
        <v>4.1999999999999997E-3</v>
      </c>
      <c r="J19" s="47"/>
      <c r="K19" s="39"/>
      <c r="L19" s="39"/>
      <c r="M19" s="35">
        <f t="shared" si="10"/>
        <v>18.941691176470588</v>
      </c>
      <c r="N19" s="6" t="s">
        <v>42</v>
      </c>
      <c r="O19" s="7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5">
      <c r="A20" s="5">
        <v>3.43</v>
      </c>
      <c r="B20" s="8"/>
      <c r="C20" s="39"/>
      <c r="D20" s="39"/>
      <c r="E20" s="39"/>
      <c r="F20" s="23">
        <f t="shared" si="9"/>
        <v>8649750.7814467363</v>
      </c>
      <c r="G20" s="39"/>
      <c r="H20" s="47"/>
      <c r="I20" s="43">
        <v>4.1999999999999997E-3</v>
      </c>
      <c r="J20" s="47"/>
      <c r="K20" s="39"/>
      <c r="L20" s="39"/>
      <c r="M20" s="35">
        <f t="shared" si="10"/>
        <v>9.470845588235294</v>
      </c>
      <c r="N20" s="5">
        <v>0.05</v>
      </c>
      <c r="O20" s="7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25">
      <c r="A21" s="10"/>
      <c r="B21" s="8"/>
      <c r="C21" s="39"/>
      <c r="D21" s="39" t="s">
        <v>43</v>
      </c>
      <c r="E21" s="39"/>
      <c r="F21" s="23">
        <f t="shared" si="9"/>
        <v>7062491.938928186</v>
      </c>
      <c r="G21" s="39"/>
      <c r="H21" s="47"/>
      <c r="I21" s="43">
        <v>4.1999999999999997E-3</v>
      </c>
      <c r="J21" s="47"/>
      <c r="K21" s="39"/>
      <c r="L21" s="39"/>
      <c r="M21" s="35">
        <f t="shared" si="10"/>
        <v>6.313897058823529</v>
      </c>
      <c r="N21" s="10"/>
      <c r="O21" s="7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25">
      <c r="A22" s="6" t="s">
        <v>44</v>
      </c>
      <c r="B22" s="8"/>
      <c r="C22" s="39"/>
      <c r="D22" s="39"/>
      <c r="E22" s="39"/>
      <c r="F22" s="23">
        <f t="shared" si="9"/>
        <v>6116297.4331346257</v>
      </c>
      <c r="G22" s="39"/>
      <c r="H22" s="47"/>
      <c r="I22" s="43">
        <v>4.1999999999999997E-3</v>
      </c>
      <c r="J22" s="47"/>
      <c r="K22" s="39"/>
      <c r="L22" s="39"/>
      <c r="M22" s="35">
        <f t="shared" si="10"/>
        <v>4.735422794117647</v>
      </c>
      <c r="N22" s="6" t="s">
        <v>45</v>
      </c>
      <c r="O22" s="7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25">
      <c r="A23" s="5">
        <v>5.3</v>
      </c>
      <c r="B23" s="8"/>
      <c r="C23" s="39"/>
      <c r="D23" s="39"/>
      <c r="E23" s="39"/>
      <c r="F23" s="23">
        <f t="shared" si="9"/>
        <v>5470582.7324385997</v>
      </c>
      <c r="G23" s="39"/>
      <c r="H23" s="47"/>
      <c r="I23" s="43">
        <v>4.1999999999999997E-3</v>
      </c>
      <c r="J23" s="47"/>
      <c r="K23" s="39"/>
      <c r="L23" s="39"/>
      <c r="M23" s="35">
        <f t="shared" si="10"/>
        <v>3.788338235294118</v>
      </c>
      <c r="N23" s="5">
        <f>M3/(0.5*C3*C3*A8*A5)</f>
        <v>9.3255013994870493E-3</v>
      </c>
      <c r="O23" s="7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25">
      <c r="A24" s="10"/>
      <c r="B24" s="8"/>
      <c r="C24" s="39"/>
      <c r="D24" s="39"/>
      <c r="E24" s="39"/>
      <c r="F24" s="23">
        <f t="shared" si="9"/>
        <v>4993935.9420914492</v>
      </c>
      <c r="G24" s="39"/>
      <c r="H24" s="47"/>
      <c r="I24" s="43">
        <v>4.4999999999999997E-3</v>
      </c>
      <c r="J24" s="47"/>
      <c r="K24" s="39"/>
      <c r="L24" s="39"/>
      <c r="M24" s="35">
        <f t="shared" si="10"/>
        <v>3.3824448529411768</v>
      </c>
      <c r="N24" s="10"/>
      <c r="O24" s="7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3.2" x14ac:dyDescent="0.25">
      <c r="A25" s="6" t="s">
        <v>46</v>
      </c>
      <c r="B25" s="8"/>
      <c r="C25" s="39"/>
      <c r="D25" s="39"/>
      <c r="E25" s="39"/>
      <c r="F25" s="23">
        <f t="shared" si="9"/>
        <v>4623486.2721648356</v>
      </c>
      <c r="G25" s="39"/>
      <c r="H25" s="47"/>
      <c r="I25" s="43">
        <v>4.4999999999999997E-3</v>
      </c>
      <c r="J25" s="47"/>
      <c r="K25" s="39"/>
      <c r="L25" s="39"/>
      <c r="M25" s="35">
        <f t="shared" si="10"/>
        <v>2.8992384453781503</v>
      </c>
      <c r="N25" s="10"/>
      <c r="O25" s="7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3.2" x14ac:dyDescent="0.25">
      <c r="A26" s="5">
        <v>4.5999999999999996</v>
      </c>
      <c r="B26" s="8"/>
      <c r="C26" s="39"/>
      <c r="D26" s="39"/>
      <c r="E26" s="39"/>
      <c r="F26" s="23">
        <f t="shared" si="9"/>
        <v>4324875.3907233682</v>
      </c>
      <c r="G26" s="39"/>
      <c r="H26" s="47"/>
      <c r="I26" s="43">
        <v>4.4999999999999997E-3</v>
      </c>
      <c r="J26" s="47"/>
      <c r="K26" s="39"/>
      <c r="L26" s="39"/>
      <c r="M26" s="35">
        <f t="shared" si="10"/>
        <v>2.5368336397058826</v>
      </c>
      <c r="N26" s="10"/>
      <c r="O26" s="7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3.2" x14ac:dyDescent="0.25">
      <c r="A27" s="10"/>
      <c r="B27" s="8"/>
      <c r="C27" s="39"/>
      <c r="D27" s="39"/>
      <c r="E27" s="39"/>
      <c r="F27" s="23">
        <f t="shared" si="9"/>
        <v>4077531.6220897506</v>
      </c>
      <c r="G27" s="39"/>
      <c r="H27" s="47"/>
      <c r="I27" s="43">
        <v>5.0000000000000001E-3</v>
      </c>
      <c r="J27" s="47"/>
      <c r="K27" s="39"/>
      <c r="L27" s="39"/>
      <c r="M27" s="35">
        <f t="shared" si="10"/>
        <v>2.5055147058823533</v>
      </c>
      <c r="N27" s="10"/>
      <c r="O27" s="7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3.2" x14ac:dyDescent="0.25">
      <c r="A28" s="6" t="s">
        <v>47</v>
      </c>
      <c r="B28" s="8"/>
      <c r="C28" s="39"/>
      <c r="D28" s="39"/>
      <c r="E28" s="39"/>
      <c r="F28" s="23">
        <f t="shared" si="9"/>
        <v>3868286.1471493659</v>
      </c>
      <c r="G28" s="39"/>
      <c r="H28" s="47"/>
      <c r="I28" s="43">
        <v>5.0000000000000001E-3</v>
      </c>
      <c r="J28" s="47"/>
      <c r="K28" s="39"/>
      <c r="L28" s="39"/>
      <c r="M28" s="35">
        <f t="shared" si="10"/>
        <v>2.254963235294118</v>
      </c>
      <c r="N28" s="10"/>
      <c r="O28" s="7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3.2" x14ac:dyDescent="0.25">
      <c r="A29" s="5"/>
      <c r="B29" s="8"/>
      <c r="C29" s="39"/>
      <c r="D29" s="39"/>
      <c r="E29" s="39"/>
      <c r="F29" s="23">
        <f t="shared" si="9"/>
        <v>3688266.1258038897</v>
      </c>
      <c r="G29" s="39"/>
      <c r="H29" s="47"/>
      <c r="I29" s="43">
        <v>0.01</v>
      </c>
      <c r="J29" s="47"/>
      <c r="K29" s="39"/>
      <c r="L29" s="39"/>
      <c r="M29" s="35">
        <f t="shared" si="10"/>
        <v>4.0999331550802127</v>
      </c>
      <c r="N29" s="10"/>
      <c r="O29" s="7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3.2" x14ac:dyDescent="0.25">
      <c r="A30" s="7"/>
      <c r="B30" s="8"/>
      <c r="C30" s="39"/>
      <c r="D30" s="39"/>
      <c r="E30" s="39"/>
      <c r="F30" s="23">
        <f t="shared" si="9"/>
        <v>3531245.969464093</v>
      </c>
      <c r="G30" s="39"/>
      <c r="H30" s="47"/>
      <c r="I30" s="43">
        <v>0.01</v>
      </c>
      <c r="J30" s="47"/>
      <c r="K30" s="39"/>
      <c r="L30" s="39"/>
      <c r="M30" s="35">
        <f t="shared" si="10"/>
        <v>3.7582720588235294</v>
      </c>
      <c r="N30" s="7"/>
      <c r="O30" s="7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3.2" x14ac:dyDescent="0.25">
      <c r="A31" s="7"/>
      <c r="B31" s="8"/>
      <c r="C31" s="39"/>
      <c r="D31" s="39"/>
      <c r="E31" s="39"/>
      <c r="F31" s="23">
        <f t="shared" si="9"/>
        <v>3269298.4957706667</v>
      </c>
      <c r="G31" s="39"/>
      <c r="H31" s="47"/>
      <c r="I31" s="43">
        <v>1.7999999999999999E-2</v>
      </c>
      <c r="J31" s="47"/>
      <c r="K31" s="39"/>
      <c r="L31" s="39"/>
      <c r="M31" s="35">
        <f t="shared" si="10"/>
        <v>5.7984768907563007</v>
      </c>
      <c r="N31" s="7"/>
      <c r="O31" s="7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3.2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3.2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3.2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3.2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3.2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3.2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3.2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3.2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3.2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3.2" x14ac:dyDescent="0.25">
      <c r="A41" s="8"/>
      <c r="B41" s="8" t="s">
        <v>48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3.2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3.2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3.2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3.2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3.2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3.2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3.2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3.2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3.2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3.2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3.2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3.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3.2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3.2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3.2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3.2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3.2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3.2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.2" x14ac:dyDescent="0.25">
      <c r="A60" s="8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.2" x14ac:dyDescent="0.25">
      <c r="A61" s="8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.2" x14ac:dyDescent="0.25">
      <c r="A62" s="8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.2" x14ac:dyDescent="0.25">
      <c r="A63" s="8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.2" x14ac:dyDescent="0.25">
      <c r="A64" s="8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.2" x14ac:dyDescent="0.25">
      <c r="A65" s="8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.2" x14ac:dyDescent="0.25">
      <c r="A66" s="8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.2" x14ac:dyDescent="0.25">
      <c r="A67" s="8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.2" x14ac:dyDescent="0.25">
      <c r="A68" s="8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.2" x14ac:dyDescent="0.25">
      <c r="A69" s="8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.2" x14ac:dyDescent="0.25">
      <c r="A70" s="8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.2" x14ac:dyDescent="0.25">
      <c r="A71" s="8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.2" x14ac:dyDescent="0.25">
      <c r="A72" s="8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.2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3.2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3.2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3.2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3.2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3.2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3.2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3.2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3.2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3.2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3.2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3.2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3.2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3.2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3.2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3.2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3.2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3.2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3.2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3.2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3.2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3.2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3.2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3.2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3.2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3.2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3.2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3.2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3.2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3.2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3.2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3.2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3.2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3.2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3.2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3.2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3.2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3.2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3.2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3.2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3.2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3.2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3.2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3.2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3.2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3.2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3.2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3.2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3.2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3.2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3.2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3.2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3.2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3.2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3.2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3.2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3.2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3.2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3.2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3.2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3.2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3.2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3.2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3.2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3.2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3.2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3.2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3.2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3.2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3.2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3.2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3.2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3.2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3.2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3.2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3.2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3.2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3.2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3.2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3.2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3.2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3.2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3.2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3.2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3.2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3.2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3.2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3.2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3.2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3.2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3.2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3.2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3.2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3.2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3.2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3.2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3.2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3.2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3.2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3.2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3.2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3.2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3.2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3.2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3.2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3.2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3.2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3.2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3.2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3.2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3.2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3.2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3.2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3.2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3.2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3.2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3.2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3.2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3.2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3.2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3.2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3.2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3.2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3.2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3.2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3.2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3.2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3.2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3.2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3.2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3.2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3.2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3.2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3.2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3.2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3.2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3.2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3.2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3.2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3.2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3.2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3.2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3.2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3.2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3.2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3.2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3.2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3.2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3.2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3.2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3.2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3.2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3.2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3.2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3.2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3.2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3.2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3.2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3.2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3.2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3.2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3.2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3.2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3.2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3.2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3.2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3.2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3.2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3.2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3.2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3.2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3.2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3.2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3.2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3.2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3.2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3.2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3.2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3.2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3.2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3.2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3.2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3.2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3.2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3.2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3.2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3.2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3.2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3.2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3.2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3.2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3.2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3.2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3.2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3.2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3.2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3.2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3.2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3.2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3.2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3.2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3.2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3.2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3.2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3.2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3.2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3.2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3.2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3.2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3.2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3.2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3.2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3.2" x14ac:dyDescent="0.2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3.2" x14ac:dyDescent="0.2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3.2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3.2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3.2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3.2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3.2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3.2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3.2" x14ac:dyDescent="0.2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3.2" x14ac:dyDescent="0.2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3.2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3.2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3.2" x14ac:dyDescent="0.2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3.2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3.2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3.2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3.2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3.2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3.2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3.2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3.2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3.2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3.2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3.2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3.2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3.2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3.2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3.2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3.2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3.2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3.2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3.2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3.2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3.2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3.2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3.2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3.2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3.2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3.2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3.2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3.2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3.2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3.2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3.2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3.2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3.2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3.2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3.2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3.2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3.2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3.2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3.2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3.2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3.2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3.2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3.2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3.2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3.2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3.2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3.2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3.2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3.2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3.2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3.2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3.2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3.2" x14ac:dyDescent="0.2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3.2" x14ac:dyDescent="0.2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3.2" x14ac:dyDescent="0.2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3.2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3.2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3.2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3.2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3.2" x14ac:dyDescent="0.2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3.2" x14ac:dyDescent="0.2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3.2" x14ac:dyDescent="0.2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3.2" x14ac:dyDescent="0.2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3.2" x14ac:dyDescent="0.2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3.2" x14ac:dyDescent="0.2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3.2" x14ac:dyDescent="0.2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3.2" x14ac:dyDescent="0.2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3.2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3.2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3.2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3.2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3.2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3.2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3.2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3.2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3.2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3.2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3.2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3.2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3.2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3.2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3.2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3.2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3.2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3.2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3.2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3.2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3.2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3.2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3.2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3.2" x14ac:dyDescent="0.2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3.2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3.2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3.2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3.2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3.2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3.2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3.2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3.2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3.2" x14ac:dyDescent="0.2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3.2" x14ac:dyDescent="0.2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3.2" x14ac:dyDescent="0.2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3.2" x14ac:dyDescent="0.2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3.2" x14ac:dyDescent="0.2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3.2" x14ac:dyDescent="0.2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3.2" x14ac:dyDescent="0.2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3.2" x14ac:dyDescent="0.2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3.2" x14ac:dyDescent="0.2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3.2" x14ac:dyDescent="0.2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3.2" x14ac:dyDescent="0.2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3.2" x14ac:dyDescent="0.2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3.2" x14ac:dyDescent="0.2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3.2" x14ac:dyDescent="0.2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3.2" x14ac:dyDescent="0.2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3.2" x14ac:dyDescent="0.2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3.2" x14ac:dyDescent="0.2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3.2" x14ac:dyDescent="0.2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3.2" x14ac:dyDescent="0.2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3.2" x14ac:dyDescent="0.2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3.2" x14ac:dyDescent="0.2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3.2" x14ac:dyDescent="0.2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3.2" x14ac:dyDescent="0.2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3.2" x14ac:dyDescent="0.2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3.2" x14ac:dyDescent="0.2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3.2" x14ac:dyDescent="0.2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3.2" x14ac:dyDescent="0.2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3.2" x14ac:dyDescent="0.2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3.2" x14ac:dyDescent="0.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3.2" x14ac:dyDescent="0.2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3.2" x14ac:dyDescent="0.2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3.2" x14ac:dyDescent="0.2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3.2" x14ac:dyDescent="0.2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3.2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3.2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3.2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3.2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3.2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3.2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3.2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3.2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3.2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3.2" x14ac:dyDescent="0.2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3.2" x14ac:dyDescent="0.2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3.2" x14ac:dyDescent="0.2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3.2" x14ac:dyDescent="0.2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3.2" x14ac:dyDescent="0.2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3.2" x14ac:dyDescent="0.2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3.2" x14ac:dyDescent="0.2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3.2" x14ac:dyDescent="0.2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3.2" x14ac:dyDescent="0.2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3.2" x14ac:dyDescent="0.2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3.2" x14ac:dyDescent="0.2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3.2" x14ac:dyDescent="0.2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3.2" x14ac:dyDescent="0.2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3.2" x14ac:dyDescent="0.2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3.2" x14ac:dyDescent="0.2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3.2" x14ac:dyDescent="0.2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3.2" x14ac:dyDescent="0.2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3.2" x14ac:dyDescent="0.2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3.2" x14ac:dyDescent="0.2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3.2" x14ac:dyDescent="0.2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3.2" x14ac:dyDescent="0.2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3.2" x14ac:dyDescent="0.2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3.2" x14ac:dyDescent="0.2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3.2" x14ac:dyDescent="0.2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3.2" x14ac:dyDescent="0.2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3.2" x14ac:dyDescent="0.2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3.2" x14ac:dyDescent="0.2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3.2" x14ac:dyDescent="0.2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3.2" x14ac:dyDescent="0.2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3.2" x14ac:dyDescent="0.2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3.2" x14ac:dyDescent="0.2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3.2" x14ac:dyDescent="0.2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3.2" x14ac:dyDescent="0.2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3.2" x14ac:dyDescent="0.2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3.2" x14ac:dyDescent="0.2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3.2" x14ac:dyDescent="0.2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3.2" x14ac:dyDescent="0.2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3.2" x14ac:dyDescent="0.2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3.2" x14ac:dyDescent="0.2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3.2" x14ac:dyDescent="0.2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3.2" x14ac:dyDescent="0.2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3.2" x14ac:dyDescent="0.2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3.2" x14ac:dyDescent="0.2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3.2" x14ac:dyDescent="0.2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3.2" x14ac:dyDescent="0.2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3.2" x14ac:dyDescent="0.2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3.2" x14ac:dyDescent="0.2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3.2" x14ac:dyDescent="0.2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3.2" x14ac:dyDescent="0.2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3.2" x14ac:dyDescent="0.2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3.2" x14ac:dyDescent="0.2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3.2" x14ac:dyDescent="0.2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3.2" x14ac:dyDescent="0.2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3.2" x14ac:dyDescent="0.2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3.2" x14ac:dyDescent="0.2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3.2" x14ac:dyDescent="0.2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3.2" x14ac:dyDescent="0.2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3.2" x14ac:dyDescent="0.2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3.2" x14ac:dyDescent="0.2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3.2" x14ac:dyDescent="0.2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3.2" x14ac:dyDescent="0.2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3.2" x14ac:dyDescent="0.2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3.2" x14ac:dyDescent="0.2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3.2" x14ac:dyDescent="0.2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3.2" x14ac:dyDescent="0.2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3.2" x14ac:dyDescent="0.2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3.2" x14ac:dyDescent="0.2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3.2" x14ac:dyDescent="0.2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3.2" x14ac:dyDescent="0.2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3.2" x14ac:dyDescent="0.2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3.2" x14ac:dyDescent="0.2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3.2" x14ac:dyDescent="0.2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3.2" x14ac:dyDescent="0.2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3.2" x14ac:dyDescent="0.2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3.2" x14ac:dyDescent="0.2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3.2" x14ac:dyDescent="0.2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3.2" x14ac:dyDescent="0.2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3.2" x14ac:dyDescent="0.2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3.2" x14ac:dyDescent="0.2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3.2" x14ac:dyDescent="0.2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3.2" x14ac:dyDescent="0.2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3.2" x14ac:dyDescent="0.2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3.2" x14ac:dyDescent="0.2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3.2" x14ac:dyDescent="0.2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3.2" x14ac:dyDescent="0.2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3.2" x14ac:dyDescent="0.2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3.2" x14ac:dyDescent="0.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3.2" x14ac:dyDescent="0.2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3.2" x14ac:dyDescent="0.2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3.2" x14ac:dyDescent="0.2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3.2" x14ac:dyDescent="0.2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3.2" x14ac:dyDescent="0.2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3.2" x14ac:dyDescent="0.2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3.2" x14ac:dyDescent="0.2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3.2" x14ac:dyDescent="0.2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3.2" x14ac:dyDescent="0.2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3.2" x14ac:dyDescent="0.2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3.2" x14ac:dyDescent="0.2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3.2" x14ac:dyDescent="0.2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3.2" x14ac:dyDescent="0.2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3.2" x14ac:dyDescent="0.2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3.2" x14ac:dyDescent="0.2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3.2" x14ac:dyDescent="0.2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3.2" x14ac:dyDescent="0.2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3.2" x14ac:dyDescent="0.2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3.2" x14ac:dyDescent="0.2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3.2" x14ac:dyDescent="0.2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3.2" x14ac:dyDescent="0.2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3.2" x14ac:dyDescent="0.2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3.2" x14ac:dyDescent="0.2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3.2" x14ac:dyDescent="0.2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3.2" x14ac:dyDescent="0.2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3.2" x14ac:dyDescent="0.2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3.2" x14ac:dyDescent="0.2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3.2" x14ac:dyDescent="0.2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3.2" x14ac:dyDescent="0.2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3.2" x14ac:dyDescent="0.2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3.2" x14ac:dyDescent="0.2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3.2" x14ac:dyDescent="0.2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3.2" x14ac:dyDescent="0.2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3.2" x14ac:dyDescent="0.2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3.2" x14ac:dyDescent="0.2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3.2" x14ac:dyDescent="0.2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3.2" x14ac:dyDescent="0.2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3.2" x14ac:dyDescent="0.2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3.2" x14ac:dyDescent="0.2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3.2" x14ac:dyDescent="0.2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3.2" x14ac:dyDescent="0.2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3.2" x14ac:dyDescent="0.2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3.2" x14ac:dyDescent="0.2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3.2" x14ac:dyDescent="0.2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3.2" x14ac:dyDescent="0.2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3.2" x14ac:dyDescent="0.2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3.2" x14ac:dyDescent="0.2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3.2" x14ac:dyDescent="0.2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3.2" x14ac:dyDescent="0.2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3.2" x14ac:dyDescent="0.2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3.2" x14ac:dyDescent="0.2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3.2" x14ac:dyDescent="0.2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3.2" x14ac:dyDescent="0.2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3.2" x14ac:dyDescent="0.2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3.2" x14ac:dyDescent="0.2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3.2" x14ac:dyDescent="0.2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3.2" x14ac:dyDescent="0.2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3.2" x14ac:dyDescent="0.2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3.2" x14ac:dyDescent="0.2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3.2" x14ac:dyDescent="0.2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3.2" x14ac:dyDescent="0.2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3.2" x14ac:dyDescent="0.2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3.2" x14ac:dyDescent="0.2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3.2" x14ac:dyDescent="0.2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3.2" x14ac:dyDescent="0.2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3.2" x14ac:dyDescent="0.2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3.2" x14ac:dyDescent="0.2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3.2" x14ac:dyDescent="0.2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3.2" x14ac:dyDescent="0.2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3.2" x14ac:dyDescent="0.2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3.2" x14ac:dyDescent="0.2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3.2" x14ac:dyDescent="0.2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3.2" x14ac:dyDescent="0.2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3.2" x14ac:dyDescent="0.2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3.2" x14ac:dyDescent="0.2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3.2" x14ac:dyDescent="0.2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3.2" x14ac:dyDescent="0.2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3.2" x14ac:dyDescent="0.2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3.2" x14ac:dyDescent="0.2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3.2" x14ac:dyDescent="0.2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3.2" x14ac:dyDescent="0.2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3.2" x14ac:dyDescent="0.2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3.2" x14ac:dyDescent="0.2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3.2" x14ac:dyDescent="0.2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3.2" x14ac:dyDescent="0.2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3.2" x14ac:dyDescent="0.2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3.2" x14ac:dyDescent="0.2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3.2" x14ac:dyDescent="0.2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3.2" x14ac:dyDescent="0.2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3.2" x14ac:dyDescent="0.2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3.2" x14ac:dyDescent="0.2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3.2" x14ac:dyDescent="0.2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3.2" x14ac:dyDescent="0.2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3.2" x14ac:dyDescent="0.2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3.2" x14ac:dyDescent="0.2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3.2" x14ac:dyDescent="0.2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3.2" x14ac:dyDescent="0.2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3.2" x14ac:dyDescent="0.2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3.2" x14ac:dyDescent="0.2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3.2" x14ac:dyDescent="0.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3.2" x14ac:dyDescent="0.2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3.2" x14ac:dyDescent="0.2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3.2" x14ac:dyDescent="0.2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3.2" x14ac:dyDescent="0.2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3.2" x14ac:dyDescent="0.2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3.2" x14ac:dyDescent="0.2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3.2" x14ac:dyDescent="0.2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3.2" x14ac:dyDescent="0.2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3.2" x14ac:dyDescent="0.2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3.2" x14ac:dyDescent="0.2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3.2" x14ac:dyDescent="0.2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3.2" x14ac:dyDescent="0.2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3.2" x14ac:dyDescent="0.2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3.2" x14ac:dyDescent="0.2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3.2" x14ac:dyDescent="0.2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3.2" x14ac:dyDescent="0.2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3.2" x14ac:dyDescent="0.2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3.2" x14ac:dyDescent="0.2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3.2" x14ac:dyDescent="0.2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3.2" x14ac:dyDescent="0.2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3.2" x14ac:dyDescent="0.2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3.2" x14ac:dyDescent="0.2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3.2" x14ac:dyDescent="0.2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3.2" x14ac:dyDescent="0.2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3.2" x14ac:dyDescent="0.2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3.2" x14ac:dyDescent="0.2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3.2" x14ac:dyDescent="0.2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3.2" x14ac:dyDescent="0.2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3.2" x14ac:dyDescent="0.2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3.2" x14ac:dyDescent="0.2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3.2" x14ac:dyDescent="0.2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3.2" x14ac:dyDescent="0.2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3.2" x14ac:dyDescent="0.2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3.2" x14ac:dyDescent="0.2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3.2" x14ac:dyDescent="0.2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3.2" x14ac:dyDescent="0.2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3.2" x14ac:dyDescent="0.2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3.2" x14ac:dyDescent="0.2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3.2" x14ac:dyDescent="0.2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3.2" x14ac:dyDescent="0.2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3.2" x14ac:dyDescent="0.2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3.2" x14ac:dyDescent="0.2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3.2" x14ac:dyDescent="0.2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3.2" x14ac:dyDescent="0.2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3.2" x14ac:dyDescent="0.2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3.2" x14ac:dyDescent="0.2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3.2" x14ac:dyDescent="0.2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3.2" x14ac:dyDescent="0.2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3.2" x14ac:dyDescent="0.2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3.2" x14ac:dyDescent="0.2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3.2" x14ac:dyDescent="0.2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3.2" x14ac:dyDescent="0.2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3.2" x14ac:dyDescent="0.2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3.2" x14ac:dyDescent="0.2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3.2" x14ac:dyDescent="0.2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3.2" x14ac:dyDescent="0.2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3.2" x14ac:dyDescent="0.2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3.2" x14ac:dyDescent="0.2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3.2" x14ac:dyDescent="0.2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3.2" x14ac:dyDescent="0.2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3.2" x14ac:dyDescent="0.2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3.2" x14ac:dyDescent="0.2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3.2" x14ac:dyDescent="0.2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3.2" x14ac:dyDescent="0.2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3.2" x14ac:dyDescent="0.2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3.2" x14ac:dyDescent="0.2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3.2" x14ac:dyDescent="0.2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3.2" x14ac:dyDescent="0.2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3.2" x14ac:dyDescent="0.2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3.2" x14ac:dyDescent="0.2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3.2" x14ac:dyDescent="0.2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3.2" x14ac:dyDescent="0.2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3.2" x14ac:dyDescent="0.2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3.2" x14ac:dyDescent="0.2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3.2" x14ac:dyDescent="0.2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3.2" x14ac:dyDescent="0.2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3.2" x14ac:dyDescent="0.2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3.2" x14ac:dyDescent="0.2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3.2" x14ac:dyDescent="0.2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3.2" x14ac:dyDescent="0.2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3.2" x14ac:dyDescent="0.2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3.2" x14ac:dyDescent="0.2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3.2" x14ac:dyDescent="0.2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3.2" x14ac:dyDescent="0.2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3.2" x14ac:dyDescent="0.2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3.2" x14ac:dyDescent="0.2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3.2" x14ac:dyDescent="0.2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3.2" x14ac:dyDescent="0.2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3.2" x14ac:dyDescent="0.2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3.2" x14ac:dyDescent="0.2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3.2" x14ac:dyDescent="0.2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3.2" x14ac:dyDescent="0.2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3.2" x14ac:dyDescent="0.2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3.2" x14ac:dyDescent="0.2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3.2" x14ac:dyDescent="0.2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3.2" x14ac:dyDescent="0.2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3.2" x14ac:dyDescent="0.2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3.2" x14ac:dyDescent="0.2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3.2" x14ac:dyDescent="0.2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3.2" x14ac:dyDescent="0.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3.2" x14ac:dyDescent="0.2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3.2" x14ac:dyDescent="0.2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3.2" x14ac:dyDescent="0.2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3.2" x14ac:dyDescent="0.2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3.2" x14ac:dyDescent="0.2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3.2" x14ac:dyDescent="0.2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3.2" x14ac:dyDescent="0.2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3.2" x14ac:dyDescent="0.2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3.2" x14ac:dyDescent="0.2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3.2" x14ac:dyDescent="0.2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3.2" x14ac:dyDescent="0.2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3.2" x14ac:dyDescent="0.2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3.2" x14ac:dyDescent="0.2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3.2" x14ac:dyDescent="0.2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3.2" x14ac:dyDescent="0.2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3.2" x14ac:dyDescent="0.2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3.2" x14ac:dyDescent="0.2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3.2" x14ac:dyDescent="0.2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3.2" x14ac:dyDescent="0.2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3.2" x14ac:dyDescent="0.2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3.2" x14ac:dyDescent="0.2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3.2" x14ac:dyDescent="0.2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3.2" x14ac:dyDescent="0.2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3.2" x14ac:dyDescent="0.2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3.2" x14ac:dyDescent="0.2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3.2" x14ac:dyDescent="0.2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3.2" x14ac:dyDescent="0.2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3.2" x14ac:dyDescent="0.2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3.2" x14ac:dyDescent="0.2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3.2" x14ac:dyDescent="0.2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3.2" x14ac:dyDescent="0.2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3.2" x14ac:dyDescent="0.2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3.2" x14ac:dyDescent="0.2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3.2" x14ac:dyDescent="0.2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3.2" x14ac:dyDescent="0.2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3.2" x14ac:dyDescent="0.2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3.2" x14ac:dyDescent="0.2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3.2" x14ac:dyDescent="0.2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3.2" x14ac:dyDescent="0.2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3.2" x14ac:dyDescent="0.2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3.2" x14ac:dyDescent="0.2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3.2" x14ac:dyDescent="0.2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3.2" x14ac:dyDescent="0.2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3.2" x14ac:dyDescent="0.2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3.2" x14ac:dyDescent="0.2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3.2" x14ac:dyDescent="0.2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3.2" x14ac:dyDescent="0.2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3.2" x14ac:dyDescent="0.2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3.2" x14ac:dyDescent="0.2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3.2" x14ac:dyDescent="0.2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3.2" x14ac:dyDescent="0.2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3.2" x14ac:dyDescent="0.2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3.2" x14ac:dyDescent="0.2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3.2" x14ac:dyDescent="0.2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3.2" x14ac:dyDescent="0.2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3.2" x14ac:dyDescent="0.2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3.2" x14ac:dyDescent="0.2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3.2" x14ac:dyDescent="0.2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3.2" x14ac:dyDescent="0.2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3.2" x14ac:dyDescent="0.2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3.2" x14ac:dyDescent="0.2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3.2" x14ac:dyDescent="0.2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3.2" x14ac:dyDescent="0.2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3.2" x14ac:dyDescent="0.2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3.2" x14ac:dyDescent="0.2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3.2" x14ac:dyDescent="0.2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3.2" x14ac:dyDescent="0.2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3.2" x14ac:dyDescent="0.2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3.2" x14ac:dyDescent="0.2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3.2" x14ac:dyDescent="0.2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3.2" x14ac:dyDescent="0.2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3.2" x14ac:dyDescent="0.2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3.2" x14ac:dyDescent="0.2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3.2" x14ac:dyDescent="0.2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3.2" x14ac:dyDescent="0.2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3.2" x14ac:dyDescent="0.2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3.2" x14ac:dyDescent="0.2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3.2" x14ac:dyDescent="0.2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3.2" x14ac:dyDescent="0.2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3.2" x14ac:dyDescent="0.2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3.2" x14ac:dyDescent="0.2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3.2" x14ac:dyDescent="0.2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3.2" x14ac:dyDescent="0.2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3.2" x14ac:dyDescent="0.2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3.2" x14ac:dyDescent="0.2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3.2" x14ac:dyDescent="0.2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3.2" x14ac:dyDescent="0.2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3.2" x14ac:dyDescent="0.2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3.2" x14ac:dyDescent="0.2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3.2" x14ac:dyDescent="0.2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3.2" x14ac:dyDescent="0.2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3.2" x14ac:dyDescent="0.2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3.2" x14ac:dyDescent="0.2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3.2" x14ac:dyDescent="0.2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3.2" x14ac:dyDescent="0.2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3.2" x14ac:dyDescent="0.2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3.2" x14ac:dyDescent="0.2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3.2" x14ac:dyDescent="0.2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3.2" x14ac:dyDescent="0.2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3.2" x14ac:dyDescent="0.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3.2" x14ac:dyDescent="0.2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3.2" x14ac:dyDescent="0.2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3.2" x14ac:dyDescent="0.2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3.2" x14ac:dyDescent="0.2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3.2" x14ac:dyDescent="0.2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3.2" x14ac:dyDescent="0.2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3.2" x14ac:dyDescent="0.2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3.2" x14ac:dyDescent="0.2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3.2" x14ac:dyDescent="0.2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3.2" x14ac:dyDescent="0.2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3.2" x14ac:dyDescent="0.2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3.2" x14ac:dyDescent="0.2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3.2" x14ac:dyDescent="0.2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3.2" x14ac:dyDescent="0.2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3.2" x14ac:dyDescent="0.2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3.2" x14ac:dyDescent="0.2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3.2" x14ac:dyDescent="0.2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3.2" x14ac:dyDescent="0.2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3.2" x14ac:dyDescent="0.2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3.2" x14ac:dyDescent="0.2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3.2" x14ac:dyDescent="0.2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3.2" x14ac:dyDescent="0.2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3.2" x14ac:dyDescent="0.2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3.2" x14ac:dyDescent="0.2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3.2" x14ac:dyDescent="0.2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3.2" x14ac:dyDescent="0.2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3.2" x14ac:dyDescent="0.2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3.2" x14ac:dyDescent="0.2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3.2" x14ac:dyDescent="0.2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3.2" x14ac:dyDescent="0.2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3.2" x14ac:dyDescent="0.2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3.2" x14ac:dyDescent="0.2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3.2" x14ac:dyDescent="0.2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3.2" x14ac:dyDescent="0.2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3.2" x14ac:dyDescent="0.2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3.2" x14ac:dyDescent="0.2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3.2" x14ac:dyDescent="0.2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3.2" x14ac:dyDescent="0.2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3.2" x14ac:dyDescent="0.2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3.2" x14ac:dyDescent="0.2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3.2" x14ac:dyDescent="0.2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3.2" x14ac:dyDescent="0.2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3.2" x14ac:dyDescent="0.2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3.2" x14ac:dyDescent="0.2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3.2" x14ac:dyDescent="0.2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3.2" x14ac:dyDescent="0.2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3.2" x14ac:dyDescent="0.2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3.2" x14ac:dyDescent="0.2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3.2" x14ac:dyDescent="0.2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3.2" x14ac:dyDescent="0.2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3.2" x14ac:dyDescent="0.2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3.2" x14ac:dyDescent="0.2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3.2" x14ac:dyDescent="0.2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3.2" x14ac:dyDescent="0.2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3.2" x14ac:dyDescent="0.2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3.2" x14ac:dyDescent="0.2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3.2" x14ac:dyDescent="0.2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3.2" x14ac:dyDescent="0.2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3.2" x14ac:dyDescent="0.2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3.2" x14ac:dyDescent="0.2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3.2" x14ac:dyDescent="0.2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3.2" x14ac:dyDescent="0.2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3.2" x14ac:dyDescent="0.2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3.2" x14ac:dyDescent="0.2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3.2" x14ac:dyDescent="0.2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3.2" x14ac:dyDescent="0.2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3.2" x14ac:dyDescent="0.2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3.2" x14ac:dyDescent="0.2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3.2" x14ac:dyDescent="0.2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3.2" x14ac:dyDescent="0.2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3.2" x14ac:dyDescent="0.2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3.2" x14ac:dyDescent="0.2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3.2" x14ac:dyDescent="0.2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3.2" x14ac:dyDescent="0.2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3.2" x14ac:dyDescent="0.2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3.2" x14ac:dyDescent="0.2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3.2" x14ac:dyDescent="0.2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3.2" x14ac:dyDescent="0.2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3.2" x14ac:dyDescent="0.2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3.2" x14ac:dyDescent="0.2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3.2" x14ac:dyDescent="0.2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3.2" x14ac:dyDescent="0.2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3.2" x14ac:dyDescent="0.2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3.2" x14ac:dyDescent="0.2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3.2" x14ac:dyDescent="0.2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3.2" x14ac:dyDescent="0.2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3.2" x14ac:dyDescent="0.2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3.2" x14ac:dyDescent="0.2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3.2" x14ac:dyDescent="0.2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3.2" x14ac:dyDescent="0.2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3.2" x14ac:dyDescent="0.2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3.2" x14ac:dyDescent="0.2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3.2" x14ac:dyDescent="0.2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3.2" x14ac:dyDescent="0.2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3.2" x14ac:dyDescent="0.2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3.2" x14ac:dyDescent="0.2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3.2" x14ac:dyDescent="0.2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3.2" x14ac:dyDescent="0.2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3.2" x14ac:dyDescent="0.2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3.2" x14ac:dyDescent="0.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3.2" x14ac:dyDescent="0.2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3.2" x14ac:dyDescent="0.2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3.2" x14ac:dyDescent="0.2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3.2" x14ac:dyDescent="0.2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3.2" x14ac:dyDescent="0.2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3.2" x14ac:dyDescent="0.2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3.2" x14ac:dyDescent="0.2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3.2" x14ac:dyDescent="0.2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3.2" x14ac:dyDescent="0.2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3.2" x14ac:dyDescent="0.2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3.2" x14ac:dyDescent="0.2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3.2" x14ac:dyDescent="0.2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3.2" x14ac:dyDescent="0.2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3.2" x14ac:dyDescent="0.2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3.2" x14ac:dyDescent="0.2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3.2" x14ac:dyDescent="0.2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3.2" x14ac:dyDescent="0.2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3.2" x14ac:dyDescent="0.2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3.2" x14ac:dyDescent="0.2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3.2" x14ac:dyDescent="0.2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3.2" x14ac:dyDescent="0.2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3.2" x14ac:dyDescent="0.2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3.2" x14ac:dyDescent="0.2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3.2" x14ac:dyDescent="0.2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3.2" x14ac:dyDescent="0.2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3.2" x14ac:dyDescent="0.2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3.2" x14ac:dyDescent="0.2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3.2" x14ac:dyDescent="0.2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3.2" x14ac:dyDescent="0.2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3.2" x14ac:dyDescent="0.2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3.2" x14ac:dyDescent="0.2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3.2" x14ac:dyDescent="0.2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3.2" x14ac:dyDescent="0.2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3.2" x14ac:dyDescent="0.2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3.2" x14ac:dyDescent="0.2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3.2" x14ac:dyDescent="0.2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3.2" x14ac:dyDescent="0.2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3.2" x14ac:dyDescent="0.2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3.2" x14ac:dyDescent="0.2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3.2" x14ac:dyDescent="0.2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3.2" x14ac:dyDescent="0.2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3.2" x14ac:dyDescent="0.2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3.2" x14ac:dyDescent="0.2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3.2" x14ac:dyDescent="0.2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3.2" x14ac:dyDescent="0.2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3.2" x14ac:dyDescent="0.2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3.2" x14ac:dyDescent="0.2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3.2" x14ac:dyDescent="0.2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3.2" x14ac:dyDescent="0.2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3.2" x14ac:dyDescent="0.2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3.2" x14ac:dyDescent="0.2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3.2" x14ac:dyDescent="0.2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3.2" x14ac:dyDescent="0.2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3.2" x14ac:dyDescent="0.2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3.2" x14ac:dyDescent="0.2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3.2" x14ac:dyDescent="0.2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3.2" x14ac:dyDescent="0.2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3.2" x14ac:dyDescent="0.2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3.2" x14ac:dyDescent="0.2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3.2" x14ac:dyDescent="0.2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3.2" x14ac:dyDescent="0.2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3.2" x14ac:dyDescent="0.2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3.2" x14ac:dyDescent="0.25">
      <c r="A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3.2" x14ac:dyDescent="0.25">
      <c r="A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3.2" x14ac:dyDescent="0.25">
      <c r="A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3.2" x14ac:dyDescent="0.25">
      <c r="A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3.2" x14ac:dyDescent="0.25">
      <c r="A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3.2" x14ac:dyDescent="0.25">
      <c r="A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3.2" x14ac:dyDescent="0.25">
      <c r="A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3.2" x14ac:dyDescent="0.25">
      <c r="A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3.2" x14ac:dyDescent="0.25">
      <c r="A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3.2" x14ac:dyDescent="0.25">
      <c r="A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3.2" x14ac:dyDescent="0.25">
      <c r="A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3.2" x14ac:dyDescent="0.25">
      <c r="A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3.2" x14ac:dyDescent="0.25">
      <c r="A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autoFilter ref="A16:A17" xr:uid="{00000000-0009-0000-0000-000006000000}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>
      <selection activeCell="G2" sqref="F2:G17"/>
    </sheetView>
  </sheetViews>
  <sheetFormatPr defaultColWidth="12.5546875" defaultRowHeight="15.75" customHeight="1" x14ac:dyDescent="0.25"/>
  <cols>
    <col min="1" max="1" width="15.6640625" customWidth="1"/>
    <col min="3" max="3" width="12.6640625" bestFit="1" customWidth="1"/>
    <col min="4" max="4" width="15.6640625" bestFit="1" customWidth="1"/>
    <col min="5" max="6" width="12.6640625" bestFit="1" customWidth="1"/>
  </cols>
  <sheetData>
    <row r="1" spans="1:26" ht="15.75" customHeight="1" x14ac:dyDescent="0.25">
      <c r="A1" s="16" t="s">
        <v>49</v>
      </c>
      <c r="B1" s="16" t="s">
        <v>50</v>
      </c>
      <c r="C1" s="16" t="s">
        <v>51</v>
      </c>
      <c r="D1" s="16" t="s">
        <v>52</v>
      </c>
      <c r="E1" s="16" t="s">
        <v>53</v>
      </c>
      <c r="F1" s="16" t="s">
        <v>54</v>
      </c>
      <c r="G1" s="17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3">
        <v>23.8</v>
      </c>
      <c r="B2" s="3">
        <f>Wing15kft!B2</f>
        <v>0.01</v>
      </c>
      <c r="C2" s="23">
        <f>Wing15kft!C2</f>
        <v>1359.6174817495123</v>
      </c>
      <c r="D2" s="23">
        <f>(Wing15kft!$A$5*$A$2*C2/(Wing15kft!$A$20*10^-7))</f>
        <v>141096107.74276614</v>
      </c>
      <c r="E2" s="21">
        <f t="shared" ref="E2:E15" si="0">0.074/(D2^0.2)</f>
        <v>1.7351167929163095E-3</v>
      </c>
      <c r="F2" s="24">
        <f>0.5*E2*$A$5*Wing15kft!$A$5*C2*C2</f>
        <v>2249.1624939856952</v>
      </c>
      <c r="G2" s="2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17"/>
      <c r="B3" s="3">
        <f>Wing15kft!B3</f>
        <v>0.1</v>
      </c>
      <c r="C3" s="23">
        <f>Wing15kft!C3</f>
        <v>429.94879889108722</v>
      </c>
      <c r="D3" s="23">
        <f>(Wing15kft!$A$5*$A$2*C3/(Wing15kft!$A$20*10^-7))</f>
        <v>44618506.945166007</v>
      </c>
      <c r="E3" s="21">
        <f t="shared" si="0"/>
        <v>2.1843826230331393E-3</v>
      </c>
      <c r="F3" s="24">
        <f>0.5*E3*$A$5*Wing15kft!$A$5*C3*C3</f>
        <v>283.15278189329371</v>
      </c>
      <c r="G3" s="2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16" t="s">
        <v>30</v>
      </c>
      <c r="B4" s="3">
        <f>Wing15kft!B4</f>
        <v>0.2</v>
      </c>
      <c r="C4" s="23">
        <f>Wing15kft!C4</f>
        <v>304.01971125889895</v>
      </c>
      <c r="D4" s="23">
        <f>(Wing15kft!$A$5*$A$2*C4/(Wing15kft!$A$20*10^-7))</f>
        <v>31550048.827345952</v>
      </c>
      <c r="E4" s="21">
        <f t="shared" si="0"/>
        <v>2.3411633273923383E-3</v>
      </c>
      <c r="F4" s="24">
        <f>0.5*E4*$A$5*Wing15kft!$A$5*C4*C4</f>
        <v>151.73781873827963</v>
      </c>
      <c r="G4" s="2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">
        <v>937.72</v>
      </c>
      <c r="B5" s="3">
        <f>Wing15kft!B5</f>
        <v>0.30000000000000004</v>
      </c>
      <c r="C5" s="23">
        <f>Wing15kft!C5</f>
        <v>248.23105477752546</v>
      </c>
      <c r="D5" s="23">
        <f>(Wing15kft!$A$5*$A$2*C5/(Wing15kft!$A$20*10^-7))</f>
        <v>25760506.995630778</v>
      </c>
      <c r="E5" s="21">
        <f t="shared" si="0"/>
        <v>2.4380400665242542E-3</v>
      </c>
      <c r="F5" s="24">
        <f>0.5*E5*$A$5*Wing15kft!$A$5*C5*C5</f>
        <v>105.34446055442432</v>
      </c>
      <c r="G5" s="2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17"/>
      <c r="B6" s="3">
        <f>Wing15kft!B6</f>
        <v>0.4</v>
      </c>
      <c r="C6" s="23">
        <f>Wing15kft!C6</f>
        <v>214.97439944554361</v>
      </c>
      <c r="D6" s="23">
        <f>(Wing15kft!$A$5*$A$2*C6/(Wing15kft!$A$20*10^-7))</f>
        <v>22309253.472583003</v>
      </c>
      <c r="E6" s="21">
        <f t="shared" si="0"/>
        <v>2.5091967257622758E-3</v>
      </c>
      <c r="F6" s="24">
        <f>0.5*E6*$A$5*Wing15kft!$A$5*C6*C6</f>
        <v>81.314283693415192</v>
      </c>
      <c r="G6" s="2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17"/>
      <c r="B7" s="3">
        <f>Wing15kft!B7</f>
        <v>0.5</v>
      </c>
      <c r="C7" s="23">
        <f>Wing15kft!C7</f>
        <v>192.27894823297146</v>
      </c>
      <c r="D7" s="23">
        <f>(Wing15kft!$A$5*$A$2*C7/(Wing15kft!$A$20*10^-7))</f>
        <v>19954002.916787535</v>
      </c>
      <c r="E7" s="21">
        <f t="shared" si="0"/>
        <v>2.5658172079670205E-3</v>
      </c>
      <c r="F7" s="24">
        <f>0.5*E7*$A$5*Wing15kft!$A$5*C7*C7</f>
        <v>66.51932427998662</v>
      </c>
      <c r="G7" s="2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17"/>
      <c r="B8" s="3">
        <f>Wing15kft!B8</f>
        <v>0.6</v>
      </c>
      <c r="C8" s="23">
        <f>Wing15kft!C8</f>
        <v>175.52586213427762</v>
      </c>
      <c r="D8" s="23">
        <f>(Wing15kft!$A$5*$A$2*C8/(Wing15kft!$A$20*10^-7))</f>
        <v>18215429.183414023</v>
      </c>
      <c r="E8" s="21">
        <f t="shared" si="0"/>
        <v>2.6130266439009131E-3</v>
      </c>
      <c r="F8" s="24">
        <f>0.5*E8*$A$5*Wing15kft!$A$5*C8*C8</f>
        <v>56.45269862371665</v>
      </c>
      <c r="G8" s="2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17"/>
      <c r="B9" s="3">
        <f>Wing15kft!B9</f>
        <v>0.7</v>
      </c>
      <c r="C9" s="23">
        <f>Wing15kft!C9</f>
        <v>162.50537119382</v>
      </c>
      <c r="D9" s="23">
        <f>(Wing15kft!$A$5*$A$2*C9/(Wing15kft!$A$20*10^-7))</f>
        <v>16864210.463988215</v>
      </c>
      <c r="E9" s="21">
        <f t="shared" si="0"/>
        <v>2.6536186880155529E-3</v>
      </c>
      <c r="F9" s="24">
        <f>0.5*E9*$A$5*Wing15kft!$A$5*C9*C9</f>
        <v>49.139710864672004</v>
      </c>
      <c r="G9" s="2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17"/>
      <c r="B10" s="3">
        <f>Wing15kft!B10</f>
        <v>0.79999999999999993</v>
      </c>
      <c r="C10" s="23">
        <f>Wing15kft!C10</f>
        <v>152.00985562944948</v>
      </c>
      <c r="D10" s="23">
        <f>(Wing15kft!$A$5*$A$2*C10/(Wing15kft!$A$20*10^-7))</f>
        <v>15775024.413672976</v>
      </c>
      <c r="E10" s="21">
        <f t="shared" si="0"/>
        <v>2.6892904629549652E-3</v>
      </c>
      <c r="F10" s="24">
        <f>0.5*E10*$A$5*Wing15kft!$A$5*C10*C10</f>
        <v>43.575245693875047</v>
      </c>
      <c r="G10" s="2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17"/>
      <c r="B11" s="3">
        <f>Wing15kft!B11</f>
        <v>0.89999999999999991</v>
      </c>
      <c r="C11" s="23">
        <f>Wing15kft!C11</f>
        <v>143.31626629702907</v>
      </c>
      <c r="D11" s="23">
        <f>(Wing15kft!$A$5*$A$2*C11/(Wing15kft!$A$20*10^-7))</f>
        <v>14872835.648388667</v>
      </c>
      <c r="E11" s="21">
        <f t="shared" si="0"/>
        <v>2.7211530174708815E-3</v>
      </c>
      <c r="F11" s="24">
        <f>0.5*E11*$A$5*Wing15kft!$A$5*C11*C11</f>
        <v>39.192464560297836</v>
      </c>
      <c r="G11" s="2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17"/>
      <c r="B12" s="3">
        <f>Wing15kft!B12</f>
        <v>0.99999999999999989</v>
      </c>
      <c r="C12" s="23">
        <f>Wing15kft!C12</f>
        <v>135.96174817495125</v>
      </c>
      <c r="D12" s="23">
        <f>(Wing15kft!$A$5*$A$2*C12/(Wing15kft!$A$20*10^-7))</f>
        <v>14109610.774276614</v>
      </c>
      <c r="E12" s="21">
        <f t="shared" si="0"/>
        <v>2.7499747932180191E-3</v>
      </c>
      <c r="F12" s="24">
        <f>0.5*E12*$A$5*Wing15kft!$A$5*C12*C12</f>
        <v>35.646823254567906</v>
      </c>
      <c r="G12" s="2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17"/>
      <c r="B13" s="3">
        <f>Wing15kft!B13</f>
        <v>1.0999999999999999</v>
      </c>
      <c r="C13" s="23">
        <f>Wing15kft!C13</f>
        <v>129.63444045324619</v>
      </c>
      <c r="D13" s="23">
        <f>(Wing15kft!$A$5*$A$2*C13/(Wing15kft!$A$20*10^-7))</f>
        <v>13452986.022089286</v>
      </c>
      <c r="E13" s="21">
        <f t="shared" si="0"/>
        <v>2.7763101544596236E-3</v>
      </c>
      <c r="F13" s="24">
        <f>0.5*E13*$A$5*Wing15kft!$A$5*C13*C13</f>
        <v>32.716543643816649</v>
      </c>
      <c r="G13" s="2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17"/>
      <c r="B14" s="3">
        <f>Wing15kft!B14</f>
        <v>1.2</v>
      </c>
      <c r="C14" s="23">
        <f>Wing15kft!C14</f>
        <v>124.11552738876274</v>
      </c>
      <c r="D14" s="23">
        <f>(Wing15kft!$A$5*$A$2*C14/(Wing15kft!$A$20*10^-7))</f>
        <v>12880253.497815389</v>
      </c>
      <c r="E14" s="21">
        <f t="shared" si="0"/>
        <v>2.800572613833271E-3</v>
      </c>
      <c r="F14" s="24">
        <f>0.5*E14*$A$5*Wing15kft!$A$5*C14*C14</f>
        <v>30.252252136729297</v>
      </c>
      <c r="G14" s="2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17"/>
      <c r="B15" s="3">
        <f>Wing15kft!B15</f>
        <v>1.4</v>
      </c>
      <c r="C15" s="23">
        <f>Wing15kft!C15</f>
        <v>114.90864995038716</v>
      </c>
      <c r="D15" s="23">
        <f>(Wing15kft!$A$5*$A$2*C15/(Wing15kft!$A$20*10^-7))</f>
        <v>11924797.578443198</v>
      </c>
      <c r="E15" s="21">
        <f t="shared" si="0"/>
        <v>2.8440780895054446E-3</v>
      </c>
      <c r="F15" s="24">
        <f>0.5*E15*$A$5*Wing15kft!$A$5*C15*C15</f>
        <v>26.333319030730912</v>
      </c>
      <c r="G15" s="2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17"/>
      <c r="B16" s="17"/>
      <c r="C16" s="25"/>
      <c r="D16" s="25"/>
      <c r="E16" s="25"/>
      <c r="F16" s="25"/>
      <c r="G16" s="25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16" t="s">
        <v>55</v>
      </c>
      <c r="B17" s="3"/>
      <c r="C17" s="23"/>
      <c r="D17" s="26" t="s">
        <v>56</v>
      </c>
      <c r="E17" s="26" t="s">
        <v>57</v>
      </c>
      <c r="F17" s="26" t="s">
        <v>58</v>
      </c>
      <c r="G17" s="2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3">
        <f>0.5^2*3.14</f>
        <v>0.78500000000000003</v>
      </c>
      <c r="B18" s="3"/>
      <c r="C18" s="23"/>
      <c r="D18" s="24">
        <f t="shared" ref="D18:D31" si="1">E18+F18</f>
        <v>2484.9867647058827</v>
      </c>
      <c r="E18" s="24">
        <f>0.5*$A$21*C2*C2*Wing15kft!$A$5*0.25</f>
        <v>1388.9882352941177</v>
      </c>
      <c r="F18" s="24">
        <f>0.5*$A$18*C2*C2*Wing15kft!$A$5*1.01</f>
        <v>1095.9985294117648</v>
      </c>
      <c r="G18" s="2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17"/>
      <c r="B19" s="3"/>
      <c r="C19" s="23"/>
      <c r="D19" s="24">
        <f t="shared" si="1"/>
        <v>248.49867647058824</v>
      </c>
      <c r="E19" s="24">
        <f>0.5*$A$21*C3*C3*Wing15kft!$A$5*0.25</f>
        <v>138.89882352941177</v>
      </c>
      <c r="F19" s="24">
        <f>0.5*$A$18*C3*C3*Wing15kft!$A$5*1.01</f>
        <v>109.59985294117648</v>
      </c>
      <c r="G19" s="2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16" t="s">
        <v>59</v>
      </c>
      <c r="B20" s="3"/>
      <c r="C20" s="23"/>
      <c r="D20" s="24">
        <f t="shared" si="1"/>
        <v>124.24933823529412</v>
      </c>
      <c r="E20" s="24">
        <f>0.5*$A$21*C4*C4*Wing15kft!$A$5*0.25</f>
        <v>69.449411764705886</v>
      </c>
      <c r="F20" s="24">
        <f>0.5*$A$18*C4*C4*Wing15kft!$A$5*1.01</f>
        <v>54.79992647058824</v>
      </c>
      <c r="G20" s="25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>
        <f>2*3.14*(0.8^2)</f>
        <v>4.0192000000000005</v>
      </c>
      <c r="B21" s="3"/>
      <c r="C21" s="23"/>
      <c r="D21" s="24">
        <f t="shared" si="1"/>
        <v>82.832892156862741</v>
      </c>
      <c r="E21" s="24">
        <f>0.5*$A$21*C5*C5*Wing15kft!$A$5*0.25</f>
        <v>46.29960784313726</v>
      </c>
      <c r="F21" s="24">
        <f>0.5*$A$18*C5*C5*Wing15kft!$A$5*1.01</f>
        <v>36.533284313725481</v>
      </c>
      <c r="G21" s="2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17"/>
      <c r="B22" s="3"/>
      <c r="C22" s="23"/>
      <c r="D22" s="24">
        <f t="shared" si="1"/>
        <v>62.124669117647059</v>
      </c>
      <c r="E22" s="24">
        <f>0.5*$A$21*C6*C6*Wing15kft!$A$5*0.25</f>
        <v>34.724705882352943</v>
      </c>
      <c r="F22" s="24">
        <f>0.5*$A$18*C6*C6*Wing15kft!$A$5*1.01</f>
        <v>27.39996323529412</v>
      </c>
      <c r="G22" s="2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17"/>
      <c r="B23" s="3"/>
      <c r="C23" s="23"/>
      <c r="D23" s="24">
        <f t="shared" si="1"/>
        <v>49.699735294117659</v>
      </c>
      <c r="E23" s="24">
        <f>0.5*$A$21*C7*C7*Wing15kft!$A$5*0.25</f>
        <v>27.779764705882357</v>
      </c>
      <c r="F23" s="24">
        <f>0.5*$A$18*C7*C7*Wing15kft!$A$5*1.01</f>
        <v>21.919970588235298</v>
      </c>
      <c r="G23" s="2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17"/>
      <c r="B24" s="3"/>
      <c r="C24" s="23"/>
      <c r="D24" s="24">
        <f t="shared" si="1"/>
        <v>41.416446078431377</v>
      </c>
      <c r="E24" s="24">
        <f>0.5*$A$21*C8*C8*Wing15kft!$A$5*0.25</f>
        <v>23.149803921568633</v>
      </c>
      <c r="F24" s="24">
        <f>0.5*$A$18*C8*C8*Wing15kft!$A$5*1.01</f>
        <v>18.266642156862748</v>
      </c>
      <c r="G24" s="2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2" x14ac:dyDescent="0.25">
      <c r="A25" s="17"/>
      <c r="B25" s="3"/>
      <c r="C25" s="23"/>
      <c r="D25" s="24">
        <f t="shared" si="1"/>
        <v>35.499810924369747</v>
      </c>
      <c r="E25" s="24">
        <f>0.5*$A$21*C9*C9*Wing15kft!$A$5*0.25</f>
        <v>19.842689075630254</v>
      </c>
      <c r="F25" s="24">
        <f>0.5*$A$18*C9*C9*Wing15kft!$A$5*1.01</f>
        <v>15.657121848739495</v>
      </c>
      <c r="G25" s="2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2" x14ac:dyDescent="0.25">
      <c r="A26" s="17"/>
      <c r="B26" s="3"/>
      <c r="C26" s="23"/>
      <c r="D26" s="24">
        <f t="shared" si="1"/>
        <v>31.06233455882353</v>
      </c>
      <c r="E26" s="24">
        <f>0.5*$A$21*C10*C10*Wing15kft!$A$5*0.25</f>
        <v>17.362352941176471</v>
      </c>
      <c r="F26" s="24">
        <f>0.5*$A$18*C10*C10*Wing15kft!$A$5*1.01</f>
        <v>13.69998161764706</v>
      </c>
      <c r="G26" s="2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2" x14ac:dyDescent="0.25">
      <c r="A27" s="17"/>
      <c r="B27" s="3"/>
      <c r="C27" s="23"/>
      <c r="D27" s="24">
        <f t="shared" si="1"/>
        <v>27.610964052287585</v>
      </c>
      <c r="E27" s="24">
        <f>0.5*$A$21*C11*C11*Wing15kft!$A$5*0.25</f>
        <v>15.433202614379088</v>
      </c>
      <c r="F27" s="24">
        <f>0.5*$A$18*C11*C11*Wing15kft!$A$5*1.01</f>
        <v>12.177761437908497</v>
      </c>
      <c r="G27" s="2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2" x14ac:dyDescent="0.25">
      <c r="A28" s="17"/>
      <c r="B28" s="3"/>
      <c r="C28" s="23"/>
      <c r="D28" s="24">
        <f t="shared" si="1"/>
        <v>24.849867647058829</v>
      </c>
      <c r="E28" s="24">
        <f>0.5*$A$21*C12*C12*Wing15kft!$A$5*0.25</f>
        <v>13.889882352941182</v>
      </c>
      <c r="F28" s="24">
        <f>0.5*$A$18*C12*C12*Wing15kft!$A$5*1.01</f>
        <v>10.959985294117649</v>
      </c>
      <c r="G28" s="2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2" x14ac:dyDescent="0.25">
      <c r="A29" s="17"/>
      <c r="B29" s="3"/>
      <c r="C29" s="23"/>
      <c r="D29" s="24">
        <f t="shared" si="1"/>
        <v>22.590788770053475</v>
      </c>
      <c r="E29" s="24">
        <f>0.5*$A$21*C13*C13*Wing15kft!$A$5*0.25</f>
        <v>12.627165775401069</v>
      </c>
      <c r="F29" s="24">
        <f>0.5*$A$18*C13*C13*Wing15kft!$A$5*1.01</f>
        <v>9.9636229946524058</v>
      </c>
      <c r="G29" s="25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2" x14ac:dyDescent="0.25">
      <c r="A30" s="17"/>
      <c r="B30" s="3"/>
      <c r="C30" s="23"/>
      <c r="D30" s="24">
        <f t="shared" si="1"/>
        <v>20.708223039215689</v>
      </c>
      <c r="E30" s="24">
        <f>0.5*$A$21*C14*C14*Wing15kft!$A$5*0.25</f>
        <v>11.574901960784317</v>
      </c>
      <c r="F30" s="24">
        <f>0.5*$A$18*C14*C14*Wing15kft!$A$5*1.01</f>
        <v>9.1333210784313739</v>
      </c>
      <c r="G30" s="25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2" x14ac:dyDescent="0.25">
      <c r="A31" s="17"/>
      <c r="B31" s="3"/>
      <c r="C31" s="23"/>
      <c r="D31" s="24">
        <f t="shared" si="1"/>
        <v>17.749905462184874</v>
      </c>
      <c r="E31" s="24">
        <f>0.5*$A$21*C15*C15*Wing15kft!$A$5*0.25</f>
        <v>9.921344537815127</v>
      </c>
      <c r="F31" s="24">
        <f>0.5*$A$18*C15*C15*Wing15kft!$A$5*1.01</f>
        <v>7.8285609243697474</v>
      </c>
      <c r="G31" s="25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2" x14ac:dyDescent="0.25">
      <c r="A32" s="17"/>
      <c r="B32" s="17"/>
      <c r="C32" s="17"/>
      <c r="D32" s="17"/>
      <c r="E32" s="17"/>
      <c r="F32" s="17"/>
      <c r="G32" s="17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2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2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2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2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2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2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2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2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2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2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2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2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2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2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2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2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2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2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2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2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2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2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2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2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2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2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2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2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2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2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2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2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2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2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2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2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2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2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2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2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2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2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2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2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2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2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2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2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2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2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2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2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2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2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2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2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2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2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2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2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2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2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2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2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2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2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2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2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2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2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2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2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2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2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2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2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2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2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2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2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2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2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2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2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2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2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2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2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2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2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2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2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2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2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2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2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2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2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2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2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2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2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2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2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2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2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2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2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2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2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2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2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2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2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2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2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2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2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2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2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2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2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2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2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2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2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2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2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2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2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2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2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2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2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2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2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2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2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2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2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2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2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2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2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2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2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2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2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2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2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2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2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2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2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2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2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2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2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2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2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2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2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2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2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2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2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2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2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2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2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2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2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2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2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2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2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2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2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2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2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2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2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2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2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2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2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2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2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2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2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2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2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2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2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2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2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2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2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2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2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2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2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2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2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2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2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2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2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2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2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2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2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2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2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2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2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2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2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2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2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2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2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2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2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2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2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2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2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2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2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2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2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2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2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2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2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2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2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2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2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2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2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2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2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2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2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2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2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2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2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2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2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2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2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2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2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2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2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2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2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2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2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2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2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2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2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2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2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2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2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2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2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2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2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2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2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2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2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2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2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2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2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2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2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2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2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2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2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2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2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2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2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2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2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2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2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2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2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2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2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2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2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2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2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2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2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2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2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2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2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2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2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2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2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2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2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2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2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2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2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2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2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2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2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2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2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2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2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2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2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2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2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2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2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2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2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2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2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2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2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2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2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2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2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2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2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2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2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2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2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2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2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2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2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2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2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2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2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2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2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2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2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2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2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2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2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2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2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2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2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2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2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2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2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2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2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2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2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2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2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2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2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2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2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2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2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2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2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2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2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2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2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2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2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2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2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2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2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2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2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2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2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2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2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2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2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2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2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2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2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2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2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2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2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2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2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2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2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2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2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2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2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2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2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2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2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2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2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2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2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2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2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2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2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2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2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2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2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2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2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2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2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2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2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2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2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2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2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2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2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2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2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2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2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2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2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2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2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2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2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2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2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2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2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2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2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2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2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2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2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2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2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2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2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2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2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2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2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2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2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2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2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2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2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2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2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2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2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2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2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2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2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2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2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2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2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2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2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2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2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2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2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2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2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2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2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2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2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2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2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2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2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2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2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2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2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2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2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2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2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2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2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2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2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2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2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2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2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2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2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2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2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2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2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2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2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2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2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2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2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2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2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2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2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2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2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2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2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2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2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2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2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2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2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2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2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2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2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2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2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2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2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2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2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2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2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2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2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2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2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2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2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2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2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2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2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2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2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2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2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2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2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2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2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2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2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2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2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2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2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2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2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2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2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2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2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2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2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2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2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2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2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2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2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2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2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2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2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2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2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2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2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2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2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2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2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2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2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2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2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2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2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2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2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2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2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2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2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2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2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2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2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2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2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2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2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2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2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2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2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2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2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2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2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2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2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2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2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2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2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2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2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2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2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2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2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2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2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2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2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2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2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2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2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2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2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2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2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2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2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2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2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2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2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2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2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2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2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2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2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2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2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2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2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2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2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2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2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2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2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2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2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2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2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2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2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2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2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2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2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2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2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2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2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2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2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2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2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2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2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2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2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2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2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2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2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2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2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2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2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2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2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2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2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2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2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2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2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2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2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2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2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2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2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2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2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2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2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2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2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2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2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2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2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2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2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2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2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2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2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2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2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2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2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2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2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2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2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2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2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2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2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2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2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2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2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2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2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2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2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2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2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2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2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2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2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2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2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2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2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2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2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2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2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2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2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2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2" x14ac:dyDescent="0.25">
      <c r="A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2" x14ac:dyDescent="0.25">
      <c r="A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2" x14ac:dyDescent="0.25">
      <c r="A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2" x14ac:dyDescent="0.25">
      <c r="A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2" x14ac:dyDescent="0.25">
      <c r="A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2" x14ac:dyDescent="0.25">
      <c r="A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2" x14ac:dyDescent="0.25">
      <c r="A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2" x14ac:dyDescent="0.25">
      <c r="A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2" x14ac:dyDescent="0.25">
      <c r="A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2" x14ac:dyDescent="0.25">
      <c r="A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2" x14ac:dyDescent="0.25">
      <c r="A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2" x14ac:dyDescent="0.25">
      <c r="A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2" x14ac:dyDescent="0.25">
      <c r="A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  <pageSetUpPr fitToPage="1"/>
  </sheetPr>
  <dimension ref="A1:Z1000"/>
  <sheetViews>
    <sheetView workbookViewId="0">
      <selection activeCell="M6" sqref="M6"/>
    </sheetView>
  </sheetViews>
  <sheetFormatPr defaultColWidth="12.5546875" defaultRowHeight="15.75" customHeight="1" x14ac:dyDescent="0.25"/>
  <cols>
    <col min="1" max="1" width="28.6640625" customWidth="1"/>
    <col min="3" max="5" width="15.6640625" bestFit="1" customWidth="1"/>
    <col min="6" max="7" width="18.33203125" bestFit="1" customWidth="1"/>
    <col min="8" max="10" width="13" bestFit="1" customWidth="1"/>
    <col min="12" max="12" width="15.6640625" bestFit="1" customWidth="1"/>
    <col min="13" max="13" width="18.44140625" customWidth="1"/>
    <col min="14" max="14" width="17.6640625" customWidth="1"/>
    <col min="15" max="15" width="5" customWidth="1"/>
  </cols>
  <sheetData>
    <row r="1" spans="1:26" ht="15.75" customHeight="1" x14ac:dyDescent="0.25">
      <c r="A1" s="6" t="s">
        <v>15</v>
      </c>
      <c r="B1" s="6" t="s">
        <v>1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7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5">
        <v>2000</v>
      </c>
      <c r="B2" s="5">
        <v>0.01</v>
      </c>
      <c r="C2" s="27">
        <f t="shared" ref="C2:C15" si="0">SQRT(2*$A$2/($A$5*$A$8*ABS(B2)))</f>
        <v>1157.7901716234119</v>
      </c>
      <c r="D2" s="27">
        <f t="shared" ref="D2:D15" si="1">0.5*$A$5*C2*C2</f>
        <v>1176.4705882352939</v>
      </c>
      <c r="E2" s="27">
        <f t="shared" ref="E2:E15" si="2">(($A$2/$A$17)^2)*(1/(D2*3.14*$A$11))</f>
        <v>0.9304425759576378</v>
      </c>
      <c r="F2" s="27">
        <f t="shared" ref="F2:F15" si="3">(C2*$A$5*$A$23/($A$20*10^-7))</f>
        <v>30478285.703814507</v>
      </c>
      <c r="G2" s="27">
        <f t="shared" ref="G2:G15" si="4">(C2*$A$5*$A$26/($A$20*10^-7))</f>
        <v>26452851.742933348</v>
      </c>
      <c r="H2" s="27">
        <f t="shared" ref="H2:H15" si="5">(C2*$A$5*$A$29/$A$20)</f>
        <v>0</v>
      </c>
      <c r="I2" s="27">
        <v>5.0000000000000001E-4</v>
      </c>
      <c r="J2" s="27">
        <v>5.0000000000000001E-4</v>
      </c>
      <c r="K2" s="27"/>
      <c r="L2" s="27">
        <f t="shared" ref="L2:L15" si="6">D2*(2*(I2*$N$2+J2*$N$5+K2*$N$8))</f>
        <v>199.88235294117644</v>
      </c>
      <c r="M2" s="28">
        <f t="shared" ref="M2:M15" si="7">2*E2 + L2</f>
        <v>201.74323809309172</v>
      </c>
      <c r="N2" s="5">
        <v>91</v>
      </c>
      <c r="O2" s="7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25">
      <c r="A3" s="10"/>
      <c r="B3" s="5">
        <f>0.1</f>
        <v>0.1</v>
      </c>
      <c r="C3" s="27">
        <f t="shared" si="0"/>
        <v>366.12539948872291</v>
      </c>
      <c r="D3" s="27">
        <f t="shared" si="1"/>
        <v>117.64705882352938</v>
      </c>
      <c r="E3" s="27">
        <f t="shared" si="2"/>
        <v>9.3044257595763771</v>
      </c>
      <c r="F3" s="27">
        <f t="shared" si="3"/>
        <v>9638080.2001401894</v>
      </c>
      <c r="G3" s="27">
        <f t="shared" si="4"/>
        <v>8365126.2114424286</v>
      </c>
      <c r="H3" s="27">
        <f t="shared" si="5"/>
        <v>0</v>
      </c>
      <c r="I3" s="27">
        <v>4.1999999999999997E-3</v>
      </c>
      <c r="J3" s="27">
        <v>4.1999999999999997E-3</v>
      </c>
      <c r="K3" s="27"/>
      <c r="L3" s="27">
        <f t="shared" si="6"/>
        <v>167.90117647058818</v>
      </c>
      <c r="M3" s="28">
        <f t="shared" si="7"/>
        <v>186.51002798974093</v>
      </c>
      <c r="N3" s="10"/>
      <c r="O3" s="7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25">
      <c r="A4" s="6" t="s">
        <v>28</v>
      </c>
      <c r="B4" s="5">
        <f t="shared" ref="B4:B14" si="8">(B3+0.1)</f>
        <v>0.2</v>
      </c>
      <c r="C4" s="27">
        <f t="shared" si="0"/>
        <v>258.88975274310968</v>
      </c>
      <c r="D4" s="27">
        <f t="shared" si="1"/>
        <v>58.823529411764689</v>
      </c>
      <c r="E4" s="27">
        <f t="shared" si="2"/>
        <v>18.608851519152754</v>
      </c>
      <c r="F4" s="27">
        <f t="shared" si="3"/>
        <v>6815151.8671389259</v>
      </c>
      <c r="G4" s="27">
        <f t="shared" si="4"/>
        <v>5915037.4695922751</v>
      </c>
      <c r="H4" s="27">
        <f t="shared" si="5"/>
        <v>0</v>
      </c>
      <c r="I4" s="27">
        <v>4.1999999999999997E-3</v>
      </c>
      <c r="J4" s="27">
        <v>4.1999999999999997E-3</v>
      </c>
      <c r="K4" s="27"/>
      <c r="L4" s="27">
        <f t="shared" si="6"/>
        <v>83.950588235294092</v>
      </c>
      <c r="M4" s="28">
        <f t="shared" si="7"/>
        <v>121.16829127359961</v>
      </c>
      <c r="N4" s="6" t="s">
        <v>29</v>
      </c>
      <c r="O4" s="7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25">
      <c r="A5" s="11">
        <v>1.7553E-3</v>
      </c>
      <c r="B5" s="5">
        <f t="shared" si="8"/>
        <v>0.30000000000000004</v>
      </c>
      <c r="C5" s="27">
        <f t="shared" si="0"/>
        <v>211.38259795197345</v>
      </c>
      <c r="D5" s="27">
        <f t="shared" si="1"/>
        <v>39.215686274509792</v>
      </c>
      <c r="E5" s="27">
        <f t="shared" si="2"/>
        <v>27.913277278729133</v>
      </c>
      <c r="F5" s="27">
        <f t="shared" si="3"/>
        <v>5564548.1980221411</v>
      </c>
      <c r="G5" s="27">
        <f t="shared" si="4"/>
        <v>4829607.8699814808</v>
      </c>
      <c r="H5" s="27">
        <f t="shared" si="5"/>
        <v>0</v>
      </c>
      <c r="I5" s="27">
        <v>4.1999999999999997E-3</v>
      </c>
      <c r="J5" s="27">
        <v>4.1999999999999997E-3</v>
      </c>
      <c r="K5" s="27"/>
      <c r="L5" s="27">
        <f t="shared" si="6"/>
        <v>55.967058823529392</v>
      </c>
      <c r="M5" s="28">
        <f t="shared" si="7"/>
        <v>111.79361338098767</v>
      </c>
      <c r="N5" s="5">
        <v>78.900000000000006</v>
      </c>
      <c r="O5" s="7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25">
      <c r="A6" s="10"/>
      <c r="B6" s="5">
        <f t="shared" si="8"/>
        <v>0.4</v>
      </c>
      <c r="C6" s="27">
        <f t="shared" si="0"/>
        <v>183.06269974436145</v>
      </c>
      <c r="D6" s="27">
        <f t="shared" si="1"/>
        <v>29.411764705882344</v>
      </c>
      <c r="E6" s="27">
        <f t="shared" si="2"/>
        <v>37.217703038305508</v>
      </c>
      <c r="F6" s="27">
        <f t="shared" si="3"/>
        <v>4819040.1000700947</v>
      </c>
      <c r="G6" s="27">
        <f t="shared" si="4"/>
        <v>4182563.1057212143</v>
      </c>
      <c r="H6" s="27">
        <f t="shared" si="5"/>
        <v>0</v>
      </c>
      <c r="I6" s="27">
        <v>4.1999999999999997E-3</v>
      </c>
      <c r="J6" s="27">
        <v>4.1999999999999997E-3</v>
      </c>
      <c r="K6" s="27"/>
      <c r="L6" s="27">
        <f t="shared" si="6"/>
        <v>41.975294117647046</v>
      </c>
      <c r="M6" s="28">
        <f t="shared" si="7"/>
        <v>116.41070019425806</v>
      </c>
      <c r="N6" s="10"/>
      <c r="O6" s="7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25">
      <c r="A7" s="6" t="s">
        <v>30</v>
      </c>
      <c r="B7" s="5">
        <f t="shared" si="8"/>
        <v>0.5</v>
      </c>
      <c r="C7" s="27">
        <f t="shared" si="0"/>
        <v>163.73625630921026</v>
      </c>
      <c r="D7" s="27">
        <f t="shared" si="1"/>
        <v>23.529411764705884</v>
      </c>
      <c r="E7" s="27">
        <f t="shared" si="2"/>
        <v>46.522128797881876</v>
      </c>
      <c r="F7" s="27">
        <f t="shared" si="3"/>
        <v>4310280.5000216495</v>
      </c>
      <c r="G7" s="27">
        <f t="shared" si="4"/>
        <v>3740998.1698301109</v>
      </c>
      <c r="H7" s="27">
        <f t="shared" si="5"/>
        <v>0</v>
      </c>
      <c r="I7" s="27">
        <v>4.1999999999999997E-3</v>
      </c>
      <c r="J7" s="27">
        <v>4.1999999999999997E-3</v>
      </c>
      <c r="K7" s="27"/>
      <c r="L7" s="27">
        <f t="shared" si="6"/>
        <v>33.580235294117649</v>
      </c>
      <c r="M7" s="28">
        <f t="shared" si="7"/>
        <v>126.6244928898814</v>
      </c>
      <c r="N7" s="6" t="s">
        <v>31</v>
      </c>
      <c r="O7" s="7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25">
      <c r="A8" s="5">
        <v>170</v>
      </c>
      <c r="B8" s="5">
        <f t="shared" si="8"/>
        <v>0.6</v>
      </c>
      <c r="C8" s="27">
        <f t="shared" si="0"/>
        <v>149.47006843667006</v>
      </c>
      <c r="D8" s="27">
        <f t="shared" si="1"/>
        <v>19.607843137254907</v>
      </c>
      <c r="E8" s="27">
        <f t="shared" si="2"/>
        <v>55.826554557458245</v>
      </c>
      <c r="F8" s="27">
        <f t="shared" si="3"/>
        <v>3934729.7650608402</v>
      </c>
      <c r="G8" s="27">
        <f t="shared" si="4"/>
        <v>3415048.4753358238</v>
      </c>
      <c r="H8" s="27">
        <f t="shared" si="5"/>
        <v>0</v>
      </c>
      <c r="I8" s="27">
        <v>4.4999999999999997E-3</v>
      </c>
      <c r="J8" s="27">
        <v>4.4999999999999997E-3</v>
      </c>
      <c r="K8" s="27"/>
      <c r="L8" s="27">
        <f t="shared" si="6"/>
        <v>29.982352941176476</v>
      </c>
      <c r="M8" s="28">
        <f t="shared" si="7"/>
        <v>141.63546205609296</v>
      </c>
      <c r="N8" s="5"/>
      <c r="O8" s="7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25">
      <c r="A9" s="10"/>
      <c r="B9" s="5">
        <f t="shared" si="8"/>
        <v>0.7</v>
      </c>
      <c r="C9" s="27">
        <f t="shared" si="0"/>
        <v>138.38239367304797</v>
      </c>
      <c r="D9" s="27">
        <f t="shared" si="1"/>
        <v>16.806722689075631</v>
      </c>
      <c r="E9" s="27">
        <f t="shared" si="2"/>
        <v>65.130980317034627</v>
      </c>
      <c r="F9" s="27">
        <f t="shared" si="3"/>
        <v>3642851.9036666551</v>
      </c>
      <c r="G9" s="27">
        <f t="shared" si="4"/>
        <v>3161720.5201635119</v>
      </c>
      <c r="H9" s="27">
        <f t="shared" si="5"/>
        <v>0</v>
      </c>
      <c r="I9" s="27">
        <v>4.4999999999999997E-3</v>
      </c>
      <c r="J9" s="27">
        <v>4.4999999999999997E-3</v>
      </c>
      <c r="K9" s="27"/>
      <c r="L9" s="27">
        <f t="shared" si="6"/>
        <v>25.699159663865547</v>
      </c>
      <c r="M9" s="28">
        <f t="shared" si="7"/>
        <v>155.9611202979348</v>
      </c>
      <c r="N9" s="10"/>
      <c r="O9" s="7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25">
      <c r="A10" s="6" t="s">
        <v>32</v>
      </c>
      <c r="B10" s="5">
        <f t="shared" si="8"/>
        <v>0.79999999999999993</v>
      </c>
      <c r="C10" s="27">
        <f t="shared" si="0"/>
        <v>129.44487637155487</v>
      </c>
      <c r="D10" s="27">
        <f t="shared" si="1"/>
        <v>14.705882352941179</v>
      </c>
      <c r="E10" s="27">
        <f t="shared" si="2"/>
        <v>74.435406076610988</v>
      </c>
      <c r="F10" s="27">
        <f t="shared" si="3"/>
        <v>3407575.9335694634</v>
      </c>
      <c r="G10" s="27">
        <f t="shared" si="4"/>
        <v>2957518.7347961385</v>
      </c>
      <c r="H10" s="27">
        <f t="shared" si="5"/>
        <v>0</v>
      </c>
      <c r="I10" s="27">
        <v>4.4999999999999997E-3</v>
      </c>
      <c r="J10" s="27">
        <v>4.4999999999999997E-3</v>
      </c>
      <c r="K10" s="27"/>
      <c r="L10" s="27">
        <f t="shared" si="6"/>
        <v>22.486764705882354</v>
      </c>
      <c r="M10" s="28">
        <f t="shared" si="7"/>
        <v>171.35757685910434</v>
      </c>
      <c r="N10" s="6" t="s">
        <v>33</v>
      </c>
      <c r="O10" s="7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25">
      <c r="A11" s="5">
        <v>0.95</v>
      </c>
      <c r="B11" s="5">
        <f t="shared" si="8"/>
        <v>0.89999999999999991</v>
      </c>
      <c r="C11" s="27">
        <f t="shared" si="0"/>
        <v>122.04179982957432</v>
      </c>
      <c r="D11" s="27">
        <f t="shared" si="1"/>
        <v>13.071895424836601</v>
      </c>
      <c r="E11" s="27">
        <f t="shared" si="2"/>
        <v>83.739831836187378</v>
      </c>
      <c r="F11" s="27">
        <f t="shared" si="3"/>
        <v>3212693.4000467304</v>
      </c>
      <c r="G11" s="27">
        <f t="shared" si="4"/>
        <v>2788375.4038141435</v>
      </c>
      <c r="H11" s="27">
        <f t="shared" si="5"/>
        <v>0</v>
      </c>
      <c r="I11" s="27">
        <v>5.0000000000000001E-3</v>
      </c>
      <c r="J11" s="27">
        <v>5.0000000000000001E-3</v>
      </c>
      <c r="K11" s="27"/>
      <c r="L11" s="27">
        <f t="shared" si="6"/>
        <v>22.209150326797385</v>
      </c>
      <c r="M11" s="28">
        <f t="shared" si="7"/>
        <v>189.68881399917214</v>
      </c>
      <c r="N11" s="12">
        <f>(A17*A17/A8)</f>
        <v>7.2058823529411766</v>
      </c>
      <c r="O11" s="7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25">
      <c r="A12" s="10"/>
      <c r="B12" s="5">
        <f t="shared" si="8"/>
        <v>0.99999999999999989</v>
      </c>
      <c r="C12" s="27">
        <f t="shared" si="0"/>
        <v>115.7790171623412</v>
      </c>
      <c r="D12" s="27">
        <f t="shared" si="1"/>
        <v>11.764705882352942</v>
      </c>
      <c r="E12" s="27">
        <f t="shared" si="2"/>
        <v>93.044257595763753</v>
      </c>
      <c r="F12" s="27">
        <f t="shared" si="3"/>
        <v>3047828.5703814514</v>
      </c>
      <c r="G12" s="27">
        <f t="shared" si="4"/>
        <v>2645285.1742933346</v>
      </c>
      <c r="H12" s="27">
        <f t="shared" si="5"/>
        <v>0</v>
      </c>
      <c r="I12" s="27">
        <v>5.0000000000000001E-3</v>
      </c>
      <c r="J12" s="27">
        <v>5.0000000000000001E-3</v>
      </c>
      <c r="K12" s="27"/>
      <c r="L12" s="27">
        <f t="shared" si="6"/>
        <v>19.988235294117651</v>
      </c>
      <c r="M12" s="28">
        <f t="shared" si="7"/>
        <v>206.07675048564516</v>
      </c>
      <c r="N12" s="10"/>
      <c r="O12" s="7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25">
      <c r="A13" s="6" t="s">
        <v>34</v>
      </c>
      <c r="B13" s="5">
        <f t="shared" si="8"/>
        <v>1.0999999999999999</v>
      </c>
      <c r="C13" s="27">
        <f t="shared" si="0"/>
        <v>110.3909614839157</v>
      </c>
      <c r="D13" s="27">
        <f t="shared" si="1"/>
        <v>10.695187165775401</v>
      </c>
      <c r="E13" s="27">
        <f t="shared" si="2"/>
        <v>102.34868335534011</v>
      </c>
      <c r="F13" s="27">
        <f t="shared" si="3"/>
        <v>2905990.5202925908</v>
      </c>
      <c r="G13" s="27">
        <f t="shared" si="4"/>
        <v>2522180.4515747014</v>
      </c>
      <c r="H13" s="27">
        <f t="shared" si="5"/>
        <v>0</v>
      </c>
      <c r="I13" s="27">
        <v>0.01</v>
      </c>
      <c r="J13" s="27">
        <v>0.01</v>
      </c>
      <c r="K13" s="27"/>
      <c r="L13" s="27">
        <f t="shared" si="6"/>
        <v>36.342245989304814</v>
      </c>
      <c r="M13" s="28">
        <f t="shared" si="7"/>
        <v>241.03961269998504</v>
      </c>
      <c r="N13" s="6" t="s">
        <v>35</v>
      </c>
      <c r="O13" s="7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25">
      <c r="A14" s="12">
        <f>(B3*B3)/(N23*3.14*N11)</f>
        <v>4.7392649965629523E-2</v>
      </c>
      <c r="B14" s="5">
        <f t="shared" si="8"/>
        <v>1.2</v>
      </c>
      <c r="C14" s="27">
        <f t="shared" si="0"/>
        <v>105.69129897598673</v>
      </c>
      <c r="D14" s="27">
        <f t="shared" si="1"/>
        <v>9.8039215686274481</v>
      </c>
      <c r="E14" s="27">
        <f t="shared" si="2"/>
        <v>111.65310911491653</v>
      </c>
      <c r="F14" s="27">
        <f t="shared" si="3"/>
        <v>2782274.0990110706</v>
      </c>
      <c r="G14" s="27">
        <f t="shared" si="4"/>
        <v>2414803.9349907404</v>
      </c>
      <c r="H14" s="27">
        <f t="shared" si="5"/>
        <v>0</v>
      </c>
      <c r="I14" s="27">
        <v>0.01</v>
      </c>
      <c r="J14" s="27">
        <v>0.01</v>
      </c>
      <c r="K14" s="27"/>
      <c r="L14" s="27">
        <f t="shared" si="6"/>
        <v>33.31372549019607</v>
      </c>
      <c r="M14" s="28">
        <f t="shared" si="7"/>
        <v>256.61994372002914</v>
      </c>
      <c r="N14" s="5">
        <v>16.3125</v>
      </c>
      <c r="O14" s="7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25">
      <c r="A15" s="10"/>
      <c r="B15" s="5">
        <f>B14+0.2</f>
        <v>1.4</v>
      </c>
      <c r="C15" s="27">
        <f t="shared" si="0"/>
        <v>97.851128963038605</v>
      </c>
      <c r="D15" s="27">
        <f t="shared" si="1"/>
        <v>8.4033613445378155</v>
      </c>
      <c r="E15" s="27">
        <f t="shared" si="2"/>
        <v>130.26196063406925</v>
      </c>
      <c r="F15" s="27">
        <f t="shared" si="3"/>
        <v>2575885.2839410156</v>
      </c>
      <c r="G15" s="27">
        <f t="shared" si="4"/>
        <v>2235674.0200242777</v>
      </c>
      <c r="H15" s="27">
        <f t="shared" si="5"/>
        <v>0</v>
      </c>
      <c r="I15" s="27">
        <v>1.7999999999999999E-2</v>
      </c>
      <c r="J15" s="27">
        <v>1.7999999999999999E-2</v>
      </c>
      <c r="K15" s="27"/>
      <c r="L15" s="27">
        <f t="shared" si="6"/>
        <v>51.398319327731095</v>
      </c>
      <c r="M15" s="28">
        <f t="shared" si="7"/>
        <v>311.9222405958696</v>
      </c>
      <c r="N15" s="10"/>
      <c r="O15" s="7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25">
      <c r="A16" s="6" t="s">
        <v>36</v>
      </c>
      <c r="B16" s="10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6" t="s">
        <v>37</v>
      </c>
      <c r="O16" s="7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25">
      <c r="A17" s="5">
        <v>35</v>
      </c>
      <c r="B17" s="13"/>
      <c r="C17" s="30"/>
      <c r="D17" s="30"/>
      <c r="E17" s="30"/>
      <c r="F17" s="31" t="s">
        <v>38</v>
      </c>
      <c r="G17" s="31"/>
      <c r="H17" s="30"/>
      <c r="I17" s="31" t="s">
        <v>39</v>
      </c>
      <c r="J17" s="30"/>
      <c r="K17" s="30"/>
      <c r="L17" s="30"/>
      <c r="M17" s="31" t="s">
        <v>40</v>
      </c>
      <c r="N17" s="5">
        <v>6.5250000000000004</v>
      </c>
      <c r="O17" s="7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25">
      <c r="A18" s="10"/>
      <c r="B18" s="8"/>
      <c r="C18" s="32"/>
      <c r="D18" s="32"/>
      <c r="E18" s="32"/>
      <c r="F18" s="33">
        <f t="shared" ref="F18:F31" si="9">(C2*$A$5*$N$17/($A$20*10^-7))</f>
        <v>37522795.135356538</v>
      </c>
      <c r="G18" s="32"/>
      <c r="H18" s="32"/>
      <c r="I18" s="27">
        <v>5.0000000000000001E-4</v>
      </c>
      <c r="J18" s="32"/>
      <c r="K18" s="32"/>
      <c r="L18" s="32"/>
      <c r="M18" s="28">
        <f t="shared" ref="M18:M31" si="10">I18*2*D2*$N$14</f>
        <v>19.191176470588232</v>
      </c>
      <c r="N18" s="10"/>
      <c r="O18" s="7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25">
      <c r="A19" s="6" t="s">
        <v>41</v>
      </c>
      <c r="B19" s="8"/>
      <c r="C19" s="32"/>
      <c r="D19" s="32"/>
      <c r="E19" s="32"/>
      <c r="F19" s="33">
        <f t="shared" si="9"/>
        <v>11865749.680361271</v>
      </c>
      <c r="G19" s="32"/>
      <c r="H19" s="32"/>
      <c r="I19" s="27">
        <v>4.1999999999999997E-3</v>
      </c>
      <c r="J19" s="32"/>
      <c r="K19" s="32"/>
      <c r="L19" s="32"/>
      <c r="M19" s="28">
        <f t="shared" si="10"/>
        <v>16.120588235294111</v>
      </c>
      <c r="N19" s="6" t="s">
        <v>42</v>
      </c>
      <c r="O19" s="7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5">
      <c r="A20" s="5">
        <v>3.5339999999999998</v>
      </c>
      <c r="B20" s="8"/>
      <c r="C20" s="32"/>
      <c r="D20" s="32"/>
      <c r="E20" s="32"/>
      <c r="F20" s="33">
        <f t="shared" si="9"/>
        <v>8390352.0628455654</v>
      </c>
      <c r="G20" s="32"/>
      <c r="H20" s="32"/>
      <c r="I20" s="27">
        <v>4.1999999999999997E-3</v>
      </c>
      <c r="J20" s="32"/>
      <c r="K20" s="32"/>
      <c r="L20" s="32"/>
      <c r="M20" s="28">
        <f t="shared" si="10"/>
        <v>8.0602941176470555</v>
      </c>
      <c r="N20" s="5">
        <v>0.05</v>
      </c>
      <c r="O20" s="7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25">
      <c r="A21" s="10"/>
      <c r="B21" s="8"/>
      <c r="C21" s="32"/>
      <c r="D21" s="32" t="s">
        <v>43</v>
      </c>
      <c r="E21" s="32"/>
      <c r="F21" s="33">
        <f t="shared" si="9"/>
        <v>6850693.772093297</v>
      </c>
      <c r="G21" s="32"/>
      <c r="H21" s="32"/>
      <c r="I21" s="27">
        <v>4.1999999999999997E-3</v>
      </c>
      <c r="J21" s="32"/>
      <c r="K21" s="32"/>
      <c r="L21" s="32"/>
      <c r="M21" s="28">
        <f t="shared" si="10"/>
        <v>5.3735294117647037</v>
      </c>
      <c r="N21" s="10"/>
      <c r="O21" s="7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25">
      <c r="A22" s="6" t="s">
        <v>44</v>
      </c>
      <c r="B22" s="8"/>
      <c r="C22" s="32"/>
      <c r="D22" s="32"/>
      <c r="E22" s="32"/>
      <c r="F22" s="33">
        <f t="shared" si="9"/>
        <v>5932874.8401806355</v>
      </c>
      <c r="G22" s="32"/>
      <c r="H22" s="32"/>
      <c r="I22" s="27">
        <v>4.1999999999999997E-3</v>
      </c>
      <c r="J22" s="32"/>
      <c r="K22" s="32"/>
      <c r="L22" s="32"/>
      <c r="M22" s="28">
        <f t="shared" si="10"/>
        <v>4.0301470588235278</v>
      </c>
      <c r="N22" s="6" t="s">
        <v>45</v>
      </c>
      <c r="O22" s="7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25">
      <c r="A23" s="5">
        <v>5.3</v>
      </c>
      <c r="B23" s="8"/>
      <c r="C23" s="32"/>
      <c r="D23" s="32"/>
      <c r="E23" s="32"/>
      <c r="F23" s="33">
        <f t="shared" si="9"/>
        <v>5306524.5778568424</v>
      </c>
      <c r="G23" s="32"/>
      <c r="H23" s="32"/>
      <c r="I23" s="27">
        <v>4.1999999999999997E-3</v>
      </c>
      <c r="J23" s="32"/>
      <c r="K23" s="32"/>
      <c r="L23" s="32"/>
      <c r="M23" s="28">
        <f t="shared" si="10"/>
        <v>3.224117647058824</v>
      </c>
      <c r="N23" s="5">
        <f>M3/(0.5*C3*C3*A8*A5)</f>
        <v>9.3255013994870475E-3</v>
      </c>
      <c r="O23" s="7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25">
      <c r="A24" s="10"/>
      <c r="B24" s="8"/>
      <c r="C24" s="32"/>
      <c r="D24" s="32"/>
      <c r="E24" s="32"/>
      <c r="F24" s="33">
        <f t="shared" si="9"/>
        <v>4844172.0220796205</v>
      </c>
      <c r="G24" s="32"/>
      <c r="H24" s="32"/>
      <c r="I24" s="27">
        <v>4.4999999999999997E-3</v>
      </c>
      <c r="J24" s="32"/>
      <c r="K24" s="32"/>
      <c r="L24" s="32"/>
      <c r="M24" s="28">
        <f t="shared" si="10"/>
        <v>2.8786764705882359</v>
      </c>
      <c r="N24" s="10"/>
      <c r="O24" s="7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3.2" x14ac:dyDescent="0.25">
      <c r="A25" s="6" t="s">
        <v>46</v>
      </c>
      <c r="B25" s="8"/>
      <c r="C25" s="32"/>
      <c r="D25" s="32"/>
      <c r="E25" s="32"/>
      <c r="F25" s="33">
        <f t="shared" si="9"/>
        <v>4484831.8247971563</v>
      </c>
      <c r="G25" s="32"/>
      <c r="H25" s="32"/>
      <c r="I25" s="27">
        <v>4.4999999999999997E-3</v>
      </c>
      <c r="J25" s="32"/>
      <c r="K25" s="32"/>
      <c r="L25" s="32"/>
      <c r="M25" s="28">
        <f t="shared" si="10"/>
        <v>2.4674369747899156</v>
      </c>
      <c r="N25" s="10"/>
      <c r="O25" s="7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3.2" x14ac:dyDescent="0.25">
      <c r="A26" s="5">
        <v>4.5999999999999996</v>
      </c>
      <c r="B26" s="8"/>
      <c r="C26" s="32"/>
      <c r="D26" s="32"/>
      <c r="E26" s="32"/>
      <c r="F26" s="33">
        <f t="shared" si="9"/>
        <v>4195176.0314227836</v>
      </c>
      <c r="G26" s="32"/>
      <c r="H26" s="32"/>
      <c r="I26" s="27">
        <v>4.4999999999999997E-3</v>
      </c>
      <c r="J26" s="32"/>
      <c r="K26" s="32"/>
      <c r="L26" s="32"/>
      <c r="M26" s="28">
        <f t="shared" si="10"/>
        <v>2.1590073529411766</v>
      </c>
      <c r="N26" s="10"/>
      <c r="O26" s="7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3.2" x14ac:dyDescent="0.25">
      <c r="A27" s="10"/>
      <c r="B27" s="8"/>
      <c r="C27" s="32"/>
      <c r="D27" s="32"/>
      <c r="E27" s="32"/>
      <c r="F27" s="33">
        <f t="shared" si="9"/>
        <v>3955249.8934537582</v>
      </c>
      <c r="G27" s="32"/>
      <c r="H27" s="32"/>
      <c r="I27" s="27">
        <v>5.0000000000000001E-3</v>
      </c>
      <c r="J27" s="32"/>
      <c r="K27" s="32"/>
      <c r="L27" s="32"/>
      <c r="M27" s="28">
        <f t="shared" si="10"/>
        <v>2.1323529411764706</v>
      </c>
      <c r="N27" s="10"/>
      <c r="O27" s="7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3.2" x14ac:dyDescent="0.25">
      <c r="A28" s="6" t="s">
        <v>47</v>
      </c>
      <c r="B28" s="8"/>
      <c r="C28" s="32"/>
      <c r="D28" s="32"/>
      <c r="E28" s="32"/>
      <c r="F28" s="33">
        <f t="shared" si="9"/>
        <v>3752279.5135356546</v>
      </c>
      <c r="G28" s="32"/>
      <c r="H28" s="32"/>
      <c r="I28" s="27">
        <v>5.0000000000000001E-3</v>
      </c>
      <c r="J28" s="32"/>
      <c r="K28" s="32"/>
      <c r="L28" s="32"/>
      <c r="M28" s="28">
        <f t="shared" si="10"/>
        <v>1.9191176470588238</v>
      </c>
      <c r="N28" s="10"/>
      <c r="O28" s="7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3.2" x14ac:dyDescent="0.25">
      <c r="A29" s="5"/>
      <c r="B29" s="8"/>
      <c r="C29" s="32"/>
      <c r="D29" s="32"/>
      <c r="E29" s="32"/>
      <c r="F29" s="33">
        <f t="shared" si="9"/>
        <v>3577658.1405488974</v>
      </c>
      <c r="G29" s="32"/>
      <c r="H29" s="32"/>
      <c r="I29" s="27">
        <v>0.01</v>
      </c>
      <c r="J29" s="32"/>
      <c r="K29" s="32"/>
      <c r="L29" s="32"/>
      <c r="M29" s="28">
        <f t="shared" si="10"/>
        <v>3.4893048128342246</v>
      </c>
      <c r="N29" s="10"/>
      <c r="O29" s="7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3.2" x14ac:dyDescent="0.25">
      <c r="A30" s="7"/>
      <c r="B30" s="8"/>
      <c r="C30" s="32"/>
      <c r="D30" s="32"/>
      <c r="E30" s="32"/>
      <c r="F30" s="33">
        <f t="shared" si="9"/>
        <v>3425346.8860466485</v>
      </c>
      <c r="G30" s="32"/>
      <c r="H30" s="32"/>
      <c r="I30" s="27">
        <v>0.01</v>
      </c>
      <c r="J30" s="32"/>
      <c r="K30" s="32"/>
      <c r="L30" s="32"/>
      <c r="M30" s="28">
        <f t="shared" si="10"/>
        <v>3.1985294117647047</v>
      </c>
      <c r="N30" s="7"/>
      <c r="O30" s="7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3.2" x14ac:dyDescent="0.25">
      <c r="A31" s="7"/>
      <c r="B31" s="8"/>
      <c r="C31" s="8"/>
      <c r="D31" s="8"/>
      <c r="E31" s="8"/>
      <c r="F31" s="22">
        <f t="shared" si="9"/>
        <v>3171254.9957953072</v>
      </c>
      <c r="G31" s="8"/>
      <c r="H31" s="8"/>
      <c r="I31" s="5">
        <v>1.7999999999999999E-2</v>
      </c>
      <c r="J31" s="8"/>
      <c r="K31" s="8"/>
      <c r="L31" s="8"/>
      <c r="M31" s="9">
        <f t="shared" si="10"/>
        <v>4.9348739495798313</v>
      </c>
      <c r="N31" s="7"/>
      <c r="O31" s="7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3.2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3.2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3.2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3.2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3.2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3.2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3.2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3.2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3.2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3.2" x14ac:dyDescent="0.25">
      <c r="A41" s="8"/>
      <c r="B41" s="8" t="s">
        <v>48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3.2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3.2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3.2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3.2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3.2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3.2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3.2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3.2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3.2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3.2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3.2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3.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3.2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3.2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3.2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3.2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3.2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3.2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.2" x14ac:dyDescent="0.25">
      <c r="A60" s="8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.2" x14ac:dyDescent="0.25">
      <c r="A61" s="8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.2" x14ac:dyDescent="0.25">
      <c r="A62" s="8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.2" x14ac:dyDescent="0.25">
      <c r="A63" s="8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.2" x14ac:dyDescent="0.25">
      <c r="A64" s="8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.2" x14ac:dyDescent="0.25">
      <c r="A65" s="8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.2" x14ac:dyDescent="0.25">
      <c r="A66" s="8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.2" x14ac:dyDescent="0.25">
      <c r="A67" s="8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.2" x14ac:dyDescent="0.25">
      <c r="A68" s="8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.2" x14ac:dyDescent="0.25">
      <c r="A69" s="8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.2" x14ac:dyDescent="0.25">
      <c r="A70" s="8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.2" x14ac:dyDescent="0.25">
      <c r="A71" s="8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.2" x14ac:dyDescent="0.25">
      <c r="A72" s="8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.2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3.2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3.2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3.2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3.2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3.2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3.2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3.2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3.2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3.2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3.2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3.2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3.2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3.2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3.2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3.2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3.2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3.2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3.2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3.2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3.2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3.2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3.2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3.2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3.2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3.2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3.2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3.2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3.2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3.2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3.2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3.2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3.2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3.2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3.2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3.2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3.2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3.2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3.2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3.2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3.2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3.2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3.2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3.2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3.2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3.2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3.2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3.2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3.2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3.2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3.2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3.2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3.2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3.2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3.2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3.2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3.2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3.2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3.2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3.2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3.2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3.2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3.2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3.2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3.2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3.2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3.2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3.2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3.2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3.2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3.2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3.2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3.2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3.2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3.2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3.2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3.2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3.2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3.2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3.2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3.2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3.2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3.2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3.2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3.2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3.2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3.2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3.2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3.2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3.2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3.2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3.2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3.2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3.2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3.2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3.2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3.2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3.2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3.2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3.2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3.2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3.2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3.2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3.2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3.2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3.2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3.2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3.2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3.2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3.2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3.2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3.2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3.2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3.2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3.2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3.2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3.2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3.2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3.2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3.2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3.2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3.2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3.2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3.2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3.2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3.2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3.2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3.2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3.2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3.2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3.2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3.2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3.2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3.2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3.2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3.2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3.2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3.2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3.2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3.2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3.2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3.2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3.2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3.2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3.2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3.2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3.2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3.2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3.2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3.2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3.2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3.2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3.2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3.2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3.2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3.2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3.2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3.2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3.2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3.2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3.2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3.2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3.2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3.2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3.2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3.2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3.2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3.2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3.2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3.2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3.2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3.2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3.2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3.2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3.2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3.2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3.2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3.2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3.2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3.2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3.2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3.2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3.2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3.2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3.2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3.2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3.2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3.2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3.2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3.2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3.2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3.2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3.2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3.2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3.2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3.2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3.2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3.2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3.2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3.2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3.2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3.2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3.2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3.2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3.2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3.2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3.2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3.2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3.2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3.2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3.2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3.2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3.2" x14ac:dyDescent="0.2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3.2" x14ac:dyDescent="0.2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3.2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3.2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3.2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3.2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3.2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3.2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3.2" x14ac:dyDescent="0.2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3.2" x14ac:dyDescent="0.2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3.2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3.2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3.2" x14ac:dyDescent="0.2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3.2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3.2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3.2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3.2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3.2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3.2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3.2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3.2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3.2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3.2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3.2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3.2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3.2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3.2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3.2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3.2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3.2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3.2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3.2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3.2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3.2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3.2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3.2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3.2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3.2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3.2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3.2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3.2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3.2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3.2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3.2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3.2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3.2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3.2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3.2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3.2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3.2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3.2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3.2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3.2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3.2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3.2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3.2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3.2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3.2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3.2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3.2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3.2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3.2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3.2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3.2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3.2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3.2" x14ac:dyDescent="0.2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3.2" x14ac:dyDescent="0.2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3.2" x14ac:dyDescent="0.2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3.2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3.2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3.2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3.2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3.2" x14ac:dyDescent="0.2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3.2" x14ac:dyDescent="0.2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3.2" x14ac:dyDescent="0.2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3.2" x14ac:dyDescent="0.2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3.2" x14ac:dyDescent="0.2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3.2" x14ac:dyDescent="0.2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3.2" x14ac:dyDescent="0.2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3.2" x14ac:dyDescent="0.2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3.2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3.2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3.2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3.2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3.2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3.2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3.2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3.2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3.2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3.2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3.2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3.2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3.2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3.2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3.2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3.2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3.2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3.2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3.2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3.2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3.2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3.2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3.2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3.2" x14ac:dyDescent="0.2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3.2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3.2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3.2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3.2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3.2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3.2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3.2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3.2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3.2" x14ac:dyDescent="0.2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3.2" x14ac:dyDescent="0.2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3.2" x14ac:dyDescent="0.2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3.2" x14ac:dyDescent="0.2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3.2" x14ac:dyDescent="0.2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3.2" x14ac:dyDescent="0.2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3.2" x14ac:dyDescent="0.2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3.2" x14ac:dyDescent="0.2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3.2" x14ac:dyDescent="0.2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3.2" x14ac:dyDescent="0.2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3.2" x14ac:dyDescent="0.2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3.2" x14ac:dyDescent="0.2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3.2" x14ac:dyDescent="0.2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3.2" x14ac:dyDescent="0.2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3.2" x14ac:dyDescent="0.2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3.2" x14ac:dyDescent="0.2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3.2" x14ac:dyDescent="0.2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3.2" x14ac:dyDescent="0.2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3.2" x14ac:dyDescent="0.2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3.2" x14ac:dyDescent="0.2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3.2" x14ac:dyDescent="0.2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3.2" x14ac:dyDescent="0.2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3.2" x14ac:dyDescent="0.2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3.2" x14ac:dyDescent="0.2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3.2" x14ac:dyDescent="0.2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3.2" x14ac:dyDescent="0.2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3.2" x14ac:dyDescent="0.2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3.2" x14ac:dyDescent="0.2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3.2" x14ac:dyDescent="0.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3.2" x14ac:dyDescent="0.2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3.2" x14ac:dyDescent="0.2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3.2" x14ac:dyDescent="0.2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3.2" x14ac:dyDescent="0.2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3.2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3.2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3.2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3.2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3.2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3.2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3.2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3.2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3.2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3.2" x14ac:dyDescent="0.2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3.2" x14ac:dyDescent="0.2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3.2" x14ac:dyDescent="0.2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3.2" x14ac:dyDescent="0.2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3.2" x14ac:dyDescent="0.2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3.2" x14ac:dyDescent="0.2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3.2" x14ac:dyDescent="0.2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3.2" x14ac:dyDescent="0.2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3.2" x14ac:dyDescent="0.2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3.2" x14ac:dyDescent="0.2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3.2" x14ac:dyDescent="0.2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3.2" x14ac:dyDescent="0.2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3.2" x14ac:dyDescent="0.2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3.2" x14ac:dyDescent="0.2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3.2" x14ac:dyDescent="0.2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3.2" x14ac:dyDescent="0.2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3.2" x14ac:dyDescent="0.2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3.2" x14ac:dyDescent="0.2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3.2" x14ac:dyDescent="0.2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3.2" x14ac:dyDescent="0.2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3.2" x14ac:dyDescent="0.2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3.2" x14ac:dyDescent="0.2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3.2" x14ac:dyDescent="0.2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3.2" x14ac:dyDescent="0.2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3.2" x14ac:dyDescent="0.2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3.2" x14ac:dyDescent="0.2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3.2" x14ac:dyDescent="0.2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3.2" x14ac:dyDescent="0.2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3.2" x14ac:dyDescent="0.2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3.2" x14ac:dyDescent="0.2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3.2" x14ac:dyDescent="0.2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3.2" x14ac:dyDescent="0.2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3.2" x14ac:dyDescent="0.2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3.2" x14ac:dyDescent="0.2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3.2" x14ac:dyDescent="0.2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3.2" x14ac:dyDescent="0.2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3.2" x14ac:dyDescent="0.2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3.2" x14ac:dyDescent="0.2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3.2" x14ac:dyDescent="0.2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3.2" x14ac:dyDescent="0.2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3.2" x14ac:dyDescent="0.2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3.2" x14ac:dyDescent="0.2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3.2" x14ac:dyDescent="0.2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3.2" x14ac:dyDescent="0.2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3.2" x14ac:dyDescent="0.2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3.2" x14ac:dyDescent="0.2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3.2" x14ac:dyDescent="0.2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3.2" x14ac:dyDescent="0.2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3.2" x14ac:dyDescent="0.2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3.2" x14ac:dyDescent="0.2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3.2" x14ac:dyDescent="0.2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3.2" x14ac:dyDescent="0.2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3.2" x14ac:dyDescent="0.2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3.2" x14ac:dyDescent="0.2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3.2" x14ac:dyDescent="0.2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3.2" x14ac:dyDescent="0.2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3.2" x14ac:dyDescent="0.2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3.2" x14ac:dyDescent="0.2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3.2" x14ac:dyDescent="0.2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3.2" x14ac:dyDescent="0.2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3.2" x14ac:dyDescent="0.2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3.2" x14ac:dyDescent="0.2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3.2" x14ac:dyDescent="0.2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3.2" x14ac:dyDescent="0.2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3.2" x14ac:dyDescent="0.2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3.2" x14ac:dyDescent="0.2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3.2" x14ac:dyDescent="0.2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3.2" x14ac:dyDescent="0.2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3.2" x14ac:dyDescent="0.2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3.2" x14ac:dyDescent="0.2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3.2" x14ac:dyDescent="0.2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3.2" x14ac:dyDescent="0.2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3.2" x14ac:dyDescent="0.2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3.2" x14ac:dyDescent="0.2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3.2" x14ac:dyDescent="0.2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3.2" x14ac:dyDescent="0.2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3.2" x14ac:dyDescent="0.2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3.2" x14ac:dyDescent="0.2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3.2" x14ac:dyDescent="0.2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3.2" x14ac:dyDescent="0.2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3.2" x14ac:dyDescent="0.2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3.2" x14ac:dyDescent="0.2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3.2" x14ac:dyDescent="0.2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3.2" x14ac:dyDescent="0.2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3.2" x14ac:dyDescent="0.2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3.2" x14ac:dyDescent="0.2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3.2" x14ac:dyDescent="0.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3.2" x14ac:dyDescent="0.2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3.2" x14ac:dyDescent="0.2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3.2" x14ac:dyDescent="0.2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3.2" x14ac:dyDescent="0.2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3.2" x14ac:dyDescent="0.2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3.2" x14ac:dyDescent="0.2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3.2" x14ac:dyDescent="0.2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3.2" x14ac:dyDescent="0.2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3.2" x14ac:dyDescent="0.2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3.2" x14ac:dyDescent="0.2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3.2" x14ac:dyDescent="0.2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3.2" x14ac:dyDescent="0.2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3.2" x14ac:dyDescent="0.2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3.2" x14ac:dyDescent="0.2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3.2" x14ac:dyDescent="0.2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3.2" x14ac:dyDescent="0.2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3.2" x14ac:dyDescent="0.2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3.2" x14ac:dyDescent="0.2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3.2" x14ac:dyDescent="0.2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3.2" x14ac:dyDescent="0.2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3.2" x14ac:dyDescent="0.2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3.2" x14ac:dyDescent="0.2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3.2" x14ac:dyDescent="0.2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3.2" x14ac:dyDescent="0.2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3.2" x14ac:dyDescent="0.2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3.2" x14ac:dyDescent="0.2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3.2" x14ac:dyDescent="0.2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3.2" x14ac:dyDescent="0.2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3.2" x14ac:dyDescent="0.2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3.2" x14ac:dyDescent="0.2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3.2" x14ac:dyDescent="0.2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3.2" x14ac:dyDescent="0.2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3.2" x14ac:dyDescent="0.2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3.2" x14ac:dyDescent="0.2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3.2" x14ac:dyDescent="0.2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3.2" x14ac:dyDescent="0.2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3.2" x14ac:dyDescent="0.2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3.2" x14ac:dyDescent="0.2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3.2" x14ac:dyDescent="0.2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3.2" x14ac:dyDescent="0.2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3.2" x14ac:dyDescent="0.2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3.2" x14ac:dyDescent="0.2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3.2" x14ac:dyDescent="0.2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3.2" x14ac:dyDescent="0.2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3.2" x14ac:dyDescent="0.2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3.2" x14ac:dyDescent="0.2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3.2" x14ac:dyDescent="0.2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3.2" x14ac:dyDescent="0.2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3.2" x14ac:dyDescent="0.2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3.2" x14ac:dyDescent="0.2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3.2" x14ac:dyDescent="0.2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3.2" x14ac:dyDescent="0.2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3.2" x14ac:dyDescent="0.2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3.2" x14ac:dyDescent="0.2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3.2" x14ac:dyDescent="0.2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3.2" x14ac:dyDescent="0.2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3.2" x14ac:dyDescent="0.2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3.2" x14ac:dyDescent="0.2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3.2" x14ac:dyDescent="0.2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3.2" x14ac:dyDescent="0.2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3.2" x14ac:dyDescent="0.2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3.2" x14ac:dyDescent="0.2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3.2" x14ac:dyDescent="0.2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3.2" x14ac:dyDescent="0.2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3.2" x14ac:dyDescent="0.2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3.2" x14ac:dyDescent="0.2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3.2" x14ac:dyDescent="0.2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3.2" x14ac:dyDescent="0.2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3.2" x14ac:dyDescent="0.2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3.2" x14ac:dyDescent="0.2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3.2" x14ac:dyDescent="0.2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3.2" x14ac:dyDescent="0.2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3.2" x14ac:dyDescent="0.2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3.2" x14ac:dyDescent="0.2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3.2" x14ac:dyDescent="0.2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3.2" x14ac:dyDescent="0.2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3.2" x14ac:dyDescent="0.2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3.2" x14ac:dyDescent="0.2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3.2" x14ac:dyDescent="0.2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3.2" x14ac:dyDescent="0.2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3.2" x14ac:dyDescent="0.2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3.2" x14ac:dyDescent="0.2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3.2" x14ac:dyDescent="0.2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3.2" x14ac:dyDescent="0.2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3.2" x14ac:dyDescent="0.2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3.2" x14ac:dyDescent="0.2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3.2" x14ac:dyDescent="0.2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3.2" x14ac:dyDescent="0.2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3.2" x14ac:dyDescent="0.2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3.2" x14ac:dyDescent="0.2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3.2" x14ac:dyDescent="0.2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3.2" x14ac:dyDescent="0.2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3.2" x14ac:dyDescent="0.2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3.2" x14ac:dyDescent="0.2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3.2" x14ac:dyDescent="0.2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3.2" x14ac:dyDescent="0.2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3.2" x14ac:dyDescent="0.2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3.2" x14ac:dyDescent="0.2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3.2" x14ac:dyDescent="0.2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3.2" x14ac:dyDescent="0.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3.2" x14ac:dyDescent="0.2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3.2" x14ac:dyDescent="0.2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3.2" x14ac:dyDescent="0.2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3.2" x14ac:dyDescent="0.2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3.2" x14ac:dyDescent="0.2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3.2" x14ac:dyDescent="0.2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3.2" x14ac:dyDescent="0.2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3.2" x14ac:dyDescent="0.2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3.2" x14ac:dyDescent="0.2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3.2" x14ac:dyDescent="0.2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3.2" x14ac:dyDescent="0.2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3.2" x14ac:dyDescent="0.2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3.2" x14ac:dyDescent="0.2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3.2" x14ac:dyDescent="0.2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3.2" x14ac:dyDescent="0.2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3.2" x14ac:dyDescent="0.2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3.2" x14ac:dyDescent="0.2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3.2" x14ac:dyDescent="0.2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3.2" x14ac:dyDescent="0.2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3.2" x14ac:dyDescent="0.2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3.2" x14ac:dyDescent="0.2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3.2" x14ac:dyDescent="0.2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3.2" x14ac:dyDescent="0.2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3.2" x14ac:dyDescent="0.2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3.2" x14ac:dyDescent="0.2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3.2" x14ac:dyDescent="0.2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3.2" x14ac:dyDescent="0.2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3.2" x14ac:dyDescent="0.2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3.2" x14ac:dyDescent="0.2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3.2" x14ac:dyDescent="0.2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3.2" x14ac:dyDescent="0.2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3.2" x14ac:dyDescent="0.2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3.2" x14ac:dyDescent="0.2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3.2" x14ac:dyDescent="0.2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3.2" x14ac:dyDescent="0.2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3.2" x14ac:dyDescent="0.2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3.2" x14ac:dyDescent="0.2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3.2" x14ac:dyDescent="0.2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3.2" x14ac:dyDescent="0.2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3.2" x14ac:dyDescent="0.2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3.2" x14ac:dyDescent="0.2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3.2" x14ac:dyDescent="0.2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3.2" x14ac:dyDescent="0.2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3.2" x14ac:dyDescent="0.2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3.2" x14ac:dyDescent="0.2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3.2" x14ac:dyDescent="0.2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3.2" x14ac:dyDescent="0.2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3.2" x14ac:dyDescent="0.2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3.2" x14ac:dyDescent="0.2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3.2" x14ac:dyDescent="0.2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3.2" x14ac:dyDescent="0.2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3.2" x14ac:dyDescent="0.2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3.2" x14ac:dyDescent="0.2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3.2" x14ac:dyDescent="0.2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3.2" x14ac:dyDescent="0.2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3.2" x14ac:dyDescent="0.2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3.2" x14ac:dyDescent="0.2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3.2" x14ac:dyDescent="0.2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3.2" x14ac:dyDescent="0.2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3.2" x14ac:dyDescent="0.2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3.2" x14ac:dyDescent="0.2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3.2" x14ac:dyDescent="0.2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3.2" x14ac:dyDescent="0.2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3.2" x14ac:dyDescent="0.2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3.2" x14ac:dyDescent="0.2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3.2" x14ac:dyDescent="0.2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3.2" x14ac:dyDescent="0.2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3.2" x14ac:dyDescent="0.2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3.2" x14ac:dyDescent="0.2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3.2" x14ac:dyDescent="0.2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3.2" x14ac:dyDescent="0.2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3.2" x14ac:dyDescent="0.2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3.2" x14ac:dyDescent="0.2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3.2" x14ac:dyDescent="0.2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3.2" x14ac:dyDescent="0.2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3.2" x14ac:dyDescent="0.2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3.2" x14ac:dyDescent="0.2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3.2" x14ac:dyDescent="0.2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3.2" x14ac:dyDescent="0.2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3.2" x14ac:dyDescent="0.2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3.2" x14ac:dyDescent="0.2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3.2" x14ac:dyDescent="0.2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3.2" x14ac:dyDescent="0.2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3.2" x14ac:dyDescent="0.2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3.2" x14ac:dyDescent="0.2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3.2" x14ac:dyDescent="0.2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3.2" x14ac:dyDescent="0.2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3.2" x14ac:dyDescent="0.2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3.2" x14ac:dyDescent="0.2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3.2" x14ac:dyDescent="0.2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3.2" x14ac:dyDescent="0.2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3.2" x14ac:dyDescent="0.2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3.2" x14ac:dyDescent="0.2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3.2" x14ac:dyDescent="0.2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3.2" x14ac:dyDescent="0.2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3.2" x14ac:dyDescent="0.2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3.2" x14ac:dyDescent="0.2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3.2" x14ac:dyDescent="0.2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3.2" x14ac:dyDescent="0.2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3.2" x14ac:dyDescent="0.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3.2" x14ac:dyDescent="0.2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3.2" x14ac:dyDescent="0.2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3.2" x14ac:dyDescent="0.2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3.2" x14ac:dyDescent="0.2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3.2" x14ac:dyDescent="0.2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3.2" x14ac:dyDescent="0.2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3.2" x14ac:dyDescent="0.2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3.2" x14ac:dyDescent="0.2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3.2" x14ac:dyDescent="0.2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3.2" x14ac:dyDescent="0.2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3.2" x14ac:dyDescent="0.2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3.2" x14ac:dyDescent="0.2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3.2" x14ac:dyDescent="0.2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3.2" x14ac:dyDescent="0.2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3.2" x14ac:dyDescent="0.2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3.2" x14ac:dyDescent="0.2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3.2" x14ac:dyDescent="0.2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3.2" x14ac:dyDescent="0.2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3.2" x14ac:dyDescent="0.2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3.2" x14ac:dyDescent="0.2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3.2" x14ac:dyDescent="0.2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3.2" x14ac:dyDescent="0.2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3.2" x14ac:dyDescent="0.2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3.2" x14ac:dyDescent="0.2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3.2" x14ac:dyDescent="0.2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3.2" x14ac:dyDescent="0.2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3.2" x14ac:dyDescent="0.2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3.2" x14ac:dyDescent="0.2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3.2" x14ac:dyDescent="0.2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3.2" x14ac:dyDescent="0.2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3.2" x14ac:dyDescent="0.2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3.2" x14ac:dyDescent="0.2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3.2" x14ac:dyDescent="0.2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3.2" x14ac:dyDescent="0.2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3.2" x14ac:dyDescent="0.2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3.2" x14ac:dyDescent="0.2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3.2" x14ac:dyDescent="0.2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3.2" x14ac:dyDescent="0.2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3.2" x14ac:dyDescent="0.2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3.2" x14ac:dyDescent="0.2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3.2" x14ac:dyDescent="0.2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3.2" x14ac:dyDescent="0.2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3.2" x14ac:dyDescent="0.2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3.2" x14ac:dyDescent="0.2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3.2" x14ac:dyDescent="0.2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3.2" x14ac:dyDescent="0.2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3.2" x14ac:dyDescent="0.2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3.2" x14ac:dyDescent="0.2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3.2" x14ac:dyDescent="0.2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3.2" x14ac:dyDescent="0.2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3.2" x14ac:dyDescent="0.2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3.2" x14ac:dyDescent="0.2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3.2" x14ac:dyDescent="0.2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3.2" x14ac:dyDescent="0.2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3.2" x14ac:dyDescent="0.2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3.2" x14ac:dyDescent="0.2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3.2" x14ac:dyDescent="0.2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3.2" x14ac:dyDescent="0.2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3.2" x14ac:dyDescent="0.2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3.2" x14ac:dyDescent="0.2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3.2" x14ac:dyDescent="0.2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3.2" x14ac:dyDescent="0.2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3.2" x14ac:dyDescent="0.2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3.2" x14ac:dyDescent="0.2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3.2" x14ac:dyDescent="0.2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3.2" x14ac:dyDescent="0.2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3.2" x14ac:dyDescent="0.2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3.2" x14ac:dyDescent="0.2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3.2" x14ac:dyDescent="0.2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3.2" x14ac:dyDescent="0.2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3.2" x14ac:dyDescent="0.2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3.2" x14ac:dyDescent="0.2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3.2" x14ac:dyDescent="0.2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3.2" x14ac:dyDescent="0.2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3.2" x14ac:dyDescent="0.2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3.2" x14ac:dyDescent="0.2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3.2" x14ac:dyDescent="0.2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3.2" x14ac:dyDescent="0.2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3.2" x14ac:dyDescent="0.2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3.2" x14ac:dyDescent="0.2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3.2" x14ac:dyDescent="0.2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3.2" x14ac:dyDescent="0.2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3.2" x14ac:dyDescent="0.2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3.2" x14ac:dyDescent="0.2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3.2" x14ac:dyDescent="0.2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3.2" x14ac:dyDescent="0.2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3.2" x14ac:dyDescent="0.2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3.2" x14ac:dyDescent="0.2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3.2" x14ac:dyDescent="0.2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3.2" x14ac:dyDescent="0.2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3.2" x14ac:dyDescent="0.2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3.2" x14ac:dyDescent="0.2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3.2" x14ac:dyDescent="0.2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3.2" x14ac:dyDescent="0.2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3.2" x14ac:dyDescent="0.2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3.2" x14ac:dyDescent="0.2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3.2" x14ac:dyDescent="0.2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3.2" x14ac:dyDescent="0.2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3.2" x14ac:dyDescent="0.2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3.2" x14ac:dyDescent="0.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3.2" x14ac:dyDescent="0.2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3.2" x14ac:dyDescent="0.2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3.2" x14ac:dyDescent="0.2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3.2" x14ac:dyDescent="0.2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3.2" x14ac:dyDescent="0.2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3.2" x14ac:dyDescent="0.2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3.2" x14ac:dyDescent="0.2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3.2" x14ac:dyDescent="0.2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3.2" x14ac:dyDescent="0.2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3.2" x14ac:dyDescent="0.2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3.2" x14ac:dyDescent="0.2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3.2" x14ac:dyDescent="0.2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3.2" x14ac:dyDescent="0.2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3.2" x14ac:dyDescent="0.2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3.2" x14ac:dyDescent="0.2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3.2" x14ac:dyDescent="0.2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3.2" x14ac:dyDescent="0.2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3.2" x14ac:dyDescent="0.2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3.2" x14ac:dyDescent="0.2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3.2" x14ac:dyDescent="0.2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3.2" x14ac:dyDescent="0.2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3.2" x14ac:dyDescent="0.2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3.2" x14ac:dyDescent="0.2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3.2" x14ac:dyDescent="0.2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3.2" x14ac:dyDescent="0.2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3.2" x14ac:dyDescent="0.2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3.2" x14ac:dyDescent="0.2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3.2" x14ac:dyDescent="0.2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3.2" x14ac:dyDescent="0.2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3.2" x14ac:dyDescent="0.2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3.2" x14ac:dyDescent="0.2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3.2" x14ac:dyDescent="0.2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3.2" x14ac:dyDescent="0.2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3.2" x14ac:dyDescent="0.2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3.2" x14ac:dyDescent="0.2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3.2" x14ac:dyDescent="0.2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3.2" x14ac:dyDescent="0.2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3.2" x14ac:dyDescent="0.2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3.2" x14ac:dyDescent="0.2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3.2" x14ac:dyDescent="0.2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3.2" x14ac:dyDescent="0.2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3.2" x14ac:dyDescent="0.2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3.2" x14ac:dyDescent="0.2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3.2" x14ac:dyDescent="0.2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3.2" x14ac:dyDescent="0.2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3.2" x14ac:dyDescent="0.2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3.2" x14ac:dyDescent="0.2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3.2" x14ac:dyDescent="0.2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3.2" x14ac:dyDescent="0.2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3.2" x14ac:dyDescent="0.2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3.2" x14ac:dyDescent="0.2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3.2" x14ac:dyDescent="0.2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3.2" x14ac:dyDescent="0.2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3.2" x14ac:dyDescent="0.2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3.2" x14ac:dyDescent="0.2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3.2" x14ac:dyDescent="0.2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3.2" x14ac:dyDescent="0.2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3.2" x14ac:dyDescent="0.2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3.2" x14ac:dyDescent="0.2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3.2" x14ac:dyDescent="0.2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3.2" x14ac:dyDescent="0.2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3.2" x14ac:dyDescent="0.2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3.2" x14ac:dyDescent="0.2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3.2" x14ac:dyDescent="0.2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3.2" x14ac:dyDescent="0.2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3.2" x14ac:dyDescent="0.2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3.2" x14ac:dyDescent="0.2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3.2" x14ac:dyDescent="0.2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3.2" x14ac:dyDescent="0.2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3.2" x14ac:dyDescent="0.2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3.2" x14ac:dyDescent="0.2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3.2" x14ac:dyDescent="0.2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3.2" x14ac:dyDescent="0.2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3.2" x14ac:dyDescent="0.2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3.2" x14ac:dyDescent="0.2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3.2" x14ac:dyDescent="0.2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3.2" x14ac:dyDescent="0.2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3.2" x14ac:dyDescent="0.2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3.2" x14ac:dyDescent="0.2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3.2" x14ac:dyDescent="0.2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3.2" x14ac:dyDescent="0.2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3.2" x14ac:dyDescent="0.2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3.2" x14ac:dyDescent="0.2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3.2" x14ac:dyDescent="0.2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3.2" x14ac:dyDescent="0.2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3.2" x14ac:dyDescent="0.2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3.2" x14ac:dyDescent="0.2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3.2" x14ac:dyDescent="0.2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3.2" x14ac:dyDescent="0.2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3.2" x14ac:dyDescent="0.2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3.2" x14ac:dyDescent="0.2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3.2" x14ac:dyDescent="0.2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3.2" x14ac:dyDescent="0.2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3.2" x14ac:dyDescent="0.2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3.2" x14ac:dyDescent="0.2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3.2" x14ac:dyDescent="0.2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3.2" x14ac:dyDescent="0.2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3.2" x14ac:dyDescent="0.2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3.2" x14ac:dyDescent="0.2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3.2" x14ac:dyDescent="0.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3.2" x14ac:dyDescent="0.2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3.2" x14ac:dyDescent="0.2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3.2" x14ac:dyDescent="0.2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3.2" x14ac:dyDescent="0.2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3.2" x14ac:dyDescent="0.2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3.2" x14ac:dyDescent="0.2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3.2" x14ac:dyDescent="0.2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3.2" x14ac:dyDescent="0.2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3.2" x14ac:dyDescent="0.2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3.2" x14ac:dyDescent="0.2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3.2" x14ac:dyDescent="0.2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3.2" x14ac:dyDescent="0.2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3.2" x14ac:dyDescent="0.2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3.2" x14ac:dyDescent="0.2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3.2" x14ac:dyDescent="0.2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3.2" x14ac:dyDescent="0.2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3.2" x14ac:dyDescent="0.2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3.2" x14ac:dyDescent="0.2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3.2" x14ac:dyDescent="0.2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3.2" x14ac:dyDescent="0.2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3.2" x14ac:dyDescent="0.2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3.2" x14ac:dyDescent="0.2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3.2" x14ac:dyDescent="0.2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3.2" x14ac:dyDescent="0.2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3.2" x14ac:dyDescent="0.2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3.2" x14ac:dyDescent="0.2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3.2" x14ac:dyDescent="0.2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3.2" x14ac:dyDescent="0.2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3.2" x14ac:dyDescent="0.2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3.2" x14ac:dyDescent="0.2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3.2" x14ac:dyDescent="0.2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3.2" x14ac:dyDescent="0.2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3.2" x14ac:dyDescent="0.2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3.2" x14ac:dyDescent="0.2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3.2" x14ac:dyDescent="0.2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3.2" x14ac:dyDescent="0.2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3.2" x14ac:dyDescent="0.2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3.2" x14ac:dyDescent="0.2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3.2" x14ac:dyDescent="0.2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3.2" x14ac:dyDescent="0.2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3.2" x14ac:dyDescent="0.2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3.2" x14ac:dyDescent="0.2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3.2" x14ac:dyDescent="0.2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3.2" x14ac:dyDescent="0.2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3.2" x14ac:dyDescent="0.2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3.2" x14ac:dyDescent="0.2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3.2" x14ac:dyDescent="0.2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3.2" x14ac:dyDescent="0.2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3.2" x14ac:dyDescent="0.2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3.2" x14ac:dyDescent="0.2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3.2" x14ac:dyDescent="0.2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3.2" x14ac:dyDescent="0.2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3.2" x14ac:dyDescent="0.2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3.2" x14ac:dyDescent="0.2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3.2" x14ac:dyDescent="0.2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3.2" x14ac:dyDescent="0.2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3.2" x14ac:dyDescent="0.2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3.2" x14ac:dyDescent="0.2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3.2" x14ac:dyDescent="0.2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3.2" x14ac:dyDescent="0.2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3.2" x14ac:dyDescent="0.2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3.2" x14ac:dyDescent="0.2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3.2" x14ac:dyDescent="0.25">
      <c r="A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3.2" x14ac:dyDescent="0.25">
      <c r="A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3.2" x14ac:dyDescent="0.25">
      <c r="A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3.2" x14ac:dyDescent="0.25">
      <c r="A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3.2" x14ac:dyDescent="0.25">
      <c r="A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3.2" x14ac:dyDescent="0.25">
      <c r="A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3.2" x14ac:dyDescent="0.25">
      <c r="A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3.2" x14ac:dyDescent="0.25">
      <c r="A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3.2" x14ac:dyDescent="0.25">
      <c r="A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3.2" x14ac:dyDescent="0.25">
      <c r="A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3.2" x14ac:dyDescent="0.25">
      <c r="A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3.2" x14ac:dyDescent="0.25">
      <c r="A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3.2" x14ac:dyDescent="0.25">
      <c r="A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autoFilter ref="A16:A17" xr:uid="{00000000-0009-0000-0000-000008000000}"/>
  <printOptions horizontalCentered="1" gridLines="1"/>
  <pageMargins left="0.7" right="0.7" top="0.75" bottom="0.75" header="0" footer="0"/>
  <pageSetup fitToHeight="0" pageOrder="overThenDown" orientation="landscape" cellComments="atEnd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0"/>
  <sheetViews>
    <sheetView workbookViewId="0">
      <selection activeCell="I12" sqref="I12"/>
    </sheetView>
  </sheetViews>
  <sheetFormatPr defaultColWidth="12.5546875" defaultRowHeight="15.75" customHeight="1" x14ac:dyDescent="0.25"/>
  <cols>
    <col min="1" max="1" width="15.6640625" customWidth="1"/>
    <col min="3" max="3" width="12.6640625" bestFit="1" customWidth="1"/>
    <col min="4" max="4" width="15.6640625" bestFit="1" customWidth="1"/>
    <col min="5" max="6" width="12.6640625" bestFit="1" customWidth="1"/>
  </cols>
  <sheetData>
    <row r="1" spans="1:26" ht="15.75" customHeight="1" x14ac:dyDescent="0.25">
      <c r="A1" s="16" t="s">
        <v>49</v>
      </c>
      <c r="B1" s="16" t="s">
        <v>50</v>
      </c>
      <c r="C1" s="16" t="s">
        <v>51</v>
      </c>
      <c r="D1" s="16" t="s">
        <v>52</v>
      </c>
      <c r="E1" s="16" t="s">
        <v>53</v>
      </c>
      <c r="F1" s="16" t="s">
        <v>54</v>
      </c>
      <c r="G1" s="17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3">
        <v>23.8</v>
      </c>
      <c r="B2" s="3">
        <f>WingLighter!B2</f>
        <v>0.01</v>
      </c>
      <c r="C2" s="23">
        <f>WingLighter!C2</f>
        <v>1157.7901716234119</v>
      </c>
      <c r="D2" s="23">
        <f>(WingLighter!$A$5*$A$2*C2/(WingLighter!$A$20*10^-7))</f>
        <v>136864754.66995952</v>
      </c>
      <c r="E2" s="23">
        <f t="shared" ref="E2:E15" si="0">0.074/(D2^0.2)</f>
        <v>1.745715206953438E-3</v>
      </c>
      <c r="F2" s="24">
        <f>0.5*E2*$A$5*WingLighter!$A$5*C2*C2</f>
        <v>1925.8730163110324</v>
      </c>
      <c r="G2" s="17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17"/>
      <c r="B3" s="3">
        <f>WingLighter!B3</f>
        <v>0.1</v>
      </c>
      <c r="C3" s="23">
        <f>WingLighter!C3</f>
        <v>366.12539948872291</v>
      </c>
      <c r="D3" s="23">
        <f>(WingLighter!$A$5*$A$2*C3/(WingLighter!$A$20*10^-7))</f>
        <v>43280435.615723878</v>
      </c>
      <c r="E3" s="23">
        <f t="shared" si="0"/>
        <v>2.1977252357891965E-3</v>
      </c>
      <c r="F3" s="24">
        <f>0.5*E3*$A$5*WingLighter!$A$5*C3*C3</f>
        <v>242.45304801226411</v>
      </c>
      <c r="G3" s="17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16" t="s">
        <v>30</v>
      </c>
      <c r="B4" s="3">
        <f>WingLighter!B4</f>
        <v>0.2</v>
      </c>
      <c r="C4" s="23">
        <f>WingLighter!C4</f>
        <v>258.88975274310968</v>
      </c>
      <c r="D4" s="23">
        <f>(WingLighter!$A$5*$A$2*C4/(WingLighter!$A$20*10^-7))</f>
        <v>30603889.516586121</v>
      </c>
      <c r="E4" s="23">
        <f t="shared" si="0"/>
        <v>2.3554635856651786E-3</v>
      </c>
      <c r="F4" s="24">
        <f>0.5*E4*$A$5*WingLighter!$A$5*C4*C4</f>
        <v>129.92737138529125</v>
      </c>
      <c r="G4" s="1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">
        <v>937.72</v>
      </c>
      <c r="B5" s="3">
        <f>WingLighter!B5</f>
        <v>0.30000000000000004</v>
      </c>
      <c r="C5" s="23">
        <f>WingLighter!C5</f>
        <v>211.38259795197345</v>
      </c>
      <c r="D5" s="23">
        <f>(WingLighter!$A$5*$A$2*C5/(WingLighter!$A$20*10^-7))</f>
        <v>24987971.15338245</v>
      </c>
      <c r="E5" s="23">
        <f t="shared" si="0"/>
        <v>2.4529320658234501E-3</v>
      </c>
      <c r="F5" s="24">
        <f>0.5*E5*$A$5*WingLighter!$A$5*C5*C5</f>
        <v>90.202488500547659</v>
      </c>
      <c r="G5" s="1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17"/>
      <c r="B6" s="3">
        <f>WingLighter!B6</f>
        <v>0.4</v>
      </c>
      <c r="C6" s="23">
        <f>WingLighter!C6</f>
        <v>183.06269974436145</v>
      </c>
      <c r="D6" s="23">
        <f>(WingLighter!$A$5*$A$2*C6/(WingLighter!$A$20*10^-7))</f>
        <v>21640217.807861939</v>
      </c>
      <c r="E6" s="23">
        <f t="shared" si="0"/>
        <v>2.5245233630865225E-3</v>
      </c>
      <c r="F6" s="24">
        <f>0.5*E6*$A$5*WingLighter!$A$5*C6*C6</f>
        <v>69.626354353926288</v>
      </c>
      <c r="G6" s="1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17"/>
      <c r="B7" s="3">
        <f>WingLighter!B7</f>
        <v>0.5</v>
      </c>
      <c r="C7" s="23">
        <f>WingLighter!C7</f>
        <v>163.73625630921026</v>
      </c>
      <c r="D7" s="23">
        <f>(WingLighter!$A$5*$A$2*C7/(WingLighter!$A$20*10^-7))</f>
        <v>19355599.226512313</v>
      </c>
      <c r="E7" s="23">
        <f t="shared" si="0"/>
        <v>2.5814896936605749E-3</v>
      </c>
      <c r="F7" s="24">
        <f>0.5*E7*$A$5*WingLighter!$A$5*C7*C7</f>
        <v>56.957988600926939</v>
      </c>
      <c r="G7" s="1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17"/>
      <c r="B8" s="3">
        <f>WingLighter!B8</f>
        <v>0.6</v>
      </c>
      <c r="C8" s="23">
        <f>WingLighter!C8</f>
        <v>149.47006843667006</v>
      </c>
      <c r="D8" s="23">
        <f>(WingLighter!$A$5*$A$2*C8/(WingLighter!$A$20*10^-7))</f>
        <v>17669163.850650568</v>
      </c>
      <c r="E8" s="23">
        <f t="shared" si="0"/>
        <v>2.6289874935539006E-3</v>
      </c>
      <c r="F8" s="24">
        <f>0.5*E8*$A$5*WingLighter!$A$5*C8*C8</f>
        <v>48.33831671481105</v>
      </c>
      <c r="G8" s="1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17"/>
      <c r="B9" s="3">
        <f>WingLighter!B9</f>
        <v>0.7</v>
      </c>
      <c r="C9" s="23">
        <f>WingLighter!C9</f>
        <v>138.38239367304797</v>
      </c>
      <c r="D9" s="23">
        <f>(WingLighter!$A$5*$A$2*C9/(WingLighter!$A$20*10^-7))</f>
        <v>16358467.039106868</v>
      </c>
      <c r="E9" s="23">
        <f t="shared" si="0"/>
        <v>2.6698274813757865E-3</v>
      </c>
      <c r="F9" s="24">
        <f>0.5*E9*$A$5*WingLighter!$A$5*C9*C9</f>
        <v>42.076481106482397</v>
      </c>
      <c r="G9" s="1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17"/>
      <c r="B10" s="3">
        <f>WingLighter!B10</f>
        <v>0.79999999999999993</v>
      </c>
      <c r="C10" s="23">
        <f>WingLighter!C10</f>
        <v>129.44487637155487</v>
      </c>
      <c r="D10" s="23">
        <f>(WingLighter!$A$5*$A$2*C10/(WingLighter!$A$20*10^-7))</f>
        <v>15301944.758293064</v>
      </c>
      <c r="E10" s="23">
        <f t="shared" si="0"/>
        <v>2.7057171461090097E-3</v>
      </c>
      <c r="F10" s="24">
        <f>0.5*E10*$A$5*WingLighter!$A$5*C10*C10</f>
        <v>37.311839444843251</v>
      </c>
      <c r="G10" s="1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17"/>
      <c r="B11" s="3">
        <f>WingLighter!B11</f>
        <v>0.89999999999999991</v>
      </c>
      <c r="C11" s="23">
        <f>WingLighter!C11</f>
        <v>122.04179982957432</v>
      </c>
      <c r="D11" s="23">
        <f>(WingLighter!$A$5*$A$2*C11/(WingLighter!$A$20*10^-7))</f>
        <v>14426811.871907962</v>
      </c>
      <c r="E11" s="23">
        <f t="shared" si="0"/>
        <v>2.737774322996411E-3</v>
      </c>
      <c r="F11" s="24">
        <f>0.5*E11*$A$5*WingLighter!$A$5*C11*C11</f>
        <v>33.559029256996013</v>
      </c>
      <c r="G11" s="1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17"/>
      <c r="B12" s="3">
        <f>WingLighter!B12</f>
        <v>0.99999999999999989</v>
      </c>
      <c r="C12" s="23">
        <f>WingLighter!C12</f>
        <v>115.7790171623412</v>
      </c>
      <c r="D12" s="23">
        <f>(WingLighter!$A$5*$A$2*C12/(WingLighter!$A$20*10^-7))</f>
        <v>13686475.466995953</v>
      </c>
      <c r="E12" s="23">
        <f t="shared" si="0"/>
        <v>2.7667721474763491E-3</v>
      </c>
      <c r="F12" s="24">
        <f>0.5*E12*$A$5*WingLighter!$A$5*C12*C12</f>
        <v>30.523030330959088</v>
      </c>
      <c r="G12" s="1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17"/>
      <c r="B13" s="3">
        <f>WingLighter!B13</f>
        <v>1.0999999999999999</v>
      </c>
      <c r="C13" s="23">
        <f>WingLighter!C13</f>
        <v>110.3909614839157</v>
      </c>
      <c r="D13" s="23">
        <f>(WingLighter!$A$5*$A$2*C13/(WingLighter!$A$20*10^-7))</f>
        <v>13049542.336408237</v>
      </c>
      <c r="E13" s="23">
        <f t="shared" si="0"/>
        <v>2.7932683699714409E-3</v>
      </c>
      <c r="F13" s="24">
        <f>0.5*E13*$A$5*WingLighter!$A$5*C13*C13</f>
        <v>28.013942415931762</v>
      </c>
      <c r="G13" s="1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17"/>
      <c r="B14" s="3">
        <f>WingLighter!B14</f>
        <v>1.2</v>
      </c>
      <c r="C14" s="23">
        <f>WingLighter!C14</f>
        <v>105.69129897598673</v>
      </c>
      <c r="D14" s="23">
        <f>(WingLighter!$A$5*$A$2*C14/(WingLighter!$A$20*10^-7))</f>
        <v>12493985.576691225</v>
      </c>
      <c r="E14" s="23">
        <f t="shared" si="0"/>
        <v>2.8176790289308751E-3</v>
      </c>
      <c r="F14" s="24">
        <f>0.5*E14*$A$5*WingLighter!$A$5*C14*C14</f>
        <v>25.903862539304509</v>
      </c>
      <c r="G14" s="1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17"/>
      <c r="B15" s="3">
        <f>WingLighter!B15</f>
        <v>1.4</v>
      </c>
      <c r="C15" s="23">
        <f>WingLighter!C15</f>
        <v>97.851128963038605</v>
      </c>
      <c r="D15" s="23">
        <f>(WingLighter!$A$5*$A$2*C15/(WingLighter!$A$20*10^-7))</f>
        <v>11567182.973169088</v>
      </c>
      <c r="E15" s="23">
        <f t="shared" si="0"/>
        <v>2.8614502440886774E-3</v>
      </c>
      <c r="F15" s="24">
        <f>0.5*E15*$A$5*WingLighter!$A$5*C15*C15</f>
        <v>22.548227923418779</v>
      </c>
      <c r="G15" s="1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17"/>
      <c r="B16" s="17"/>
      <c r="C16" s="25"/>
      <c r="D16" s="25"/>
      <c r="E16" s="25"/>
      <c r="F16" s="25"/>
      <c r="G16" s="1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16" t="s">
        <v>55</v>
      </c>
      <c r="B17" s="3"/>
      <c r="C17" s="23"/>
      <c r="D17" s="26" t="s">
        <v>56</v>
      </c>
      <c r="E17" s="26" t="s">
        <v>57</v>
      </c>
      <c r="F17" s="26" t="s">
        <v>58</v>
      </c>
      <c r="G17" s="1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3">
        <f>0.5^2*3.14</f>
        <v>0.78500000000000003</v>
      </c>
      <c r="B18" s="3"/>
      <c r="C18" s="23"/>
      <c r="D18" s="24">
        <f t="shared" ref="D18:D31" si="1">E18+F18</f>
        <v>2114.8823529411766</v>
      </c>
      <c r="E18" s="24">
        <f>0.5*$A$21*C2*C2*WingLighter!$A$5*0.25</f>
        <v>1182.1176470588234</v>
      </c>
      <c r="F18" s="24">
        <f>0.5*$A$18*C2*C2*WingLighter!$A$5*1.01</f>
        <v>932.76470588235293</v>
      </c>
      <c r="G18" s="1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17"/>
      <c r="B19" s="3"/>
      <c r="C19" s="23"/>
      <c r="D19" s="24">
        <f t="shared" si="1"/>
        <v>211.4882352941176</v>
      </c>
      <c r="E19" s="24">
        <f>0.5*$A$21*C3*C3*WingLighter!$A$5*0.25</f>
        <v>118.21176470588233</v>
      </c>
      <c r="F19" s="24">
        <f>0.5*$A$18*C3*C3*WingLighter!$A$5*1.01</f>
        <v>93.27647058823527</v>
      </c>
      <c r="G19" s="1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16" t="s">
        <v>59</v>
      </c>
      <c r="B20" s="3"/>
      <c r="C20" s="23"/>
      <c r="D20" s="24">
        <f t="shared" si="1"/>
        <v>105.7441176470588</v>
      </c>
      <c r="E20" s="24">
        <f>0.5*$A$21*C4*C4*WingLighter!$A$5*0.25</f>
        <v>59.105882352941165</v>
      </c>
      <c r="F20" s="24">
        <f>0.5*$A$18*C4*C4*WingLighter!$A$5*1.01</f>
        <v>46.638235294117635</v>
      </c>
      <c r="G20" s="1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>
        <f>2*3.14*(0.8^2)</f>
        <v>4.0192000000000005</v>
      </c>
      <c r="B21" s="3"/>
      <c r="C21" s="23"/>
      <c r="D21" s="24">
        <f t="shared" si="1"/>
        <v>70.496078431372538</v>
      </c>
      <c r="E21" s="24">
        <f>0.5*$A$21*C5*C5*WingLighter!$A$5*0.25</f>
        <v>39.403921568627446</v>
      </c>
      <c r="F21" s="24">
        <f>0.5*$A$18*C5*C5*WingLighter!$A$5*1.01</f>
        <v>31.092156862745092</v>
      </c>
      <c r="G21" s="1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17"/>
      <c r="B22" s="3"/>
      <c r="C22" s="23"/>
      <c r="D22" s="24">
        <f t="shared" si="1"/>
        <v>52.8720588235294</v>
      </c>
      <c r="E22" s="24">
        <f>0.5*$A$21*C6*C6*WingLighter!$A$5*0.25</f>
        <v>29.552941176470583</v>
      </c>
      <c r="F22" s="24">
        <f>0.5*$A$18*C6*C6*WingLighter!$A$5*1.01</f>
        <v>23.319117647058818</v>
      </c>
      <c r="G22" s="1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17"/>
      <c r="B23" s="3"/>
      <c r="C23" s="23"/>
      <c r="D23" s="24">
        <f t="shared" si="1"/>
        <v>42.297647058823543</v>
      </c>
      <c r="E23" s="24">
        <f>0.5*$A$21*C7*C7*WingLighter!$A$5*0.25</f>
        <v>23.642352941176476</v>
      </c>
      <c r="F23" s="24">
        <f>0.5*$A$18*C7*C7*WingLighter!$A$5*1.01</f>
        <v>18.655294117647063</v>
      </c>
      <c r="G23" s="1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17"/>
      <c r="B24" s="3"/>
      <c r="C24" s="23"/>
      <c r="D24" s="24">
        <f t="shared" si="1"/>
        <v>35.248039215686283</v>
      </c>
      <c r="E24" s="24">
        <f>0.5*$A$21*C8*C8*WingLighter!$A$5*0.25</f>
        <v>19.70196078431373</v>
      </c>
      <c r="F24" s="24">
        <f>0.5*$A$18*C8*C8*WingLighter!$A$5*1.01</f>
        <v>15.546078431372553</v>
      </c>
      <c r="G24" s="1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2" x14ac:dyDescent="0.25">
      <c r="A25" s="17"/>
      <c r="B25" s="3"/>
      <c r="C25" s="23"/>
      <c r="D25" s="24">
        <f t="shared" si="1"/>
        <v>30.212605042016808</v>
      </c>
      <c r="E25" s="24">
        <f>0.5*$A$21*C9*C9*WingLighter!$A$5*0.25</f>
        <v>16.887394957983194</v>
      </c>
      <c r="F25" s="24">
        <f>0.5*$A$18*C9*C9*WingLighter!$A$5*1.01</f>
        <v>13.325210084033614</v>
      </c>
      <c r="G25" s="1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2" x14ac:dyDescent="0.25">
      <c r="A26" s="17"/>
      <c r="B26" s="3"/>
      <c r="C26" s="23"/>
      <c r="D26" s="24">
        <f t="shared" si="1"/>
        <v>26.436029411764714</v>
      </c>
      <c r="E26" s="24">
        <f>0.5*$A$21*C10*C10*WingLighter!$A$5*0.25</f>
        <v>14.776470588235298</v>
      </c>
      <c r="F26" s="24">
        <f>0.5*$A$18*C10*C10*WingLighter!$A$5*1.01</f>
        <v>11.659558823529414</v>
      </c>
      <c r="G26" s="1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2" x14ac:dyDescent="0.25">
      <c r="A27" s="17"/>
      <c r="B27" s="3"/>
      <c r="C27" s="23"/>
      <c r="D27" s="24">
        <f t="shared" si="1"/>
        <v>23.498692810457516</v>
      </c>
      <c r="E27" s="24">
        <f>0.5*$A$21*C11*C11*WingLighter!$A$5*0.25</f>
        <v>13.134640522875817</v>
      </c>
      <c r="F27" s="24">
        <f>0.5*$A$18*C11*C11*WingLighter!$A$5*1.01</f>
        <v>10.3640522875817</v>
      </c>
      <c r="G27" s="17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2" x14ac:dyDescent="0.25">
      <c r="A28" s="17"/>
      <c r="B28" s="3"/>
      <c r="C28" s="23"/>
      <c r="D28" s="24">
        <f t="shared" si="1"/>
        <v>21.148823529411771</v>
      </c>
      <c r="E28" s="24">
        <f>0.5*$A$21*C12*C12*WingLighter!$A$5*0.25</f>
        <v>11.821176470588238</v>
      </c>
      <c r="F28" s="24">
        <f>0.5*$A$18*C12*C12*WingLighter!$A$5*1.01</f>
        <v>9.3276470588235316</v>
      </c>
      <c r="G28" s="17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2" x14ac:dyDescent="0.25">
      <c r="A29" s="17"/>
      <c r="B29" s="3"/>
      <c r="C29" s="23"/>
      <c r="D29" s="24">
        <f t="shared" si="1"/>
        <v>19.22620320855615</v>
      </c>
      <c r="E29" s="24">
        <f>0.5*$A$21*C13*C13*WingLighter!$A$5*0.25</f>
        <v>10.746524064171124</v>
      </c>
      <c r="F29" s="24">
        <f>0.5*$A$18*C13*C13*WingLighter!$A$5*1.01</f>
        <v>8.4796791443850257</v>
      </c>
      <c r="G29" s="17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2" x14ac:dyDescent="0.25">
      <c r="A30" s="17"/>
      <c r="B30" s="3"/>
      <c r="C30" s="23"/>
      <c r="D30" s="24">
        <f t="shared" si="1"/>
        <v>17.624019607843135</v>
      </c>
      <c r="E30" s="24">
        <f>0.5*$A$21*C14*C14*WingLighter!$A$5*0.25</f>
        <v>9.8509803921568615</v>
      </c>
      <c r="F30" s="24">
        <f>0.5*$A$18*C14*C14*WingLighter!$A$5*1.01</f>
        <v>7.7730392156862731</v>
      </c>
      <c r="G30" s="17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2" x14ac:dyDescent="0.25">
      <c r="A31" s="17"/>
      <c r="B31" s="3"/>
      <c r="C31" s="23"/>
      <c r="D31" s="24">
        <f t="shared" si="1"/>
        <v>15.106302521008404</v>
      </c>
      <c r="E31" s="24">
        <f>0.5*$A$21*C15*C15*WingLighter!$A$5*0.25</f>
        <v>8.4436974789915968</v>
      </c>
      <c r="F31" s="24">
        <f>0.5*$A$18*C15*C15*WingLighter!$A$5*1.01</f>
        <v>6.662605042016807</v>
      </c>
      <c r="G31" s="17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2" x14ac:dyDescent="0.25">
      <c r="A32" s="17"/>
      <c r="B32" s="17"/>
      <c r="C32" s="17"/>
      <c r="D32" s="17"/>
      <c r="E32" s="17"/>
      <c r="F32" s="17"/>
      <c r="G32" s="17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2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2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2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2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2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2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2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2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2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2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2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2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2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2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2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2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2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2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2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2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2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2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2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2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2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2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2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2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2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2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2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2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2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2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2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2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2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2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2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2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2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2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2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2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2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2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2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2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2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2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2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2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2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2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2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2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2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2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2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2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2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2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2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2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2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2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2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2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2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2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2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2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2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2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2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2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2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2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2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2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2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2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2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2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2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2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2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2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2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2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2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2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2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2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2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2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2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2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2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2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2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2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2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2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2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2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2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2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2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2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2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2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2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2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2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2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2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2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2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2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2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2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2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2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2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2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2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2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2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2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2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2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2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2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2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2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2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2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2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2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2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2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2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2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2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2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2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2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2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2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2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2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2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2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2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2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2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2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2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2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2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2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2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2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2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2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2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2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2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2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2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2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2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2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2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2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2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2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2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2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2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2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2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2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2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2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2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2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2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2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2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2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2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2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2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2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2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2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2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2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2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2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2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2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2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2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2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2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2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2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2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2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2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2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2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2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2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2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2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2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2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2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2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2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2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2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2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2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2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2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2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2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2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2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2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2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2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2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2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2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2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2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2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2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2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2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2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2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2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2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2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2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2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2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2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2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2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2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2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2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2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2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2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2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2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2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2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2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2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2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2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2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2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2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2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2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2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2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2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2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2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2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2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2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2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2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2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2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2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2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2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2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2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2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2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2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2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2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2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2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2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2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2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2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2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2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2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2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2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2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2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2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2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2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2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2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2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2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2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2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2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2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2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2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2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2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2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2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2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2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2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2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2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2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2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2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2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2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2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2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2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2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2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2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2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2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2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2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2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2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2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2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2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2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2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2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2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2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2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2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2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2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2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2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2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2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2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2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2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2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2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2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2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2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2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2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2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2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2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2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2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2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2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2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2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2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2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2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2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2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2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2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2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2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2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2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2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2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2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2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2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2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2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2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2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2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2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2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2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2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2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2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2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2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2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2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2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2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2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2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2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2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2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2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2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2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2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2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2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2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2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2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2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2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2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2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2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2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2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2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2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2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2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2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2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2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2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2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2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2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2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2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2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2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2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2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2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2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2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2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2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2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2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2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2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2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2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2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2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2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2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2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2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2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2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2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2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2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2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2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2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2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2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2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2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2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2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2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2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2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2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2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2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2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2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2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2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2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2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2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2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2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2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2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2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2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2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2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2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2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2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2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2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2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2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2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2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2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2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2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2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2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2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2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2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2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2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2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2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2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2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2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2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2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2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2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2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2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2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2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2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2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2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2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2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2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2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2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2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2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2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2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2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2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2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2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2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2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2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2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2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2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2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2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2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2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2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2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2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2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2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2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2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2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2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2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2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2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2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2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2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2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2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2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2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2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2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2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2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2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2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2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2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2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2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2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2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2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2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2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2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2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2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2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2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2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2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2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2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2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2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2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2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2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2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2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2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2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2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2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2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2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2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2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2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2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2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2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2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2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2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2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2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2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2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2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2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2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2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2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2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2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2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2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2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2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2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2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2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2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2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2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2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2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2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2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2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2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2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2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2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2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2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2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2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2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2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2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2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2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2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2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2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2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2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2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2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2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2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2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2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2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2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2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2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2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2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2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2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2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2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2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2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2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2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2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2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2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2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2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2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2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2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2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2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2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2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2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2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2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2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2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2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2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2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2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2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2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2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2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2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2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2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2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2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2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2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2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2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2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2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2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2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2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2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2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2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2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2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2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2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2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2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2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2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2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2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2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2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2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2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2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2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2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2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2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2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2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2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2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2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2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2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2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2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2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2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2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2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2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2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2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2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2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2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2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2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2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2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2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2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2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2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2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2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2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2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2" x14ac:dyDescent="0.25">
      <c r="A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2" x14ac:dyDescent="0.25">
      <c r="A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2" x14ac:dyDescent="0.25">
      <c r="A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2" x14ac:dyDescent="0.25">
      <c r="A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2" x14ac:dyDescent="0.25">
      <c r="A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2" x14ac:dyDescent="0.25">
      <c r="A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2" x14ac:dyDescent="0.25">
      <c r="A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2" x14ac:dyDescent="0.25">
      <c r="A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2" x14ac:dyDescent="0.25">
      <c r="A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2" x14ac:dyDescent="0.25">
      <c r="A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2" x14ac:dyDescent="0.25">
      <c r="A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2" x14ac:dyDescent="0.25">
      <c r="A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2" x14ac:dyDescent="0.25">
      <c r="A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14"/>
  <sheetViews>
    <sheetView tabSelected="1" workbookViewId="0">
      <selection activeCell="H11" sqref="H11"/>
    </sheetView>
  </sheetViews>
  <sheetFormatPr defaultColWidth="12.5546875" defaultRowHeight="15.75" customHeight="1" x14ac:dyDescent="0.25"/>
  <cols>
    <col min="4" max="5" width="16.6640625" bestFit="1" customWidth="1"/>
    <col min="6" max="6" width="14.6640625" bestFit="1" customWidth="1"/>
  </cols>
  <sheetData>
    <row r="1" spans="1:3" ht="15.75" customHeight="1" x14ac:dyDescent="0.25">
      <c r="A1" s="19" t="s">
        <v>60</v>
      </c>
      <c r="B1" s="19" t="s">
        <v>61</v>
      </c>
      <c r="C1" s="19" t="s">
        <v>12</v>
      </c>
    </row>
    <row r="2" spans="1:3" ht="15.75" customHeight="1" x14ac:dyDescent="0.25">
      <c r="A2" s="20">
        <v>396.87047581945791</v>
      </c>
      <c r="B2" s="20">
        <v>120.19382450450485</v>
      </c>
      <c r="C2" s="20">
        <v>3.301920688983345</v>
      </c>
    </row>
    <row r="3" spans="1:3" ht="15.75" customHeight="1" x14ac:dyDescent="0.25">
      <c r="A3" s="20">
        <v>280.62980470467045</v>
      </c>
      <c r="B3" s="20">
        <v>47.23444502173367</v>
      </c>
      <c r="C3" s="20">
        <v>5.9412110076776834</v>
      </c>
    </row>
    <row r="4" spans="1:3" ht="15.75" customHeight="1" x14ac:dyDescent="0.25">
      <c r="A4" s="20">
        <v>229.13327604777885</v>
      </c>
      <c r="B4" s="20">
        <v>29.367987801685114</v>
      </c>
      <c r="C4" s="20">
        <v>7.8021442120944817</v>
      </c>
    </row>
    <row r="5" spans="1:3" ht="15.75" customHeight="1" x14ac:dyDescent="0.25">
      <c r="A5" s="20">
        <v>198.43523790972895</v>
      </c>
      <c r="B5" s="20">
        <v>22.236558444156344</v>
      </c>
      <c r="C5" s="20">
        <v>8.9238286764594523</v>
      </c>
    </row>
    <row r="6" spans="1:3" ht="15.75" customHeight="1" x14ac:dyDescent="0.25">
      <c r="A6" s="20">
        <v>177.48587243899888</v>
      </c>
      <c r="B6" s="20">
        <v>18.756335788394878</v>
      </c>
      <c r="C6" s="20">
        <v>9.4627156626623652</v>
      </c>
    </row>
    <row r="7" spans="1:3" ht="15.75" customHeight="1" x14ac:dyDescent="0.25">
      <c r="A7" s="20">
        <v>162.02169328887359</v>
      </c>
      <c r="B7" s="20">
        <v>17.047098258476378</v>
      </c>
      <c r="C7" s="20">
        <v>9.5043561568204762</v>
      </c>
    </row>
    <row r="8" spans="1:3" ht="15.75" customHeight="1" x14ac:dyDescent="0.25">
      <c r="A8" s="20">
        <v>150.00294024602266</v>
      </c>
      <c r="B8" s="20">
        <v>15.963629879616857</v>
      </c>
      <c r="C8" s="20">
        <v>9.3965433536863543</v>
      </c>
    </row>
    <row r="9" spans="1:3" ht="15.75" customHeight="1" x14ac:dyDescent="0.25">
      <c r="A9" s="20">
        <v>140.31490235233522</v>
      </c>
      <c r="B9" s="20">
        <v>15.35633389741821</v>
      </c>
      <c r="C9" s="20">
        <v>9.1372656579136855</v>
      </c>
    </row>
    <row r="10" spans="1:3" ht="15.75" customHeight="1" x14ac:dyDescent="0.25">
      <c r="A10" s="20">
        <v>132.29015860648596</v>
      </c>
      <c r="B10" s="20">
        <v>15.186813777048517</v>
      </c>
      <c r="C10" s="20">
        <v>8.7108567042820422</v>
      </c>
    </row>
    <row r="11" spans="1:3" ht="15.75" customHeight="1" x14ac:dyDescent="0.25">
      <c r="A11" s="20">
        <v>125.50146396642668</v>
      </c>
      <c r="B11" s="20">
        <v>15.032036820571131</v>
      </c>
      <c r="C11" s="20">
        <v>8.3489327138075993</v>
      </c>
    </row>
    <row r="12" spans="1:3" ht="15.75" customHeight="1" x14ac:dyDescent="0.25">
      <c r="A12" s="20">
        <v>119.66095078754158</v>
      </c>
      <c r="B12" s="20">
        <v>16.104333705494323</v>
      </c>
      <c r="C12" s="20">
        <v>7.4303571309328245</v>
      </c>
    </row>
    <row r="13" spans="1:3" ht="15.75" customHeight="1" x14ac:dyDescent="0.25">
      <c r="A13" s="20">
        <v>114.56663802388945</v>
      </c>
      <c r="B13" s="20">
        <v>16.030535164531251</v>
      </c>
      <c r="C13" s="20">
        <v>7.1467756283880428</v>
      </c>
    </row>
    <row r="14" spans="1:3" ht="15.75" customHeight="1" x14ac:dyDescent="0.25">
      <c r="A14" s="20">
        <v>106.06809624588311</v>
      </c>
      <c r="B14" s="20">
        <v>17.34468234640169</v>
      </c>
      <c r="C14" s="20">
        <v>6.1153092416182471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Results</vt:lpstr>
      <vt:lpstr>Wing</vt:lpstr>
      <vt:lpstr>Fuselage</vt:lpstr>
      <vt:lpstr>Wing10kft</vt:lpstr>
      <vt:lpstr>Fuselage10kft</vt:lpstr>
      <vt:lpstr>Wing15kft</vt:lpstr>
      <vt:lpstr>Fuselage15kft</vt:lpstr>
      <vt:lpstr>WingLighter</vt:lpstr>
      <vt:lpstr>FuselageLighter</vt:lpstr>
      <vt:lpstr>SinkRate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Rizvi</dc:creator>
  <cp:lastModifiedBy>Shazeb Rizvi</cp:lastModifiedBy>
  <dcterms:created xsi:type="dcterms:W3CDTF">2024-06-06T14:02:12Z</dcterms:created>
  <dcterms:modified xsi:type="dcterms:W3CDTF">2024-06-06T14:02:13Z</dcterms:modified>
</cp:coreProperties>
</file>