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Git Repository\Centralise_Database\misPython_doc\"/>
    </mc:Choice>
  </mc:AlternateContent>
  <xr:revisionPtr revIDLastSave="0" documentId="13_ncr:1_{19E3D7CA-AA2B-4ABE-8D4F-CA50A321033E}" xr6:coauthVersionLast="47" xr6:coauthVersionMax="47" xr10:uidLastSave="{00000000-0000-0000-0000-000000000000}"/>
  <bookViews>
    <workbookView xWindow="-120" yWindow="-120" windowWidth="29040" windowHeight="15720" activeTab="1" xr2:uid="{7DC5E7A2-948D-4B80-AFF3-AA3F664CE9C0}"/>
  </bookViews>
  <sheets>
    <sheet name="JV202505" sheetId="2" r:id="rId1"/>
    <sheet name="ECL" sheetId="1" r:id="rId2"/>
    <sheet name="EXIM_EXIB TB MAY25" sheetId="4" r:id="rId3"/>
  </sheets>
  <externalReferences>
    <externalReference r:id="rId4"/>
    <externalReference r:id="rId5"/>
    <externalReference r:id="rId6"/>
  </externalReferences>
  <definedNames>
    <definedName name="_xlnm._FilterDatabase" localSheetId="1" hidden="1">ECL!$A$2:$T$165</definedName>
    <definedName name="_xlnm.Print_Area" localSheetId="0">'JV202505'!$A$1:$E$81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H440" i="4"/>
  <c r="C29" i="2"/>
  <c r="D14" i="2"/>
  <c r="D13" i="2"/>
  <c r="C14" i="2"/>
  <c r="C13" i="2"/>
  <c r="D29" i="2"/>
  <c r="D30" i="2" s="1"/>
  <c r="C30" i="2"/>
  <c r="R189" i="1"/>
  <c r="R190" i="1"/>
  <c r="R191" i="1"/>
  <c r="R192" i="1"/>
  <c r="R193" i="1"/>
  <c r="R194" i="1"/>
  <c r="R195" i="1"/>
  <c r="R188" i="1"/>
  <c r="L188" i="1"/>
  <c r="F21" i="2"/>
  <c r="F39" i="2"/>
  <c r="Y184" i="1"/>
  <c r="F25" i="2"/>
  <c r="Y183" i="1"/>
  <c r="F9" i="2"/>
  <c r="Y181" i="1"/>
  <c r="F5" i="2"/>
  <c r="Y180" i="1"/>
  <c r="F78" i="2"/>
  <c r="F74" i="2"/>
  <c r="F67" i="2"/>
  <c r="F63" i="2"/>
  <c r="F54" i="2"/>
  <c r="F50" i="2"/>
  <c r="F43" i="2"/>
  <c r="S193" i="1"/>
  <c r="S194" i="1"/>
  <c r="S195" i="1"/>
  <c r="S188" i="1"/>
  <c r="M188" i="1"/>
  <c r="S189" i="1"/>
  <c r="S190" i="1"/>
  <c r="S191" i="1"/>
  <c r="S192" i="1"/>
  <c r="D9" i="2" l="1"/>
  <c r="D39" i="2"/>
  <c r="D40" i="2" s="1"/>
  <c r="D21" i="2"/>
  <c r="C21" i="2"/>
  <c r="Y182" i="1"/>
  <c r="Y185" i="1"/>
  <c r="F83" i="2"/>
  <c r="L189" i="1" l="1"/>
  <c r="L190" i="1"/>
  <c r="L191" i="1"/>
  <c r="L192" i="1"/>
  <c r="L193" i="1"/>
  <c r="L194" i="1"/>
  <c r="L195" i="1"/>
  <c r="Q79" i="2"/>
  <c r="D43" i="2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O167" i="1"/>
  <c r="L167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Q3" i="1"/>
  <c r="P3" i="1"/>
  <c r="M192" i="1"/>
  <c r="M195" i="1"/>
  <c r="M193" i="1"/>
  <c r="M190" i="1"/>
  <c r="M189" i="1"/>
  <c r="M191" i="1"/>
  <c r="M194" i="1"/>
  <c r="K161" i="1" l="1"/>
  <c r="K137" i="1"/>
  <c r="K77" i="1"/>
  <c r="K53" i="1"/>
  <c r="K17" i="1"/>
  <c r="K160" i="1"/>
  <c r="K148" i="1"/>
  <c r="K136" i="1"/>
  <c r="K124" i="1"/>
  <c r="K112" i="1"/>
  <c r="K100" i="1"/>
  <c r="K88" i="1"/>
  <c r="K76" i="1"/>
  <c r="K64" i="1"/>
  <c r="K52" i="1"/>
  <c r="K40" i="1"/>
  <c r="K28" i="1"/>
  <c r="K16" i="1"/>
  <c r="K4" i="1"/>
  <c r="K159" i="1"/>
  <c r="K147" i="1"/>
  <c r="K135" i="1"/>
  <c r="K123" i="1"/>
  <c r="K111" i="1"/>
  <c r="K99" i="1"/>
  <c r="K87" i="1"/>
  <c r="K75" i="1"/>
  <c r="K63" i="1"/>
  <c r="K51" i="1"/>
  <c r="K39" i="1"/>
  <c r="K27" i="1"/>
  <c r="K15" i="1"/>
  <c r="K101" i="1"/>
  <c r="K41" i="1"/>
  <c r="K158" i="1"/>
  <c r="K146" i="1"/>
  <c r="K134" i="1"/>
  <c r="K122" i="1"/>
  <c r="K110" i="1"/>
  <c r="K98" i="1"/>
  <c r="K86" i="1"/>
  <c r="K74" i="1"/>
  <c r="K62" i="1"/>
  <c r="K50" i="1"/>
  <c r="K38" i="1"/>
  <c r="K26" i="1"/>
  <c r="K14" i="1"/>
  <c r="K125" i="1"/>
  <c r="K113" i="1"/>
  <c r="K29" i="1"/>
  <c r="K89" i="1"/>
  <c r="K5" i="1"/>
  <c r="K149" i="1"/>
  <c r="K65" i="1"/>
  <c r="K155" i="1"/>
  <c r="K107" i="1"/>
  <c r="K83" i="1"/>
  <c r="K47" i="1"/>
  <c r="K11" i="1"/>
  <c r="K71" i="1"/>
  <c r="K23" i="1"/>
  <c r="K143" i="1"/>
  <c r="K95" i="1"/>
  <c r="K35" i="1"/>
  <c r="K163" i="1"/>
  <c r="K151" i="1"/>
  <c r="K139" i="1"/>
  <c r="K127" i="1"/>
  <c r="K115" i="1"/>
  <c r="K103" i="1"/>
  <c r="K91" i="1"/>
  <c r="K79" i="1"/>
  <c r="K67" i="1"/>
  <c r="K55" i="1"/>
  <c r="K43" i="1"/>
  <c r="K31" i="1"/>
  <c r="K19" i="1"/>
  <c r="K7" i="1"/>
  <c r="K131" i="1"/>
  <c r="K119" i="1"/>
  <c r="K59" i="1"/>
  <c r="K162" i="1"/>
  <c r="K150" i="1"/>
  <c r="K138" i="1"/>
  <c r="K126" i="1"/>
  <c r="K114" i="1"/>
  <c r="K102" i="1"/>
  <c r="K90" i="1"/>
  <c r="K78" i="1"/>
  <c r="K66" i="1"/>
  <c r="K54" i="1"/>
  <c r="K42" i="1"/>
  <c r="K30" i="1"/>
  <c r="K18" i="1"/>
  <c r="K6" i="1"/>
  <c r="K97" i="1"/>
  <c r="K61" i="1"/>
  <c r="K25" i="1"/>
  <c r="K108" i="1"/>
  <c r="K84" i="1"/>
  <c r="K72" i="1"/>
  <c r="K60" i="1"/>
  <c r="K133" i="1"/>
  <c r="K121" i="1"/>
  <c r="K85" i="1"/>
  <c r="K36" i="1"/>
  <c r="K154" i="1"/>
  <c r="K142" i="1"/>
  <c r="K130" i="1"/>
  <c r="K118" i="1"/>
  <c r="K106" i="1"/>
  <c r="K94" i="1"/>
  <c r="K82" i="1"/>
  <c r="K70" i="1"/>
  <c r="K58" i="1"/>
  <c r="K46" i="1"/>
  <c r="K34" i="1"/>
  <c r="K22" i="1"/>
  <c r="K10" i="1"/>
  <c r="Q172" i="1"/>
  <c r="K145" i="1"/>
  <c r="K109" i="1"/>
  <c r="K13" i="1"/>
  <c r="K156" i="1"/>
  <c r="K48" i="1"/>
  <c r="K165" i="1"/>
  <c r="K153" i="1"/>
  <c r="K141" i="1"/>
  <c r="K129" i="1"/>
  <c r="K117" i="1"/>
  <c r="K105" i="1"/>
  <c r="K93" i="1"/>
  <c r="K81" i="1"/>
  <c r="K69" i="1"/>
  <c r="K57" i="1"/>
  <c r="K45" i="1"/>
  <c r="K33" i="1"/>
  <c r="K21" i="1"/>
  <c r="K9" i="1"/>
  <c r="K73" i="1"/>
  <c r="K144" i="1"/>
  <c r="K120" i="1"/>
  <c r="K12" i="1"/>
  <c r="K164" i="1"/>
  <c r="K152" i="1"/>
  <c r="K140" i="1"/>
  <c r="K128" i="1"/>
  <c r="K116" i="1"/>
  <c r="K104" i="1"/>
  <c r="K92" i="1"/>
  <c r="K80" i="1"/>
  <c r="K68" i="1"/>
  <c r="K56" i="1"/>
  <c r="K44" i="1"/>
  <c r="K32" i="1"/>
  <c r="K20" i="1"/>
  <c r="K8" i="1"/>
  <c r="K37" i="1"/>
  <c r="K96" i="1"/>
  <c r="K157" i="1"/>
  <c r="K49" i="1"/>
  <c r="K132" i="1"/>
  <c r="K24" i="1"/>
  <c r="D78" i="2"/>
  <c r="D79" i="2" s="1"/>
  <c r="D74" i="2"/>
  <c r="D75" i="2" s="1"/>
  <c r="C74" i="2"/>
  <c r="C75" i="2" s="1"/>
  <c r="D67" i="2"/>
  <c r="D68" i="2" s="1"/>
  <c r="C67" i="2"/>
  <c r="C68" i="2" s="1"/>
  <c r="D63" i="2"/>
  <c r="D64" i="2" s="1"/>
  <c r="C54" i="2"/>
  <c r="C55" i="2" s="1"/>
  <c r="D54" i="2"/>
  <c r="D55" i="2" s="1"/>
  <c r="C50" i="2"/>
  <c r="C51" i="2" s="1"/>
  <c r="D50" i="2"/>
  <c r="D51" i="2" s="1"/>
  <c r="C25" i="2"/>
  <c r="D25" i="2"/>
  <c r="D26" i="2" s="1"/>
  <c r="C22" i="2"/>
  <c r="K21" i="2"/>
  <c r="D10" i="2"/>
  <c r="C6" i="2"/>
  <c r="L171" i="1"/>
  <c r="O171" i="1"/>
  <c r="L172" i="1"/>
  <c r="O172" i="1"/>
  <c r="P171" i="1"/>
  <c r="P172" i="1"/>
  <c r="Q171" i="1"/>
  <c r="K3" i="1"/>
  <c r="D44" i="2"/>
  <c r="C10" i="2"/>
  <c r="C26" i="2"/>
  <c r="C63" i="2"/>
  <c r="C64" i="2" s="1"/>
  <c r="C5" i="2"/>
  <c r="C78" i="2"/>
  <c r="C79" i="2" s="1"/>
  <c r="D5" i="2"/>
  <c r="D6" i="2" s="1"/>
  <c r="C43" i="2"/>
  <c r="C44" i="2" s="1"/>
  <c r="C9" i="2"/>
  <c r="P167" i="1"/>
  <c r="Q167" i="1"/>
  <c r="R167" i="1"/>
  <c r="Q173" i="1" l="1"/>
  <c r="Q174" i="1" s="1"/>
  <c r="O173" i="1"/>
  <c r="O174" i="1" s="1"/>
  <c r="J74" i="2"/>
  <c r="D22" i="2"/>
  <c r="J21" i="2"/>
  <c r="P173" i="1"/>
  <c r="P174" i="1" s="1"/>
  <c r="L173" i="1"/>
  <c r="L174" i="1" s="1"/>
  <c r="R171" i="1"/>
  <c r="R17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3" i="1"/>
  <c r="R173" i="1" l="1"/>
  <c r="R174" i="1" s="1"/>
  <c r="N172" i="1"/>
  <c r="T172" i="1" s="1"/>
  <c r="M3" i="1"/>
  <c r="N171" i="1"/>
  <c r="T3" i="1"/>
  <c r="N167" i="1"/>
  <c r="M165" i="1"/>
  <c r="S165" i="1" s="1"/>
  <c r="T165" i="1"/>
  <c r="M164" i="1"/>
  <c r="S164" i="1" s="1"/>
  <c r="T164" i="1"/>
  <c r="M163" i="1"/>
  <c r="S163" i="1" s="1"/>
  <c r="T163" i="1"/>
  <c r="M162" i="1"/>
  <c r="S162" i="1" s="1"/>
  <c r="T162" i="1"/>
  <c r="M161" i="1"/>
  <c r="S161" i="1" s="1"/>
  <c r="T161" i="1"/>
  <c r="M160" i="1"/>
  <c r="S160" i="1" s="1"/>
  <c r="T160" i="1"/>
  <c r="M159" i="1"/>
  <c r="S159" i="1" s="1"/>
  <c r="T159" i="1"/>
  <c r="M158" i="1"/>
  <c r="S158" i="1" s="1"/>
  <c r="T158" i="1"/>
  <c r="M157" i="1"/>
  <c r="S157" i="1" s="1"/>
  <c r="T157" i="1"/>
  <c r="M156" i="1"/>
  <c r="S156" i="1" s="1"/>
  <c r="T156" i="1"/>
  <c r="M155" i="1"/>
  <c r="S155" i="1" s="1"/>
  <c r="T155" i="1"/>
  <c r="M154" i="1"/>
  <c r="S154" i="1" s="1"/>
  <c r="T154" i="1"/>
  <c r="M153" i="1"/>
  <c r="S153" i="1" s="1"/>
  <c r="T153" i="1"/>
  <c r="M152" i="1"/>
  <c r="S152" i="1" s="1"/>
  <c r="T152" i="1"/>
  <c r="M151" i="1"/>
  <c r="S151" i="1" s="1"/>
  <c r="T151" i="1"/>
  <c r="M150" i="1"/>
  <c r="S150" i="1" s="1"/>
  <c r="T150" i="1"/>
  <c r="M149" i="1"/>
  <c r="S149" i="1" s="1"/>
  <c r="T149" i="1"/>
  <c r="M148" i="1"/>
  <c r="S148" i="1" s="1"/>
  <c r="T148" i="1"/>
  <c r="M147" i="1"/>
  <c r="S147" i="1" s="1"/>
  <c r="T147" i="1"/>
  <c r="M146" i="1"/>
  <c r="S146" i="1" s="1"/>
  <c r="T146" i="1"/>
  <c r="M145" i="1"/>
  <c r="S145" i="1" s="1"/>
  <c r="T145" i="1"/>
  <c r="M144" i="1"/>
  <c r="S144" i="1" s="1"/>
  <c r="T144" i="1"/>
  <c r="M143" i="1"/>
  <c r="S143" i="1" s="1"/>
  <c r="T143" i="1"/>
  <c r="M142" i="1"/>
  <c r="S142" i="1" s="1"/>
  <c r="T142" i="1"/>
  <c r="M141" i="1"/>
  <c r="S141" i="1" s="1"/>
  <c r="T141" i="1"/>
  <c r="M140" i="1"/>
  <c r="S140" i="1" s="1"/>
  <c r="T140" i="1"/>
  <c r="M139" i="1"/>
  <c r="S139" i="1" s="1"/>
  <c r="T139" i="1"/>
  <c r="M138" i="1"/>
  <c r="S138" i="1" s="1"/>
  <c r="T138" i="1"/>
  <c r="M137" i="1"/>
  <c r="S137" i="1" s="1"/>
  <c r="T137" i="1"/>
  <c r="M136" i="1"/>
  <c r="S136" i="1" s="1"/>
  <c r="T136" i="1"/>
  <c r="M135" i="1"/>
  <c r="S135" i="1" s="1"/>
  <c r="T135" i="1"/>
  <c r="M134" i="1"/>
  <c r="S134" i="1" s="1"/>
  <c r="T134" i="1"/>
  <c r="M133" i="1"/>
  <c r="S133" i="1" s="1"/>
  <c r="T133" i="1"/>
  <c r="M132" i="1"/>
  <c r="S132" i="1" s="1"/>
  <c r="T132" i="1"/>
  <c r="M131" i="1"/>
  <c r="S131" i="1" s="1"/>
  <c r="T131" i="1"/>
  <c r="M130" i="1"/>
  <c r="S130" i="1" s="1"/>
  <c r="T130" i="1"/>
  <c r="M129" i="1"/>
  <c r="S129" i="1" s="1"/>
  <c r="T129" i="1"/>
  <c r="M128" i="1"/>
  <c r="S128" i="1" s="1"/>
  <c r="T128" i="1"/>
  <c r="M127" i="1"/>
  <c r="S127" i="1" s="1"/>
  <c r="T127" i="1"/>
  <c r="M126" i="1"/>
  <c r="S126" i="1" s="1"/>
  <c r="T126" i="1"/>
  <c r="M125" i="1"/>
  <c r="S125" i="1" s="1"/>
  <c r="T125" i="1"/>
  <c r="M124" i="1"/>
  <c r="S124" i="1" s="1"/>
  <c r="T124" i="1"/>
  <c r="M123" i="1"/>
  <c r="S123" i="1" s="1"/>
  <c r="T123" i="1"/>
  <c r="M122" i="1"/>
  <c r="S122" i="1" s="1"/>
  <c r="T122" i="1"/>
  <c r="M121" i="1"/>
  <c r="S121" i="1" s="1"/>
  <c r="T121" i="1"/>
  <c r="M120" i="1"/>
  <c r="S120" i="1" s="1"/>
  <c r="T120" i="1"/>
  <c r="M119" i="1"/>
  <c r="S119" i="1" s="1"/>
  <c r="T119" i="1"/>
  <c r="M118" i="1"/>
  <c r="S118" i="1" s="1"/>
  <c r="T118" i="1"/>
  <c r="M117" i="1"/>
  <c r="S117" i="1" s="1"/>
  <c r="T117" i="1"/>
  <c r="M116" i="1"/>
  <c r="S116" i="1" s="1"/>
  <c r="T116" i="1"/>
  <c r="M115" i="1"/>
  <c r="S115" i="1" s="1"/>
  <c r="T115" i="1"/>
  <c r="M114" i="1"/>
  <c r="S114" i="1" s="1"/>
  <c r="T114" i="1"/>
  <c r="M113" i="1"/>
  <c r="S113" i="1" s="1"/>
  <c r="T113" i="1"/>
  <c r="M112" i="1"/>
  <c r="S112" i="1" s="1"/>
  <c r="T112" i="1"/>
  <c r="M111" i="1"/>
  <c r="S111" i="1" s="1"/>
  <c r="T111" i="1"/>
  <c r="M110" i="1"/>
  <c r="S110" i="1" s="1"/>
  <c r="T110" i="1"/>
  <c r="M109" i="1"/>
  <c r="S109" i="1" s="1"/>
  <c r="T109" i="1"/>
  <c r="M108" i="1"/>
  <c r="S108" i="1" s="1"/>
  <c r="T108" i="1"/>
  <c r="M107" i="1"/>
  <c r="S107" i="1" s="1"/>
  <c r="T107" i="1"/>
  <c r="M106" i="1"/>
  <c r="S106" i="1" s="1"/>
  <c r="T106" i="1"/>
  <c r="M105" i="1"/>
  <c r="S105" i="1" s="1"/>
  <c r="T105" i="1"/>
  <c r="M104" i="1"/>
  <c r="S104" i="1" s="1"/>
  <c r="T104" i="1"/>
  <c r="M103" i="1"/>
  <c r="S103" i="1" s="1"/>
  <c r="T103" i="1"/>
  <c r="M102" i="1"/>
  <c r="S102" i="1" s="1"/>
  <c r="T102" i="1"/>
  <c r="M101" i="1"/>
  <c r="S101" i="1" s="1"/>
  <c r="T101" i="1"/>
  <c r="M100" i="1"/>
  <c r="S100" i="1" s="1"/>
  <c r="T100" i="1"/>
  <c r="M99" i="1"/>
  <c r="S99" i="1" s="1"/>
  <c r="T99" i="1"/>
  <c r="M98" i="1"/>
  <c r="S98" i="1" s="1"/>
  <c r="T98" i="1"/>
  <c r="M97" i="1"/>
  <c r="S97" i="1" s="1"/>
  <c r="T97" i="1"/>
  <c r="M96" i="1"/>
  <c r="S96" i="1" s="1"/>
  <c r="T96" i="1"/>
  <c r="M95" i="1"/>
  <c r="S95" i="1" s="1"/>
  <c r="T95" i="1"/>
  <c r="M94" i="1"/>
  <c r="S94" i="1" s="1"/>
  <c r="T94" i="1"/>
  <c r="M93" i="1"/>
  <c r="S93" i="1" s="1"/>
  <c r="T93" i="1"/>
  <c r="M92" i="1"/>
  <c r="S92" i="1" s="1"/>
  <c r="T92" i="1"/>
  <c r="M91" i="1"/>
  <c r="S91" i="1" s="1"/>
  <c r="T91" i="1"/>
  <c r="M90" i="1"/>
  <c r="S90" i="1" s="1"/>
  <c r="T90" i="1"/>
  <c r="M89" i="1"/>
  <c r="S89" i="1" s="1"/>
  <c r="T89" i="1"/>
  <c r="M88" i="1"/>
  <c r="S88" i="1" s="1"/>
  <c r="T88" i="1"/>
  <c r="M87" i="1"/>
  <c r="S87" i="1" s="1"/>
  <c r="T87" i="1"/>
  <c r="M86" i="1"/>
  <c r="S86" i="1" s="1"/>
  <c r="T86" i="1"/>
  <c r="M85" i="1"/>
  <c r="S85" i="1" s="1"/>
  <c r="T85" i="1"/>
  <c r="M84" i="1"/>
  <c r="S84" i="1" s="1"/>
  <c r="T84" i="1"/>
  <c r="M83" i="1"/>
  <c r="S83" i="1" s="1"/>
  <c r="T83" i="1"/>
  <c r="M82" i="1"/>
  <c r="S82" i="1" s="1"/>
  <c r="T82" i="1"/>
  <c r="M81" i="1"/>
  <c r="S81" i="1" s="1"/>
  <c r="T81" i="1"/>
  <c r="M80" i="1"/>
  <c r="S80" i="1" s="1"/>
  <c r="T80" i="1"/>
  <c r="M79" i="1"/>
  <c r="S79" i="1" s="1"/>
  <c r="T79" i="1"/>
  <c r="M78" i="1"/>
  <c r="S78" i="1" s="1"/>
  <c r="T78" i="1"/>
  <c r="M77" i="1"/>
  <c r="S77" i="1" s="1"/>
  <c r="T77" i="1"/>
  <c r="M76" i="1"/>
  <c r="S76" i="1" s="1"/>
  <c r="T76" i="1"/>
  <c r="M75" i="1"/>
  <c r="S75" i="1" s="1"/>
  <c r="T75" i="1"/>
  <c r="M74" i="1"/>
  <c r="S74" i="1" s="1"/>
  <c r="T74" i="1"/>
  <c r="M73" i="1"/>
  <c r="S73" i="1" s="1"/>
  <c r="T73" i="1"/>
  <c r="M72" i="1"/>
  <c r="S72" i="1" s="1"/>
  <c r="T72" i="1"/>
  <c r="M71" i="1"/>
  <c r="S71" i="1" s="1"/>
  <c r="T71" i="1"/>
  <c r="M70" i="1"/>
  <c r="S70" i="1" s="1"/>
  <c r="T70" i="1"/>
  <c r="M69" i="1"/>
  <c r="S69" i="1" s="1"/>
  <c r="T69" i="1"/>
  <c r="M68" i="1"/>
  <c r="S68" i="1" s="1"/>
  <c r="T68" i="1"/>
  <c r="M67" i="1"/>
  <c r="S67" i="1" s="1"/>
  <c r="T67" i="1"/>
  <c r="M66" i="1"/>
  <c r="S66" i="1" s="1"/>
  <c r="T66" i="1"/>
  <c r="M65" i="1"/>
  <c r="S65" i="1" s="1"/>
  <c r="T65" i="1"/>
  <c r="M64" i="1"/>
  <c r="S64" i="1" s="1"/>
  <c r="T64" i="1"/>
  <c r="M63" i="1"/>
  <c r="S63" i="1" s="1"/>
  <c r="T63" i="1"/>
  <c r="M62" i="1"/>
  <c r="S62" i="1" s="1"/>
  <c r="T62" i="1"/>
  <c r="M61" i="1"/>
  <c r="S61" i="1" s="1"/>
  <c r="T61" i="1"/>
  <c r="M60" i="1"/>
  <c r="S60" i="1" s="1"/>
  <c r="T60" i="1"/>
  <c r="M59" i="1"/>
  <c r="S59" i="1" s="1"/>
  <c r="T59" i="1"/>
  <c r="M58" i="1"/>
  <c r="S58" i="1" s="1"/>
  <c r="T58" i="1"/>
  <c r="M57" i="1"/>
  <c r="S57" i="1" s="1"/>
  <c r="T57" i="1"/>
  <c r="M56" i="1"/>
  <c r="S56" i="1" s="1"/>
  <c r="T56" i="1"/>
  <c r="M55" i="1"/>
  <c r="S55" i="1" s="1"/>
  <c r="T55" i="1"/>
  <c r="M54" i="1"/>
  <c r="S54" i="1" s="1"/>
  <c r="T54" i="1"/>
  <c r="M53" i="1"/>
  <c r="S53" i="1" s="1"/>
  <c r="T53" i="1"/>
  <c r="M52" i="1"/>
  <c r="S52" i="1" s="1"/>
  <c r="T52" i="1"/>
  <c r="M51" i="1"/>
  <c r="S51" i="1" s="1"/>
  <c r="T51" i="1"/>
  <c r="M50" i="1"/>
  <c r="S50" i="1" s="1"/>
  <c r="T50" i="1"/>
  <c r="M49" i="1"/>
  <c r="S49" i="1" s="1"/>
  <c r="T49" i="1"/>
  <c r="M48" i="1"/>
  <c r="S48" i="1" s="1"/>
  <c r="T48" i="1"/>
  <c r="M47" i="1"/>
  <c r="S47" i="1" s="1"/>
  <c r="T47" i="1"/>
  <c r="M46" i="1"/>
  <c r="S46" i="1" s="1"/>
  <c r="T46" i="1"/>
  <c r="M45" i="1"/>
  <c r="S45" i="1" s="1"/>
  <c r="T45" i="1"/>
  <c r="M44" i="1"/>
  <c r="S44" i="1" s="1"/>
  <c r="T44" i="1"/>
  <c r="M43" i="1"/>
  <c r="S43" i="1" s="1"/>
  <c r="T43" i="1"/>
  <c r="M42" i="1"/>
  <c r="S42" i="1" s="1"/>
  <c r="T42" i="1"/>
  <c r="M41" i="1"/>
  <c r="S41" i="1" s="1"/>
  <c r="T41" i="1"/>
  <c r="M40" i="1"/>
  <c r="S40" i="1" s="1"/>
  <c r="T40" i="1"/>
  <c r="M39" i="1"/>
  <c r="S39" i="1" s="1"/>
  <c r="T39" i="1"/>
  <c r="M38" i="1"/>
  <c r="S38" i="1" s="1"/>
  <c r="T38" i="1"/>
  <c r="M37" i="1"/>
  <c r="S37" i="1" s="1"/>
  <c r="T37" i="1"/>
  <c r="M36" i="1"/>
  <c r="S36" i="1" s="1"/>
  <c r="T36" i="1"/>
  <c r="M35" i="1"/>
  <c r="S35" i="1" s="1"/>
  <c r="T35" i="1"/>
  <c r="M34" i="1"/>
  <c r="S34" i="1" s="1"/>
  <c r="T34" i="1"/>
  <c r="M33" i="1"/>
  <c r="S33" i="1" s="1"/>
  <c r="T33" i="1"/>
  <c r="M32" i="1"/>
  <c r="S32" i="1" s="1"/>
  <c r="T32" i="1"/>
  <c r="M31" i="1"/>
  <c r="S31" i="1" s="1"/>
  <c r="T31" i="1"/>
  <c r="M30" i="1"/>
  <c r="S30" i="1" s="1"/>
  <c r="T30" i="1"/>
  <c r="M29" i="1"/>
  <c r="S29" i="1" s="1"/>
  <c r="T29" i="1"/>
  <c r="M28" i="1"/>
  <c r="S28" i="1" s="1"/>
  <c r="T28" i="1"/>
  <c r="M27" i="1"/>
  <c r="S27" i="1" s="1"/>
  <c r="T27" i="1"/>
  <c r="M26" i="1"/>
  <c r="S26" i="1" s="1"/>
  <c r="T26" i="1"/>
  <c r="M25" i="1"/>
  <c r="S25" i="1" s="1"/>
  <c r="T25" i="1"/>
  <c r="M24" i="1"/>
  <c r="S24" i="1" s="1"/>
  <c r="T24" i="1"/>
  <c r="M23" i="1"/>
  <c r="S23" i="1" s="1"/>
  <c r="T23" i="1"/>
  <c r="M22" i="1"/>
  <c r="S22" i="1" s="1"/>
  <c r="T22" i="1"/>
  <c r="M21" i="1"/>
  <c r="S21" i="1" s="1"/>
  <c r="T21" i="1"/>
  <c r="M20" i="1"/>
  <c r="S20" i="1" s="1"/>
  <c r="T20" i="1"/>
  <c r="M19" i="1"/>
  <c r="S19" i="1" s="1"/>
  <c r="T19" i="1"/>
  <c r="M18" i="1"/>
  <c r="S18" i="1" s="1"/>
  <c r="T18" i="1"/>
  <c r="M17" i="1"/>
  <c r="S17" i="1" s="1"/>
  <c r="T17" i="1"/>
  <c r="M16" i="1"/>
  <c r="S16" i="1" s="1"/>
  <c r="T16" i="1"/>
  <c r="M15" i="1"/>
  <c r="S15" i="1" s="1"/>
  <c r="T15" i="1"/>
  <c r="M14" i="1"/>
  <c r="S14" i="1" s="1"/>
  <c r="T14" i="1"/>
  <c r="M13" i="1"/>
  <c r="S13" i="1" s="1"/>
  <c r="T13" i="1"/>
  <c r="M12" i="1"/>
  <c r="T12" i="1"/>
  <c r="M11" i="1"/>
  <c r="S11" i="1" s="1"/>
  <c r="T11" i="1"/>
  <c r="M10" i="1"/>
  <c r="S10" i="1" s="1"/>
  <c r="T10" i="1"/>
  <c r="M9" i="1"/>
  <c r="S9" i="1" s="1"/>
  <c r="T9" i="1"/>
  <c r="M8" i="1"/>
  <c r="S8" i="1" s="1"/>
  <c r="T8" i="1"/>
  <c r="M7" i="1"/>
  <c r="S7" i="1" s="1"/>
  <c r="T7" i="1"/>
  <c r="M6" i="1"/>
  <c r="S6" i="1" s="1"/>
  <c r="T6" i="1"/>
  <c r="M5" i="1"/>
  <c r="S5" i="1" s="1"/>
  <c r="T5" i="1"/>
  <c r="M4" i="1"/>
  <c r="S4" i="1" s="1"/>
  <c r="T4" i="1"/>
  <c r="S12" i="1" l="1"/>
  <c r="M172" i="1"/>
  <c r="S172" i="1" s="1"/>
  <c r="T171" i="1"/>
  <c r="T173" i="1" s="1"/>
  <c r="N173" i="1"/>
  <c r="N174" i="1" s="1"/>
  <c r="M171" i="1"/>
  <c r="T167" i="1"/>
  <c r="S3" i="1"/>
  <c r="M167" i="1"/>
  <c r="T174" i="1" l="1"/>
  <c r="S167" i="1"/>
  <c r="S171" i="1"/>
  <c r="S173" i="1" s="1"/>
  <c r="M173" i="1"/>
  <c r="M174" i="1" s="1"/>
  <c r="S174" i="1" l="1"/>
  <c r="C39" i="2"/>
  <c r="C40" i="2" s="1"/>
</calcChain>
</file>

<file path=xl/sharedStrings.xml><?xml version="1.0" encoding="utf-8"?>
<sst xmlns="http://schemas.openxmlformats.org/spreadsheetml/2006/main" count="3462" uniqueCount="920">
  <si>
    <t>facility_exim_account_num</t>
  </si>
  <si>
    <t>Finance (SAP) Number</t>
  </si>
  <si>
    <t>Type of Financing</t>
  </si>
  <si>
    <t>Borrower name</t>
  </si>
  <si>
    <t>Currency</t>
  </si>
  <si>
    <t>Watchlist (Yes/No)</t>
  </si>
  <si>
    <t>ECL - May 2025</t>
  </si>
  <si>
    <t>Total ECL MYR (C&amp;C)</t>
  </si>
  <si>
    <t>ECL - April 2025</t>
  </si>
  <si>
    <t>Variance</t>
  </si>
  <si>
    <t>Islamic</t>
  </si>
  <si>
    <t xml:space="preserve">AEMULUS CORPORATION SDN BHD </t>
  </si>
  <si>
    <t>MYR</t>
  </si>
  <si>
    <t>No</t>
  </si>
  <si>
    <t xml:space="preserve">AESCOMED HEALTHCARE SDN BHD </t>
  </si>
  <si>
    <t>AGRO 19 BERHAD</t>
  </si>
  <si>
    <t>AGRO 19 INDUSTRIES SDN BHD (FORMERLY KNOWN AS RR INDUSTRIES SDN BHD)</t>
  </si>
  <si>
    <t>AMC CINCARIA SDN. BHD.</t>
  </si>
  <si>
    <t>AMCORP PROPERTIES BERHAD</t>
  </si>
  <si>
    <t>GBP</t>
  </si>
  <si>
    <t>ANN JOO INTEGRATED STEEL SDN BHD</t>
  </si>
  <si>
    <t>ASIA CARGO NETWORK SDN BHD</t>
  </si>
  <si>
    <t>Yes</t>
  </si>
  <si>
    <t>EXIM/ACN/BG/25/009</t>
  </si>
  <si>
    <t>Asia Cargo Network Sdn Bhd\n(WATCHLIST)</t>
  </si>
  <si>
    <t>A-T PRECISION ENGINEERING SDN. BHD.</t>
  </si>
  <si>
    <t>BERTAMBEST SDN. BHD.</t>
  </si>
  <si>
    <t>BHAVANI FOODS (M) SDN BHD</t>
  </si>
  <si>
    <t>BIFORST LOGISTICS SDN. BHD.</t>
  </si>
  <si>
    <t>BIO ENECO SDN BHD</t>
  </si>
  <si>
    <t>BOUSTEAD PETROLEUM MARKETING SDN BHD</t>
  </si>
  <si>
    <t>USD</t>
  </si>
  <si>
    <t>Conventional</t>
  </si>
  <si>
    <t>BUMI ARMADA HOLDINGS LABUAN LIMITED</t>
  </si>
  <si>
    <t>CAHYA MATA PHOSPHATES INDUSTRIES SDN BHD (FORMERLY KNOWN AS MALAYSIAN PHOSPHATE ADDITIVES (SARAWAK) SDN BHD</t>
  </si>
  <si>
    <t>CHOON ENG (SARAWAK)SDN.BHD.</t>
  </si>
  <si>
    <t>CONFAST MOBILE SDN BHD</t>
  </si>
  <si>
    <t>DUTA MARINE SDN. BHD.</t>
  </si>
  <si>
    <t>ENERGY EQUIPMENT TECH SDN. BHD</t>
  </si>
  <si>
    <t>FABULOUS SUNVIEW SDN BHD</t>
  </si>
  <si>
    <t>FATHOPES ENERGY SDN. BHD.</t>
  </si>
  <si>
    <t>FGV CAPITAL SDN BHD</t>
  </si>
  <si>
    <t>GEMILANG COACHWORK SDN. BHD.</t>
  </si>
  <si>
    <t>GLIDE TECHNOLOGY SDN BHD</t>
  </si>
  <si>
    <t>GLOBAL TOWER CORPORATION PTY LTD</t>
  </si>
  <si>
    <t>HELMS GEOMARINE SDN BHD</t>
  </si>
  <si>
    <t>HERNAN CORPORATION SDN BHD</t>
  </si>
  <si>
    <t>HEXTAR GLOBAL BHD</t>
  </si>
  <si>
    <t>HY-FRESH INDUSTRIES SDN. BHD</t>
  </si>
  <si>
    <t>HYRAX OIL SDN BHD</t>
  </si>
  <si>
    <t>IGNIS ENVIRONMENT INITIATIVES SDN. BHD.</t>
  </si>
  <si>
    <t>IMPACT METAL RESOURCES SDN. BHD.</t>
  </si>
  <si>
    <t>INGRESS INDUSTRIAL (MALAYSIA) SDN BHD</t>
  </si>
  <si>
    <t>ISTANBUL SABIHA GOKCEN ULUSLARARASI HAVALIMANI YATIRIM YAPIM ISLETME A.S</t>
  </si>
  <si>
    <t>EUR</t>
  </si>
  <si>
    <t xml:space="preserve">JFC FOOD INDUSTRIES SDN BHD </t>
  </si>
  <si>
    <t>JLAND AUSTRALIA PTY LTD</t>
  </si>
  <si>
    <t>AUD</t>
  </si>
  <si>
    <t>JOYERIA KOHINOOR SDN BHD</t>
  </si>
  <si>
    <t>KIAN JOO CANS DISTRIBUTION SDN BHD</t>
  </si>
  <si>
    <t xml:space="preserve">KLITZ VIBRANT IMPORTED KITCHENS SDN BHD </t>
  </si>
  <si>
    <t>KR TRAVEL &amp; TOURS SDN BHD</t>
  </si>
  <si>
    <t>KYOTO ENERGY VENTURES SDN BHD</t>
  </si>
  <si>
    <t>MAC WORLD INDUSTRIES SDN BHD</t>
  </si>
  <si>
    <t xml:space="preserve">MALAYSIA STEEL WORKS (KL) BERHAD </t>
  </si>
  <si>
    <t>MARINE CREATION SDN. BHD.</t>
  </si>
  <si>
    <t>MASTER SUPPLIERS SDN BHD</t>
  </si>
  <si>
    <t>MEWAH-OILS SDN. BHD.</t>
  </si>
  <si>
    <t>MEWAHOLEO INDUSTRIES SDN BHD</t>
  </si>
  <si>
    <t>MHC COLDSTORAGE SDN BHD</t>
  </si>
  <si>
    <t>MKRS BUMI (M) SDN BHD</t>
  </si>
  <si>
    <t>NAUTILUS TUG &amp; TOWAGE SDN BHD</t>
  </si>
  <si>
    <t xml:space="preserve">NIKMAT MUJUR SDN BHD </t>
  </si>
  <si>
    <t>OCEAN21 OFFSHORE SDN BHD</t>
  </si>
  <si>
    <t>OM MATERIALS (SARAWAK) SDN BHD</t>
  </si>
  <si>
    <t>EXIM/OMS/BG(FG)/24/073</t>
  </si>
  <si>
    <t>OM Materials (Sarawak) Sdn Bhd</t>
  </si>
  <si>
    <t>EXIM/OMS/BG(FG)/24/076</t>
  </si>
  <si>
    <t>EXIM/OMS/BG(FG)/24/072</t>
  </si>
  <si>
    <t>EXIM/OMS/BG(FG)/24/074</t>
  </si>
  <si>
    <t>EXIM/OMS/BG(FG)/24/075</t>
  </si>
  <si>
    <t>EXIM/OMS/BG(FG)/24/071</t>
  </si>
  <si>
    <t>EXIM/OMS/BG(FG)/24/082</t>
  </si>
  <si>
    <t>EXIM/OMS/BG(FG)/25/002</t>
  </si>
  <si>
    <t>EXIM/OMS/BG(FG)/24/086</t>
  </si>
  <si>
    <t>EXIM/OMS/BG(FG)/24/083</t>
  </si>
  <si>
    <t>EXIM/OMS/BG(FG)/24/084</t>
  </si>
  <si>
    <t>EXIM/OMS/BG(FG)/24/085</t>
  </si>
  <si>
    <t>EXIM/PFSB/BG-i/25/011</t>
  </si>
  <si>
    <t>Pertama Ferroalloys Sdn Bhd\n (ISLAMIC FACILITY)</t>
  </si>
  <si>
    <t>PERTAMA FERROALLOYS SDN. BHD.</t>
  </si>
  <si>
    <t>PERUSAHAAN OTOMOBIL NASIONAL SDN. BHD</t>
  </si>
  <si>
    <t>PIPESWAY FURNITURE SDN BHD</t>
  </si>
  <si>
    <t>PROBASE ESWATINI PTY LTD</t>
  </si>
  <si>
    <t xml:space="preserve">PT ENVIROTECH AKVA INDONESIA </t>
  </si>
  <si>
    <t>PTS GOLDKIST INDUSTRIES SDN BHD</t>
  </si>
  <si>
    <t>PUREBLEACH SDN BHD</t>
  </si>
  <si>
    <t>PUSAN FURNITURE INDUSTRIES SDN BHD</t>
  </si>
  <si>
    <t>PWN EXCELLENCE SDN BHD</t>
  </si>
  <si>
    <t>RADYSIS ASIA SDN. BHD.</t>
  </si>
  <si>
    <t>REPUBLIC OF IRAQ</t>
  </si>
  <si>
    <t>REPUBLIC OF SEYCHELLES</t>
  </si>
  <si>
    <t>RIZMAN RUZAINI CREATIONS (M) SDN BHD</t>
  </si>
  <si>
    <t>S P SETIA BERHAD</t>
  </si>
  <si>
    <t>SARAGREEN SDN BHD</t>
  </si>
  <si>
    <t xml:space="preserve">SARAWAK PETCHEM SDN BHD </t>
  </si>
  <si>
    <t>SERI ELBERT (SINGAPORE) PTE. LTD.</t>
  </si>
  <si>
    <t>SERI EMEI (SINGAPORE) PTE. LTD.</t>
  </si>
  <si>
    <t>SERI EMORY (SINGAPORE) PTE. LTD</t>
  </si>
  <si>
    <t>SERI EMPEROR (SINGAPORE) PTE. LTD</t>
  </si>
  <si>
    <t>SERI ERLANG (SINGAPORE) PTE. LTD.</t>
  </si>
  <si>
    <t>SERI EVEREST (SINGAPORE) PTE. LTD.</t>
  </si>
  <si>
    <t>SITI KHADIJAH APPAREL SDN BHD</t>
  </si>
  <si>
    <t>SKY BLUE MEDIA SDN BHD</t>
  </si>
  <si>
    <t>SMH RAIL SDN BHD</t>
  </si>
  <si>
    <t>EXIM/SMH/APB/25/003</t>
  </si>
  <si>
    <t>SMH Rail Sdn Bhd/APB/25/003</t>
  </si>
  <si>
    <t>EXIM/SMH/TNBG/25/013</t>
  </si>
  <si>
    <t>SMH Rail Sdn Bhd/TNBG/25/013</t>
  </si>
  <si>
    <t>EXIM/SMH/TNBG/25/014</t>
  </si>
  <si>
    <t>SMH Rail Sdn Bhd/TNBG/25/014</t>
  </si>
  <si>
    <t>EXIM/SMH/TNBG/25/015</t>
  </si>
  <si>
    <t>SMH Rail Sdn Bhd/TNBG/25/015</t>
  </si>
  <si>
    <t>SMH Rail Sdn Bhd/WBG/25/016</t>
  </si>
  <si>
    <t>SMH Rail Thailand Sdn Bhd</t>
  </si>
  <si>
    <t>SOUTHEAST ASIA FRUITS INDUSTRY SDN BHD</t>
  </si>
  <si>
    <t>SRI DAYAA MANUFACTURING SDN. BHD.</t>
  </si>
  <si>
    <t>TABCO FOOD SERVICES SDN BHD</t>
  </si>
  <si>
    <t>TAIACE ENERGY SERVICES SDN  BHD</t>
  </si>
  <si>
    <t>TERAS BUDI RESOURCES SDN. BHD.</t>
  </si>
  <si>
    <t>THAI AROI RICE VERMICELLI COMPANY LIMITED</t>
  </si>
  <si>
    <t>THE MINISTRY OF FINANCE GOVERNMENT OF LAO PDR</t>
  </si>
  <si>
    <t>TIONG NAM LOGISTICS SOLUTIONS SDN. BHD.</t>
  </si>
  <si>
    <t>TRISTAR GLOBAL SDN. BHD.</t>
  </si>
  <si>
    <t>UB ACRYLIC (M) SDN BHD</t>
  </si>
  <si>
    <t>URBAN PINNACLE SDN. BHD.</t>
  </si>
  <si>
    <t>WELL-BUILT ALLOY INDUSTRIES SDN BHD</t>
  </si>
  <si>
    <t>WHITEX GARMENTS SDN BHD</t>
  </si>
  <si>
    <t>WSA VENTURE AUSTRALIA (M) SDN BHD</t>
  </si>
  <si>
    <t>YH POLYMER SDN. BHD</t>
  </si>
  <si>
    <t>YINSON INTERNATIONAL PTE LTD</t>
  </si>
  <si>
    <t>ZAID IBRAHIM &amp; CO.</t>
  </si>
  <si>
    <t>Total</t>
  </si>
  <si>
    <t>Total stage 1</t>
  </si>
  <si>
    <t>Total stage 2</t>
  </si>
  <si>
    <t xml:space="preserve">Total  </t>
  </si>
  <si>
    <t>Total ECL MYR (LAF)</t>
  </si>
  <si>
    <t>EXIM/SMH/TNBG/25/016</t>
  </si>
  <si>
    <t>P&amp;L movement</t>
  </si>
  <si>
    <t xml:space="preserve">MFRS staging </t>
  </si>
  <si>
    <t>Staging movement</t>
  </si>
  <si>
    <t xml:space="preserve">BS ECL for Loan </t>
  </si>
  <si>
    <t>EXIM (Cost Center: 1061050000)</t>
  </si>
  <si>
    <t>Dr</t>
  </si>
  <si>
    <t>Cr</t>
  </si>
  <si>
    <t>EXIB (Cost Center: 1062050000)</t>
  </si>
  <si>
    <t>diff</t>
  </si>
  <si>
    <t xml:space="preserve"> </t>
  </si>
  <si>
    <t>BS ECL for BG</t>
  </si>
  <si>
    <t>BS ECL for Undrawn Loan</t>
  </si>
  <si>
    <t>Checking :</t>
  </si>
  <si>
    <t>Row Labels</t>
  </si>
  <si>
    <t>Grand Total</t>
  </si>
  <si>
    <t>Sum of ECL - May 20252</t>
  </si>
  <si>
    <t>Sum of Total ECL MYR (LAF)3</t>
  </si>
  <si>
    <t>Sum of Total ECL MYR (C&amp;C)3</t>
  </si>
  <si>
    <t>Undrawn/BG</t>
  </si>
  <si>
    <t>Undrawn</t>
  </si>
  <si>
    <t>BG</t>
  </si>
  <si>
    <t>(BS ECL Stage 1, 05/2025 -Conventional)</t>
  </si>
  <si>
    <t>(BS ECL Stage 2, 05/2025 -Conventional)</t>
  </si>
  <si>
    <t>(BS ECL Stage 1, 05/2025 -Islamic)</t>
  </si>
  <si>
    <t>(BS ECL Stage 2, 05/2025 -Islamic )</t>
  </si>
  <si>
    <t>(BS ECL Stage 1, 05/2025 -Conventional - BG)</t>
  </si>
  <si>
    <t>(BS ECL Stage 2, 05/2025 -Conventional - BG)</t>
  </si>
  <si>
    <t>(BS ECL Stage 1, 05/2025 -Islamic - BG)</t>
  </si>
  <si>
    <t>(BS ECL Stage 2, 05/2025 -Islamic - BG)</t>
  </si>
  <si>
    <t>(BS ECL Stage 1, 05/2025 -Conventional - Undrawn Loan)</t>
  </si>
  <si>
    <t>(BS ECL Stage 2, 05/2025 -Conventional - Undrawn Loan)</t>
  </si>
  <si>
    <t>(BS ECL Stage 1, 05/2025 -Islamic - Undrawn Loan)</t>
  </si>
  <si>
    <t>(BS ECL Stage 2, 05/2025 -Islamic - Undrawn Loan)</t>
  </si>
  <si>
    <t>Sum of ECL - May 2025</t>
  </si>
  <si>
    <t>Sum of Total ECL MYR (LAF)</t>
  </si>
  <si>
    <t>Sum of Total ECL MYR (C&amp;C)</t>
  </si>
  <si>
    <t>Sum of ECL - April 2025</t>
  </si>
  <si>
    <t>Sum of Total ECL MYR (LAF)2</t>
  </si>
  <si>
    <t>Sum of Total ECL MYR (C&amp;C)2</t>
  </si>
  <si>
    <t xml:space="preserve">Conventional </t>
  </si>
  <si>
    <t>Stage 1</t>
  </si>
  <si>
    <t>Stage 2</t>
  </si>
  <si>
    <t>Kuala Lumpur          Ledger 0L                                                                   RFBILA00/RAJMATUL Page           1</t>
  </si>
  <si>
    <t>Company code</t>
  </si>
  <si>
    <t>EXIB</t>
  </si>
  <si>
    <t>Business area</t>
  </si>
  <si>
    <t>****</t>
  </si>
  <si>
    <t>Amounts in</t>
  </si>
  <si>
    <t>C</t>
  </si>
  <si>
    <t>Comp</t>
  </si>
  <si>
    <t>Bus.</t>
  </si>
  <si>
    <t>Texts</t>
  </si>
  <si>
    <t>Reporting period</t>
  </si>
  <si>
    <t>Comparison period</t>
  </si>
  <si>
    <t xml:space="preserve">       Absolute</t>
  </si>
  <si>
    <t xml:space="preserve">   Rel</t>
  </si>
  <si>
    <t>Sumtn</t>
  </si>
  <si>
    <t>F</t>
  </si>
  <si>
    <t>code</t>
  </si>
  <si>
    <t>area</t>
  </si>
  <si>
    <t>(01.2025-05.2025)</t>
  </si>
  <si>
    <t>(01.2025-04.2025)</t>
  </si>
  <si>
    <t xml:space="preserve">     difference</t>
  </si>
  <si>
    <t xml:space="preserve">   dif</t>
  </si>
  <si>
    <t>level</t>
  </si>
  <si>
    <t xml:space="preserve">                               BALANCE SHEET</t>
  </si>
  <si>
    <t xml:space="preserve">                               =============</t>
  </si>
  <si>
    <t>INVESTMENT</t>
  </si>
  <si>
    <t>FVTPL Investment in Shares-PGB</t>
  </si>
  <si>
    <t>Investment in Share-Daya Maritime</t>
  </si>
  <si>
    <t xml:space="preserve">     Quoted Shares</t>
  </si>
  <si>
    <t>*4*</t>
  </si>
  <si>
    <t>CURRENT ASSET</t>
  </si>
  <si>
    <t>Investment CMP i32 AUD -Cost</t>
  </si>
  <si>
    <t>Investment CMP i32AUD-Profit</t>
  </si>
  <si>
    <t>*5*</t>
  </si>
  <si>
    <t>Loans Receivable -Islamic  Financing</t>
  </si>
  <si>
    <t>Contra Valuate-Loan Receive</t>
  </si>
  <si>
    <t>Loans Receivable -Islamic  Financing Pr</t>
  </si>
  <si>
    <t>Contra Valuate-Loan Receive Profit</t>
  </si>
  <si>
    <t>Profit Income Impaired</t>
  </si>
  <si>
    <t>Contra Valuation-Ijarah Profit Receivab</t>
  </si>
  <si>
    <t>Ijarah Profit Receivable (AR)</t>
  </si>
  <si>
    <t>Unearn Profit- Islamic Financing</t>
  </si>
  <si>
    <t>Contra Valuate-Unearn Profit</t>
  </si>
  <si>
    <t>Unearn Profit-Modification gain loss</t>
  </si>
  <si>
    <t>Financing Payable- Islamic Financing</t>
  </si>
  <si>
    <t>Contra Valuate-Financing Payable</t>
  </si>
  <si>
    <t>BIMB-14153010018884</t>
  </si>
  <si>
    <t>BNM - Rentas</t>
  </si>
  <si>
    <t>CIMB Islamic</t>
  </si>
  <si>
    <t>Cash &amp; Bank Balances (RM)</t>
  </si>
  <si>
    <t>Standard Chartered-358203958800</t>
  </si>
  <si>
    <t xml:space="preserve"> Cash &amp; Bank Balances (USD)</t>
  </si>
  <si>
    <t>Investment Tawaruq Cost</t>
  </si>
  <si>
    <t>Investment Tawaruq-Interest</t>
  </si>
  <si>
    <t xml:space="preserve">     Deposits in Financial Institutions (RM)</t>
  </si>
  <si>
    <t>Investment-Tawaruq i96 USD -Cost</t>
  </si>
  <si>
    <t>Investment-Tawaruq C Murabahah i96 USD-</t>
  </si>
  <si>
    <t xml:space="preserve">     Deposits in Financial Institutions(USD)</t>
  </si>
  <si>
    <t>Investment CMP i30EUR-Cost</t>
  </si>
  <si>
    <t>Investment CMP i30EUR-Profit</t>
  </si>
  <si>
    <t xml:space="preserve"> Deposits in Financial Institution-(EUR)</t>
  </si>
  <si>
    <t>Investment CMP i31GBP-Cost</t>
  </si>
  <si>
    <t>Investment CMP i31GBP-Profit</t>
  </si>
  <si>
    <t>Islamic  Instrument  For Sukuk</t>
  </si>
  <si>
    <t>SukukEquity Fund USD</t>
  </si>
  <si>
    <t>Islamic  Instrument  GII</t>
  </si>
  <si>
    <t>Other Financial Instruments</t>
  </si>
  <si>
    <t>AFS-Mark To Market-OFI</t>
  </si>
  <si>
    <t>Other Takaful Fund receivable</t>
  </si>
  <si>
    <t xml:space="preserve">     Trade Debtors-Insurance Premuims</t>
  </si>
  <si>
    <t>IP Asset / IIS</t>
  </si>
  <si>
    <t>IP Asset / Tawidh in Suspense</t>
  </si>
  <si>
    <t>Profit Tawidh Loan Debtors</t>
  </si>
  <si>
    <t>Acc. Receivable-Inv For Sukuk</t>
  </si>
  <si>
    <t>Acc. Receivable Islamic Instrument GII</t>
  </si>
  <si>
    <t xml:space="preserve"> Amortization- For Sukuk Paper</t>
  </si>
  <si>
    <t xml:space="preserve"> Amortization Islamic GII MYR</t>
  </si>
  <si>
    <t xml:space="preserve">     Interest Receivable-Investments (RM)</t>
  </si>
  <si>
    <t>Prepayment Expenses Islamic</t>
  </si>
  <si>
    <t>Deffered Fee Income</t>
  </si>
  <si>
    <t>Accounts Receivable</t>
  </si>
  <si>
    <t>Due from MOF - SIP2</t>
  </si>
  <si>
    <t xml:space="preserve">     Prepayment, Deposit and Other Debtors</t>
  </si>
  <si>
    <t>Other Debtors - Miscellaneous</t>
  </si>
  <si>
    <t>Other Debtors-Loan</t>
  </si>
  <si>
    <t>Contra Valuate-Loans Other Charges</t>
  </si>
  <si>
    <t>Othr Debtor-Processing fees</t>
  </si>
  <si>
    <t>Loan Debtors others</t>
  </si>
  <si>
    <t>Takaful Fund Receivable</t>
  </si>
  <si>
    <t xml:space="preserve">     Takeover Account Year 2006</t>
  </si>
  <si>
    <t>TOTAL CURRENT ASSETS</t>
  </si>
  <si>
    <t>CURRENT LIABILITIES</t>
  </si>
  <si>
    <t>Amount due to EXIM (GST)</t>
  </si>
  <si>
    <t>Accounts Payable - Trade</t>
  </si>
  <si>
    <t>Accounts Payable Trade</t>
  </si>
  <si>
    <t>Accounts Payable - Non Trade</t>
  </si>
  <si>
    <t>Accounts payable-Non Trade</t>
  </si>
  <si>
    <t>Loans Payable</t>
  </si>
  <si>
    <t>Contra-valuate Vendor Loans</t>
  </si>
  <si>
    <t>Profit Payable-HILB-30Mil</t>
  </si>
  <si>
    <t>Profit Payable - OCBC-USD</t>
  </si>
  <si>
    <t>Profit Payable - SMBC-USD</t>
  </si>
  <si>
    <t>Profit  Pay- SFC (RM)</t>
  </si>
  <si>
    <t>Profit  Pay- SFC (AUD</t>
  </si>
  <si>
    <t>Profit  Pay- SFC GBP</t>
  </si>
  <si>
    <t>Profit  Payable-Sinking Fund Client</t>
  </si>
  <si>
    <t>Profit Payable-Paribas- USD</t>
  </si>
  <si>
    <t>Profit Payable-Paribas- GBP</t>
  </si>
  <si>
    <t>Profit  Payable-Hong Leong Bank- AUD</t>
  </si>
  <si>
    <t>Profit Payable-MIZUHO BANK (M) USD50M</t>
  </si>
  <si>
    <t>Profit Payable-SMBC- GBP</t>
  </si>
  <si>
    <t>Profit payable MM Deposit Islamic MYR</t>
  </si>
  <si>
    <t>Amt Due SPV(Profit  Payable-Sukuk)</t>
  </si>
  <si>
    <t xml:space="preserve">     Interest Payable</t>
  </si>
  <si>
    <t>Provision For Individual Allowance</t>
  </si>
  <si>
    <t>ECL Stage 1 Commitment and Contingent</t>
  </si>
  <si>
    <t>Expected Credit Loss Stage 2 -Commitmen</t>
  </si>
  <si>
    <t xml:space="preserve">     Provision for Commitment and Contingent</t>
  </si>
  <si>
    <t>Provision expected Credt Loss Stage 1</t>
  </si>
  <si>
    <t>Provision expected Credt Loss Stage 2</t>
  </si>
  <si>
    <t xml:space="preserve">     Allowance for Doubtful Debts-General</t>
  </si>
  <si>
    <t>Expenses Liability</t>
  </si>
  <si>
    <t xml:space="preserve">     Allowance for Claims-Specific</t>
  </si>
  <si>
    <t>Provision ECL Stage 3 Financial Investm</t>
  </si>
  <si>
    <t>Allowance for Investment Securities</t>
  </si>
  <si>
    <t>SinkingFund/DSRA Islamic</t>
  </si>
  <si>
    <t>Accrued - Expenses</t>
  </si>
  <si>
    <t>Unearned BG Commission</t>
  </si>
  <si>
    <t>Advance Profit-Supplier Credit Islamic</t>
  </si>
  <si>
    <t>Adv Profit-SC Islamic-USD</t>
  </si>
  <si>
    <t>Other Creditors - Miscellaneous</t>
  </si>
  <si>
    <t>Other Creditors- Zakat Distribution</t>
  </si>
  <si>
    <t>GST Output</t>
  </si>
  <si>
    <t>*000.0-</t>
  </si>
  <si>
    <t>Creditors-Istisna-Excess</t>
  </si>
  <si>
    <t>Sinking Fund-Client</t>
  </si>
  <si>
    <t>Sinking Fund- USD</t>
  </si>
  <si>
    <t>Sinking Fund- AUD</t>
  </si>
  <si>
    <t xml:space="preserve">     Accruals and Other Creditors</t>
  </si>
  <si>
    <t>Debts Services Reserve Accts-Client</t>
  </si>
  <si>
    <t>Due to Teraju-profit 50% (Subsidy)</t>
  </si>
  <si>
    <t>Collateral fund- Teraju</t>
  </si>
  <si>
    <t>Charity Fund-Trade Free</t>
  </si>
  <si>
    <t>Osaka 2025 Campaign Fund - Mawaddah</t>
  </si>
  <si>
    <t>IP Liability / IIS</t>
  </si>
  <si>
    <t>IP Liability / Tawidh in Suspense Liabi</t>
  </si>
  <si>
    <t xml:space="preserve">     Interest in Suspense</t>
  </si>
  <si>
    <t>Amount due to Exim</t>
  </si>
  <si>
    <t>Amount due Wakalah Fee</t>
  </si>
  <si>
    <t>Amount due to Exim Loan &amp; Others</t>
  </si>
  <si>
    <t>Amount due Takaful Insurance</t>
  </si>
  <si>
    <t>TOTAL CURRENT LIABILITIES</t>
  </si>
  <si>
    <t>NET WORKING CAPITAL</t>
  </si>
  <si>
    <t>*3*</t>
  </si>
  <si>
    <t>NET TOTAL ASSETS</t>
  </si>
  <si>
    <t>*2*</t>
  </si>
  <si>
    <t>LONG - TERM LIABILITIES</t>
  </si>
  <si>
    <t>MM Deposit Islamic MYR</t>
  </si>
  <si>
    <t>BNM Special Relief Fund (SRF) Program</t>
  </si>
  <si>
    <t>BNM Fund HTG</t>
  </si>
  <si>
    <t>BNM All Economic Sectors (AES) Program</t>
  </si>
  <si>
    <t>MITI-Ekspo 2025 Osaka</t>
  </si>
  <si>
    <t>RC I HLB-AUD</t>
  </si>
  <si>
    <t>AmtDueSPV(Sukuk Payable-USD)</t>
  </si>
  <si>
    <t>AmtDueSPV-Sukuk Premium/Discount-USD</t>
  </si>
  <si>
    <t>RC I OCBC Al Amin-USD</t>
  </si>
  <si>
    <t>RC I BNP Paribas-USD</t>
  </si>
  <si>
    <t>RC I BNP Paribas-GBP</t>
  </si>
  <si>
    <t>RCI-HLIB-USD</t>
  </si>
  <si>
    <t>CMRCI SMBC-USD</t>
  </si>
  <si>
    <t>RC I- MIZUHO BANK (M) USD50M</t>
  </si>
  <si>
    <t>Term Financing SMBC GBP</t>
  </si>
  <si>
    <t>Capitalised TL SCB USD300m</t>
  </si>
  <si>
    <t>Capitalised TFI SMBC 35m</t>
  </si>
  <si>
    <t xml:space="preserve">     Loan from Sumitomo Mitsui Bank</t>
  </si>
  <si>
    <t>TOTAL LONG TERM LIABILITIES</t>
  </si>
  <si>
    <t>SHAREHOLDERS' FUND</t>
  </si>
  <si>
    <t>Funding</t>
  </si>
  <si>
    <t>Islamic Banking Fund</t>
  </si>
  <si>
    <t>AFS Investment Reserve</t>
  </si>
  <si>
    <t>AFS Investment Reserve-deferred tax</t>
  </si>
  <si>
    <t>Retained Earnings</t>
  </si>
  <si>
    <t xml:space="preserve">     Retained earnings</t>
  </si>
  <si>
    <t xml:space="preserve">     Profit for the Period</t>
  </si>
  <si>
    <t>TOTAL SHAREHOLDERS' FUND</t>
  </si>
  <si>
    <t>NET TOTAL LIABILITIES</t>
  </si>
  <si>
    <t>Kuala Lumpur          Ledger 0L                                                                   RFBILA00/RAJMATUL Page           2</t>
  </si>
  <si>
    <t>Profit and Loss Statement</t>
  </si>
  <si>
    <t xml:space="preserve"> = = = = = = = = = = = = =</t>
  </si>
  <si>
    <t>OPERATING INCOME</t>
  </si>
  <si>
    <t>BANKING</t>
  </si>
  <si>
    <t>Profit-Tawidh</t>
  </si>
  <si>
    <t>*7*</t>
  </si>
  <si>
    <t>Cross Border-i</t>
  </si>
  <si>
    <t>Profit Corporate Banking Non Trade</t>
  </si>
  <si>
    <t>Profit SME Banking Non Trade</t>
  </si>
  <si>
    <t>Modification gainloss- Corprte Banking</t>
  </si>
  <si>
    <t>Modification gainloss- SME Banking Non</t>
  </si>
  <si>
    <t>Profit Corporate Banking Trade</t>
  </si>
  <si>
    <t>Profit SME Banking Trade</t>
  </si>
  <si>
    <t>Premium Recognized - Guarantee E</t>
  </si>
  <si>
    <t xml:space="preserve">     Guarantee</t>
  </si>
  <si>
    <t>Total Income - Banking</t>
  </si>
  <si>
    <t>*6*</t>
  </si>
  <si>
    <t>Wakalah Fee-Comprehensive Takaful Ship</t>
  </si>
  <si>
    <t>Wakalah Fee-DCT</t>
  </si>
  <si>
    <t>Net Earned Premuim</t>
  </si>
  <si>
    <t>FEE  INCOME</t>
  </si>
  <si>
    <t>Arrangement Fees</t>
  </si>
  <si>
    <t>Facility Fees -Corporate Banking Non Tr</t>
  </si>
  <si>
    <t>Facility Fees -Corporate Banking Trade</t>
  </si>
  <si>
    <t>Facility Fees -SME Banking Non Trade</t>
  </si>
  <si>
    <t xml:space="preserve">     Cross Border Fees &amp; Others</t>
  </si>
  <si>
    <t>Income others</t>
  </si>
  <si>
    <t xml:space="preserve">     Export Finance Fees &amp; Others</t>
  </si>
  <si>
    <t>Takaful Initial Fees</t>
  </si>
  <si>
    <t>Takaful -Renewal Fees</t>
  </si>
  <si>
    <t xml:space="preserve">     Initial &amp; Renewal Fees</t>
  </si>
  <si>
    <t>Takaful Credit Limit Fees</t>
  </si>
  <si>
    <t xml:space="preserve">     Credit Limit Fees</t>
  </si>
  <si>
    <t>Total Fee Income</t>
  </si>
  <si>
    <t>RECOVERY</t>
  </si>
  <si>
    <t>Profit Recovered NPL</t>
  </si>
  <si>
    <t xml:space="preserve">     Banking</t>
  </si>
  <si>
    <t>Total Recovery Income</t>
  </si>
  <si>
    <t>TOTAL OPERATING INCOME</t>
  </si>
  <si>
    <t>TOTAL OPERATING INCOME AFTER CLAW BACK</t>
  </si>
  <si>
    <t>NON OPERATING INCOME</t>
  </si>
  <si>
    <t>Profit-Inv For Sukuk</t>
  </si>
  <si>
    <t>Profit -Teraju Fund MYR</t>
  </si>
  <si>
    <t>Profit -Fund Client DSRA GBP</t>
  </si>
  <si>
    <t>Profit -Fund Client DSRA MYR</t>
  </si>
  <si>
    <t>Profit -Fund Client DSRA AUD</t>
  </si>
  <si>
    <t>Profit Investment GII MYR</t>
  </si>
  <si>
    <t>Profit-Investment CMP i32 AUD</t>
  </si>
  <si>
    <t>Profit-Investment CMP i30 EUR</t>
  </si>
  <si>
    <t>Profit-Investment CMP i31 GBP</t>
  </si>
  <si>
    <t xml:space="preserve"> Amortizations-Instrument For Sukuk</t>
  </si>
  <si>
    <t>Profit-Others</t>
  </si>
  <si>
    <t>Gain/Loss on Investment in shares- PGB</t>
  </si>
  <si>
    <t>Investment in shares</t>
  </si>
  <si>
    <t>Profit-Rec-Islamic STI-USD</t>
  </si>
  <si>
    <t>Profit-Rec-Commodity Murabahah</t>
  </si>
  <si>
    <t xml:space="preserve">     Short Term Investment - Equity</t>
  </si>
  <si>
    <t>Profit Expense-GBP</t>
  </si>
  <si>
    <t xml:space="preserve">     Other Income</t>
  </si>
  <si>
    <t>TOTAL NON OPERATING INCOME</t>
  </si>
  <si>
    <t>Staff Cost</t>
  </si>
  <si>
    <t>AIF-IBFIM Staff Training Fund</t>
  </si>
  <si>
    <t>Office Refreshment</t>
  </si>
  <si>
    <t>Professional Fees-borrower</t>
  </si>
  <si>
    <t>Bank Charges</t>
  </si>
  <si>
    <t xml:space="preserve">     Administrative Expenses</t>
  </si>
  <si>
    <t>Training</t>
  </si>
  <si>
    <t>Token Payment</t>
  </si>
  <si>
    <t>Shariah Allowance.</t>
  </si>
  <si>
    <t>Rentas Expenses</t>
  </si>
  <si>
    <t>CSR, Donations &amp; Charity Contribution</t>
  </si>
  <si>
    <t>Other Subscription Fee</t>
  </si>
  <si>
    <t>Profit  Expense-USD</t>
  </si>
  <si>
    <t>Profit  Expense-AUD</t>
  </si>
  <si>
    <t>Profit Expense-RCi Maybank Islamic MYR</t>
  </si>
  <si>
    <t>Profit  Exp (SFC)-USD</t>
  </si>
  <si>
    <t>Profit  Exp (SF)-RM</t>
  </si>
  <si>
    <t>Profit  Exp (SFC)-AUD</t>
  </si>
  <si>
    <t>Profit  Exp (SFC)-GBP</t>
  </si>
  <si>
    <t>Profit  Expenses-Teraju</t>
  </si>
  <si>
    <t>BNM AES profit expense</t>
  </si>
  <si>
    <t>Profit Exp MM DepositIslamic MYR</t>
  </si>
  <si>
    <t>Amortisation TFI SMBC</t>
  </si>
  <si>
    <t>Other Financial Charges-Prof Fee</t>
  </si>
  <si>
    <t>SJPP related expenses</t>
  </si>
  <si>
    <t>Accretion/Amortization Premium/Discount</t>
  </si>
  <si>
    <t>Profit Expense -Sukuk (USD)</t>
  </si>
  <si>
    <t xml:space="preserve">     Financial Expenses</t>
  </si>
  <si>
    <t>Unrealized Gain or Loss on Foreign Exch</t>
  </si>
  <si>
    <t>Realized Gain or Loss on Foreign Exchan</t>
  </si>
  <si>
    <t>Advertising, Marketing and Promotion</t>
  </si>
  <si>
    <t xml:space="preserve">     Forex Gain &amp; Loss</t>
  </si>
  <si>
    <t>Realized Forex Gain or Loss on  -Inv</t>
  </si>
  <si>
    <t>Realise Gain-Contract Cust</t>
  </si>
  <si>
    <t>Forex Gain &amp;Loss (Investment)</t>
  </si>
  <si>
    <t>TOTAL ADMINISTRATION &amp; FINANCIAL EXPENSES</t>
  </si>
  <si>
    <t>PROFIT BEFORE ALLOWANCES</t>
  </si>
  <si>
    <t>Allowances for Bad Debts Written Off</t>
  </si>
  <si>
    <t>Expected Credt Loss Stage 3</t>
  </si>
  <si>
    <t xml:space="preserve">     Specific Provision-doubtful debts&amp;claims</t>
  </si>
  <si>
    <t>Expected Credit Loss Stage 1 -Commitmen</t>
  </si>
  <si>
    <t>ECL Commitment &amp; Contingent (Liability)</t>
  </si>
  <si>
    <t>Expected Credt Loss Stage 1</t>
  </si>
  <si>
    <t>Expected Credt Loss Stage 2</t>
  </si>
  <si>
    <t xml:space="preserve">     General Provision-Doubtful Debts, Guar.</t>
  </si>
  <si>
    <t>Total Allowances</t>
  </si>
  <si>
    <t>PROFIT BEFORE TAXATION</t>
  </si>
  <si>
    <t>PROFIT BEFORE DIVIDEND</t>
  </si>
  <si>
    <t>*1*</t>
  </si>
  <si>
    <t>Kuala Lumpur          Ledger 0L                                                                   RFBILA00/RAJMATUL Page           3</t>
  </si>
  <si>
    <t>Income from P+L</t>
  </si>
  <si>
    <t>Kuala Lumpur          Ledger 0L                                                                   RFBILA00/RAJMATUL Page           4</t>
  </si>
  <si>
    <t>Accounts not assigned</t>
  </si>
  <si>
    <t>=====================</t>
  </si>
  <si>
    <t>Amount due from EXIM-conventional (Bank</t>
  </si>
  <si>
    <t>Cumulative profits (Unassigned)</t>
  </si>
  <si>
    <t>Cumulative profits</t>
  </si>
  <si>
    <t>Qard receivables (in EXIM's books)</t>
  </si>
  <si>
    <t>Qard payable (in EXTF's books)</t>
  </si>
  <si>
    <t>Total: accounts not assigned</t>
  </si>
  <si>
    <t>============================</t>
  </si>
  <si>
    <t>Kuala Lumpur           Ledger 0L                                                                  RFBILA00/RAJMATUL Page           5</t>
  </si>
  <si>
    <t>EXIM</t>
  </si>
  <si>
    <t>Right of use asset-Rental Premises</t>
  </si>
  <si>
    <t>Right of use asset-Rental Equipment</t>
  </si>
  <si>
    <t>Renovation</t>
  </si>
  <si>
    <t>Office Equipment</t>
  </si>
  <si>
    <t>Electrical Equipment</t>
  </si>
  <si>
    <t>Furnitures &amp; Fitting</t>
  </si>
  <si>
    <t>Computer</t>
  </si>
  <si>
    <t>Vehicle</t>
  </si>
  <si>
    <t>Low Value Assets</t>
  </si>
  <si>
    <t>Assets Work/Construction in Progress</t>
  </si>
  <si>
    <t>Mobile phones</t>
  </si>
  <si>
    <t>Other computer system and related hardw</t>
  </si>
  <si>
    <t>Intangible Asset -Computer Software</t>
  </si>
  <si>
    <t>Acc. Depre-Renovation</t>
  </si>
  <si>
    <t>Acc. Depre-Office Equipment</t>
  </si>
  <si>
    <t>Acc. Depre-Electrical Equipment</t>
  </si>
  <si>
    <t>Acc. Depre-Furnitures &amp; Fitting</t>
  </si>
  <si>
    <t>Acc. Depre-Computer</t>
  </si>
  <si>
    <t>Acc. Depre-Vehicle</t>
  </si>
  <si>
    <t>Acc. Depre-Low Value Assets</t>
  </si>
  <si>
    <t>Acc. Depre-Mobile phone&amp;computer</t>
  </si>
  <si>
    <t>Acc. Depre-Other Computer system&amp;relate</t>
  </si>
  <si>
    <t>Acc. Depre-Intangible asset computer so</t>
  </si>
  <si>
    <t xml:space="preserve">     Fixed Assets</t>
  </si>
  <si>
    <t>Land FreeHold</t>
  </si>
  <si>
    <t>Building</t>
  </si>
  <si>
    <t>Acc. Depre-Building</t>
  </si>
  <si>
    <t>Impairment Asset</t>
  </si>
  <si>
    <t xml:space="preserve">     Investment Properties</t>
  </si>
  <si>
    <t>Investment in Subsidiary-MECIB</t>
  </si>
  <si>
    <t xml:space="preserve">     Investment Subsidiaries</t>
  </si>
  <si>
    <t>Commercial Bank Of Kuwait</t>
  </si>
  <si>
    <t>Maybank-HKD-8385206169</t>
  </si>
  <si>
    <t>Australia and New Zealand Banking Group</t>
  </si>
  <si>
    <t>Derivative Asset-USD</t>
  </si>
  <si>
    <t>Derivative Asset DVA (USD)</t>
  </si>
  <si>
    <t>Derivative Liability DVA (USD)</t>
  </si>
  <si>
    <t>Derivative Asset CVA (USD)</t>
  </si>
  <si>
    <t>Derivative Liability CVA (USD)</t>
  </si>
  <si>
    <t>Standard Chartered ,London 01271875801</t>
  </si>
  <si>
    <t>Cash and Balance-(GBP)</t>
  </si>
  <si>
    <t>Standard Chartered ,SG-0102310807</t>
  </si>
  <si>
    <t>Cash and Bank Balance-SGD</t>
  </si>
  <si>
    <t>CHAM BANK-0092-978-208701-09500165-001</t>
  </si>
  <si>
    <t>Standard Chartered ,Frankfurt, Germany</t>
  </si>
  <si>
    <t xml:space="preserve">     Cash &amp; Bank Balances-(EUR)</t>
  </si>
  <si>
    <t>CIMB-14310001992058</t>
  </si>
  <si>
    <t>CIMBi-14410000190102</t>
  </si>
  <si>
    <t>CIMB-14310006121059-BIZ CHANNEL</t>
  </si>
  <si>
    <t>CIMB-14310006122051-ADMIN</t>
  </si>
  <si>
    <t>Citibank- 0555171013</t>
  </si>
  <si>
    <t>Petty Cash-Finance</t>
  </si>
  <si>
    <t>Petty Cash-Admin</t>
  </si>
  <si>
    <t>Standard Chartered Bank</t>
  </si>
  <si>
    <t>STI-Money Market</t>
  </si>
  <si>
    <t>STI-USD-MBB Labuan</t>
  </si>
  <si>
    <t>Othr Fin Inst-Equity Fund Reserve iGov</t>
  </si>
  <si>
    <t>Other Financial Instrument-F04- Equity</t>
  </si>
  <si>
    <t>ECR Principal</t>
  </si>
  <si>
    <t>Loans Receivable-Trade Debtors-ECR-PRE</t>
  </si>
  <si>
    <t>Loans Receivable-Trade Debtor-ECR-POST</t>
  </si>
  <si>
    <t xml:space="preserve">     Trade Debtors-Commercial Banks-ECR</t>
  </si>
  <si>
    <t>Insurance Receivable CPS</t>
  </si>
  <si>
    <t>Insurance Receivable DCI</t>
  </si>
  <si>
    <t>Contra Valuate-Loans Principal</t>
  </si>
  <si>
    <t>Loans Receivable -Loans, Advances and F</t>
  </si>
  <si>
    <t xml:space="preserve">     Loans, Advances and Financing</t>
  </si>
  <si>
    <t>Accrued Interest - Loan Debtor</t>
  </si>
  <si>
    <t>Accrued Penalty-Loan debtor</t>
  </si>
  <si>
    <t>Accrued Modification gain loss</t>
  </si>
  <si>
    <t>Interest Income Impaired</t>
  </si>
  <si>
    <t>Contra Valuate-Loans IP Asset</t>
  </si>
  <si>
    <t>Contra Valuate-Loans Accrual</t>
  </si>
  <si>
    <t>Contra Valuate-Loans Penalty</t>
  </si>
  <si>
    <t>Loan Debtors-Acc. Interest ECR</t>
  </si>
  <si>
    <t>ECR Accrued Interest</t>
  </si>
  <si>
    <t>Acc. Int.-Money Market</t>
  </si>
  <si>
    <t>Accrued Interest Eqty Reserve iGov</t>
  </si>
  <si>
    <t>Amortization Equity Fund Reserve iGov-F</t>
  </si>
  <si>
    <t xml:space="preserve"> Amortization-F04-Equity Fund</t>
  </si>
  <si>
    <t>Acc. Int.-F04-Equity Fund</t>
  </si>
  <si>
    <t>Acc. Int.-USD-MBB Labuan</t>
  </si>
  <si>
    <t xml:space="preserve">     Interest Receivable-Investments (USD)</t>
  </si>
  <si>
    <t>Dep.- Telephone</t>
  </si>
  <si>
    <t>Dep.- Office Space</t>
  </si>
  <si>
    <t>Dep.- Electricity</t>
  </si>
  <si>
    <t>Dep.- Others</t>
  </si>
  <si>
    <t>Dep.- Water</t>
  </si>
  <si>
    <t>Corp.Golf Membership</t>
  </si>
  <si>
    <t>Prepayment Expenses</t>
  </si>
  <si>
    <t>Othr Debtor-Trade Fi</t>
  </si>
  <si>
    <t>Othr Debtor-Proc.Fee</t>
  </si>
  <si>
    <t>Due from EXIB</t>
  </si>
  <si>
    <t>Due from EXIB (SST/GST)</t>
  </si>
  <si>
    <t>Due from EXTF (SST/GST)</t>
  </si>
  <si>
    <t>Due from EXIB Loan &amp; Others</t>
  </si>
  <si>
    <t>Due EXIB Takaful Insurance</t>
  </si>
  <si>
    <t>Staff Loan - Housing</t>
  </si>
  <si>
    <t>Staff Loan - Marriage</t>
  </si>
  <si>
    <t>Staff Loan - Study</t>
  </si>
  <si>
    <t>Staff Loan - Computer</t>
  </si>
  <si>
    <t>Excess Medical</t>
  </si>
  <si>
    <t>Advances to Staff</t>
  </si>
  <si>
    <t>Other Charges- Ex Staff</t>
  </si>
  <si>
    <t>Staff Loan - Festival</t>
  </si>
  <si>
    <t>Other Debtors -Loan</t>
  </si>
  <si>
    <t>ECR Processing Fees</t>
  </si>
  <si>
    <t>Contra Valuate-Other Receivables</t>
  </si>
  <si>
    <t>Account Receivables</t>
  </si>
  <si>
    <t>Transfer to EXIB</t>
  </si>
  <si>
    <t>Acc. Inc.-Deri USD</t>
  </si>
  <si>
    <t>Lease Liability-Rental Premises</t>
  </si>
  <si>
    <t>Lease Liability-Rental Equipment</t>
  </si>
  <si>
    <t>Derivative Liability (USD)</t>
  </si>
  <si>
    <t>Contra-valuate Vendor Non Trade</t>
  </si>
  <si>
    <t>Interest Payable -BNP MALAYSIA BERHAD</t>
  </si>
  <si>
    <t>Interest Payable -BNP LABUAN</t>
  </si>
  <si>
    <t>Interest Pay- SF ( USD)</t>
  </si>
  <si>
    <t>Interest Pay- SFC (RM)</t>
  </si>
  <si>
    <t>Interest Pay- SF ( AUD)</t>
  </si>
  <si>
    <t>Interest Payable SFC -GBP</t>
  </si>
  <si>
    <t>Interest Payable-RC ICBC Bank USD</t>
  </si>
  <si>
    <t>Interest Payable - Derivative-USD</t>
  </si>
  <si>
    <t>Interest Payable -Bond-USD</t>
  </si>
  <si>
    <t>Dividend payable-MOF</t>
  </si>
  <si>
    <t>Claims Paid-S.Term</t>
  </si>
  <si>
    <t>Claims Paid-L.Term</t>
  </si>
  <si>
    <t>Accrued Claim - Specific</t>
  </si>
  <si>
    <t>Accrued Claim - General</t>
  </si>
  <si>
    <t xml:space="preserve">     Allowance for Claims-General</t>
  </si>
  <si>
    <t>Allowance for Doubtful Debts</t>
  </si>
  <si>
    <t xml:space="preserve">     Allowance for Bad &amp; Doubtful Debts-Insu</t>
  </si>
  <si>
    <t>Meduim/Long Term - Advance</t>
  </si>
  <si>
    <t>Reinsurance MLT - Advance</t>
  </si>
  <si>
    <t xml:space="preserve">     Advance Premuim Received</t>
  </si>
  <si>
    <t>Allowance for Unearned Premuim 2</t>
  </si>
  <si>
    <t xml:space="preserve">     Allowance for Unearned Premuim</t>
  </si>
  <si>
    <t>Unexpired Risk Reserve</t>
  </si>
  <si>
    <t>GR/IR Clearing Account</t>
  </si>
  <si>
    <t>Accounts Payable - Employee</t>
  </si>
  <si>
    <t>Deposits - Earnest</t>
  </si>
  <si>
    <t>Sinking Fund</t>
  </si>
  <si>
    <t>Security Deposit</t>
  </si>
  <si>
    <t>Sinking Fund-USD</t>
  </si>
  <si>
    <t>Accrued - Telephone &amp; Internet Expense</t>
  </si>
  <si>
    <t>Accrued - Electricity/Water</t>
  </si>
  <si>
    <t>Prov-Audit, Tax and TW</t>
  </si>
  <si>
    <t>Accrued - Other Expenses</t>
  </si>
  <si>
    <t>Accrued - Bonus</t>
  </si>
  <si>
    <t>Advance Interest-Supplier Credit</t>
  </si>
  <si>
    <t>Advance Interest.-MOF Indonesia</t>
  </si>
  <si>
    <t>Upfront interest -CBC</t>
  </si>
  <si>
    <t>Upfront Adv Interest</t>
  </si>
  <si>
    <t>Advance Interest Post - ECR</t>
  </si>
  <si>
    <t>Deposit Receive- Others</t>
  </si>
  <si>
    <t>Suspense Account</t>
  </si>
  <si>
    <t>Suspense Account-FC</t>
  </si>
  <si>
    <t>Rental Deposit</t>
  </si>
  <si>
    <t>Deposit -Others</t>
  </si>
  <si>
    <t>Amount Due to Reinsurer</t>
  </si>
  <si>
    <t>EXIM Sport Club Payable</t>
  </si>
  <si>
    <t>Bank Rakyat Payable</t>
  </si>
  <si>
    <t>Parking Lot Payable</t>
  </si>
  <si>
    <t>Zakat Payable</t>
  </si>
  <si>
    <t>Bank Islam Payable</t>
  </si>
  <si>
    <t>YPEIM Payable</t>
  </si>
  <si>
    <t>Employee Income Tax Payable-I</t>
  </si>
  <si>
    <t>Scholarship Deduction Payable</t>
  </si>
  <si>
    <t>Housing Loan-Subsidiaries Payable</t>
  </si>
  <si>
    <t>EPF Premuim Payable</t>
  </si>
  <si>
    <t>SOCSO Premuim Payable</t>
  </si>
  <si>
    <t>Salary Clearing Account</t>
  </si>
  <si>
    <t>EPF Clearing Account</t>
  </si>
  <si>
    <t>SOCSO Clearing Account</t>
  </si>
  <si>
    <t>Petty Cash Clearing Account</t>
  </si>
  <si>
    <t>CIMB Private Retirement</t>
  </si>
  <si>
    <t>SST/GST Output</t>
  </si>
  <si>
    <t>EIS Clearing Account</t>
  </si>
  <si>
    <t>EIS Premuim Payable</t>
  </si>
  <si>
    <t>IP Liability / IIS (RM)</t>
  </si>
  <si>
    <t>IP Liability - IIS ( Principle)</t>
  </si>
  <si>
    <t>IP Liability/ IIS</t>
  </si>
  <si>
    <t>Due to Subsidiary-MECIB</t>
  </si>
  <si>
    <t xml:space="preserve">     Amount Due to Subsidiary</t>
  </si>
  <si>
    <t>RC ICBC USD</t>
  </si>
  <si>
    <t>Bonds Payable-USD</t>
  </si>
  <si>
    <t>Capitalization Of Bond Cost-USD</t>
  </si>
  <si>
    <t>Bonds Premium/Discount-USD</t>
  </si>
  <si>
    <t>Bond FV - USD</t>
  </si>
  <si>
    <t>Bond FV Accr-USD</t>
  </si>
  <si>
    <t>Capitalization Of Bond Cost T2</t>
  </si>
  <si>
    <t>RC-BNP PARIBAS MSIA (EUR)</t>
  </si>
  <si>
    <t>RC-BNP PARIBAS LABUAN (EUR)</t>
  </si>
  <si>
    <t>Paid-up Capital</t>
  </si>
  <si>
    <t xml:space="preserve">     Paid Up Capital</t>
  </si>
  <si>
    <t>Redeemable convertible cumulative prefe</t>
  </si>
  <si>
    <t>Kuala Lumpur           Ledger 0L                                                                  RFBILA00/RAJMATUL Page           6</t>
  </si>
  <si>
    <t>Interest Income- Corporate Banking NonT</t>
  </si>
  <si>
    <t>Penalty Income-Corporate Banking NonTra</t>
  </si>
  <si>
    <t xml:space="preserve">     Cross Border</t>
  </si>
  <si>
    <t>Interest Income- Corporate Banking Trad</t>
  </si>
  <si>
    <t>Interest Income- SME Banking Trade</t>
  </si>
  <si>
    <t xml:space="preserve">     Export Finance - Supplier Credit</t>
  </si>
  <si>
    <t>Premuim Recognized - Guarantee E</t>
  </si>
  <si>
    <t>Interest Income - Trade Debtors - ECR (</t>
  </si>
  <si>
    <t>Income others-ECR</t>
  </si>
  <si>
    <t xml:space="preserve">     ECR Income</t>
  </si>
  <si>
    <t>INSURANCE-SHORT TERM</t>
  </si>
  <si>
    <t>Premuim-Short Term - CPS (Q)</t>
  </si>
  <si>
    <t xml:space="preserve">     Comprehensive Policy Shipment</t>
  </si>
  <si>
    <t>*8*</t>
  </si>
  <si>
    <t>Total Short Term</t>
  </si>
  <si>
    <t>Premuim-Meduim/Long Term-Overseas Inves</t>
  </si>
  <si>
    <t xml:space="preserve">     Overseas Investment</t>
  </si>
  <si>
    <t>RI Outwards-Medium Long Term</t>
  </si>
  <si>
    <t>Reinsurance Outward.</t>
  </si>
  <si>
    <t xml:space="preserve">    Total  Meduim/Long Term</t>
  </si>
  <si>
    <t>Unearned Premium-MLT</t>
  </si>
  <si>
    <t>UPR-RI MLT</t>
  </si>
  <si>
    <t>Transfer (to) from unearned Premuim Provision</t>
  </si>
  <si>
    <t>Facility Fee -Aset Rehabilitation and R</t>
  </si>
  <si>
    <t>Broken Funding Fee-SME Banking Non Trad</t>
  </si>
  <si>
    <t>Facility Fee-Corporate Banking NonTrade</t>
  </si>
  <si>
    <t>Income others-Non Trade SME Banking</t>
  </si>
  <si>
    <t>Income others-Non Trade Corp Banking</t>
  </si>
  <si>
    <t>Income others-Trade SME Banking</t>
  </si>
  <si>
    <t>Income others-Trade Corp Banking</t>
  </si>
  <si>
    <t>Initial Fees</t>
  </si>
  <si>
    <t>Credit Limit Fees</t>
  </si>
  <si>
    <t>General Insurance Fee</t>
  </si>
  <si>
    <t xml:space="preserve">     Fronting Policies</t>
  </si>
  <si>
    <t>Ceding Commission-Bond</t>
  </si>
  <si>
    <t xml:space="preserve">     Acceptance and Management Fees</t>
  </si>
  <si>
    <t>Income-Recovered(NPL-P)</t>
  </si>
  <si>
    <t>Income - Bad Debts Recovered</t>
  </si>
  <si>
    <t>(Accrued Interest Income-F04-Equity Fun</t>
  </si>
  <si>
    <t>Interest Income Equity Resrve iGov</t>
  </si>
  <si>
    <t>( Accreciation Income-F04-Equity Fund)</t>
  </si>
  <si>
    <t>Amortizatn Income Eqty  Reserve iGov-F1</t>
  </si>
  <si>
    <t>Interest income Deri-USD</t>
  </si>
  <si>
    <t>Income-Money Market</t>
  </si>
  <si>
    <t>Income-STI-Client MYR</t>
  </si>
  <si>
    <t>Income-STI-GBP</t>
  </si>
  <si>
    <t>Income-USD-MBB Labuan</t>
  </si>
  <si>
    <t>Income-STI-EUR</t>
  </si>
  <si>
    <t>Income-STI-AUD</t>
  </si>
  <si>
    <t xml:space="preserve">     Short Term Investment - Offshore</t>
  </si>
  <si>
    <t>Income-STI-Insurance</t>
  </si>
  <si>
    <t>Rental Income - Others</t>
  </si>
  <si>
    <t xml:space="preserve">     Rental</t>
  </si>
  <si>
    <t>Income-Others</t>
  </si>
  <si>
    <t>Income-Payment in Lieu</t>
  </si>
  <si>
    <t>Income-Housing Loan</t>
  </si>
  <si>
    <t>Derivatives(USD)</t>
  </si>
  <si>
    <t>Income-Computer Loan</t>
  </si>
  <si>
    <t>Income- Building Parking</t>
  </si>
  <si>
    <t>Derivative DVACVA Adjustment -USD</t>
  </si>
  <si>
    <t>Fair Value of MTN USD</t>
  </si>
  <si>
    <t>Int Expense-Derivative (USD)</t>
  </si>
  <si>
    <t>Bond FV Amortization-USD</t>
  </si>
  <si>
    <t>Amortization-Capital Cost Bond</t>
  </si>
  <si>
    <t>Training Fund -HRDF</t>
  </si>
  <si>
    <t>Salaries and Wages</t>
  </si>
  <si>
    <t>Employee Provident Fund</t>
  </si>
  <si>
    <t>SOCSO</t>
  </si>
  <si>
    <t>Bonus</t>
  </si>
  <si>
    <t>Banking Allowance</t>
  </si>
  <si>
    <t>Laundry Allowance Local/Overseas</t>
  </si>
  <si>
    <t>Meal Allowance</t>
  </si>
  <si>
    <t>Acting Allowance</t>
  </si>
  <si>
    <t>Overtime Pay</t>
  </si>
  <si>
    <t>Ex-Gratia</t>
  </si>
  <si>
    <t>Car Allowance</t>
  </si>
  <si>
    <t>Mobile Allowance</t>
  </si>
  <si>
    <t>Petrol Allowance</t>
  </si>
  <si>
    <t>Training Related Expenses</t>
  </si>
  <si>
    <t>Medical-Clinic</t>
  </si>
  <si>
    <t>Housing Interest Subsidy</t>
  </si>
  <si>
    <t>Corporate Club Allowance</t>
  </si>
  <si>
    <t>Compensation for Loss of  Employment.</t>
  </si>
  <si>
    <t>Third party Administrator for medical b</t>
  </si>
  <si>
    <t>In Lieu</t>
  </si>
  <si>
    <t>Professional Membership Fee</t>
  </si>
  <si>
    <t>Medical-Specialist/Non-Hospitalise</t>
  </si>
  <si>
    <t>Medical-Hospitalization</t>
  </si>
  <si>
    <t>Medical-Maternity</t>
  </si>
  <si>
    <t>Car Loan  Interest Subsidy</t>
  </si>
  <si>
    <t>Staff Relation Expenses</t>
  </si>
  <si>
    <t>Staff  Welfare &amp; Benefits</t>
  </si>
  <si>
    <t>Encashment of Annual Leave</t>
  </si>
  <si>
    <t>Staff Training Fund - AICB (Fka IBBM)</t>
  </si>
  <si>
    <t>Recruitment Expenses</t>
  </si>
  <si>
    <t>EIS -Employee Insurance Scheme</t>
  </si>
  <si>
    <t>Staff Uniform</t>
  </si>
  <si>
    <t>Handphone Subsidy - Allowance</t>
  </si>
  <si>
    <t>Winter Clothing Allowance</t>
  </si>
  <si>
    <t>Spectacles Expenses</t>
  </si>
  <si>
    <t>Dental Expenses</t>
  </si>
  <si>
    <t>Directors' Allowance</t>
  </si>
  <si>
    <t>Employee Entertainment Allowance</t>
  </si>
  <si>
    <t>Directors Car Allowance</t>
  </si>
  <si>
    <t>Engagement Allowance</t>
  </si>
  <si>
    <t>Travelling-Local</t>
  </si>
  <si>
    <t>Parking Fees</t>
  </si>
  <si>
    <t>Travelling-overseas</t>
  </si>
  <si>
    <t>Training-overseas</t>
  </si>
  <si>
    <t>Air Ticket -Oversea</t>
  </si>
  <si>
    <t>Hotel Accomodation (Overseas)</t>
  </si>
  <si>
    <t>Airport Tax</t>
  </si>
  <si>
    <t>Subsistence Allowance-Outside Malaysia</t>
  </si>
  <si>
    <t>Subsistence Allowance-East Malaysia</t>
  </si>
  <si>
    <t>Taxi Local for Overseas Travelling</t>
  </si>
  <si>
    <t>Hotel Accomodation (Local)</t>
  </si>
  <si>
    <t>Stationaries</t>
  </si>
  <si>
    <t>Rent Expense - Equipment</t>
  </si>
  <si>
    <t>Electricity</t>
  </si>
  <si>
    <t>Water</t>
  </si>
  <si>
    <t>Telephone</t>
  </si>
  <si>
    <t>Postage/Courier</t>
  </si>
  <si>
    <t>Corporate Subscription / Membership Fee</t>
  </si>
  <si>
    <t>Status Information Report</t>
  </si>
  <si>
    <t>Advertising, Marketing &amp; Promotion</t>
  </si>
  <si>
    <t>Internet Access</t>
  </si>
  <si>
    <t>Professional Fees-Others</t>
  </si>
  <si>
    <t>Audit Fees</t>
  </si>
  <si>
    <t>Swift charges</t>
  </si>
  <si>
    <t>Subscription Risk Rating Fees</t>
  </si>
  <si>
    <t>Tax Agent  Fees</t>
  </si>
  <si>
    <t>Motor Vehicle - Other Expense</t>
  </si>
  <si>
    <t>Motor Vehicle - Petrol</t>
  </si>
  <si>
    <t>Motor Vehicle - Road Tax</t>
  </si>
  <si>
    <t>Motor Vehicle - Insurance</t>
  </si>
  <si>
    <t>Motor Vehicle - Maintainance</t>
  </si>
  <si>
    <t>Office Maintenance</t>
  </si>
  <si>
    <t>Computer Maintenance</t>
  </si>
  <si>
    <t>Equipment Maintenance</t>
  </si>
  <si>
    <t>Building Maintenance</t>
  </si>
  <si>
    <t>Disaster Recovery</t>
  </si>
  <si>
    <t>IT subscription expenses (ROU)</t>
  </si>
  <si>
    <t>Quit Rent &amp; Assessment</t>
  </si>
  <si>
    <t>Filing Fees</t>
  </si>
  <si>
    <t>Stamp Duty</t>
  </si>
  <si>
    <t>Insurance-Fire/Consequential</t>
  </si>
  <si>
    <t>Insurance-Hospital</t>
  </si>
  <si>
    <t>Insurance-Public/FIPI Prof Indemnity</t>
  </si>
  <si>
    <t>Insurance-Computer/Cyber/IT</t>
  </si>
  <si>
    <t>Insurance - Office</t>
  </si>
  <si>
    <t>Miscellaneous Office Expenses</t>
  </si>
  <si>
    <t>Miscellaneous - Group</t>
  </si>
  <si>
    <t>Meeting(staff)</t>
  </si>
  <si>
    <t>Depreciation Expense</t>
  </si>
  <si>
    <t>Depreciation-Rental Premises</t>
  </si>
  <si>
    <t>Depreciation-Rental Equipment</t>
  </si>
  <si>
    <t>Air Ticket -Local</t>
  </si>
  <si>
    <t>Printing</t>
  </si>
  <si>
    <t>Building Securities</t>
  </si>
  <si>
    <t>Branch Office Expenses</t>
  </si>
  <si>
    <t>Club Membership Fee</t>
  </si>
  <si>
    <t>Marketing, Exhibition and Roadshow</t>
  </si>
  <si>
    <t>Staff Activities</t>
  </si>
  <si>
    <t>Sponsorship</t>
  </si>
  <si>
    <t>Interest Expense-USD</t>
  </si>
  <si>
    <t>Interest Expense-EUR</t>
  </si>
  <si>
    <t>Interest Exp (SFC)-USD</t>
  </si>
  <si>
    <t>Interest Exp (SF)-RM</t>
  </si>
  <si>
    <t>Bloomberg</t>
  </si>
  <si>
    <t>Accreation/Amortization Premium/Discoun</t>
  </si>
  <si>
    <t>Interest Expense -Bond (USD)</t>
  </si>
  <si>
    <t>Unwinding Interest-rental premises</t>
  </si>
  <si>
    <t>Unwinding Interest-rental equipment</t>
  </si>
  <si>
    <t>Forex- Realise Gain /Loss Spot</t>
  </si>
  <si>
    <t>Realise -Contract -Customer</t>
  </si>
  <si>
    <t>Forex -HR</t>
  </si>
  <si>
    <t>Expected Credit Loss Stage 3 -Commitmen</t>
  </si>
  <si>
    <t>Claim - Provision General</t>
  </si>
  <si>
    <t>Bad &amp; Doubtful Debts-General Insurance</t>
  </si>
  <si>
    <t>Dividend Expense MOF -RCCPS (SOCE)</t>
  </si>
  <si>
    <t>Dividend</t>
  </si>
  <si>
    <t>Kuala Lumpur           Ledger 0L                                                                  RFBILA00/RAJMATUL Page           7</t>
  </si>
  <si>
    <t>Kuala Lumpur           Ledger 0L                                                                  RFBILA00/RAJMATUL Page           8</t>
  </si>
  <si>
    <t>B1.05.01.15750 - RI.LRCPAALC.Loss Recov</t>
  </si>
  <si>
    <t>B1.05.02.10500 - RI.LRCEx.PVFCF</t>
  </si>
  <si>
    <t>B1.05.02.20750 - RI.LRCEx.RA</t>
  </si>
  <si>
    <t>RI.LRCEx.CSM (inc the loss rcvry adj)</t>
  </si>
  <si>
    <t>B1.05.02.35100 - RI.LRCEx.Loss rcvry co</t>
  </si>
  <si>
    <t>B1.05.02.37400 - RI.LRCLC. Loss Recover</t>
  </si>
  <si>
    <t>STI-Insurance</t>
  </si>
  <si>
    <t>Accrued Interest-Insurance</t>
  </si>
  <si>
    <t>Transfer to Islamic banking business</t>
  </si>
  <si>
    <t>Amount due to EXTF/from EXTF</t>
  </si>
  <si>
    <t>Other receivables</t>
  </si>
  <si>
    <t>B1.05.02.47250 - RI.LIC.PVFCF</t>
  </si>
  <si>
    <t>B1.05.02.53250 - RI.LIC.RA</t>
  </si>
  <si>
    <t>B1.06.12 - Control_Other</t>
  </si>
  <si>
    <t>LRCPAAEx.LRC Excluding allwnc for Loss</t>
  </si>
  <si>
    <t>Other payable - MFRS17</t>
  </si>
  <si>
    <t>Unexpired risk reserve</t>
  </si>
  <si>
    <t>B2.02.01.20500 - LICPAA.PVFCF</t>
  </si>
  <si>
    <t>B2.02.01.26250 - LICPAA.RA</t>
  </si>
  <si>
    <t>B2.02.02.10500 - LRCEx.PVFCF</t>
  </si>
  <si>
    <t>B2.02.02.23750 - LRCEx.RA</t>
  </si>
  <si>
    <t>B2.02.02.40750 - LRCLC.PVFCF</t>
  </si>
  <si>
    <t>B2.02.02.50250 - LRCLC.RA</t>
  </si>
  <si>
    <t>B2.02.02.55750 - LIC.PVFCF</t>
  </si>
  <si>
    <t>B2.02.02.62500 - LIC.RA</t>
  </si>
  <si>
    <t>Accrued claim- General</t>
  </si>
  <si>
    <t>Allowance for doubtful debts</t>
  </si>
  <si>
    <t>check</t>
  </si>
  <si>
    <t>GL</t>
  </si>
  <si>
    <t>As at May-2025</t>
  </si>
  <si>
    <t>Column Labels</t>
  </si>
  <si>
    <t>As at April-2025</t>
  </si>
  <si>
    <t>JV no.</t>
  </si>
  <si>
    <t>ECL LAF</t>
  </si>
  <si>
    <t>ECL C&amp;C</t>
  </si>
  <si>
    <t>(BS ECL Stage 1&amp;2, 05/2025 -Islamic - reclassification)</t>
  </si>
  <si>
    <t>(BS ECL Stage 1&amp;2, 05/2025 -Conventional-reclassification)</t>
  </si>
  <si>
    <t>EXIM Islamic Banking                        Export-Import Bank FS Version 2                       Time 13:49:20     Date  09.06.2025</t>
  </si>
  <si>
    <t>EXIM Bank of Malaysia                       Export-Import Bank FS Version 2                       Time 13:49:20     Date  09.06.2025</t>
  </si>
  <si>
    <t>facility_exim_account_num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</si>
</sst>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#,##0.000000000_ ;[Red]\-#,##0.000000000\ "/>
    <numFmt numFmtId="166" formatCode="_(* #,##0_);_(* \(#,##0\);_(* &quot;-&quot;??_);_(@_)"/>
    <numFmt numFmtId="167" formatCode="_-* #,##0_-;\-* #,##0_-;_-* &quot;-&quot;??_-;_-@_-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10"/>
      <name val="Aptos Narrow"/>
      <family val="2"/>
      <scheme val="minor"/>
    </font>
    <font>
      <b/>
      <u/>
      <sz val="11"/>
      <name val="Aptos Narrow"/>
      <family val="2"/>
      <scheme val="minor"/>
    </font>
    <font>
      <i/>
      <sz val="11"/>
      <name val="Aptos Narrow"/>
      <family val="2"/>
      <scheme val="minor"/>
    </font>
    <font>
      <i/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1"/>
      <color rgb="FF00B0F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5">
    <xf numFmtId="0" fontId="0" fillId="0" borderId="0" xfId="0"/>
    <xf numFmtId="0" fontId="4" fillId="2" borderId="0" xfId="0" applyFont="1" applyFill="1"/>
    <xf numFmtId="0" fontId="4" fillId="2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43" fontId="4" fillId="2" borderId="0" xfId="1" applyFont="1" applyFill="1"/>
    <xf numFmtId="43" fontId="4" fillId="2" borderId="0" xfId="0" applyNumberFormat="1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43" fontId="3" fillId="2" borderId="1" xfId="1" applyFont="1" applyFill="1" applyBorder="1"/>
    <xf numFmtId="43" fontId="3" fillId="2" borderId="1" xfId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3" fontId="4" fillId="2" borderId="0" xfId="1" applyFont="1" applyFill="1" applyAlignment="1">
      <alignment horizontal="center"/>
    </xf>
    <xf numFmtId="43" fontId="3" fillId="2" borderId="0" xfId="1" applyFont="1" applyFill="1" applyAlignment="1">
      <alignment horizontal="center"/>
    </xf>
    <xf numFmtId="43" fontId="3" fillId="2" borderId="2" xfId="1" applyFont="1" applyFill="1" applyBorder="1" applyAlignment="1">
      <alignment horizontal="center"/>
    </xf>
    <xf numFmtId="43" fontId="3" fillId="2" borderId="3" xfId="1" applyFont="1" applyFill="1" applyBorder="1"/>
    <xf numFmtId="43" fontId="3" fillId="3" borderId="7" xfId="1" applyFont="1" applyFill="1" applyBorder="1" applyAlignment="1">
      <alignment horizontal="center" vertical="top"/>
    </xf>
    <xf numFmtId="43" fontId="3" fillId="3" borderId="4" xfId="1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top"/>
    </xf>
    <xf numFmtId="0" fontId="3" fillId="3" borderId="8" xfId="0" applyFont="1" applyFill="1" applyBorder="1" applyAlignment="1">
      <alignment horizontal="center" vertical="top"/>
    </xf>
    <xf numFmtId="17" fontId="4" fillId="2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top"/>
    </xf>
    <xf numFmtId="0" fontId="3" fillId="3" borderId="7" xfId="0" applyFont="1" applyFill="1" applyBorder="1" applyAlignment="1">
      <alignment horizontal="center" vertical="top"/>
    </xf>
    <xf numFmtId="0" fontId="2" fillId="4" borderId="3" xfId="0" applyFont="1" applyFill="1" applyBorder="1" applyAlignment="1">
      <alignment horizontal="center"/>
    </xf>
    <xf numFmtId="0" fontId="6" fillId="5" borderId="0" xfId="0" applyFont="1" applyFill="1"/>
    <xf numFmtId="0" fontId="4" fillId="5" borderId="0" xfId="0" applyFont="1" applyFill="1"/>
    <xf numFmtId="0" fontId="4" fillId="0" borderId="0" xfId="0" applyFont="1"/>
    <xf numFmtId="0" fontId="2" fillId="0" borderId="0" xfId="0" applyFont="1"/>
    <xf numFmtId="164" fontId="2" fillId="0" borderId="0" xfId="2" applyFont="1"/>
    <xf numFmtId="0" fontId="4" fillId="5" borderId="0" xfId="0" quotePrefix="1" applyFont="1" applyFill="1"/>
    <xf numFmtId="0" fontId="4" fillId="5" borderId="0" xfId="0" applyFont="1" applyFill="1" applyAlignment="1">
      <alignment horizontal="center"/>
    </xf>
    <xf numFmtId="164" fontId="4" fillId="6" borderId="0" xfId="2" applyFont="1" applyFill="1"/>
    <xf numFmtId="0" fontId="7" fillId="5" borderId="0" xfId="0" applyFont="1" applyFill="1"/>
    <xf numFmtId="0" fontId="2" fillId="5" borderId="0" xfId="0" applyFont="1" applyFill="1"/>
    <xf numFmtId="164" fontId="4" fillId="0" borderId="0" xfId="2" applyFont="1"/>
    <xf numFmtId="0" fontId="6" fillId="7" borderId="0" xfId="0" applyFont="1" applyFill="1"/>
    <xf numFmtId="0" fontId="4" fillId="7" borderId="0" xfId="0" applyFont="1" applyFill="1"/>
    <xf numFmtId="0" fontId="4" fillId="7" borderId="0" xfId="0" applyFont="1" applyFill="1" applyAlignment="1">
      <alignment horizontal="center"/>
    </xf>
    <xf numFmtId="165" fontId="4" fillId="0" borderId="0" xfId="0" applyNumberFormat="1" applyFont="1"/>
    <xf numFmtId="0" fontId="7" fillId="7" borderId="0" xfId="0" applyFont="1" applyFill="1"/>
    <xf numFmtId="0" fontId="2" fillId="7" borderId="0" xfId="0" applyFont="1" applyFill="1"/>
    <xf numFmtId="40" fontId="4" fillId="7" borderId="0" xfId="0" applyNumberFormat="1" applyFont="1" applyFill="1"/>
    <xf numFmtId="0" fontId="2" fillId="5" borderId="0" xfId="0" applyFont="1" applyFill="1" applyAlignment="1">
      <alignment horizontal="center"/>
    </xf>
    <xf numFmtId="0" fontId="8" fillId="5" borderId="0" xfId="0" applyFont="1" applyFill="1"/>
    <xf numFmtId="164" fontId="4" fillId="4" borderId="0" xfId="2" applyFont="1" applyFill="1"/>
    <xf numFmtId="0" fontId="4" fillId="4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4" fontId="0" fillId="0" borderId="0" xfId="0" applyNumberFormat="1"/>
    <xf numFmtId="0" fontId="0" fillId="0" borderId="0" xfId="0" applyAlignment="1">
      <alignment horizontal="left" indent="1"/>
    </xf>
    <xf numFmtId="164" fontId="4" fillId="2" borderId="3" xfId="1" applyNumberFormat="1" applyFont="1" applyFill="1" applyBorder="1" applyAlignment="1">
      <alignment horizontal="center"/>
    </xf>
    <xf numFmtId="164" fontId="4" fillId="2" borderId="3" xfId="1" applyNumberFormat="1" applyFont="1" applyFill="1" applyBorder="1"/>
    <xf numFmtId="164" fontId="4" fillId="2" borderId="3" xfId="0" applyNumberFormat="1" applyFont="1" applyFill="1" applyBorder="1"/>
    <xf numFmtId="164" fontId="4" fillId="2" borderId="1" xfId="1" applyNumberFormat="1" applyFont="1" applyFill="1" applyBorder="1" applyAlignment="1">
      <alignment horizontal="center"/>
    </xf>
    <xf numFmtId="164" fontId="4" fillId="2" borderId="1" xfId="1" applyNumberFormat="1" applyFont="1" applyFill="1" applyBorder="1"/>
    <xf numFmtId="164" fontId="4" fillId="2" borderId="1" xfId="0" applyNumberFormat="1" applyFont="1" applyFill="1" applyBorder="1"/>
    <xf numFmtId="164" fontId="5" fillId="2" borderId="1" xfId="1" applyNumberFormat="1" applyFont="1" applyFill="1" applyBorder="1" applyAlignment="1" applyProtection="1">
      <alignment horizontal="center" vertical="center"/>
    </xf>
    <xf numFmtId="0" fontId="3" fillId="2" borderId="0" xfId="0" applyFont="1" applyFill="1" applyAlignment="1">
      <alignment horizontal="center"/>
    </xf>
    <xf numFmtId="43" fontId="3" fillId="2" borderId="0" xfId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64" fontId="10" fillId="0" borderId="0" xfId="0" applyNumberFormat="1" applyFont="1"/>
    <xf numFmtId="0" fontId="10" fillId="0" borderId="0" xfId="0" applyFont="1"/>
    <xf numFmtId="43" fontId="8" fillId="2" borderId="0" xfId="1" applyFont="1" applyFill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164" fontId="0" fillId="0" borderId="0" xfId="0" applyNumberFormat="1"/>
    <xf numFmtId="164" fontId="4" fillId="2" borderId="0" xfId="0" applyNumberFormat="1" applyFont="1" applyFill="1"/>
    <xf numFmtId="166" fontId="8" fillId="2" borderId="0" xfId="0" applyNumberFormat="1" applyFont="1" applyFill="1"/>
    <xf numFmtId="166" fontId="8" fillId="2" borderId="0" xfId="0" applyNumberFormat="1" applyFont="1" applyFill="1" applyAlignment="1">
      <alignment horizontal="right"/>
    </xf>
    <xf numFmtId="40" fontId="2" fillId="8" borderId="0" xfId="0" applyNumberFormat="1" applyFont="1" applyFill="1"/>
    <xf numFmtId="40" fontId="4" fillId="8" borderId="0" xfId="0" applyNumberFormat="1" applyFont="1" applyFill="1"/>
    <xf numFmtId="40" fontId="2" fillId="4" borderId="0" xfId="0" applyNumberFormat="1" applyFont="1" applyFill="1"/>
    <xf numFmtId="167" fontId="8" fillId="2" borderId="0" xfId="1" applyNumberFormat="1" applyFont="1" applyFill="1" applyAlignment="1">
      <alignment horizontal="center"/>
    </xf>
    <xf numFmtId="167" fontId="8" fillId="0" borderId="0" xfId="0" applyNumberFormat="1" applyFont="1"/>
    <xf numFmtId="1" fontId="4" fillId="2" borderId="1" xfId="0" applyNumberFormat="1" applyFont="1" applyFill="1" applyBorder="1"/>
    <xf numFmtId="1" fontId="4" fillId="2" borderId="1" xfId="0" quotePrefix="1" applyNumberFormat="1" applyFont="1" applyFill="1" applyBorder="1"/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7" fontId="3" fillId="2" borderId="1" xfId="1" applyNumberFormat="1" applyFont="1" applyFill="1" applyBorder="1" applyAlignment="1">
      <alignment horizontal="center" vertical="center"/>
    </xf>
    <xf numFmtId="17" fontId="3" fillId="2" borderId="1" xfId="0" applyNumberFormat="1" applyFont="1" applyFill="1" applyBorder="1" applyAlignment="1">
      <alignment horizontal="center" vertical="center"/>
    </xf>
    <xf numFmtId="0" fontId="4" fillId="2" borderId="0" xfId="0" applyNumberFormat="1" applyFont="1" applyFill="1"/>
    <xf numFmtId="0" fontId="4" fillId="2" borderId="1" xfId="0" applyNumberFormat="1" applyFont="1" applyFill="1" applyBorder="1"/>
  </cellXfs>
  <cellStyles count="3">
    <cellStyle name="Comma" xfId="1" builtinId="3"/>
    <cellStyle name="Comma 2" xfId="2" xr:uid="{D690C894-071A-4853-9D2A-888B8D61F94D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C:\Users\azrilazhari\Downloads\ECL%20PNL%20%20202502.xlsx" TargetMode="External"/><Relationship Id="rId2" Type="http://schemas.microsoft.com/office/2019/04/relationships/externalLinkLongPath" Target="https://mexim.sharepoint.com/sites/Division-FinanceandOperations/Shared%20Documents/Dept%20-%20Finance%20and%20Accounting/Dept%20-%20Finance%20and%20Reporting/FAIR/01.%20ACC%20OPS%20-%20OTHER/RECONCILIATION/List%20of%20Recon/2025/02%20Feb%202025/ECL%20Stage%201&amp;2/ECL%20PNL%20%20202502.xlsx?37C0F613" TargetMode="External"/><Relationship Id="rId1" Type="http://schemas.openxmlformats.org/officeDocument/2006/relationships/externalLinkPath" Target="file:///\\37C0F613\ECL%20PNL%20%2020250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jmatulain\AppData\Local\Microsoft\Windows\INetCache\Content.Outlook\WOKZ290T\ECL%20S1%20S2%20FAD%20review%207.6.2025%20(002).xlsx" TargetMode="External"/><Relationship Id="rId1" Type="http://schemas.openxmlformats.org/officeDocument/2006/relationships/externalLinkPath" Target="file:///C:\Users\rajmatulain\AppData\Local\Microsoft\Windows\INetCache\Content.Outlook\WOKZ290T\ECL%20S1%20S2%20FAD%20review%207.6.2025%20(002)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jmatulain\AppData\Local\Microsoft\Windows\INetCache\Content.Outlook\WOKZ290T\ECL%20CC_May%202025.xlsx" TargetMode="External"/><Relationship Id="rId1" Type="http://schemas.openxmlformats.org/officeDocument/2006/relationships/externalLinkPath" Target="file:///C:\Users\rajmatulain\AppData\Local\Microsoft\Windows\INetCache\Content.Outlook\WOKZ290T\ECL%20CC_May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JVBS202211"/>
      <sheetName val="workjv202211"/>
      <sheetName val="ECL PNL202211"/>
      <sheetName val="ECL YTD202211"/>
      <sheetName val="working202211"/>
      <sheetName val="YTDworking202211"/>
      <sheetName val="ECL PNL202212"/>
      <sheetName val="ECL YTD202212"/>
      <sheetName val="working202212"/>
      <sheetName val="YTDworking202212"/>
      <sheetName val="JVBS202212"/>
      <sheetName val="workjv202212"/>
      <sheetName val="workjv202213"/>
      <sheetName val="ECL PNL202213"/>
      <sheetName val="ECL YTD202213"/>
      <sheetName val="working202213"/>
      <sheetName val="YTDworking202213"/>
      <sheetName val="JVBS202213"/>
      <sheetName val="workjv202301"/>
      <sheetName val="workjv202301P13"/>
      <sheetName val="ECL PNL202301P13"/>
      <sheetName val="ECL PNL202301"/>
      <sheetName val="ECL YTD202301"/>
      <sheetName val="working202301"/>
      <sheetName val="YTDworking202301"/>
      <sheetName val="JVBS202301"/>
      <sheetName val="workjv202302P13"/>
      <sheetName val="ECL PNL202302P13"/>
      <sheetName val="workjv202302"/>
      <sheetName val="ECL PNL202302"/>
      <sheetName val="ECL YTD202302"/>
      <sheetName val="working202302"/>
      <sheetName val="YTDworking202302"/>
      <sheetName val="JVBS202302"/>
      <sheetName val="workjv202303"/>
      <sheetName val="ECL PNL202303"/>
      <sheetName val="ECL YTD202303"/>
      <sheetName val="working202303"/>
      <sheetName val="YTDworking202303"/>
      <sheetName val="JVBS202303"/>
      <sheetName val="workjv202304"/>
      <sheetName val="ECL PNL202304"/>
      <sheetName val="ECL YTD202304"/>
      <sheetName val="JVBS202304"/>
      <sheetName val="workjv202305"/>
      <sheetName val="ECL PNL202305"/>
      <sheetName val="ECL YTD202305"/>
      <sheetName val="JVBS202305"/>
      <sheetName val="JVBS202306"/>
      <sheetName val="workjv202306"/>
      <sheetName val="ECL PNL202306"/>
      <sheetName val="ECL YTD202306"/>
      <sheetName val="JVBS202307"/>
      <sheetName val="workjv202307"/>
      <sheetName val="ECL PNL202307"/>
      <sheetName val="ECL YTD202307"/>
      <sheetName val="JVBS202308"/>
      <sheetName val="JVBS202308 (revised)"/>
      <sheetName val="workjv202308"/>
      <sheetName val="ECL PNL202308"/>
      <sheetName val="ECL YTD202308"/>
      <sheetName val="JVBS202309"/>
      <sheetName val="workjv202309"/>
      <sheetName val="ECL PNL202309"/>
      <sheetName val="ECL YTD202309"/>
      <sheetName val="JVBS202310"/>
      <sheetName val="workjv202310"/>
      <sheetName val="ECL PNL202310"/>
      <sheetName val="ECL YTD202310"/>
      <sheetName val="JVBS202311"/>
      <sheetName val="workjv202311"/>
      <sheetName val="ECL PNL202311"/>
      <sheetName val="ECL YTD202311"/>
      <sheetName val="JVBS202312"/>
      <sheetName val="workjv202312"/>
      <sheetName val="ECL PNL202312"/>
      <sheetName val="ECL YTD202312"/>
      <sheetName val="JVBS202312(P13)"/>
      <sheetName val="workjv202312(P13)"/>
      <sheetName val="workjv202312(P13) (2)"/>
      <sheetName val="ECL PNL202312(P13)"/>
      <sheetName val="ECL YTD202312(P13)"/>
      <sheetName val="JVBS202401(P13)"/>
      <sheetName val="workjv202401(P13)"/>
      <sheetName val="ECL PNL202401(P13)"/>
      <sheetName val="ECL YTD202401(P13)"/>
      <sheetName val="JVBSYTD202402(P13)"/>
      <sheetName val="JVRevJan2024"/>
      <sheetName val="workjvYTD202402(P13)"/>
      <sheetName val="workjv202402(P13)"/>
      <sheetName val="ECL PNL202402(P13)"/>
      <sheetName val="ECL YTD202402(P13)"/>
      <sheetName val="working ECL PNL202402(P13) "/>
      <sheetName val="working ECL YTD202402(P13)"/>
      <sheetName val="JVBSYTD202403"/>
      <sheetName val="workjv202403"/>
      <sheetName val="ECL PNL202403"/>
      <sheetName val="ECL YTD202403"/>
      <sheetName val="JVBSYTD202404"/>
      <sheetName val="workjv202404"/>
      <sheetName val="ECL PNL202404"/>
      <sheetName val="ECL YTD202404"/>
      <sheetName val="JVBSYTD202405"/>
      <sheetName val="JVadjMay"/>
      <sheetName val="workjv202405"/>
      <sheetName val="ECL PNL202405"/>
      <sheetName val="ECL YTD202405"/>
      <sheetName val="JVBSYTD202406"/>
      <sheetName val="workjv2024006"/>
      <sheetName val="ECL PNL2024006"/>
      <sheetName val="ECL YTD2024006"/>
      <sheetName val="JVBSYTD202407"/>
      <sheetName val="workjv2024007"/>
      <sheetName val="ECL PNL2024007"/>
      <sheetName val="ECL YTD2024007"/>
      <sheetName val="JVBSYTD202408"/>
      <sheetName val="workjv2024008"/>
      <sheetName val="ECL PNL2024008"/>
      <sheetName val="ECL YTD2024008"/>
      <sheetName val="JVBSYTD202409"/>
      <sheetName val="workjv202409"/>
      <sheetName val="ECL PNL202409"/>
      <sheetName val="ECL YTD202409"/>
      <sheetName val="JVBSYTD202410"/>
      <sheetName val="workjv202410"/>
      <sheetName val="ECL PNL202410"/>
      <sheetName val="ECL YTD202410"/>
      <sheetName val="JVBSYTD202411"/>
      <sheetName val="workjv202411"/>
      <sheetName val="ECL PNL202411"/>
      <sheetName val="ECL YTD202411"/>
      <sheetName val="JVBSYTD202411 (2)"/>
      <sheetName val="workjv202411 (2)"/>
      <sheetName val="ECL PNL202411 (2)"/>
      <sheetName val="ECL YTD202411 (2)"/>
      <sheetName val="JVBSYTD202412"/>
      <sheetName val="workjv202412"/>
      <sheetName val="ECL PNL202412"/>
      <sheetName val="ECL YTD202412"/>
      <sheetName val="JVBSYTD202501"/>
      <sheetName val="workjv202501"/>
      <sheetName val="ECL PNL202501"/>
      <sheetName val="ECL YTD202501"/>
      <sheetName val="BSPNL"/>
      <sheetName val="JVBSYTD202502"/>
      <sheetName val="workjv202502"/>
      <sheetName val="ECL PNL202502"/>
      <sheetName val="ECL YTD202502"/>
      <sheetName val="YTD ECL WHOLE"/>
      <sheetName val="YTD LAF"/>
      <sheetName val="YTD C&amp;C"/>
      <sheetName val="Overall"/>
      <sheetName val="ECL LAF"/>
      <sheetName val="ECL C&amp;C"/>
      <sheetName val="working ECL PNL202403"/>
      <sheetName val="working ECL YTD2024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>
        <row r="16">
          <cell r="D16">
            <v>2346632.9114758894</v>
          </cell>
        </row>
      </sheetData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G1" t="str">
            <v>ECL MAY 2025</v>
          </cell>
          <cell r="K1" t="str">
            <v>ECL APR 2025</v>
          </cell>
        </row>
        <row r="2">
          <cell r="B2" t="str">
            <v>Finance (SAP) Number</v>
          </cell>
          <cell r="G2" t="str">
            <v>Stage</v>
          </cell>
          <cell r="K2" t="str">
            <v>Stage</v>
          </cell>
          <cell r="L2" t="str">
            <v>Total ECL MYR (LAF)</v>
          </cell>
          <cell r="M2" t="str">
            <v>Total ECL MYR (C&amp;C)</v>
          </cell>
        </row>
        <row r="3">
          <cell r="B3">
            <v>500400</v>
          </cell>
          <cell r="G3">
            <v>1</v>
          </cell>
          <cell r="K3">
            <v>1</v>
          </cell>
          <cell r="L3">
            <v>45962.847280548303</v>
          </cell>
          <cell r="M3">
            <v>0</v>
          </cell>
        </row>
        <row r="4">
          <cell r="B4">
            <v>500401</v>
          </cell>
          <cell r="G4">
            <v>2</v>
          </cell>
          <cell r="K4">
            <v>2</v>
          </cell>
          <cell r="L4">
            <v>86910.504478372619</v>
          </cell>
          <cell r="M4">
            <v>0</v>
          </cell>
        </row>
        <row r="5">
          <cell r="B5">
            <v>500693</v>
          </cell>
          <cell r="G5">
            <v>1</v>
          </cell>
          <cell r="K5">
            <v>1</v>
          </cell>
          <cell r="L5">
            <v>58896.489020061388</v>
          </cell>
          <cell r="M5">
            <v>34919.39759097276</v>
          </cell>
        </row>
        <row r="6">
          <cell r="B6">
            <v>500749</v>
          </cell>
          <cell r="G6">
            <v>1</v>
          </cell>
          <cell r="K6">
            <v>1</v>
          </cell>
          <cell r="L6">
            <v>3629126.2892160048</v>
          </cell>
          <cell r="M6">
            <v>0</v>
          </cell>
        </row>
        <row r="7">
          <cell r="B7">
            <v>500937</v>
          </cell>
          <cell r="G7">
            <v>1</v>
          </cell>
          <cell r="K7">
            <v>1</v>
          </cell>
          <cell r="L7">
            <v>26006840.891987074</v>
          </cell>
          <cell r="M7">
            <v>0</v>
          </cell>
        </row>
        <row r="8">
          <cell r="B8">
            <v>501072</v>
          </cell>
          <cell r="G8">
            <v>1</v>
          </cell>
          <cell r="K8">
            <v>1</v>
          </cell>
          <cell r="L8">
            <v>1339067.9902627</v>
          </cell>
          <cell r="M8">
            <v>0</v>
          </cell>
        </row>
        <row r="9">
          <cell r="B9">
            <v>501073</v>
          </cell>
          <cell r="G9">
            <v>1</v>
          </cell>
          <cell r="K9">
            <v>1</v>
          </cell>
          <cell r="L9">
            <v>1339434.5135581468</v>
          </cell>
          <cell r="M9">
            <v>0</v>
          </cell>
        </row>
        <row r="10">
          <cell r="B10">
            <v>501075</v>
          </cell>
          <cell r="G10">
            <v>1</v>
          </cell>
          <cell r="K10">
            <v>1</v>
          </cell>
          <cell r="L10">
            <v>1289885.590221484</v>
          </cell>
          <cell r="M10">
            <v>0</v>
          </cell>
        </row>
        <row r="11">
          <cell r="B11">
            <v>501076</v>
          </cell>
          <cell r="G11">
            <v>1</v>
          </cell>
          <cell r="K11">
            <v>1</v>
          </cell>
          <cell r="L11">
            <v>1288083.2132493742</v>
          </cell>
          <cell r="M11">
            <v>0</v>
          </cell>
        </row>
        <row r="12">
          <cell r="B12">
            <v>501077</v>
          </cell>
          <cell r="G12">
            <v>1</v>
          </cell>
          <cell r="K12">
            <v>1</v>
          </cell>
          <cell r="L12">
            <v>1319363.3211689549</v>
          </cell>
          <cell r="M12">
            <v>0</v>
          </cell>
        </row>
        <row r="13">
          <cell r="B13">
            <v>501078</v>
          </cell>
          <cell r="G13">
            <v>1</v>
          </cell>
          <cell r="K13">
            <v>1</v>
          </cell>
          <cell r="L13">
            <v>1288083.2132493742</v>
          </cell>
          <cell r="M13">
            <v>0</v>
          </cell>
        </row>
        <row r="14">
          <cell r="B14">
            <v>501098</v>
          </cell>
          <cell r="G14">
            <v>1</v>
          </cell>
          <cell r="K14">
            <v>1</v>
          </cell>
          <cell r="L14">
            <v>2475244.6799200866</v>
          </cell>
          <cell r="M14">
            <v>0</v>
          </cell>
        </row>
        <row r="15">
          <cell r="B15">
            <v>501100</v>
          </cell>
          <cell r="G15">
            <v>1</v>
          </cell>
          <cell r="K15">
            <v>1</v>
          </cell>
          <cell r="L15">
            <v>891945.17755404802</v>
          </cell>
          <cell r="M15">
            <v>0</v>
          </cell>
        </row>
        <row r="16">
          <cell r="B16">
            <v>501230</v>
          </cell>
          <cell r="G16">
            <v>1</v>
          </cell>
          <cell r="K16">
            <v>1</v>
          </cell>
          <cell r="L16">
            <v>26940838.529574115</v>
          </cell>
          <cell r="M16">
            <v>0</v>
          </cell>
        </row>
        <row r="17">
          <cell r="B17" t="str">
            <v>BG</v>
          </cell>
          <cell r="G17">
            <v>1</v>
          </cell>
          <cell r="K17">
            <v>1</v>
          </cell>
          <cell r="M17">
            <v>0</v>
          </cell>
        </row>
        <row r="18">
          <cell r="B18" t="str">
            <v>EXIM/OMS/BG(FG)/24/071</v>
          </cell>
          <cell r="G18">
            <v>1</v>
          </cell>
          <cell r="K18">
            <v>1</v>
          </cell>
          <cell r="M18">
            <v>43718.103839278374</v>
          </cell>
        </row>
        <row r="19">
          <cell r="B19" t="str">
            <v>EXIM/OMS/BG(FG)/24/072</v>
          </cell>
          <cell r="G19">
            <v>1</v>
          </cell>
          <cell r="K19">
            <v>1</v>
          </cell>
          <cell r="M19">
            <v>87436.207678556748</v>
          </cell>
        </row>
        <row r="20">
          <cell r="B20" t="str">
            <v>EXIM/OMS/BG(FG)/24/073</v>
          </cell>
          <cell r="G20">
            <v>1</v>
          </cell>
          <cell r="K20">
            <v>1</v>
          </cell>
          <cell r="M20">
            <v>320599.42815470812</v>
          </cell>
        </row>
        <row r="21">
          <cell r="B21" t="str">
            <v>EXIM/OMS/BG(FG)/24/074</v>
          </cell>
          <cell r="G21">
            <v>1</v>
          </cell>
          <cell r="K21">
            <v>1</v>
          </cell>
          <cell r="M21">
            <v>68699.877461723168</v>
          </cell>
        </row>
        <row r="22">
          <cell r="B22" t="str">
            <v>EXIM/OMS/BG(FG)/24/075</v>
          </cell>
          <cell r="G22">
            <v>1</v>
          </cell>
          <cell r="K22">
            <v>1</v>
          </cell>
          <cell r="M22">
            <v>62454.434056111961</v>
          </cell>
        </row>
        <row r="23">
          <cell r="B23" t="str">
            <v>EXIM/OMS/BG(FG)/24/076</v>
          </cell>
          <cell r="G23">
            <v>1</v>
          </cell>
          <cell r="K23">
            <v>1</v>
          </cell>
          <cell r="M23">
            <v>156136.0851402799</v>
          </cell>
        </row>
        <row r="24">
          <cell r="B24" t="str">
            <v>EXIM/OMS/BG(FG)/24/082</v>
          </cell>
          <cell r="G24">
            <v>1</v>
          </cell>
          <cell r="K24">
            <v>1</v>
          </cell>
          <cell r="M24">
            <v>23420.412771041993</v>
          </cell>
        </row>
        <row r="25">
          <cell r="B25" t="str">
            <v>EXIM/OMS/BG(FG)/24/083</v>
          </cell>
          <cell r="G25">
            <v>1</v>
          </cell>
          <cell r="K25">
            <v>1</v>
          </cell>
          <cell r="M25">
            <v>1561.360851402799</v>
          </cell>
        </row>
        <row r="26">
          <cell r="B26" t="str">
            <v>EXIM/OMS/BG(FG)/24/084</v>
          </cell>
          <cell r="G26">
            <v>1</v>
          </cell>
          <cell r="K26">
            <v>1</v>
          </cell>
          <cell r="M26">
            <v>1040.9072342685326</v>
          </cell>
        </row>
        <row r="27">
          <cell r="B27" t="str">
            <v>EXIM/OMS/BG(FG)/24/085</v>
          </cell>
          <cell r="G27">
            <v>1</v>
          </cell>
          <cell r="K27">
            <v>1</v>
          </cell>
          <cell r="M27">
            <v>1040.9072342685326</v>
          </cell>
        </row>
        <row r="28">
          <cell r="B28" t="str">
            <v>EXIM/OMS/BG(FG)/24/086</v>
          </cell>
          <cell r="G28">
            <v>1</v>
          </cell>
          <cell r="K28">
            <v>1</v>
          </cell>
          <cell r="M28">
            <v>4684.0825542083985</v>
          </cell>
        </row>
        <row r="29">
          <cell r="B29" t="str">
            <v>EXIM/OMS/BG(FG)/25/002</v>
          </cell>
          <cell r="G29">
            <v>1</v>
          </cell>
          <cell r="K29">
            <v>1</v>
          </cell>
          <cell r="M29">
            <v>15893.141653613446</v>
          </cell>
        </row>
        <row r="30">
          <cell r="B30" t="str">
            <v>EXIM/SMH/APB/25/003</v>
          </cell>
          <cell r="G30">
            <v>1</v>
          </cell>
          <cell r="K30">
            <v>1</v>
          </cell>
          <cell r="M30">
            <v>104525.20395026894</v>
          </cell>
        </row>
        <row r="31">
          <cell r="B31" t="str">
            <v>EXIM/SMH/PB/25/004</v>
          </cell>
          <cell r="G31">
            <v>1</v>
          </cell>
          <cell r="K31">
            <v>1</v>
          </cell>
          <cell r="M31">
            <v>0</v>
          </cell>
        </row>
        <row r="32">
          <cell r="B32" t="str">
            <v>EXIM/SMH/TNBG/25/013</v>
          </cell>
          <cell r="G32">
            <v>1</v>
          </cell>
          <cell r="K32">
            <v>1</v>
          </cell>
          <cell r="M32">
            <v>71538.892476942288</v>
          </cell>
        </row>
        <row r="33">
          <cell r="B33" t="str">
            <v>EXIM/SMH/TNBG/25/014</v>
          </cell>
          <cell r="G33">
            <v>1</v>
          </cell>
          <cell r="K33">
            <v>1</v>
          </cell>
          <cell r="M33">
            <v>4471.180779808893</v>
          </cell>
        </row>
        <row r="34">
          <cell r="B34" t="str">
            <v>EXIM/SMH/TNBG/25/015</v>
          </cell>
          <cell r="G34">
            <v>1</v>
          </cell>
          <cell r="K34">
            <v>1</v>
          </cell>
          <cell r="M34">
            <v>4471.180779808893</v>
          </cell>
        </row>
        <row r="35">
          <cell r="B35" t="str">
            <v>EXIM/SMH/TNBG/25/016</v>
          </cell>
          <cell r="G35">
            <v>1</v>
          </cell>
          <cell r="K35">
            <v>1</v>
          </cell>
          <cell r="M35">
            <v>47275.332471107686</v>
          </cell>
        </row>
        <row r="36">
          <cell r="B36">
            <v>500605</v>
          </cell>
          <cell r="G36">
            <v>1</v>
          </cell>
          <cell r="K36">
            <v>1</v>
          </cell>
          <cell r="L36">
            <v>1064878.1485031759</v>
          </cell>
          <cell r="M36">
            <v>44395.888882628169</v>
          </cell>
        </row>
        <row r="37">
          <cell r="B37">
            <v>500633</v>
          </cell>
          <cell r="G37">
            <v>2</v>
          </cell>
          <cell r="K37">
            <v>2</v>
          </cell>
          <cell r="L37">
            <v>166.51245470014814</v>
          </cell>
          <cell r="M37">
            <v>0</v>
          </cell>
        </row>
        <row r="38">
          <cell r="B38">
            <v>500694</v>
          </cell>
          <cell r="G38">
            <v>1</v>
          </cell>
          <cell r="K38">
            <v>1</v>
          </cell>
          <cell r="L38">
            <v>1770477.9408001937</v>
          </cell>
          <cell r="M38">
            <v>1049706.4408917786</v>
          </cell>
        </row>
        <row r="39">
          <cell r="B39">
            <v>500731</v>
          </cell>
          <cell r="G39">
            <v>2</v>
          </cell>
          <cell r="K39">
            <v>2</v>
          </cell>
          <cell r="M39">
            <v>0</v>
          </cell>
        </row>
        <row r="40">
          <cell r="B40">
            <v>500783</v>
          </cell>
          <cell r="G40">
            <v>1</v>
          </cell>
          <cell r="K40">
            <v>1</v>
          </cell>
          <cell r="L40">
            <v>466291.93461581448</v>
          </cell>
          <cell r="M40">
            <v>577448.72103391192</v>
          </cell>
        </row>
        <row r="41">
          <cell r="B41">
            <v>500784</v>
          </cell>
          <cell r="G41">
            <v>1</v>
          </cell>
          <cell r="K41">
            <v>1</v>
          </cell>
          <cell r="L41">
            <v>0</v>
          </cell>
          <cell r="M41">
            <v>4508684.5186674111</v>
          </cell>
        </row>
        <row r="42">
          <cell r="B42">
            <v>500790</v>
          </cell>
          <cell r="G42">
            <v>1</v>
          </cell>
          <cell r="K42">
            <v>1</v>
          </cell>
          <cell r="L42">
            <v>971001.30359295686</v>
          </cell>
          <cell r="M42">
            <v>1547474.7360916676</v>
          </cell>
        </row>
        <row r="43">
          <cell r="B43">
            <v>500941</v>
          </cell>
          <cell r="G43">
            <v>2</v>
          </cell>
          <cell r="K43">
            <v>2</v>
          </cell>
          <cell r="L43">
            <v>138860.46981681223</v>
          </cell>
          <cell r="M43">
            <v>0</v>
          </cell>
        </row>
        <row r="44">
          <cell r="B44">
            <v>500943</v>
          </cell>
          <cell r="G44">
            <v>2</v>
          </cell>
          <cell r="K44">
            <v>2</v>
          </cell>
          <cell r="L44">
            <v>2764311.9167424692</v>
          </cell>
          <cell r="M44">
            <v>419588.67154196458</v>
          </cell>
        </row>
        <row r="45">
          <cell r="B45">
            <v>500995</v>
          </cell>
          <cell r="G45">
            <v>1</v>
          </cell>
          <cell r="K45">
            <v>1</v>
          </cell>
          <cell r="L45">
            <v>307931.11000190751</v>
          </cell>
          <cell r="M45">
            <v>0</v>
          </cell>
        </row>
        <row r="46">
          <cell r="B46">
            <v>501006</v>
          </cell>
          <cell r="G46">
            <v>1</v>
          </cell>
          <cell r="K46">
            <v>1</v>
          </cell>
          <cell r="L46">
            <v>40135.272584982675</v>
          </cell>
          <cell r="M46">
            <v>0</v>
          </cell>
        </row>
        <row r="47">
          <cell r="B47">
            <v>501010</v>
          </cell>
          <cell r="G47">
            <v>2</v>
          </cell>
          <cell r="K47">
            <v>2</v>
          </cell>
          <cell r="L47">
            <v>723134.89694352983</v>
          </cell>
          <cell r="M47">
            <v>0</v>
          </cell>
        </row>
        <row r="48">
          <cell r="B48">
            <v>501017</v>
          </cell>
          <cell r="G48">
            <v>1</v>
          </cell>
          <cell r="K48">
            <v>1</v>
          </cell>
          <cell r="L48">
            <v>474406.53448777169</v>
          </cell>
          <cell r="M48">
            <v>0</v>
          </cell>
        </row>
        <row r="49">
          <cell r="B49">
            <v>501026</v>
          </cell>
          <cell r="G49">
            <v>2</v>
          </cell>
          <cell r="K49">
            <v>2</v>
          </cell>
          <cell r="L49">
            <v>476271.88810696773</v>
          </cell>
          <cell r="M49">
            <v>0</v>
          </cell>
        </row>
        <row r="50">
          <cell r="B50">
            <v>501027</v>
          </cell>
          <cell r="G50">
            <v>2</v>
          </cell>
          <cell r="K50">
            <v>2</v>
          </cell>
          <cell r="L50">
            <v>1514.9197280028645</v>
          </cell>
          <cell r="M50">
            <v>0</v>
          </cell>
        </row>
        <row r="51">
          <cell r="B51">
            <v>501035</v>
          </cell>
          <cell r="G51">
            <v>1</v>
          </cell>
          <cell r="K51">
            <v>1</v>
          </cell>
          <cell r="L51">
            <v>0</v>
          </cell>
          <cell r="M51">
            <v>1366.7393497207097</v>
          </cell>
        </row>
        <row r="52">
          <cell r="B52">
            <v>501049</v>
          </cell>
          <cell r="G52">
            <v>1</v>
          </cell>
          <cell r="K52">
            <v>1</v>
          </cell>
          <cell r="L52">
            <v>1887755.6092701671</v>
          </cell>
          <cell r="M52">
            <v>0</v>
          </cell>
        </row>
        <row r="53">
          <cell r="B53">
            <v>501050</v>
          </cell>
          <cell r="G53">
            <v>2</v>
          </cell>
          <cell r="K53">
            <v>2</v>
          </cell>
          <cell r="L53">
            <v>10762163.162495974</v>
          </cell>
          <cell r="M53">
            <v>0</v>
          </cell>
        </row>
        <row r="54">
          <cell r="B54">
            <v>501056</v>
          </cell>
          <cell r="G54">
            <v>2</v>
          </cell>
          <cell r="K54">
            <v>1</v>
          </cell>
          <cell r="L54">
            <v>338.51361459145767</v>
          </cell>
          <cell r="M54">
            <v>0</v>
          </cell>
        </row>
        <row r="55">
          <cell r="B55">
            <v>501057</v>
          </cell>
          <cell r="G55">
            <v>2</v>
          </cell>
          <cell r="K55">
            <v>1</v>
          </cell>
          <cell r="L55">
            <v>421.87852322641555</v>
          </cell>
          <cell r="M55">
            <v>0</v>
          </cell>
        </row>
        <row r="56">
          <cell r="B56">
            <v>501058</v>
          </cell>
          <cell r="G56">
            <v>2</v>
          </cell>
          <cell r="K56">
            <v>1</v>
          </cell>
          <cell r="L56">
            <v>258.24361714871407</v>
          </cell>
          <cell r="M56">
            <v>0</v>
          </cell>
        </row>
        <row r="57">
          <cell r="B57">
            <v>501060</v>
          </cell>
          <cell r="G57">
            <v>2</v>
          </cell>
          <cell r="K57">
            <v>2</v>
          </cell>
          <cell r="L57">
            <v>175701.67842258379</v>
          </cell>
          <cell r="M57">
            <v>0</v>
          </cell>
        </row>
        <row r="58">
          <cell r="B58">
            <v>501061</v>
          </cell>
          <cell r="G58">
            <v>2</v>
          </cell>
          <cell r="K58">
            <v>2</v>
          </cell>
          <cell r="L58">
            <v>79248.875880249136</v>
          </cell>
          <cell r="M58">
            <v>0</v>
          </cell>
        </row>
        <row r="59">
          <cell r="B59">
            <v>501066</v>
          </cell>
          <cell r="G59">
            <v>1</v>
          </cell>
          <cell r="K59">
            <v>1</v>
          </cell>
          <cell r="L59">
            <v>3682653.2222493552</v>
          </cell>
          <cell r="M59">
            <v>0</v>
          </cell>
        </row>
        <row r="60">
          <cell r="B60">
            <v>501070</v>
          </cell>
          <cell r="G60">
            <v>1</v>
          </cell>
          <cell r="K60">
            <v>1</v>
          </cell>
          <cell r="L60">
            <v>206128.19914543722</v>
          </cell>
          <cell r="M60">
            <v>0</v>
          </cell>
        </row>
        <row r="61">
          <cell r="B61">
            <v>501071</v>
          </cell>
          <cell r="G61">
            <v>2</v>
          </cell>
          <cell r="K61">
            <v>1</v>
          </cell>
          <cell r="L61">
            <v>316.34697361571182</v>
          </cell>
          <cell r="M61">
            <v>0</v>
          </cell>
        </row>
        <row r="62">
          <cell r="B62">
            <v>501079</v>
          </cell>
          <cell r="G62">
            <v>1</v>
          </cell>
          <cell r="K62">
            <v>1</v>
          </cell>
          <cell r="L62">
            <v>616261.77100647753</v>
          </cell>
          <cell r="M62">
            <v>0</v>
          </cell>
        </row>
        <row r="63">
          <cell r="B63">
            <v>501080</v>
          </cell>
          <cell r="G63">
            <v>2</v>
          </cell>
          <cell r="K63">
            <v>2</v>
          </cell>
          <cell r="L63">
            <v>1728.3665142871801</v>
          </cell>
          <cell r="M63">
            <v>3.8723126308273237</v>
          </cell>
        </row>
        <row r="64">
          <cell r="B64">
            <v>501085</v>
          </cell>
          <cell r="G64">
            <v>1</v>
          </cell>
          <cell r="K64">
            <v>1</v>
          </cell>
          <cell r="L64">
            <v>11967.865096825484</v>
          </cell>
          <cell r="M64">
            <v>0</v>
          </cell>
        </row>
        <row r="65">
          <cell r="B65">
            <v>501086</v>
          </cell>
          <cell r="G65">
            <v>1</v>
          </cell>
          <cell r="K65">
            <v>1</v>
          </cell>
          <cell r="L65">
            <v>0</v>
          </cell>
          <cell r="M65">
            <v>878055.69652398222</v>
          </cell>
        </row>
        <row r="66">
          <cell r="B66">
            <v>501090</v>
          </cell>
          <cell r="G66">
            <v>2</v>
          </cell>
          <cell r="K66">
            <v>2</v>
          </cell>
          <cell r="L66">
            <v>1206.7356934097697</v>
          </cell>
          <cell r="M66">
            <v>0</v>
          </cell>
        </row>
        <row r="67">
          <cell r="B67">
            <v>501092</v>
          </cell>
          <cell r="G67">
            <v>1</v>
          </cell>
          <cell r="K67">
            <v>1</v>
          </cell>
          <cell r="L67">
            <v>8199.2951254634681</v>
          </cell>
          <cell r="M67">
            <v>64461.629882211811</v>
          </cell>
        </row>
        <row r="68">
          <cell r="B68">
            <v>501096</v>
          </cell>
          <cell r="G68">
            <v>1</v>
          </cell>
          <cell r="K68">
            <v>1</v>
          </cell>
          <cell r="L68">
            <v>901447.04572925135</v>
          </cell>
          <cell r="M68">
            <v>0</v>
          </cell>
        </row>
        <row r="69">
          <cell r="B69">
            <v>501097</v>
          </cell>
          <cell r="G69">
            <v>1</v>
          </cell>
          <cell r="K69">
            <v>1</v>
          </cell>
          <cell r="L69">
            <v>77652.577215229336</v>
          </cell>
          <cell r="M69">
            <v>0</v>
          </cell>
        </row>
        <row r="70">
          <cell r="B70">
            <v>501099</v>
          </cell>
          <cell r="G70">
            <v>2</v>
          </cell>
          <cell r="K70">
            <v>2</v>
          </cell>
          <cell r="L70">
            <v>2042.2172198240301</v>
          </cell>
          <cell r="M70">
            <v>14.27692426364875</v>
          </cell>
        </row>
        <row r="71">
          <cell r="B71">
            <v>501106</v>
          </cell>
          <cell r="G71">
            <v>2</v>
          </cell>
          <cell r="K71">
            <v>2</v>
          </cell>
          <cell r="L71">
            <v>87110.667443166865</v>
          </cell>
          <cell r="M71">
            <v>0</v>
          </cell>
        </row>
        <row r="72">
          <cell r="B72">
            <v>501107</v>
          </cell>
          <cell r="G72">
            <v>2</v>
          </cell>
          <cell r="K72">
            <v>2</v>
          </cell>
          <cell r="L72">
            <v>84731.832635017126</v>
          </cell>
          <cell r="M72">
            <v>0</v>
          </cell>
        </row>
        <row r="73">
          <cell r="B73">
            <v>501108</v>
          </cell>
          <cell r="G73">
            <v>2</v>
          </cell>
          <cell r="K73">
            <v>2</v>
          </cell>
          <cell r="L73">
            <v>33092.324948873196</v>
          </cell>
          <cell r="M73">
            <v>0</v>
          </cell>
        </row>
        <row r="74">
          <cell r="B74">
            <v>501109</v>
          </cell>
          <cell r="G74">
            <v>2</v>
          </cell>
          <cell r="K74">
            <v>2</v>
          </cell>
          <cell r="L74">
            <v>98608.531568804508</v>
          </cell>
          <cell r="M74">
            <v>0</v>
          </cell>
        </row>
        <row r="75">
          <cell r="B75">
            <v>501110</v>
          </cell>
          <cell r="G75">
            <v>1</v>
          </cell>
          <cell r="K75">
            <v>1</v>
          </cell>
          <cell r="L75">
            <v>101160.47916078519</v>
          </cell>
          <cell r="M75">
            <v>106672.2975164324</v>
          </cell>
        </row>
        <row r="76">
          <cell r="B76">
            <v>501111</v>
          </cell>
          <cell r="G76">
            <v>1</v>
          </cell>
          <cell r="K76">
            <v>1</v>
          </cell>
          <cell r="L76">
            <v>160424.69995885968</v>
          </cell>
          <cell r="M76">
            <v>2088.1536701731047</v>
          </cell>
        </row>
        <row r="77">
          <cell r="B77">
            <v>501112</v>
          </cell>
          <cell r="G77">
            <v>1</v>
          </cell>
          <cell r="K77">
            <v>1</v>
          </cell>
          <cell r="L77">
            <v>0</v>
          </cell>
          <cell r="M77">
            <v>180434.56989102156</v>
          </cell>
        </row>
        <row r="78">
          <cell r="B78">
            <v>501114</v>
          </cell>
          <cell r="G78">
            <v>1</v>
          </cell>
          <cell r="K78">
            <v>1</v>
          </cell>
          <cell r="L78">
            <v>1185.7281678983477</v>
          </cell>
          <cell r="M78">
            <v>0</v>
          </cell>
        </row>
        <row r="79">
          <cell r="B79">
            <v>501116</v>
          </cell>
          <cell r="G79">
            <v>2</v>
          </cell>
          <cell r="K79">
            <v>2</v>
          </cell>
          <cell r="L79">
            <v>78211.978022153708</v>
          </cell>
          <cell r="M79">
            <v>0</v>
          </cell>
        </row>
        <row r="80">
          <cell r="B80">
            <v>501117</v>
          </cell>
          <cell r="G80">
            <v>2</v>
          </cell>
          <cell r="K80">
            <v>2</v>
          </cell>
          <cell r="L80">
            <v>2431.313062855088</v>
          </cell>
          <cell r="M80">
            <v>0</v>
          </cell>
        </row>
        <row r="81">
          <cell r="B81">
            <v>501118</v>
          </cell>
          <cell r="G81">
            <v>1</v>
          </cell>
          <cell r="K81">
            <v>1</v>
          </cell>
          <cell r="L81">
            <v>145268.17170220448</v>
          </cell>
          <cell r="M81">
            <v>0</v>
          </cell>
        </row>
        <row r="82">
          <cell r="B82">
            <v>501119</v>
          </cell>
          <cell r="G82">
            <v>1</v>
          </cell>
          <cell r="K82">
            <v>1</v>
          </cell>
          <cell r="L82">
            <v>0</v>
          </cell>
          <cell r="M82">
            <v>52534.373323478343</v>
          </cell>
        </row>
        <row r="83">
          <cell r="B83">
            <v>501121</v>
          </cell>
          <cell r="G83">
            <v>1</v>
          </cell>
          <cell r="K83">
            <v>1</v>
          </cell>
          <cell r="L83">
            <v>314693.32514999277</v>
          </cell>
          <cell r="M83">
            <v>0</v>
          </cell>
        </row>
        <row r="84">
          <cell r="B84">
            <v>501122</v>
          </cell>
          <cell r="G84">
            <v>1</v>
          </cell>
          <cell r="K84">
            <v>1</v>
          </cell>
          <cell r="L84">
            <v>503062.39375481638</v>
          </cell>
          <cell r="M84">
            <v>0</v>
          </cell>
        </row>
        <row r="85">
          <cell r="B85">
            <v>501123</v>
          </cell>
          <cell r="G85">
            <v>1</v>
          </cell>
          <cell r="K85">
            <v>1</v>
          </cell>
          <cell r="L85">
            <v>124095.7678526892</v>
          </cell>
          <cell r="M85">
            <v>35235.559470984539</v>
          </cell>
        </row>
        <row r="86">
          <cell r="B86">
            <v>501124</v>
          </cell>
          <cell r="G86">
            <v>1</v>
          </cell>
          <cell r="K86">
            <v>1</v>
          </cell>
          <cell r="L86">
            <v>127203.66081931532</v>
          </cell>
          <cell r="M86">
            <v>133549.21434837725</v>
          </cell>
        </row>
        <row r="87">
          <cell r="B87">
            <v>501125</v>
          </cell>
          <cell r="G87">
            <v>1</v>
          </cell>
          <cell r="K87">
            <v>1</v>
          </cell>
          <cell r="L87">
            <v>0</v>
          </cell>
          <cell r="M87">
            <v>40387.189608465589</v>
          </cell>
        </row>
        <row r="88">
          <cell r="B88">
            <v>501126</v>
          </cell>
          <cell r="G88">
            <v>1</v>
          </cell>
          <cell r="K88">
            <v>1</v>
          </cell>
          <cell r="L88">
            <v>259413.12759407389</v>
          </cell>
          <cell r="M88">
            <v>0</v>
          </cell>
        </row>
        <row r="89">
          <cell r="B89">
            <v>501127</v>
          </cell>
          <cell r="G89">
            <v>1</v>
          </cell>
          <cell r="K89">
            <v>1</v>
          </cell>
          <cell r="L89">
            <v>72804.803629224363</v>
          </cell>
          <cell r="M89">
            <v>0</v>
          </cell>
        </row>
        <row r="90">
          <cell r="B90">
            <v>501128</v>
          </cell>
          <cell r="G90">
            <v>1</v>
          </cell>
          <cell r="K90">
            <v>1</v>
          </cell>
          <cell r="L90">
            <v>292670.33931147156</v>
          </cell>
          <cell r="M90">
            <v>183867.60114960602</v>
          </cell>
        </row>
        <row r="91">
          <cell r="B91">
            <v>501129</v>
          </cell>
          <cell r="G91">
            <v>1</v>
          </cell>
          <cell r="K91">
            <v>1</v>
          </cell>
          <cell r="L91">
            <v>2617.2923430629889</v>
          </cell>
          <cell r="M91">
            <v>140395.28506712057</v>
          </cell>
        </row>
        <row r="92">
          <cell r="B92">
            <v>501130</v>
          </cell>
          <cell r="G92">
            <v>1</v>
          </cell>
          <cell r="K92">
            <v>1</v>
          </cell>
          <cell r="L92">
            <v>999.31560408912424</v>
          </cell>
          <cell r="M92">
            <v>14.339397980646453</v>
          </cell>
        </row>
        <row r="93">
          <cell r="B93">
            <v>501131</v>
          </cell>
          <cell r="G93">
            <v>1</v>
          </cell>
          <cell r="K93">
            <v>1</v>
          </cell>
          <cell r="L93">
            <v>867.29913979483399</v>
          </cell>
          <cell r="M93">
            <v>453.55479321355807</v>
          </cell>
        </row>
        <row r="94">
          <cell r="B94">
            <v>501133</v>
          </cell>
          <cell r="G94">
            <v>2</v>
          </cell>
          <cell r="K94">
            <v>2</v>
          </cell>
          <cell r="L94">
            <v>520073.61610345298</v>
          </cell>
          <cell r="M94">
            <v>69319.027759735793</v>
          </cell>
        </row>
        <row r="95">
          <cell r="B95">
            <v>501134</v>
          </cell>
          <cell r="G95">
            <v>1</v>
          </cell>
          <cell r="K95">
            <v>1</v>
          </cell>
          <cell r="L95">
            <v>73235.638949433589</v>
          </cell>
          <cell r="M95">
            <v>1475.8721541600748</v>
          </cell>
        </row>
        <row r="96">
          <cell r="B96">
            <v>501136</v>
          </cell>
          <cell r="G96">
            <v>2</v>
          </cell>
          <cell r="K96">
            <v>2</v>
          </cell>
          <cell r="L96">
            <v>2301.1853280782611</v>
          </cell>
          <cell r="M96">
            <v>5.6921256915704745</v>
          </cell>
        </row>
        <row r="97">
          <cell r="B97">
            <v>501137</v>
          </cell>
          <cell r="G97">
            <v>1</v>
          </cell>
          <cell r="K97">
            <v>1</v>
          </cell>
          <cell r="L97">
            <v>5970.9863389761304</v>
          </cell>
          <cell r="M97">
            <v>27028.240429027137</v>
          </cell>
        </row>
        <row r="98">
          <cell r="B98">
            <v>501140</v>
          </cell>
          <cell r="G98">
            <v>1</v>
          </cell>
          <cell r="K98">
            <v>1</v>
          </cell>
          <cell r="L98">
            <v>2584.194417516705</v>
          </cell>
          <cell r="M98">
            <v>1.3692661820015182</v>
          </cell>
        </row>
        <row r="99">
          <cell r="B99">
            <v>501141</v>
          </cell>
          <cell r="G99">
            <v>1</v>
          </cell>
          <cell r="K99">
            <v>1</v>
          </cell>
          <cell r="L99">
            <v>1355.6301371571042</v>
          </cell>
          <cell r="M99">
            <v>0</v>
          </cell>
        </row>
        <row r="100">
          <cell r="B100">
            <v>501142</v>
          </cell>
          <cell r="G100">
            <v>1</v>
          </cell>
          <cell r="K100">
            <v>1</v>
          </cell>
          <cell r="L100">
            <v>1785.2581587234897</v>
          </cell>
          <cell r="M100">
            <v>444.33838612221535</v>
          </cell>
        </row>
        <row r="101">
          <cell r="B101">
            <v>501145</v>
          </cell>
          <cell r="G101">
            <v>1</v>
          </cell>
          <cell r="K101">
            <v>1</v>
          </cell>
          <cell r="L101">
            <v>140956.82664236333</v>
          </cell>
          <cell r="M101">
            <v>27126.832118341903</v>
          </cell>
        </row>
        <row r="102">
          <cell r="B102">
            <v>501146</v>
          </cell>
          <cell r="G102">
            <v>1</v>
          </cell>
          <cell r="K102">
            <v>1</v>
          </cell>
          <cell r="L102">
            <v>9418322.5800101813</v>
          </cell>
          <cell r="M102">
            <v>0</v>
          </cell>
        </row>
        <row r="103">
          <cell r="B103">
            <v>501147</v>
          </cell>
          <cell r="G103">
            <v>1</v>
          </cell>
          <cell r="K103">
            <v>1</v>
          </cell>
          <cell r="L103">
            <v>133218.18089455907</v>
          </cell>
          <cell r="M103">
            <v>30011.204929937732</v>
          </cell>
        </row>
        <row r="104">
          <cell r="B104">
            <v>501148</v>
          </cell>
          <cell r="G104">
            <v>1</v>
          </cell>
          <cell r="K104">
            <v>1</v>
          </cell>
          <cell r="L104">
            <v>46006.217164206391</v>
          </cell>
          <cell r="M104">
            <v>36408.000771559542</v>
          </cell>
        </row>
        <row r="105">
          <cell r="B105">
            <v>501149</v>
          </cell>
          <cell r="G105">
            <v>1</v>
          </cell>
          <cell r="K105">
            <v>1</v>
          </cell>
          <cell r="L105">
            <v>1464.5885034197963</v>
          </cell>
          <cell r="M105">
            <v>588.13578384670552</v>
          </cell>
        </row>
        <row r="106">
          <cell r="B106">
            <v>501150</v>
          </cell>
          <cell r="G106">
            <v>2</v>
          </cell>
          <cell r="K106">
            <v>2</v>
          </cell>
          <cell r="L106">
            <v>1699.7256049076423</v>
          </cell>
          <cell r="M106">
            <v>0</v>
          </cell>
        </row>
        <row r="107">
          <cell r="B107">
            <v>501155</v>
          </cell>
          <cell r="G107">
            <v>1</v>
          </cell>
          <cell r="K107">
            <v>1</v>
          </cell>
          <cell r="L107">
            <v>127863.10117713356</v>
          </cell>
          <cell r="M107">
            <v>14398.768563193993</v>
          </cell>
        </row>
        <row r="108">
          <cell r="B108">
            <v>501156</v>
          </cell>
          <cell r="G108">
            <v>1</v>
          </cell>
          <cell r="K108">
            <v>1</v>
          </cell>
          <cell r="L108">
            <v>0</v>
          </cell>
          <cell r="M108">
            <v>1754118.3155137517</v>
          </cell>
        </row>
        <row r="109">
          <cell r="B109">
            <v>501157</v>
          </cell>
          <cell r="G109">
            <v>1</v>
          </cell>
          <cell r="K109">
            <v>1</v>
          </cell>
          <cell r="L109">
            <v>1169027.6558433292</v>
          </cell>
          <cell r="M109">
            <v>72470.271103645166</v>
          </cell>
        </row>
        <row r="110">
          <cell r="B110">
            <v>501158</v>
          </cell>
          <cell r="G110">
            <v>1</v>
          </cell>
          <cell r="K110">
            <v>1</v>
          </cell>
          <cell r="L110">
            <v>50019.638446629731</v>
          </cell>
          <cell r="M110">
            <v>0</v>
          </cell>
        </row>
        <row r="111">
          <cell r="B111">
            <v>501159</v>
          </cell>
          <cell r="G111">
            <v>1</v>
          </cell>
          <cell r="K111">
            <v>1</v>
          </cell>
          <cell r="L111">
            <v>1281551.8452921435</v>
          </cell>
          <cell r="M111">
            <v>0</v>
          </cell>
        </row>
        <row r="112">
          <cell r="B112">
            <v>501160</v>
          </cell>
          <cell r="G112">
            <v>1</v>
          </cell>
          <cell r="K112">
            <v>1</v>
          </cell>
          <cell r="L112">
            <v>10921.400595246327</v>
          </cell>
          <cell r="M112">
            <v>1238.1578300057708</v>
          </cell>
        </row>
        <row r="113">
          <cell r="B113">
            <v>501161</v>
          </cell>
          <cell r="G113">
            <v>1</v>
          </cell>
          <cell r="K113">
            <v>1</v>
          </cell>
          <cell r="L113">
            <v>783218.60869611846</v>
          </cell>
          <cell r="M113">
            <v>1665039.9141674438</v>
          </cell>
        </row>
        <row r="114">
          <cell r="B114">
            <v>501166</v>
          </cell>
          <cell r="G114">
            <v>1</v>
          </cell>
          <cell r="K114">
            <v>1</v>
          </cell>
          <cell r="L114">
            <v>64233.033180996659</v>
          </cell>
          <cell r="M114">
            <v>270077.1700922664</v>
          </cell>
        </row>
        <row r="115">
          <cell r="B115">
            <v>501167</v>
          </cell>
          <cell r="G115">
            <v>1</v>
          </cell>
          <cell r="K115">
            <v>1</v>
          </cell>
          <cell r="L115">
            <v>329288.40384728531</v>
          </cell>
          <cell r="M115">
            <v>691.48902935545175</v>
          </cell>
        </row>
        <row r="116">
          <cell r="B116">
            <v>501168</v>
          </cell>
          <cell r="G116">
            <v>1</v>
          </cell>
          <cell r="K116">
            <v>1</v>
          </cell>
          <cell r="L116">
            <v>2578354.3365908787</v>
          </cell>
          <cell r="M116">
            <v>1229545.8561840903</v>
          </cell>
        </row>
        <row r="117">
          <cell r="B117">
            <v>501169</v>
          </cell>
          <cell r="G117">
            <v>1</v>
          </cell>
          <cell r="K117">
            <v>1</v>
          </cell>
          <cell r="L117">
            <v>11635.727233383852</v>
          </cell>
          <cell r="M117">
            <v>24364.546729655205</v>
          </cell>
        </row>
        <row r="118">
          <cell r="B118">
            <v>501170</v>
          </cell>
          <cell r="G118">
            <v>1</v>
          </cell>
          <cell r="K118">
            <v>1</v>
          </cell>
          <cell r="L118">
            <v>16404.53587186493</v>
          </cell>
          <cell r="M118">
            <v>0</v>
          </cell>
        </row>
        <row r="119">
          <cell r="B119">
            <v>501171</v>
          </cell>
          <cell r="G119">
            <v>1</v>
          </cell>
          <cell r="K119">
            <v>1</v>
          </cell>
          <cell r="L119">
            <v>98100.516035546883</v>
          </cell>
          <cell r="M119">
            <v>0</v>
          </cell>
        </row>
        <row r="120">
          <cell r="B120">
            <v>501172</v>
          </cell>
          <cell r="G120">
            <v>1</v>
          </cell>
          <cell r="K120">
            <v>1</v>
          </cell>
          <cell r="L120">
            <v>371788.22487356543</v>
          </cell>
          <cell r="M120">
            <v>62910.150714271476</v>
          </cell>
        </row>
        <row r="121">
          <cell r="B121">
            <v>501173</v>
          </cell>
          <cell r="G121">
            <v>1</v>
          </cell>
          <cell r="K121">
            <v>1</v>
          </cell>
          <cell r="L121">
            <v>145171.01882017168</v>
          </cell>
          <cell r="M121">
            <v>0</v>
          </cell>
        </row>
        <row r="122">
          <cell r="B122">
            <v>501174</v>
          </cell>
          <cell r="G122">
            <v>1</v>
          </cell>
          <cell r="K122">
            <v>1</v>
          </cell>
          <cell r="L122">
            <v>3000.4465729085096</v>
          </cell>
          <cell r="M122">
            <v>160.66936011356859</v>
          </cell>
        </row>
        <row r="123">
          <cell r="B123">
            <v>501175</v>
          </cell>
          <cell r="G123">
            <v>1</v>
          </cell>
          <cell r="K123">
            <v>1</v>
          </cell>
          <cell r="L123">
            <v>38412.739627994342</v>
          </cell>
          <cell r="M123">
            <v>40677.31184283342</v>
          </cell>
        </row>
        <row r="124">
          <cell r="B124">
            <v>501176</v>
          </cell>
          <cell r="G124">
            <v>1</v>
          </cell>
          <cell r="K124">
            <v>1</v>
          </cell>
          <cell r="L124">
            <v>484.75281808747661</v>
          </cell>
          <cell r="M124">
            <v>0</v>
          </cell>
        </row>
        <row r="125">
          <cell r="B125">
            <v>501178</v>
          </cell>
          <cell r="G125">
            <v>2</v>
          </cell>
          <cell r="K125">
            <v>2</v>
          </cell>
          <cell r="L125">
            <v>1857301.7479072427</v>
          </cell>
          <cell r="M125">
            <v>0</v>
          </cell>
        </row>
        <row r="126">
          <cell r="B126">
            <v>501179</v>
          </cell>
          <cell r="G126">
            <v>2</v>
          </cell>
          <cell r="K126">
            <v>2</v>
          </cell>
          <cell r="L126">
            <v>1163029.0219685819</v>
          </cell>
          <cell r="M126">
            <v>0</v>
          </cell>
        </row>
        <row r="127">
          <cell r="B127">
            <v>501180</v>
          </cell>
          <cell r="G127">
            <v>1</v>
          </cell>
          <cell r="K127">
            <v>1</v>
          </cell>
          <cell r="L127">
            <v>537274.83661516756</v>
          </cell>
          <cell r="M127">
            <v>0</v>
          </cell>
        </row>
        <row r="128">
          <cell r="B128">
            <v>501181</v>
          </cell>
          <cell r="G128">
            <v>1</v>
          </cell>
          <cell r="K128">
            <v>1</v>
          </cell>
          <cell r="L128">
            <v>378091.45769798319</v>
          </cell>
          <cell r="M128">
            <v>2081.5615038417045</v>
          </cell>
        </row>
        <row r="129">
          <cell r="B129">
            <v>501182</v>
          </cell>
          <cell r="G129">
            <v>1</v>
          </cell>
          <cell r="K129">
            <v>1</v>
          </cell>
          <cell r="L129">
            <v>123882.03649715545</v>
          </cell>
          <cell r="M129">
            <v>0</v>
          </cell>
        </row>
        <row r="130">
          <cell r="B130">
            <v>501186</v>
          </cell>
          <cell r="G130">
            <v>1</v>
          </cell>
          <cell r="K130">
            <v>1</v>
          </cell>
          <cell r="L130">
            <v>484.75281808747661</v>
          </cell>
          <cell r="M130">
            <v>0</v>
          </cell>
        </row>
        <row r="131">
          <cell r="B131">
            <v>501187</v>
          </cell>
          <cell r="G131">
            <v>1</v>
          </cell>
          <cell r="K131">
            <v>1</v>
          </cell>
          <cell r="L131">
            <v>484.75281808747661</v>
          </cell>
          <cell r="M131">
            <v>0</v>
          </cell>
        </row>
        <row r="132">
          <cell r="B132">
            <v>501188</v>
          </cell>
          <cell r="G132">
            <v>1</v>
          </cell>
          <cell r="K132">
            <v>1</v>
          </cell>
          <cell r="L132">
            <v>2011.8726308045188</v>
          </cell>
          <cell r="M132">
            <v>0</v>
          </cell>
        </row>
        <row r="133">
          <cell r="B133">
            <v>501190</v>
          </cell>
          <cell r="G133">
            <v>1</v>
          </cell>
          <cell r="K133">
            <v>1</v>
          </cell>
          <cell r="L133">
            <v>646761.86672108679</v>
          </cell>
          <cell r="M133">
            <v>9690.1677207495595</v>
          </cell>
        </row>
        <row r="134">
          <cell r="B134">
            <v>501191</v>
          </cell>
          <cell r="G134">
            <v>1</v>
          </cell>
          <cell r="K134">
            <v>1</v>
          </cell>
          <cell r="L134">
            <v>288393.48398599337</v>
          </cell>
          <cell r="M134">
            <v>1199.4008249139354</v>
          </cell>
        </row>
        <row r="135">
          <cell r="B135">
            <v>501192</v>
          </cell>
          <cell r="G135">
            <v>1</v>
          </cell>
          <cell r="K135">
            <v>1</v>
          </cell>
          <cell r="L135">
            <v>267657.10847021738</v>
          </cell>
          <cell r="M135">
            <v>4487.1438864683823</v>
          </cell>
        </row>
        <row r="136">
          <cell r="B136">
            <v>501200</v>
          </cell>
          <cell r="G136">
            <v>1</v>
          </cell>
          <cell r="K136">
            <v>1</v>
          </cell>
          <cell r="L136">
            <v>19509.944699029111</v>
          </cell>
          <cell r="M136">
            <v>0</v>
          </cell>
        </row>
        <row r="137">
          <cell r="B137">
            <v>501193</v>
          </cell>
          <cell r="G137">
            <v>1</v>
          </cell>
          <cell r="K137">
            <v>1</v>
          </cell>
          <cell r="L137">
            <v>221422.14133304355</v>
          </cell>
          <cell r="M137">
            <v>1756.4785939043079</v>
          </cell>
        </row>
        <row r="138">
          <cell r="B138">
            <v>501194</v>
          </cell>
          <cell r="G138">
            <v>1</v>
          </cell>
          <cell r="K138">
            <v>1</v>
          </cell>
          <cell r="L138">
            <v>846877.75387004483</v>
          </cell>
          <cell r="M138">
            <v>157005.93174278323</v>
          </cell>
        </row>
        <row r="139">
          <cell r="B139">
            <v>501195</v>
          </cell>
          <cell r="G139">
            <v>1</v>
          </cell>
          <cell r="K139">
            <v>1</v>
          </cell>
          <cell r="L139">
            <v>6022.8266705820224</v>
          </cell>
          <cell r="M139">
            <v>0.33362410936115322</v>
          </cell>
        </row>
        <row r="140">
          <cell r="B140">
            <v>501196</v>
          </cell>
          <cell r="G140">
            <v>1</v>
          </cell>
          <cell r="K140">
            <v>1</v>
          </cell>
          <cell r="L140">
            <v>11461.938667845265</v>
          </cell>
          <cell r="M140">
            <v>7789.0569178268497</v>
          </cell>
        </row>
        <row r="141">
          <cell r="B141">
            <v>501197</v>
          </cell>
          <cell r="G141">
            <v>1</v>
          </cell>
          <cell r="K141">
            <v>1</v>
          </cell>
          <cell r="L141">
            <v>227754.26769623702</v>
          </cell>
          <cell r="M141">
            <v>5.6937209136647482</v>
          </cell>
        </row>
        <row r="142">
          <cell r="B142">
            <v>501198</v>
          </cell>
          <cell r="G142">
            <v>1</v>
          </cell>
          <cell r="K142">
            <v>1</v>
          </cell>
          <cell r="L142">
            <v>36276.829078811359</v>
          </cell>
          <cell r="M142">
            <v>0</v>
          </cell>
        </row>
        <row r="143">
          <cell r="B143">
            <v>501201</v>
          </cell>
          <cell r="G143">
            <v>1</v>
          </cell>
          <cell r="K143">
            <v>1</v>
          </cell>
          <cell r="L143">
            <v>2.3283064365386963E-10</v>
          </cell>
          <cell r="M143">
            <v>1636448.7624552718</v>
          </cell>
        </row>
        <row r="144">
          <cell r="B144">
            <v>501203</v>
          </cell>
          <cell r="G144">
            <v>1</v>
          </cell>
          <cell r="K144">
            <v>1</v>
          </cell>
          <cell r="L144">
            <v>5316.0525569732545</v>
          </cell>
          <cell r="M144">
            <v>47.615653226526746</v>
          </cell>
        </row>
        <row r="145">
          <cell r="B145">
            <v>501204</v>
          </cell>
          <cell r="G145">
            <v>1</v>
          </cell>
          <cell r="K145">
            <v>1</v>
          </cell>
          <cell r="L145">
            <v>522.0843073152688</v>
          </cell>
          <cell r="M145">
            <v>0</v>
          </cell>
        </row>
        <row r="146">
          <cell r="B146">
            <v>501205</v>
          </cell>
          <cell r="G146">
            <v>1</v>
          </cell>
          <cell r="K146">
            <v>1</v>
          </cell>
          <cell r="L146">
            <v>522.0843073152688</v>
          </cell>
          <cell r="M146">
            <v>0</v>
          </cell>
        </row>
        <row r="147">
          <cell r="B147">
            <v>501206</v>
          </cell>
          <cell r="G147">
            <v>1</v>
          </cell>
          <cell r="K147">
            <v>1</v>
          </cell>
          <cell r="L147">
            <v>297.48491079217536</v>
          </cell>
          <cell r="M147">
            <v>0.30808863099428246</v>
          </cell>
        </row>
        <row r="148">
          <cell r="B148">
            <v>501208</v>
          </cell>
          <cell r="G148">
            <v>1</v>
          </cell>
          <cell r="K148">
            <v>1</v>
          </cell>
          <cell r="L148">
            <v>135930.76874511084</v>
          </cell>
          <cell r="M148">
            <v>128107.59338438734</v>
          </cell>
        </row>
        <row r="149">
          <cell r="B149">
            <v>501209</v>
          </cell>
          <cell r="G149">
            <v>1</v>
          </cell>
          <cell r="K149">
            <v>1</v>
          </cell>
          <cell r="L149">
            <v>6800910.2145832106</v>
          </cell>
          <cell r="M149">
            <v>850863.28767678188</v>
          </cell>
        </row>
        <row r="150">
          <cell r="B150">
            <v>501210</v>
          </cell>
          <cell r="G150">
            <v>1</v>
          </cell>
          <cell r="K150">
            <v>1</v>
          </cell>
          <cell r="L150">
            <v>1462039.6677783153</v>
          </cell>
          <cell r="M150">
            <v>0</v>
          </cell>
        </row>
        <row r="151">
          <cell r="B151">
            <v>501211</v>
          </cell>
          <cell r="G151">
            <v>1</v>
          </cell>
          <cell r="K151">
            <v>1</v>
          </cell>
          <cell r="L151">
            <v>11952.504323794798</v>
          </cell>
          <cell r="M151">
            <v>53882.60687026786</v>
          </cell>
        </row>
        <row r="152">
          <cell r="B152">
            <v>501213</v>
          </cell>
          <cell r="G152">
            <v>1</v>
          </cell>
          <cell r="K152">
            <v>1</v>
          </cell>
          <cell r="L152">
            <v>182954.41588211292</v>
          </cell>
          <cell r="M152">
            <v>108724.16368625307</v>
          </cell>
        </row>
        <row r="153">
          <cell r="B153">
            <v>501216</v>
          </cell>
          <cell r="G153">
            <v>1</v>
          </cell>
          <cell r="K153">
            <v>1</v>
          </cell>
          <cell r="L153">
            <v>1157172.6983662739</v>
          </cell>
          <cell r="M153">
            <v>0</v>
          </cell>
        </row>
        <row r="154">
          <cell r="B154">
            <v>501223</v>
          </cell>
          <cell r="G154">
            <v>1</v>
          </cell>
          <cell r="K154">
            <v>1</v>
          </cell>
          <cell r="L154">
            <v>328429.01844754058</v>
          </cell>
          <cell r="M154">
            <v>0</v>
          </cell>
        </row>
        <row r="155">
          <cell r="B155">
            <v>501217</v>
          </cell>
          <cell r="G155">
            <v>2</v>
          </cell>
          <cell r="K155">
            <v>1</v>
          </cell>
          <cell r="L155">
            <v>664.20035223597949</v>
          </cell>
          <cell r="M155">
            <v>0</v>
          </cell>
        </row>
        <row r="156">
          <cell r="B156">
            <v>501218</v>
          </cell>
          <cell r="G156">
            <v>1</v>
          </cell>
          <cell r="K156">
            <v>1</v>
          </cell>
          <cell r="L156">
            <v>109734.88481234686</v>
          </cell>
          <cell r="M156">
            <v>41886.652158536803</v>
          </cell>
        </row>
        <row r="157">
          <cell r="B157">
            <v>501219</v>
          </cell>
          <cell r="G157">
            <v>1</v>
          </cell>
          <cell r="K157">
            <v>1</v>
          </cell>
          <cell r="L157">
            <v>3861321.2585941954</v>
          </cell>
          <cell r="M157">
            <v>2630.9877660457596</v>
          </cell>
        </row>
        <row r="158">
          <cell r="B158">
            <v>501220</v>
          </cell>
          <cell r="G158">
            <v>1</v>
          </cell>
          <cell r="K158">
            <v>1</v>
          </cell>
          <cell r="L158">
            <v>302363.4454965422</v>
          </cell>
          <cell r="M158">
            <v>14245.357217055349</v>
          </cell>
        </row>
        <row r="159">
          <cell r="B159">
            <v>501222</v>
          </cell>
          <cell r="G159">
            <v>1</v>
          </cell>
          <cell r="K159">
            <v>1</v>
          </cell>
          <cell r="L159">
            <v>540645.13427192089</v>
          </cell>
          <cell r="M159">
            <v>964.91482471372228</v>
          </cell>
        </row>
        <row r="160">
          <cell r="B160">
            <v>501224</v>
          </cell>
          <cell r="G160">
            <v>1</v>
          </cell>
          <cell r="K160">
            <v>1</v>
          </cell>
          <cell r="L160">
            <v>162000.77950227662</v>
          </cell>
          <cell r="M160">
            <v>154826.77627587615</v>
          </cell>
        </row>
        <row r="161">
          <cell r="B161">
            <v>501232</v>
          </cell>
          <cell r="G161">
            <v>1</v>
          </cell>
          <cell r="K161">
            <v>1</v>
          </cell>
          <cell r="L161">
            <v>231943.78898086352</v>
          </cell>
          <cell r="M161">
            <v>64237.602423299744</v>
          </cell>
        </row>
        <row r="162">
          <cell r="B162">
            <v>501233</v>
          </cell>
          <cell r="G162">
            <v>1</v>
          </cell>
          <cell r="K162">
            <v>1</v>
          </cell>
          <cell r="M162">
            <v>0</v>
          </cell>
        </row>
        <row r="163">
          <cell r="B163">
            <v>501240</v>
          </cell>
          <cell r="G163">
            <v>1</v>
          </cell>
          <cell r="K163">
            <v>1</v>
          </cell>
          <cell r="L163">
            <v>81366.399674083106</v>
          </cell>
          <cell r="M163">
            <v>0</v>
          </cell>
        </row>
        <row r="164">
          <cell r="B164">
            <v>501241</v>
          </cell>
          <cell r="G164">
            <v>1</v>
          </cell>
          <cell r="K164">
            <v>1</v>
          </cell>
          <cell r="L164">
            <v>20919.770741072403</v>
          </cell>
          <cell r="M164">
            <v>0</v>
          </cell>
        </row>
        <row r="165">
          <cell r="B165">
            <v>501246</v>
          </cell>
          <cell r="G165">
            <v>1</v>
          </cell>
          <cell r="K165">
            <v>1</v>
          </cell>
          <cell r="L165">
            <v>0</v>
          </cell>
          <cell r="M165">
            <v>0</v>
          </cell>
        </row>
        <row r="166">
          <cell r="B166">
            <v>501231</v>
          </cell>
          <cell r="G166">
            <v>1</v>
          </cell>
          <cell r="K166">
            <v>1</v>
          </cell>
          <cell r="L166">
            <v>50255.786358105528</v>
          </cell>
          <cell r="M166">
            <v>77166.600701308213</v>
          </cell>
        </row>
        <row r="167">
          <cell r="B167">
            <v>501242</v>
          </cell>
          <cell r="G167">
            <v>1</v>
          </cell>
          <cell r="K167">
            <v>1</v>
          </cell>
          <cell r="L167">
            <v>14652.64150071179</v>
          </cell>
          <cell r="M167">
            <v>393721.51218056545</v>
          </cell>
        </row>
        <row r="168">
          <cell r="B168" t="str">
            <v>EXIM/PFSB/BG-i/25/011</v>
          </cell>
          <cell r="G168">
            <v>1</v>
          </cell>
          <cell r="K168">
            <v>1</v>
          </cell>
          <cell r="M168">
            <v>768824.36564380373</v>
          </cell>
        </row>
        <row r="169">
          <cell r="B169" t="str">
            <v>EXIM/ACN/BG/25/009</v>
          </cell>
          <cell r="G169">
            <v>2</v>
          </cell>
          <cell r="K169">
            <v>2</v>
          </cell>
          <cell r="M169">
            <v>935.42452449518851</v>
          </cell>
        </row>
        <row r="170">
          <cell r="B170" t="str">
            <v>EXIM/BHP/SBLC/24/011(3)</v>
          </cell>
          <cell r="G170">
            <v>1</v>
          </cell>
          <cell r="K170">
            <v>1</v>
          </cell>
          <cell r="M170">
            <v>0</v>
          </cell>
        </row>
        <row r="171">
          <cell r="B171" t="str">
            <v>EXIM/DPSB/PB-i/18/057</v>
          </cell>
          <cell r="G171">
            <v>2</v>
          </cell>
          <cell r="K171">
            <v>2</v>
          </cell>
          <cell r="M171">
            <v>0</v>
          </cell>
        </row>
        <row r="172">
          <cell r="B172" t="str">
            <v>EXIM/HELMS/BG/24/044</v>
          </cell>
          <cell r="G172">
            <v>1</v>
          </cell>
          <cell r="K172">
            <v>1</v>
          </cell>
          <cell r="M172">
            <v>0</v>
          </cell>
        </row>
        <row r="173">
          <cell r="B173" t="str">
            <v>EXIM/HELMS/BG/24/044</v>
          </cell>
          <cell r="G173">
            <v>1</v>
          </cell>
          <cell r="K173">
            <v>1</v>
          </cell>
          <cell r="M173">
            <v>0</v>
          </cell>
        </row>
        <row r="174">
          <cell r="B174" t="str">
            <v>EXIM/HELMS/BG-i/25/012</v>
          </cell>
          <cell r="G174">
            <v>1</v>
          </cell>
          <cell r="K174">
            <v>1</v>
          </cell>
          <cell r="M174">
            <v>0</v>
          </cell>
        </row>
        <row r="175">
          <cell r="B175" t="str">
            <v>EXIM/PFSB/BG-1/24/064</v>
          </cell>
          <cell r="G175">
            <v>1</v>
          </cell>
          <cell r="K175">
            <v>1</v>
          </cell>
          <cell r="M175">
            <v>0</v>
          </cell>
        </row>
        <row r="176">
          <cell r="B176" t="str">
            <v>EXIM/PFSB/BG-1/24/064</v>
          </cell>
          <cell r="G176">
            <v>1</v>
          </cell>
          <cell r="K176">
            <v>1</v>
          </cell>
          <cell r="M176">
            <v>0</v>
          </cell>
        </row>
        <row r="177">
          <cell r="B177" t="str">
            <v>EXIM/PFSB/BG-i/25/011</v>
          </cell>
          <cell r="G177">
            <v>1</v>
          </cell>
          <cell r="K177">
            <v>1</v>
          </cell>
          <cell r="M177">
            <v>0</v>
          </cell>
        </row>
        <row r="178">
          <cell r="B178" t="str">
            <v>EXIM/URBAN/PB/24/002</v>
          </cell>
          <cell r="G178">
            <v>1</v>
          </cell>
          <cell r="K178">
            <v>1</v>
          </cell>
          <cell r="M178">
            <v>0</v>
          </cell>
        </row>
        <row r="179">
          <cell r="B179" t="str">
            <v>EXIM/URBAN/PB/24/078</v>
          </cell>
          <cell r="G179">
            <v>1</v>
          </cell>
          <cell r="K179">
            <v>1</v>
          </cell>
          <cell r="M179">
            <v>0</v>
          </cell>
        </row>
        <row r="180">
          <cell r="B180" t="str">
            <v>NEW ACCOUNT</v>
          </cell>
          <cell r="G180">
            <v>1</v>
          </cell>
          <cell r="K180">
            <v>1</v>
          </cell>
          <cell r="M180">
            <v>0</v>
          </cell>
        </row>
        <row r="182">
          <cell r="L182">
            <v>137630275.09319729</v>
          </cell>
          <cell r="M182">
            <v>20830351.101938665</v>
          </cell>
        </row>
        <row r="183">
          <cell r="L183">
            <v>0</v>
          </cell>
          <cell r="M183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CL CC May 25"/>
    </sheetNames>
    <sheetDataSet>
      <sheetData sheetId="0">
        <row r="1">
          <cell r="A1" t="str">
            <v>ECL CC May 25</v>
          </cell>
        </row>
        <row r="2">
          <cell r="A2" t="str">
            <v>SAP Number</v>
          </cell>
          <cell r="C2" t="str">
            <v>ECL CC May 25 (RM)</v>
          </cell>
        </row>
        <row r="3">
          <cell r="A3">
            <v>501125</v>
          </cell>
          <cell r="C3">
            <v>37378.793648906692</v>
          </cell>
        </row>
        <row r="4">
          <cell r="A4">
            <v>501111</v>
          </cell>
          <cell r="C4">
            <v>24936.892713152149</v>
          </cell>
        </row>
        <row r="5">
          <cell r="A5">
            <v>501172</v>
          </cell>
          <cell r="C5">
            <v>273.90635766435298</v>
          </cell>
        </row>
        <row r="6">
          <cell r="A6">
            <v>501129</v>
          </cell>
          <cell r="C6">
            <v>129903.27616598103</v>
          </cell>
        </row>
        <row r="7">
          <cell r="A7">
            <v>501209</v>
          </cell>
          <cell r="C7">
            <v>865561.71010376536</v>
          </cell>
        </row>
        <row r="8">
          <cell r="A8">
            <v>501161</v>
          </cell>
          <cell r="C8">
            <v>1202631.0703729601</v>
          </cell>
        </row>
        <row r="9">
          <cell r="A9" t="str">
            <v>EXIM/ACN/BG/25/009</v>
          </cell>
          <cell r="C9">
            <v>863.5700845820337</v>
          </cell>
        </row>
        <row r="10">
          <cell r="A10">
            <v>501231</v>
          </cell>
          <cell r="C10">
            <v>6308.4689190297559</v>
          </cell>
        </row>
        <row r="11">
          <cell r="A11">
            <v>501137</v>
          </cell>
          <cell r="C11">
            <v>25021.472672183114</v>
          </cell>
        </row>
        <row r="12">
          <cell r="A12">
            <v>501035</v>
          </cell>
          <cell r="C12">
            <v>1261.7809951069914</v>
          </cell>
        </row>
        <row r="13">
          <cell r="A13">
            <v>501086</v>
          </cell>
          <cell r="C13">
            <v>801061.91733563773</v>
          </cell>
        </row>
        <row r="14">
          <cell r="A14">
            <v>501156</v>
          </cell>
          <cell r="C14">
            <v>1600464.9577117686</v>
          </cell>
        </row>
        <row r="15">
          <cell r="A15">
            <v>501142</v>
          </cell>
          <cell r="C15">
            <v>409.61908509959426</v>
          </cell>
        </row>
        <row r="16">
          <cell r="A16">
            <v>501222</v>
          </cell>
          <cell r="C16">
            <v>797.2402529615548</v>
          </cell>
        </row>
        <row r="17">
          <cell r="A17">
            <v>501219</v>
          </cell>
          <cell r="C17">
            <v>2612.6128371735285</v>
          </cell>
        </row>
        <row r="18">
          <cell r="A18">
            <v>501112</v>
          </cell>
          <cell r="C18">
            <v>166320.84888674959</v>
          </cell>
        </row>
        <row r="19">
          <cell r="A19">
            <v>501232</v>
          </cell>
          <cell r="C19">
            <v>58370.458804332069</v>
          </cell>
        </row>
        <row r="20">
          <cell r="A20">
            <v>501181</v>
          </cell>
          <cell r="C20">
            <v>15999.349758449469</v>
          </cell>
        </row>
        <row r="21">
          <cell r="A21">
            <v>501208</v>
          </cell>
          <cell r="C21">
            <v>52896.914188460847</v>
          </cell>
        </row>
        <row r="22">
          <cell r="A22">
            <v>501242</v>
          </cell>
          <cell r="C22">
            <v>349524.10266387288</v>
          </cell>
        </row>
        <row r="23">
          <cell r="A23">
            <v>500784</v>
          </cell>
          <cell r="C23">
            <v>2526963.2412434937</v>
          </cell>
        </row>
        <row r="24">
          <cell r="A24">
            <v>501147</v>
          </cell>
          <cell r="C24">
            <v>27797.934799419891</v>
          </cell>
        </row>
        <row r="25">
          <cell r="A25">
            <v>501149</v>
          </cell>
          <cell r="C25">
            <v>544.33761988939477</v>
          </cell>
        </row>
        <row r="26">
          <cell r="A26">
            <v>501190</v>
          </cell>
          <cell r="C26">
            <v>9647.0196254108123</v>
          </cell>
        </row>
        <row r="27">
          <cell r="A27">
            <v>501130</v>
          </cell>
          <cell r="C27">
            <v>9.9043410663215354</v>
          </cell>
        </row>
        <row r="28">
          <cell r="A28">
            <v>501128</v>
          </cell>
          <cell r="C28">
            <v>167670.5724995434</v>
          </cell>
        </row>
        <row r="29">
          <cell r="A29">
            <v>501194</v>
          </cell>
          <cell r="C29">
            <v>145415.79139854023</v>
          </cell>
        </row>
        <row r="30">
          <cell r="A30">
            <v>501191</v>
          </cell>
          <cell r="C30">
            <v>1217.6915778764248</v>
          </cell>
        </row>
        <row r="31">
          <cell r="A31">
            <v>501192</v>
          </cell>
          <cell r="C31">
            <v>4555.6733595814803</v>
          </cell>
        </row>
        <row r="32">
          <cell r="A32">
            <v>501140</v>
          </cell>
          <cell r="C32">
            <v>1.2669649822970335</v>
          </cell>
        </row>
        <row r="33">
          <cell r="A33">
            <v>501195</v>
          </cell>
          <cell r="C33">
            <v>0.30869986765854512</v>
          </cell>
        </row>
        <row r="34">
          <cell r="A34">
            <v>501133</v>
          </cell>
          <cell r="C34">
            <v>63250.834355924453</v>
          </cell>
        </row>
        <row r="35">
          <cell r="A35">
            <v>501213</v>
          </cell>
          <cell r="C35">
            <v>100690.89190314231</v>
          </cell>
        </row>
        <row r="36">
          <cell r="A36">
            <v>501099</v>
          </cell>
          <cell r="C36">
            <v>17.117916630399474</v>
          </cell>
        </row>
        <row r="37">
          <cell r="A37">
            <v>501145</v>
          </cell>
          <cell r="C37">
            <v>25107.105470294817</v>
          </cell>
        </row>
        <row r="38">
          <cell r="A38">
            <v>501160</v>
          </cell>
          <cell r="C38">
            <v>1164.0623719550244</v>
          </cell>
        </row>
        <row r="39">
          <cell r="A39">
            <v>501220</v>
          </cell>
          <cell r="C39">
            <v>13140.825199941017</v>
          </cell>
        </row>
        <row r="40">
          <cell r="A40">
            <v>501201</v>
          </cell>
          <cell r="C40">
            <v>1515732.4897387698</v>
          </cell>
        </row>
        <row r="41">
          <cell r="A41">
            <v>501211</v>
          </cell>
          <cell r="C41">
            <v>49894.683634022702</v>
          </cell>
        </row>
        <row r="42">
          <cell r="A42">
            <v>500790</v>
          </cell>
          <cell r="C42">
            <v>1264186.1838389381</v>
          </cell>
        </row>
        <row r="43">
          <cell r="A43">
            <v>500783</v>
          </cell>
          <cell r="C43">
            <v>648997.82380724966</v>
          </cell>
        </row>
        <row r="44">
          <cell r="A44">
            <v>501174</v>
          </cell>
          <cell r="C44">
            <v>170.13923164282087</v>
          </cell>
        </row>
        <row r="45">
          <cell r="A45" t="str">
            <v>EXIM/OMS/BG(FG)/24/071</v>
          </cell>
          <cell r="C45">
            <v>40353.213280005431</v>
          </cell>
        </row>
        <row r="46">
          <cell r="A46" t="str">
            <v>EXIM/OMS/BG(FG)/24/072</v>
          </cell>
          <cell r="C46">
            <v>80706.426560010863</v>
          </cell>
        </row>
        <row r="47">
          <cell r="A47" t="str">
            <v>EXIM/OMS/BG(FG)/24/073</v>
          </cell>
          <cell r="C47">
            <v>295923.56405337312</v>
          </cell>
        </row>
        <row r="48">
          <cell r="A48" t="str">
            <v>EXIM/OMS/BG(FG)/24/074</v>
          </cell>
          <cell r="C48">
            <v>63412.192297151385</v>
          </cell>
        </row>
        <row r="49">
          <cell r="A49" t="str">
            <v>EXIM/OMS/BG(FG)/24/075</v>
          </cell>
          <cell r="C49">
            <v>57647.447542864902</v>
          </cell>
        </row>
        <row r="50">
          <cell r="A50" t="str">
            <v>EXIM/OMS/BG(FG)/24/076</v>
          </cell>
          <cell r="C50">
            <v>144118.61885716225</v>
          </cell>
        </row>
        <row r="51">
          <cell r="A51" t="str">
            <v>EXIM/OMS/BG(FG)/24/082</v>
          </cell>
          <cell r="C51">
            <v>21617.79282857434</v>
          </cell>
        </row>
        <row r="52">
          <cell r="A52" t="str">
            <v>EXIM/OMS/BG(FG)/24/083</v>
          </cell>
          <cell r="C52">
            <v>1441.1861885716223</v>
          </cell>
        </row>
        <row r="53">
          <cell r="A53" t="str">
            <v>EXIM/OMS/BG(FG)/24/084</v>
          </cell>
          <cell r="C53">
            <v>960.79079238108159</v>
          </cell>
        </row>
        <row r="54">
          <cell r="A54" t="str">
            <v>EXIM/OMS/BG(FG)/24/085</v>
          </cell>
          <cell r="C54">
            <v>960.79079238108159</v>
          </cell>
        </row>
        <row r="55">
          <cell r="A55" t="str">
            <v>EXIM/OMS/BG(FG)/24/086</v>
          </cell>
          <cell r="C55">
            <v>4323.5585657148677</v>
          </cell>
        </row>
        <row r="56">
          <cell r="A56" t="str">
            <v>EXIM/OMS/BG(FG)/25/002</v>
          </cell>
          <cell r="C56">
            <v>14669.879947112262</v>
          </cell>
        </row>
        <row r="57">
          <cell r="A57">
            <v>501168</v>
          </cell>
          <cell r="C57">
            <v>2022189.3089182205</v>
          </cell>
        </row>
        <row r="58">
          <cell r="A58" t="str">
            <v>EXIM/PFSB/BG-i/25/011</v>
          </cell>
          <cell r="C58">
            <v>709767.28221450758</v>
          </cell>
        </row>
        <row r="59">
          <cell r="A59">
            <v>500693</v>
          </cell>
          <cell r="C59">
            <v>32326.566070609064</v>
          </cell>
        </row>
        <row r="60">
          <cell r="A60">
            <v>500694</v>
          </cell>
          <cell r="C60">
            <v>945209.24683071766</v>
          </cell>
        </row>
        <row r="61">
          <cell r="A61">
            <v>501175</v>
          </cell>
          <cell r="C61">
            <v>37623.889329545105</v>
          </cell>
        </row>
        <row r="62">
          <cell r="A62">
            <v>501110</v>
          </cell>
          <cell r="C62">
            <v>106220.15922858057</v>
          </cell>
        </row>
        <row r="63">
          <cell r="A63">
            <v>501224</v>
          </cell>
          <cell r="C63">
            <v>143565.21567509635</v>
          </cell>
        </row>
        <row r="64">
          <cell r="A64">
            <v>501169</v>
          </cell>
          <cell r="C64">
            <v>22535.633949040839</v>
          </cell>
        </row>
        <row r="65">
          <cell r="A65">
            <v>501218</v>
          </cell>
          <cell r="C65">
            <v>38812.523855131898</v>
          </cell>
        </row>
        <row r="66">
          <cell r="A66">
            <v>500943</v>
          </cell>
          <cell r="C66">
            <v>431304.10106069391</v>
          </cell>
        </row>
        <row r="67">
          <cell r="A67">
            <v>501203</v>
          </cell>
          <cell r="C67">
            <v>48.222633685639877</v>
          </cell>
        </row>
        <row r="68">
          <cell r="A68">
            <v>501166</v>
          </cell>
          <cell r="C68">
            <v>253718.91629690217</v>
          </cell>
        </row>
        <row r="69">
          <cell r="A69">
            <v>501196</v>
          </cell>
          <cell r="C69">
            <v>7317.4667182758003</v>
          </cell>
        </row>
        <row r="70">
          <cell r="A70">
            <v>501124</v>
          </cell>
          <cell r="C70">
            <v>78966.751584001933</v>
          </cell>
        </row>
        <row r="71">
          <cell r="A71">
            <v>501127</v>
          </cell>
          <cell r="C71">
            <v>200.30916448561661</v>
          </cell>
        </row>
        <row r="72">
          <cell r="A72">
            <v>501155</v>
          </cell>
          <cell r="C72">
            <v>14750.80127592433</v>
          </cell>
        </row>
        <row r="73">
          <cell r="A73">
            <v>501070</v>
          </cell>
          <cell r="C73">
            <v>14854.868021955017</v>
          </cell>
        </row>
        <row r="74">
          <cell r="A74">
            <v>501079</v>
          </cell>
          <cell r="C74">
            <v>4624.3572355282513</v>
          </cell>
        </row>
        <row r="75">
          <cell r="A75" t="str">
            <v>EXIM/SMH/APB/25/003</v>
          </cell>
          <cell r="C75">
            <v>95024.643788583824</v>
          </cell>
        </row>
        <row r="76">
          <cell r="A76" t="str">
            <v>EXIM/SMH/TNBG/25/013</v>
          </cell>
          <cell r="C76">
            <v>65036.541597044612</v>
          </cell>
        </row>
        <row r="77">
          <cell r="A77" t="str">
            <v>EXIM/SMH/TNBG/25/014</v>
          </cell>
          <cell r="C77">
            <v>4064.7838498152882</v>
          </cell>
        </row>
        <row r="78">
          <cell r="A78" t="str">
            <v>EXIM/SMH/TNBG/25/015</v>
          </cell>
          <cell r="C78">
            <v>4064.7838498152882</v>
          </cell>
        </row>
        <row r="79">
          <cell r="A79" t="str">
            <v>EXIM/SMH/WBG/25/016</v>
          </cell>
          <cell r="C79">
            <v>42978.357929741374</v>
          </cell>
        </row>
        <row r="80">
          <cell r="A80">
            <v>501148</v>
          </cell>
          <cell r="C80">
            <v>33687.870670684657</v>
          </cell>
        </row>
        <row r="81">
          <cell r="A81">
            <v>501080</v>
          </cell>
          <cell r="C81">
            <v>3.5858662394329621</v>
          </cell>
        </row>
        <row r="82">
          <cell r="A82">
            <v>501136</v>
          </cell>
          <cell r="C82">
            <v>5.79919421656985</v>
          </cell>
        </row>
        <row r="83">
          <cell r="A83">
            <v>501193</v>
          </cell>
          <cell r="C83">
            <v>1773.8242652983608</v>
          </cell>
        </row>
        <row r="84">
          <cell r="A84">
            <v>501119</v>
          </cell>
          <cell r="C84">
            <v>48460.033289441839</v>
          </cell>
        </row>
        <row r="85">
          <cell r="A85">
            <v>501134</v>
          </cell>
          <cell r="C85">
            <v>1367.8066861317375</v>
          </cell>
        </row>
        <row r="86">
          <cell r="A86">
            <v>501121</v>
          </cell>
          <cell r="C86">
            <v>65.476141461619676</v>
          </cell>
        </row>
        <row r="87">
          <cell r="A87">
            <v>501123</v>
          </cell>
          <cell r="C87">
            <v>32603.025305223298</v>
          </cell>
        </row>
        <row r="88">
          <cell r="A88">
            <v>501049</v>
          </cell>
          <cell r="C88">
            <v>75.106559884721321</v>
          </cell>
        </row>
        <row r="89">
          <cell r="A89">
            <v>500605</v>
          </cell>
          <cell r="C89">
            <v>40511.115863753352</v>
          </cell>
        </row>
        <row r="90">
          <cell r="A90">
            <v>501157</v>
          </cell>
          <cell r="C90">
            <v>66138.098976176654</v>
          </cell>
        </row>
        <row r="91">
          <cell r="A91">
            <v>501167</v>
          </cell>
          <cell r="C91">
            <v>630.52003167096586</v>
          </cell>
        </row>
        <row r="92">
          <cell r="A92">
            <v>501092</v>
          </cell>
          <cell r="C92">
            <v>58612.458606751359</v>
          </cell>
        </row>
        <row r="93">
          <cell r="A93">
            <v>501197</v>
          </cell>
          <cell r="C93">
            <v>5.2711160760772815</v>
          </cell>
        </row>
        <row r="94">
          <cell r="A94" t="str">
            <v>TOTAL</v>
          </cell>
          <cell r="C94">
            <v>17994055.048512232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'matul A'in binti Japilos" refreshedDate="45817.56395196759" createdVersion="8" refreshedVersion="8" minRefreshableVersion="3" recordCount="163" xr:uid="{49C58EC6-B4C0-477C-8AC7-BFBF8565D5FD}">
  <cacheSource type="worksheet">
    <worksheetSource ref="A2:T165" sheet="ECL"/>
  </cacheSource>
  <cacheFields count="19">
    <cacheField name="facility_exim_account_num" numFmtId="0">
      <sharedItems/>
    </cacheField>
    <cacheField name="Finance (SAP) Number" numFmtId="0">
      <sharedItems containsMixedTypes="1" containsNumber="1" containsInteger="1" minValue="500400" maxValue="501242"/>
    </cacheField>
    <cacheField name="Type of Financing" numFmtId="0">
      <sharedItems count="2">
        <s v="Islamic"/>
        <s v="Conventional"/>
      </sharedItems>
    </cacheField>
    <cacheField name="Borrower name" numFmtId="0">
      <sharedItems/>
    </cacheField>
    <cacheField name="Currency" numFmtId="0">
      <sharedItems/>
    </cacheField>
    <cacheField name="Watchlist (Yes/No)" numFmtId="0">
      <sharedItems/>
    </cacheField>
    <cacheField name="Undrawn/BG" numFmtId="0">
      <sharedItems count="2">
        <s v="Undrawn"/>
        <s v="BG"/>
      </sharedItems>
    </cacheField>
    <cacheField name="MFRS staging " numFmtId="0">
      <sharedItems containsSemiMixedTypes="0" containsString="0" containsNumber="1" containsInteger="1" minValue="1" maxValue="2" count="2">
        <n v="1"/>
        <n v="2"/>
      </sharedItems>
    </cacheField>
    <cacheField name="MFRS staging 2" numFmtId="0">
      <sharedItems containsSemiMixedTypes="0" containsString="0" containsNumber="1" containsInteger="1" minValue="1" maxValue="2" count="2">
        <n v="1"/>
        <n v="2"/>
      </sharedItems>
    </cacheField>
    <cacheField name="Staging movement" numFmtId="0">
      <sharedItems/>
    </cacheField>
    <cacheField name="ECL - May 2025" numFmtId="164">
      <sharedItems containsSemiMixedTypes="0" containsString="0" containsNumber="1" minValue="0" maxValue="26678004.807748321"/>
    </cacheField>
    <cacheField name="Total ECL MYR (LAF)" numFmtId="164">
      <sharedItems containsSemiMixedTypes="0" containsString="0" containsNumber="1" minValue="-127728.062203889" maxValue="26678004.807748321"/>
    </cacheField>
    <cacheField name="Total ECL MYR (C&amp;C)" numFmtId="164">
      <sharedItems containsSemiMixedTypes="0" containsString="0" containsNumber="1" minValue="0" maxValue="2526963.2412434937"/>
    </cacheField>
    <cacheField name="ECL - April 2025" numFmtId="164">
      <sharedItems containsSemiMixedTypes="0" containsString="0" containsNumber="1" minValue="0" maxValue="26940838.529574115"/>
    </cacheField>
    <cacheField name="Total ECL MYR (LAF)2" numFmtId="164">
      <sharedItems containsSemiMixedTypes="0" containsString="0" containsNumber="1" minValue="0" maxValue="26940838.529574115"/>
    </cacheField>
    <cacheField name="Total ECL MYR (C&amp;C)2" numFmtId="164">
      <sharedItems containsSemiMixedTypes="0" containsString="0" containsNumber="1" minValue="0" maxValue="4508684.5186674111"/>
    </cacheField>
    <cacheField name="ECL - May 20252" numFmtId="164">
      <sharedItems containsSemiMixedTypes="0" containsString="0" containsNumber="1" minValue="-1971544.5900139324" maxValue="1514892.8449857719"/>
    </cacheField>
    <cacheField name="Total ECL MYR (LAF)3" numFmtId="164">
      <sharedItems containsSemiMixedTypes="0" containsString="0" containsNumber="1" minValue="-1971544.5900139324" maxValue="3496614.1224096892"/>
    </cacheField>
    <cacheField name="Total ECL MYR (C&amp;C)3" numFmtId="164">
      <sharedItems containsSemiMixedTypes="0" containsString="0" containsNumber="1" minValue="-1981721.2774239173" maxValue="792643.45273413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3">
  <r>
    <s v="330801137107039000"/>
    <n v="501180"/>
    <x v="0"/>
    <s v="AEMULUS CORPORATION SDN BHD "/>
    <s v="MYR"/>
    <s v="No"/>
    <x v="0"/>
    <x v="0"/>
    <x v="0"/>
    <b v="1"/>
    <n v="527551.76705231087"/>
    <n v="527551.76705231087"/>
    <n v="0"/>
    <n v="537274.83661516756"/>
    <n v="537274.83661516756"/>
    <n v="0"/>
    <n v="-9723.06956285669"/>
    <n v="-9723.06956285669"/>
    <n v="0"/>
  </r>
  <r>
    <s v="330801137110032900"/>
    <n v="501125"/>
    <x v="0"/>
    <s v="AESCOMED HEALTHCARE SDN BHD "/>
    <s v="MYR"/>
    <s v="No"/>
    <x v="0"/>
    <x v="0"/>
    <x v="0"/>
    <b v="1"/>
    <n v="50584.345181535406"/>
    <n v="13205.551532628713"/>
    <n v="37378.793648906692"/>
    <n v="40387.189608465589"/>
    <n v="0"/>
    <n v="40387.189608465589"/>
    <n v="10197.155573069816"/>
    <n v="13205.551532628713"/>
    <n v="-3008.3959595588967"/>
  </r>
  <r>
    <s v="330801137110036300"/>
    <n v="501172"/>
    <x v="0"/>
    <s v="AGRO 19 BERHAD"/>
    <s v="MYR"/>
    <s v="No"/>
    <x v="0"/>
    <x v="0"/>
    <x v="0"/>
    <b v="1"/>
    <n v="397811.32710151945"/>
    <n v="397537.42074385507"/>
    <n v="273.90635766435298"/>
    <n v="434698.3755878369"/>
    <n v="371788.22487356543"/>
    <n v="62910.150714271476"/>
    <n v="-36887.04848631745"/>
    <n v="25749.195870289637"/>
    <n v="-62636.244356607123"/>
  </r>
  <r>
    <s v="330801137132031000"/>
    <n v="501111"/>
    <x v="0"/>
    <s v="AGRO 19 BERHAD"/>
    <s v="MYR"/>
    <s v="No"/>
    <x v="0"/>
    <x v="0"/>
    <x v="0"/>
    <b v="1"/>
    <n v="327189.11254282744"/>
    <n v="302252.21982967528"/>
    <n v="24936.892713152149"/>
    <n v="162512.85362903279"/>
    <n v="160424.69995885968"/>
    <n v="2088.1536701731047"/>
    <n v="164676.25891379465"/>
    <n v="141827.51987081559"/>
    <n v="22848.739042979043"/>
  </r>
  <r>
    <s v="330801137110037500"/>
    <n v="501166"/>
    <x v="0"/>
    <s v="AGRO 19 INDUSTRIES SDN BHD (FORMERLY KNOWN AS RR INDUSTRIES SDN BHD)"/>
    <s v="MYR"/>
    <s v="No"/>
    <x v="0"/>
    <x v="0"/>
    <x v="0"/>
    <b v="1"/>
    <n v="125990.85409301317"/>
    <n v="-127728.062203889"/>
    <n v="253718.91629690217"/>
    <n v="334310.20327326306"/>
    <n v="64233.033180996659"/>
    <n v="270077.1700922664"/>
    <n v="-208319.3491802499"/>
    <n v="-191961.09538488567"/>
    <n v="-16358.253795364231"/>
  </r>
  <r>
    <s v="330801137107035701"/>
    <n v="501173"/>
    <x v="0"/>
    <s v="AGRO 19 INDUSTRIES SDN BHD (FORMERLY KNOWN AS RR INDUSTRIES SDN BHD)"/>
    <s v="MYR"/>
    <s v="No"/>
    <x v="0"/>
    <x v="0"/>
    <x v="0"/>
    <b v="1"/>
    <n v="45854.136309094261"/>
    <n v="45854.136309094261"/>
    <n v="0"/>
    <n v="145171.01882017168"/>
    <n v="145171.01882017168"/>
    <n v="0"/>
    <n v="-99316.88251107742"/>
    <n v="-99316.88251107742"/>
    <n v="0"/>
  </r>
  <r>
    <s v="330801137110033100"/>
    <n v="501129"/>
    <x v="0"/>
    <s v="AMC CINCARIA SDN. BHD."/>
    <s v="MYR"/>
    <s v="No"/>
    <x v="0"/>
    <x v="0"/>
    <x v="0"/>
    <b v="1"/>
    <n v="141793.86798746651"/>
    <n v="11890.591821485476"/>
    <n v="129903.27616598103"/>
    <n v="143012.57741018356"/>
    <n v="2617.2923430629889"/>
    <n v="140395.28506712057"/>
    <n v="-1218.7094227170455"/>
    <n v="9273.2994784224866"/>
    <n v="-10492.008901139532"/>
  </r>
  <r>
    <s v="330803137102038900"/>
    <n v="501209"/>
    <x v="0"/>
    <s v="AMCORP PROPERTIES BERHAD"/>
    <s v="GBP"/>
    <s v="No"/>
    <x v="0"/>
    <x v="0"/>
    <x v="0"/>
    <b v="1"/>
    <n v="7674598.3600000003"/>
    <n v="6809036.6498962352"/>
    <n v="865561.71010376536"/>
    <n v="7651773.5022599921"/>
    <n v="6800910.2145832106"/>
    <n v="850863.28767678188"/>
    <n v="22824.857740008272"/>
    <n v="8126.4353130245581"/>
    <n v="14698.422426983481"/>
  </r>
  <r>
    <s v="330801137120035600"/>
    <n v="501161"/>
    <x v="0"/>
    <s v="ANN JOO INTEGRATED STEEL SDN BHD"/>
    <s v="MYR"/>
    <s v="No"/>
    <x v="0"/>
    <x v="0"/>
    <x v="0"/>
    <b v="1"/>
    <n v="2457186.7691311948"/>
    <n v="1254555.6987582347"/>
    <n v="1202631.0703729601"/>
    <n v="2448258.5228635622"/>
    <n v="783218.60869611846"/>
    <n v="1665039.9141674438"/>
    <n v="8928.2462676325813"/>
    <n v="471337.09006211627"/>
    <n v="-462408.84379448369"/>
  </r>
  <r>
    <s v="330801137107031400"/>
    <n v="501116"/>
    <x v="0"/>
    <s v="ASIA CARGO NETWORK SDN BHD"/>
    <s v="MYR"/>
    <s v="Yes"/>
    <x v="0"/>
    <x v="1"/>
    <x v="1"/>
    <b v="1"/>
    <n v="75798.328925910435"/>
    <n v="75798.328925910435"/>
    <n v="0"/>
    <n v="78211.978022153708"/>
    <n v="78211.978022153708"/>
    <n v="0"/>
    <n v="-2413.6490962432727"/>
    <n v="-2413.6490962432727"/>
    <n v="0"/>
  </r>
  <r>
    <s v="330801137121031500"/>
    <n v="501117"/>
    <x v="0"/>
    <s v="ASIA CARGO NETWORK SDN BHD"/>
    <s v="MYR"/>
    <s v="Yes"/>
    <x v="0"/>
    <x v="1"/>
    <x v="1"/>
    <b v="1"/>
    <n v="8483.5709320392525"/>
    <n v="8483.5709320392525"/>
    <n v="0"/>
    <n v="2431.313062855088"/>
    <n v="2431.313062855088"/>
    <n v="0"/>
    <n v="6052.2578691841645"/>
    <n v="6052.2578691841645"/>
    <n v="0"/>
  </r>
  <r>
    <s v="330801137117031300"/>
    <s v="EXIM/ACN/BG/25/009"/>
    <x v="0"/>
    <s v="Asia Cargo Network Sdn Bhd\n(WATCHLIST)"/>
    <s v="MYR"/>
    <s v="Yes"/>
    <x v="1"/>
    <x v="1"/>
    <x v="1"/>
    <b v="1"/>
    <n v="1909.856060559418"/>
    <n v="1046.2859759773842"/>
    <n v="863.5700845820337"/>
    <n v="935.42452449518851"/>
    <n v="0"/>
    <n v="935.42452449518851"/>
    <n v="974.43153606422948"/>
    <n v="1046.2859759773842"/>
    <n v="-71.854439913154806"/>
  </r>
  <r>
    <s v="330801137110040000"/>
    <n v="501231"/>
    <x v="0"/>
    <s v="A-T PRECISION ENGINEERING SDN. BHD."/>
    <s v="MYR"/>
    <s v="No"/>
    <x v="0"/>
    <x v="0"/>
    <x v="0"/>
    <b v="1"/>
    <n v="172985.77267252805"/>
    <n v="166677.3037534983"/>
    <n v="6308.4689190297559"/>
    <n v="127422.38705941374"/>
    <n v="50255.786358105528"/>
    <n v="77166.600701308213"/>
    <n v="45563.385613114311"/>
    <n v="116421.51739539277"/>
    <n v="-70858.131782278462"/>
  </r>
  <r>
    <s v="330801137110034100"/>
    <n v="501137"/>
    <x v="0"/>
    <s v="BERTAMBEST SDN. BHD."/>
    <s v="MYR"/>
    <s v="No"/>
    <x v="0"/>
    <x v="0"/>
    <x v="0"/>
    <b v="1"/>
    <n v="169729.95163516834"/>
    <n v="144708.47896298522"/>
    <n v="25021.472672183114"/>
    <n v="32999.226768003267"/>
    <n v="5970.9863389761304"/>
    <n v="27028.240429027137"/>
    <n v="136730.72486716509"/>
    <n v="138737.49262400909"/>
    <n v="-2006.7677568440231"/>
  </r>
  <r>
    <s v="330801137110032800"/>
    <n v="501131"/>
    <x v="0"/>
    <s v="BHAVANI FOODS (M) SDN BHD"/>
    <s v="MYR"/>
    <s v="No"/>
    <x v="0"/>
    <x v="0"/>
    <x v="0"/>
    <b v="1"/>
    <n v="1260.7226182012457"/>
    <n v="1260.7226182012457"/>
    <n v="0"/>
    <n v="1320.853933008392"/>
    <n v="867.29913979483399"/>
    <n v="453.55479321355807"/>
    <n v="-60.131314807146282"/>
    <n v="393.42347840641173"/>
    <n v="-453.55479321355807"/>
  </r>
  <r>
    <s v="330801137107031600"/>
    <n v="501114"/>
    <x v="0"/>
    <s v="BHAVANI FOODS (M) SDN BHD"/>
    <s v="MYR"/>
    <s v="No"/>
    <x v="0"/>
    <x v="0"/>
    <x v="0"/>
    <b v="1"/>
    <n v="1156.9391344204801"/>
    <n v="1156.9391344204801"/>
    <n v="0"/>
    <n v="1185.7281678983477"/>
    <n v="1185.7281678983477"/>
    <n v="0"/>
    <n v="-28.789033477867633"/>
    <n v="-28.789033477867633"/>
    <n v="0"/>
  </r>
  <r>
    <s v="330801137107030900"/>
    <n v="501109"/>
    <x v="0"/>
    <s v="BIFORST LOGISTICS SDN. BHD."/>
    <s v="MYR"/>
    <s v="Yes"/>
    <x v="0"/>
    <x v="1"/>
    <x v="1"/>
    <b v="1"/>
    <n v="99290.545590443086"/>
    <n v="99290.545590443086"/>
    <n v="0"/>
    <n v="98608.531568804508"/>
    <n v="98608.531568804508"/>
    <n v="0"/>
    <n v="682.01402163857711"/>
    <n v="682.01402163857711"/>
    <n v="0"/>
  </r>
  <r>
    <s v="330801137107030700"/>
    <n v="501108"/>
    <x v="0"/>
    <s v="BIFORST LOGISTICS SDN. BHD."/>
    <s v="MYR"/>
    <s v="Yes"/>
    <x v="0"/>
    <x v="1"/>
    <x v="1"/>
    <b v="1"/>
    <n v="37612.825628360188"/>
    <n v="37612.825628360188"/>
    <n v="0"/>
    <n v="33092.324948873196"/>
    <n v="33092.324948873196"/>
    <n v="0"/>
    <n v="4520.5006794869914"/>
    <n v="4520.5006794869914"/>
    <n v="0"/>
  </r>
  <r>
    <s v="330801137107030500"/>
    <n v="501106"/>
    <x v="0"/>
    <s v="BIFORST LOGISTICS SDN. BHD."/>
    <s v="MYR"/>
    <s v="Yes"/>
    <x v="0"/>
    <x v="1"/>
    <x v="1"/>
    <b v="1"/>
    <n v="99010.221555797514"/>
    <n v="99010.221555797514"/>
    <n v="0"/>
    <n v="87110.667443166865"/>
    <n v="87110.667443166865"/>
    <n v="0"/>
    <n v="11899.554112630649"/>
    <n v="11899.554112630649"/>
    <n v="0"/>
  </r>
  <r>
    <s v="330801137107030600"/>
    <n v="501107"/>
    <x v="0"/>
    <s v="BIFORST LOGISTICS SDN. BHD."/>
    <s v="MYR"/>
    <s v="Yes"/>
    <x v="0"/>
    <x v="1"/>
    <x v="1"/>
    <b v="1"/>
    <n v="98457.10087180011"/>
    <n v="98457.10087180011"/>
    <n v="0"/>
    <n v="84731.832635017126"/>
    <n v="84731.832635017126"/>
    <n v="0"/>
    <n v="13725.268236782984"/>
    <n v="13725.268236782984"/>
    <n v="0"/>
  </r>
  <r>
    <s v="330801137110026200"/>
    <n v="501035"/>
    <x v="0"/>
    <s v="BIO ENECO SDN BHD"/>
    <s v="MYR"/>
    <s v="No"/>
    <x v="0"/>
    <x v="0"/>
    <x v="0"/>
    <b v="1"/>
    <n v="1366.9582745778041"/>
    <n v="105.17727947081266"/>
    <n v="1261.7809951069914"/>
    <n v="1366.7393497207097"/>
    <n v="0"/>
    <n v="1366.7393497207097"/>
    <n v="0.21892485709440734"/>
    <n v="105.17727947081266"/>
    <n v="-104.95835461371826"/>
  </r>
  <r>
    <s v="330802137110035500"/>
    <n v="501156"/>
    <x v="0"/>
    <s v="BOUSTEAD PETROLEUM MARKETING SDN BHD"/>
    <s v="USD"/>
    <s v="No"/>
    <x v="0"/>
    <x v="0"/>
    <x v="0"/>
    <b v="1"/>
    <n v="1726760.6071014029"/>
    <n v="126295.64938963437"/>
    <n v="1600464.9577117686"/>
    <n v="1754118.3155137517"/>
    <n v="0"/>
    <n v="1754118.3155137517"/>
    <n v="-27357.708412348758"/>
    <n v="126295.64938963437"/>
    <n v="-153653.35780198313"/>
  </r>
  <r>
    <s v="330802137121029400"/>
    <n v="501086"/>
    <x v="0"/>
    <s v="BOUSTEAD PETROLEUM MARKETING SDN BHD"/>
    <s v="USD"/>
    <s v="No"/>
    <x v="0"/>
    <x v="0"/>
    <x v="0"/>
    <b v="1"/>
    <n v="864358.60339430207"/>
    <n v="63296.686058664345"/>
    <n v="801061.91733563773"/>
    <n v="878055.69652398222"/>
    <n v="0"/>
    <n v="878055.69652398222"/>
    <n v="-13697.093129680143"/>
    <n v="63296.686058664345"/>
    <n v="-76993.779188344488"/>
  </r>
  <r>
    <s v="330802138107035200"/>
    <n v="501159"/>
    <x v="0"/>
    <s v="BUMI ARMADA HOLDINGS LABUAN LIMITED"/>
    <s v="USD"/>
    <s v="No"/>
    <x v="0"/>
    <x v="0"/>
    <x v="0"/>
    <b v="1"/>
    <n v="1271819.7854136492"/>
    <n v="1271819.7854136492"/>
    <n v="0"/>
    <n v="1281551.8452921435"/>
    <n v="1281551.8452921435"/>
    <n v="0"/>
    <n v="-9732.0598784943577"/>
    <n v="-9732.0598784943577"/>
    <n v="0"/>
  </r>
  <r>
    <s v="330802138200030000"/>
    <n v="501100"/>
    <x v="1"/>
    <s v="BUMI ARMADA HOLDINGS LABUAN LIMITED"/>
    <s v="USD"/>
    <s v="No"/>
    <x v="0"/>
    <x v="0"/>
    <x v="0"/>
    <b v="1"/>
    <n v="885602.22090636764"/>
    <n v="885602.22090636764"/>
    <n v="0"/>
    <n v="891945.17755404802"/>
    <n v="891945.17755404802"/>
    <n v="0"/>
    <n v="-6342.9566476803739"/>
    <n v="-6342.9566476803739"/>
    <n v="0"/>
  </r>
  <r>
    <s v="330802137101024600"/>
    <n v="501010"/>
    <x v="0"/>
    <s v="CAHYA MATA PHOSPHATES INDUSTRIES SDN BHD (FORMERLY KNOWN AS MALAYSIAN PHOSPHATE ADDITIVES (SARAWAK) SDN BHD"/>
    <s v="USD"/>
    <s v="Yes"/>
    <x v="0"/>
    <x v="1"/>
    <x v="1"/>
    <b v="1"/>
    <n v="718152.11136089207"/>
    <n v="718152.11136089207"/>
    <n v="0"/>
    <n v="723134.89694352983"/>
    <n v="723134.89694352983"/>
    <n v="0"/>
    <n v="-4982.7855826377636"/>
    <n v="-4982.7855826377636"/>
    <n v="0"/>
  </r>
  <r>
    <s v="330801137110034500"/>
    <n v="501142"/>
    <x v="0"/>
    <s v="CHOON ENG (SARAWAK)SDN.BHD."/>
    <s v="MYR"/>
    <s v="No"/>
    <x v="0"/>
    <x v="0"/>
    <x v="0"/>
    <b v="1"/>
    <n v="1937.7537130464798"/>
    <n v="1528.1346279468855"/>
    <n v="409.61908509959426"/>
    <n v="2229.596544845705"/>
    <n v="1785.2581587234897"/>
    <n v="444.33838612221535"/>
    <n v="-291.84283179922522"/>
    <n v="-257.12353077660418"/>
    <n v="-34.719301022621096"/>
  </r>
  <r>
    <s v="330801137107041000"/>
    <n v="501233"/>
    <x v="0"/>
    <s v="CONFAST MOBILE SDN BHD"/>
    <s v="MYR"/>
    <s v="No"/>
    <x v="0"/>
    <x v="0"/>
    <x v="0"/>
    <b v="1"/>
    <n v="33784.971741811692"/>
    <n v="33784.971741811692"/>
    <n v="0"/>
    <n v="0"/>
    <n v="0"/>
    <n v="0"/>
    <n v="33784.971741811692"/>
    <n v="33784.971741811692"/>
    <n v="0"/>
  </r>
  <r>
    <s v="330802137121039900"/>
    <n v="501222"/>
    <x v="0"/>
    <s v="DUTA MARINE SDN. BHD."/>
    <s v="USD"/>
    <s v="No"/>
    <x v="0"/>
    <x v="0"/>
    <x v="0"/>
    <b v="1"/>
    <n v="438658.74"/>
    <n v="437861.49974703841"/>
    <n v="797.2402529615548"/>
    <n v="541610.04909663461"/>
    <n v="540645.13427192089"/>
    <n v="964.91482471372228"/>
    <n v="-102951.30909663462"/>
    <n v="-102783.63452488248"/>
    <n v="-167.67457175216748"/>
  </r>
  <r>
    <s v="330802137107039500"/>
    <n v="501219"/>
    <x v="0"/>
    <s v="DUTA MARINE SDN. BHD."/>
    <s v="USD"/>
    <s v="No"/>
    <x v="0"/>
    <x v="0"/>
    <x v="0"/>
    <b v="1"/>
    <n v="3781736.9000342479"/>
    <n v="3779124.2871970744"/>
    <n v="2612.6128371735285"/>
    <n v="3863952.246360241"/>
    <n v="3861321.2585941954"/>
    <n v="2630.9877660457596"/>
    <n v="-82215.346325993072"/>
    <n v="-82196.971397120971"/>
    <n v="-18.374928872231067"/>
  </r>
  <r>
    <s v="330801137113031900"/>
    <n v="501112"/>
    <x v="0"/>
    <s v="ENERGY EQUIPMENT TECH SDN. BHD"/>
    <s v="MYR"/>
    <s v="No"/>
    <x v="0"/>
    <x v="0"/>
    <x v="0"/>
    <b v="1"/>
    <n v="180453.49510887789"/>
    <n v="14132.6462221283"/>
    <n v="166320.84888674959"/>
    <n v="180434.56989102156"/>
    <n v="0"/>
    <n v="180434.56989102156"/>
    <n v="18.925217856332893"/>
    <n v="14132.6462221283"/>
    <n v="-14113.721004271967"/>
  </r>
  <r>
    <s v="330802137120040400"/>
    <n v="501232"/>
    <x v="0"/>
    <s v="FABULOUS SUNVIEW SDN BHD"/>
    <s v="USD"/>
    <s v="No"/>
    <x v="0"/>
    <x v="0"/>
    <x v="0"/>
    <b v="1"/>
    <n v="344632.29820224218"/>
    <n v="286261.83939791011"/>
    <n v="58370.458804332069"/>
    <n v="296181.39140416327"/>
    <n v="231943.78898086352"/>
    <n v="64237.602423299744"/>
    <n v="48450.906798078911"/>
    <n v="54318.050417046587"/>
    <n v="-5867.1436189676751"/>
  </r>
  <r>
    <s v="330801137110038801"/>
    <n v="501181"/>
    <x v="0"/>
    <s v="FATHOPES ENERGY SDN. BHD."/>
    <s v="MYR"/>
    <s v="No"/>
    <x v="0"/>
    <x v="0"/>
    <x v="0"/>
    <b v="1"/>
    <n v="337462.56633886212"/>
    <n v="321463.21658041264"/>
    <n v="15999.349758449469"/>
    <n v="380173.01920182491"/>
    <n v="378091.45769798319"/>
    <n v="2081.5615038417045"/>
    <n v="-42710.452862962789"/>
    <n v="-56628.241117570549"/>
    <n v="13917.788254607764"/>
  </r>
  <r>
    <s v="330801137110038000"/>
    <n v="501242"/>
    <x v="0"/>
    <s v="FATHOPES ENERGY SDN. BHD."/>
    <s v="MYR"/>
    <s v="No"/>
    <x v="0"/>
    <x v="0"/>
    <x v="0"/>
    <b v="1"/>
    <n v="391093.57845916192"/>
    <n v="41569.475795289036"/>
    <n v="349524.10266387288"/>
    <n v="408374.15368127724"/>
    <n v="14652.64150071179"/>
    <n v="393721.51218056545"/>
    <n v="-17280.575222115323"/>
    <n v="26916.834294577246"/>
    <n v="-44197.409516692569"/>
  </r>
  <r>
    <s v="330801137110038802"/>
    <n v="501208"/>
    <x v="0"/>
    <s v="FATHOPES ENERGY SDN. BHD."/>
    <s v="MYR"/>
    <s v="No"/>
    <x v="0"/>
    <x v="0"/>
    <x v="0"/>
    <b v="1"/>
    <n v="260613.59685617467"/>
    <n v="207716.68266771382"/>
    <n v="52896.914188460847"/>
    <n v="264038.36212949816"/>
    <n v="135930.76874511084"/>
    <n v="128107.59338438734"/>
    <n v="-3424.7652733234863"/>
    <n v="71785.91392260298"/>
    <n v="-75210.679195926496"/>
  </r>
  <r>
    <s v="330801137110011300"/>
    <n v="500784"/>
    <x v="0"/>
    <s v="FGV CAPITAL SDN BHD"/>
    <s v="MYR"/>
    <s v="No"/>
    <x v="0"/>
    <x v="0"/>
    <x v="0"/>
    <b v="1"/>
    <n v="6023577.363653183"/>
    <n v="3496614.1224096892"/>
    <n v="2526963.2412434937"/>
    <n v="4508684.5186674111"/>
    <n v="0"/>
    <n v="4508684.5186674111"/>
    <n v="1514892.8449857719"/>
    <n v="3496614.1224096892"/>
    <n v="-1981721.2774239173"/>
  </r>
  <r>
    <s v="330801137110035000"/>
    <n v="501147"/>
    <x v="0"/>
    <s v="GEMILANG COACHWORK SDN. BHD."/>
    <s v="MYR"/>
    <s v="No"/>
    <x v="0"/>
    <x v="0"/>
    <x v="0"/>
    <b v="1"/>
    <n v="188077.99863673595"/>
    <n v="160280.06383731606"/>
    <n v="27797.934799419891"/>
    <n v="163229.3858244968"/>
    <n v="133218.18089455907"/>
    <n v="30011.204929937732"/>
    <n v="24848.612812239153"/>
    <n v="27061.882942756987"/>
    <n v="-2213.2701305178416"/>
  </r>
  <r>
    <s v="330801137110034400"/>
    <n v="501149"/>
    <x v="0"/>
    <s v="GLIDE TECHNOLOGY SDN BHD"/>
    <s v="MYR"/>
    <s v="No"/>
    <x v="0"/>
    <x v="0"/>
    <x v="0"/>
    <b v="1"/>
    <n v="1680.115616962659"/>
    <n v="1135.7779970732643"/>
    <n v="544.33761988939477"/>
    <n v="2052.724287266502"/>
    <n v="1464.5885034197963"/>
    <n v="588.13578384670552"/>
    <n v="-372.60867030384293"/>
    <n v="-328.81050634653207"/>
    <n v="-43.798163957310749"/>
  </r>
  <r>
    <s v="330801137107033700"/>
    <n v="501141"/>
    <x v="0"/>
    <s v="GLIDE TECHNOLOGY SDN BHD"/>
    <s v="MYR"/>
    <s v="No"/>
    <x v="0"/>
    <x v="0"/>
    <x v="0"/>
    <b v="1"/>
    <n v="1327.9570252767601"/>
    <n v="1327.9570252767601"/>
    <n v="0"/>
    <n v="1355.6301371571042"/>
    <n v="1355.6301371571042"/>
    <n v="0"/>
    <n v="-27.673111880344095"/>
    <n v="-27.673111880344095"/>
    <n v="0"/>
  </r>
  <r>
    <s v="330802036101037200"/>
    <n v="501190"/>
    <x v="0"/>
    <s v="GLOBAL TOWER CORPORATION PTY LTD"/>
    <s v="USD"/>
    <s v="No"/>
    <x v="0"/>
    <x v="0"/>
    <x v="0"/>
    <b v="1"/>
    <n v="586006.18420414394"/>
    <n v="576359.16457873315"/>
    <n v="9647.0196254108123"/>
    <n v="656452.03444183629"/>
    <n v="646761.86672108679"/>
    <n v="9690.1677207495595"/>
    <n v="-70445.850237692357"/>
    <n v="-70402.702142353635"/>
    <n v="-43.148095338747225"/>
  </r>
  <r>
    <s v="330802036121036200"/>
    <n v="501171"/>
    <x v="0"/>
    <s v="GLOBAL TOWER CORPORATION PTY LTD"/>
    <s v="USD"/>
    <s v="No"/>
    <x v="0"/>
    <x v="0"/>
    <x v="0"/>
    <b v="1"/>
    <n v="354125.07109182561"/>
    <n v="354125.07109182561"/>
    <n v="0"/>
    <n v="98100.516035546883"/>
    <n v="98100.516035546883"/>
    <n v="0"/>
    <n v="256024.55505627871"/>
    <n v="256024.55505627871"/>
    <n v="0"/>
  </r>
  <r>
    <s v="330801137107032700"/>
    <n v="501130"/>
    <x v="0"/>
    <s v="HELMS GEOMARINE SDN BHD"/>
    <s v="MYR"/>
    <s v="No"/>
    <x v="0"/>
    <x v="0"/>
    <x v="0"/>
    <b v="1"/>
    <n v="964.41393556124171"/>
    <n v="954.50959449492018"/>
    <n v="9.9043410663215354"/>
    <n v="1013.6550020697707"/>
    <n v="999.31560408912424"/>
    <n v="14.339397980646453"/>
    <n v="-49.241066508529002"/>
    <n v="-44.806009594204056"/>
    <n v="-4.4350569143249174"/>
  </r>
  <r>
    <s v="330802137120033400"/>
    <n v="501128"/>
    <x v="0"/>
    <s v="HERNAN CORPORATION SDN BHD"/>
    <s v="USD"/>
    <s v="No"/>
    <x v="0"/>
    <x v="0"/>
    <x v="0"/>
    <b v="1"/>
    <n v="472175.00609659299"/>
    <n v="304504.43359704956"/>
    <n v="167670.5724995434"/>
    <n v="476537.94046107761"/>
    <n v="292670.33931147156"/>
    <n v="183867.60114960602"/>
    <n v="-4362.9343644846231"/>
    <n v="11834.094285578001"/>
    <n v="-16197.028650062624"/>
  </r>
  <r>
    <s v="330802137107039100"/>
    <n v="501210"/>
    <x v="0"/>
    <s v="HEXTAR GLOBAL BHD"/>
    <s v="USD"/>
    <s v="No"/>
    <x v="0"/>
    <x v="0"/>
    <x v="0"/>
    <b v="1"/>
    <n v="1413879.92809056"/>
    <n v="1413879.92809056"/>
    <n v="0"/>
    <n v="1462039.6677783153"/>
    <n v="1462039.6677783153"/>
    <n v="0"/>
    <n v="-48159.739687755238"/>
    <n v="-48159.739687755238"/>
    <n v="0"/>
  </r>
  <r>
    <s v="330801137131037400"/>
    <n v="501194"/>
    <x v="0"/>
    <s v="HY-FRESH INDUSTRIES SDN. BHD"/>
    <s v="MYR"/>
    <s v="No"/>
    <x v="0"/>
    <x v="0"/>
    <x v="0"/>
    <b v="1"/>
    <n v="857226.1661422688"/>
    <n v="711810.37474372855"/>
    <n v="145415.79139854023"/>
    <n v="1003883.685612828"/>
    <n v="846877.75387004483"/>
    <n v="157005.93174278323"/>
    <n v="-146657.5194705592"/>
    <n v="-135067.37912631629"/>
    <n v="-11590.140344243002"/>
  </r>
  <r>
    <s v="330802137107036700"/>
    <n v="501179"/>
    <x v="0"/>
    <s v="HYRAX OIL SDN BHD"/>
    <s v="USD"/>
    <s v="Yes"/>
    <x v="0"/>
    <x v="1"/>
    <x v="1"/>
    <b v="1"/>
    <n v="1042588.129084578"/>
    <n v="1042588.129084578"/>
    <n v="0"/>
    <n v="1163029.0219685819"/>
    <n v="1163029.0219685819"/>
    <n v="0"/>
    <n v="-120440.89288400393"/>
    <n v="-120440.89288400393"/>
    <n v="0"/>
  </r>
  <r>
    <s v="330802137101036600"/>
    <n v="501178"/>
    <x v="0"/>
    <s v="HYRAX OIL SDN BHD"/>
    <s v="USD"/>
    <s v="Yes"/>
    <x v="0"/>
    <x v="1"/>
    <x v="1"/>
    <b v="1"/>
    <n v="1750587.86030948"/>
    <n v="1750587.86030948"/>
    <n v="0"/>
    <n v="1857301.7479072427"/>
    <n v="1857301.7479072427"/>
    <n v="0"/>
    <n v="-106713.88759776275"/>
    <n v="-106713.88759776275"/>
    <n v="0"/>
  </r>
  <r>
    <s v="330801137107037700"/>
    <n v="501192"/>
    <x v="0"/>
    <s v="IGNIS ENVIRONMENT INITIATIVES SDN. BHD."/>
    <s v="MYR"/>
    <s v="No"/>
    <x v="0"/>
    <x v="0"/>
    <x v="0"/>
    <b v="1"/>
    <n v="243549.30743373459"/>
    <n v="238993.63407415312"/>
    <n v="4555.6733595814803"/>
    <n v="272144.25235668576"/>
    <n v="267657.10847021738"/>
    <n v="4487.1438864683823"/>
    <n v="-28594.944922951167"/>
    <n v="-28663.474396064266"/>
    <n v="68.529473113097993"/>
  </r>
  <r>
    <s v="330801137107037600"/>
    <n v="501191"/>
    <x v="0"/>
    <s v="IGNIS ENVIRONMENT INITIATIVES SDN. BHD."/>
    <s v="MYR"/>
    <s v="No"/>
    <x v="0"/>
    <x v="0"/>
    <x v="0"/>
    <b v="1"/>
    <n v="281759.11848282471"/>
    <n v="280541.42690494825"/>
    <n v="1217.6915778764248"/>
    <n v="289592.8848109073"/>
    <n v="288393.48398599337"/>
    <n v="1199.4008249139354"/>
    <n v="-7833.7663280825946"/>
    <n v="-7852.0570810451172"/>
    <n v="18.290752962489478"/>
  </r>
  <r>
    <s v="330801137121037800"/>
    <n v="501200"/>
    <x v="0"/>
    <s v="IGNIS ENVIRONMENT INITIATIVES SDN. BHD."/>
    <s v="MYR"/>
    <s v="No"/>
    <x v="0"/>
    <x v="0"/>
    <x v="0"/>
    <b v="1"/>
    <n v="18846.862838454919"/>
    <n v="18846.862838454919"/>
    <n v="0"/>
    <n v="19509.944699029111"/>
    <n v="19509.944699029111"/>
    <n v="0"/>
    <n v="-663.08186057419152"/>
    <n v="-663.08186057419152"/>
    <n v="0"/>
  </r>
  <r>
    <s v="330801137110033900"/>
    <n v="501140"/>
    <x v="0"/>
    <s v="IMPACT METAL RESOURCES SDN. BHD."/>
    <s v="MYR"/>
    <s v="No"/>
    <x v="0"/>
    <x v="0"/>
    <x v="0"/>
    <b v="1"/>
    <n v="1119.560428444609"/>
    <n v="1118.293463462312"/>
    <n v="1.2669649822970335"/>
    <n v="2585.5636836987064"/>
    <n v="2584.194417516705"/>
    <n v="1.3692661820015182"/>
    <n v="-1466.0032552540974"/>
    <n v="-1465.900954054393"/>
    <n v="-0.1023011997044847"/>
  </r>
  <r>
    <s v="330801137110037900"/>
    <n v="501195"/>
    <x v="0"/>
    <s v="IMPACT METAL RESOURCES SDN. BHD."/>
    <s v="MYR"/>
    <s v="No"/>
    <x v="0"/>
    <x v="0"/>
    <x v="0"/>
    <b v="1"/>
    <n v="6052.9808538794859"/>
    <n v="6052.6721540118278"/>
    <n v="0.30869986765854512"/>
    <n v="6023.1602946913836"/>
    <n v="6022.8266705820224"/>
    <n v="0.33362410936115322"/>
    <n v="29.820559188102379"/>
    <n v="29.845483429805427"/>
    <n v="-2.4924241702608096E-2"/>
  </r>
  <r>
    <s v="330801137107027300"/>
    <n v="501050"/>
    <x v="0"/>
    <s v="INGRESS INDUSTRIAL (MALAYSIA) SDN BHD"/>
    <s v="MYR"/>
    <s v="Yes"/>
    <x v="0"/>
    <x v="1"/>
    <x v="1"/>
    <b v="1"/>
    <n v="10726960.29088022"/>
    <n v="10726960.29088022"/>
    <n v="0"/>
    <n v="10762163.162495974"/>
    <n v="10762163.162495974"/>
    <n v="0"/>
    <n v="-35202.87161575444"/>
    <n v="-35202.87161575444"/>
    <n v="0"/>
  </r>
  <r>
    <s v="330802137110033200"/>
    <n v="501133"/>
    <x v="0"/>
    <s v="INGRESS INDUSTRIAL (MALAYSIA) SDN BHD"/>
    <s v="USD"/>
    <s v="Yes"/>
    <x v="0"/>
    <x v="1"/>
    <x v="1"/>
    <b v="1"/>
    <n v="800222.28353262995"/>
    <n v="736971.44917670544"/>
    <n v="63250.834355924453"/>
    <n v="589392.6438631888"/>
    <n v="520073.61610345298"/>
    <n v="69319.027759735793"/>
    <n v="210829.63966944115"/>
    <n v="216897.83307325246"/>
    <n v="-6068.1934038113395"/>
  </r>
  <r>
    <s v="330804230202009800"/>
    <n v="500749"/>
    <x v="1"/>
    <s v="ISTANBUL SABIHA GOKCEN ULUSLARARASI HAVALIMANI YATIRIM YAPIM ISLETME A.S"/>
    <s v="EUR"/>
    <s v="No"/>
    <x v="0"/>
    <x v="0"/>
    <x v="0"/>
    <b v="1"/>
    <n v="3164532.7816991722"/>
    <n v="3164532.7816991722"/>
    <n v="0"/>
    <n v="3629126.2892160048"/>
    <n v="3629126.2892160048"/>
    <n v="0"/>
    <n v="-464593.50751683256"/>
    <n v="-464593.50751683256"/>
    <n v="0"/>
  </r>
  <r>
    <s v="330801137110039800"/>
    <n v="501213"/>
    <x v="0"/>
    <s v="JFC FOOD INDUSTRIES SDN BHD "/>
    <s v="MYR"/>
    <s v="No"/>
    <x v="0"/>
    <x v="0"/>
    <x v="0"/>
    <b v="1"/>
    <n v="292739.66494420683"/>
    <n v="192048.7730410645"/>
    <n v="100690.89190314231"/>
    <n v="291678.579568366"/>
    <n v="182954.41588211292"/>
    <n v="108724.16368625307"/>
    <n v="1061.0853758408339"/>
    <n v="9094.3571589515777"/>
    <n v="-8033.2717831107584"/>
  </r>
  <r>
    <s v="330805013107029901"/>
    <n v="501099"/>
    <x v="0"/>
    <s v="JLAND AUSTRALIA PTY LTD"/>
    <s v="AUD"/>
    <s v="Yes"/>
    <x v="0"/>
    <x v="1"/>
    <x v="1"/>
    <b v="1"/>
    <n v="1789.8184702636449"/>
    <n v="1772.7005536332454"/>
    <n v="17.117916630399474"/>
    <n v="2056.4941440876787"/>
    <n v="2042.2172198240301"/>
    <n v="14.27692426364875"/>
    <n v="-266.67567382403377"/>
    <n v="-269.51666619078469"/>
    <n v="2.840992366750724"/>
  </r>
  <r>
    <s v="330801137107027700"/>
    <n v="501060"/>
    <x v="0"/>
    <s v="JOYERIA KOHINOOR SDN BHD"/>
    <s v="MYR"/>
    <s v="Yes"/>
    <x v="0"/>
    <x v="1"/>
    <x v="1"/>
    <b v="1"/>
    <n v="172811.04879481031"/>
    <n v="172811.04879481031"/>
    <n v="0"/>
    <n v="175701.67842258379"/>
    <n v="175701.67842258379"/>
    <n v="0"/>
    <n v="-2890.62962777348"/>
    <n v="-2890.62962777348"/>
    <n v="0"/>
  </r>
  <r>
    <s v="330801137107027800"/>
    <n v="501061"/>
    <x v="0"/>
    <s v="JOYERIA KOHINOOR SDN BHD"/>
    <s v="MYR"/>
    <s v="Yes"/>
    <x v="0"/>
    <x v="1"/>
    <x v="1"/>
    <b v="1"/>
    <n v="77715.605978189211"/>
    <n v="77715.605978189211"/>
    <n v="0"/>
    <n v="79248.875880249136"/>
    <n v="79248.875880249136"/>
    <n v="0"/>
    <n v="-1533.2699020599248"/>
    <n v="-1533.2699020599248"/>
    <n v="0"/>
  </r>
  <r>
    <s v="330801137107025500"/>
    <n v="501027"/>
    <x v="0"/>
    <s v="JOYERIA KOHINOOR SDN BHD"/>
    <s v="MYR"/>
    <s v="Yes"/>
    <x v="0"/>
    <x v="1"/>
    <x v="1"/>
    <b v="1"/>
    <n v="1256.862760829137"/>
    <n v="1256.862760829137"/>
    <n v="0"/>
    <n v="1514.9197280028645"/>
    <n v="1514.9197280028645"/>
    <n v="0"/>
    <n v="-258.05696717372757"/>
    <n v="-258.05696717372757"/>
    <n v="0"/>
  </r>
  <r>
    <s v="330801137107033500"/>
    <n v="501146"/>
    <x v="0"/>
    <s v="KIAN JOO CANS DISTRIBUTION SDN BHD"/>
    <s v="MYR"/>
    <s v="No"/>
    <x v="0"/>
    <x v="0"/>
    <x v="0"/>
    <b v="1"/>
    <n v="9410745.7752621565"/>
    <n v="9410745.7752621565"/>
    <n v="0"/>
    <n v="9418322.5800101813"/>
    <n v="9418322.5800101813"/>
    <n v="0"/>
    <n v="-7576.8047480247915"/>
    <n v="-7576.8047480247915"/>
    <n v="0"/>
  </r>
  <r>
    <s v="330801137110034600"/>
    <n v="501145"/>
    <x v="0"/>
    <s v="KLITZ VIBRANT IMPORTED KITCHENS SDN BHD "/>
    <s v="MYR"/>
    <s v="No"/>
    <x v="0"/>
    <x v="0"/>
    <x v="0"/>
    <b v="1"/>
    <n v="100938.1644025104"/>
    <n v="75831.058932215587"/>
    <n v="25107.105470294817"/>
    <n v="168083.65876070524"/>
    <n v="140956.82664236333"/>
    <n v="27126.832118341903"/>
    <n v="-67145.494358194832"/>
    <n v="-65125.767710147746"/>
    <n v="-2019.7266480470862"/>
  </r>
  <r>
    <s v="330801137107034800"/>
    <n v="501150"/>
    <x v="0"/>
    <s v="KR TRAVEL &amp; TOURS SDN BHD"/>
    <s v="MYR"/>
    <s v="Yes"/>
    <x v="0"/>
    <x v="1"/>
    <x v="1"/>
    <b v="1"/>
    <n v="1062.6907690777909"/>
    <n v="1062.6907690777909"/>
    <n v="0"/>
    <n v="1699.7256049076423"/>
    <n v="1699.7256049076423"/>
    <n v="0"/>
    <n v="-637.03483582985132"/>
    <n v="-637.03483582985132"/>
    <n v="0"/>
  </r>
  <r>
    <s v="330801137110035800"/>
    <n v="501160"/>
    <x v="0"/>
    <s v="KYOTO ENERGY VENTURES SDN BHD"/>
    <s v="MYR"/>
    <s v="No"/>
    <x v="0"/>
    <x v="0"/>
    <x v="0"/>
    <b v="1"/>
    <n v="4267.1540793076902"/>
    <n v="3103.0917073526657"/>
    <n v="1164.0623719550244"/>
    <n v="12159.558425252097"/>
    <n v="10921.400595246327"/>
    <n v="1238.1578300057708"/>
    <n v="-7892.4043459444065"/>
    <n v="-7818.3088878936614"/>
    <n v="-74.095458050746402"/>
  </r>
  <r>
    <s v="330801137120039700"/>
    <n v="501220"/>
    <x v="0"/>
    <s v="MAC WORLD INDUSTRIES SDN BHD"/>
    <s v="MYR"/>
    <s v="No"/>
    <x v="0"/>
    <x v="0"/>
    <x v="0"/>
    <b v="1"/>
    <n v="330616.58469946031"/>
    <n v="317475.75949951931"/>
    <n v="13140.825199941017"/>
    <n v="316608.80271359754"/>
    <n v="302363.4454965422"/>
    <n v="14245.357217055349"/>
    <n v="14007.781985862763"/>
    <n v="15112.314002977102"/>
    <n v="-1104.5320171143321"/>
  </r>
  <r>
    <s v="330801137110038100"/>
    <n v="501201"/>
    <x v="0"/>
    <s v="MALAYSIA STEEL WORKS (KL) BERHAD "/>
    <s v="MYR"/>
    <s v="No"/>
    <x v="0"/>
    <x v="0"/>
    <x v="0"/>
    <b v="1"/>
    <n v="1636286.7696464681"/>
    <n v="120554.27990769828"/>
    <n v="1515732.4897387698"/>
    <n v="1636448.762455272"/>
    <n v="2.3283064365386963E-10"/>
    <n v="1636448.7624552718"/>
    <n v="-161.99280880391598"/>
    <n v="120554.27990769804"/>
    <n v="-120716.27271650196"/>
  </r>
  <r>
    <s v="330801137107036901"/>
    <n v="501176"/>
    <x v="0"/>
    <s v="MARINE CREATION SDN. BHD."/>
    <s v="MYR"/>
    <s v="No"/>
    <x v="0"/>
    <x v="0"/>
    <x v="0"/>
    <b v="1"/>
    <n v="452.41442065241893"/>
    <n v="452.41442065241893"/>
    <n v="0"/>
    <n v="484.75281808747661"/>
    <n v="484.75281808747661"/>
    <n v="0"/>
    <n v="-32.338397435057686"/>
    <n v="-32.338397435057686"/>
    <n v="0"/>
  </r>
  <r>
    <s v="330801137107036902"/>
    <n v="501186"/>
    <x v="0"/>
    <s v="MARINE CREATION SDN. BHD."/>
    <s v="MYR"/>
    <s v="No"/>
    <x v="0"/>
    <x v="0"/>
    <x v="0"/>
    <b v="1"/>
    <n v="452.41442065241893"/>
    <n v="452.41442065241893"/>
    <n v="0"/>
    <n v="484.75281808747661"/>
    <n v="484.75281808747661"/>
    <n v="0"/>
    <n v="-32.338397435057686"/>
    <n v="-32.338397435057686"/>
    <n v="0"/>
  </r>
  <r>
    <s v="330801137107036903"/>
    <n v="501187"/>
    <x v="0"/>
    <s v="MARINE CREATION SDN. BHD."/>
    <s v="MYR"/>
    <s v="No"/>
    <x v="0"/>
    <x v="0"/>
    <x v="0"/>
    <b v="1"/>
    <n v="452.41442065241893"/>
    <n v="452.41442065241893"/>
    <n v="0"/>
    <n v="484.75281808747661"/>
    <n v="484.75281808747661"/>
    <n v="0"/>
    <n v="-32.338397435057686"/>
    <n v="-32.338397435057686"/>
    <n v="0"/>
  </r>
  <r>
    <s v="330801137107036904"/>
    <n v="501204"/>
    <x v="0"/>
    <s v="MARINE CREATION SDN. BHD."/>
    <s v="MYR"/>
    <s v="No"/>
    <x v="0"/>
    <x v="0"/>
    <x v="0"/>
    <b v="1"/>
    <n v="490.32772590732873"/>
    <n v="490.32772590732873"/>
    <n v="0"/>
    <n v="522.0843073152688"/>
    <n v="522.0843073152688"/>
    <n v="0"/>
    <n v="-31.756581407940075"/>
    <n v="-31.756581407940075"/>
    <n v="0"/>
  </r>
  <r>
    <s v="330801137107036905"/>
    <n v="501205"/>
    <x v="0"/>
    <s v="MARINE CREATION SDN. BHD."/>
    <s v="MYR"/>
    <s v="No"/>
    <x v="0"/>
    <x v="0"/>
    <x v="0"/>
    <b v="1"/>
    <n v="490.34833004221178"/>
    <n v="490.34833004221178"/>
    <n v="0"/>
    <n v="522.0843073152688"/>
    <n v="522.0843073152688"/>
    <n v="0"/>
    <n v="-31.735977273057017"/>
    <n v="-31.735977273057017"/>
    <n v="0"/>
  </r>
  <r>
    <s v="330801137110040000"/>
    <n v="501211"/>
    <x v="0"/>
    <s v="MASTER SUPPLIERS SDN BHD"/>
    <s v="MYR"/>
    <s v="No"/>
    <x v="0"/>
    <x v="0"/>
    <x v="0"/>
    <b v="1"/>
    <n v="73063.591015550075"/>
    <n v="23168.907381527373"/>
    <n v="49894.683634022702"/>
    <n v="65835.111194062658"/>
    <n v="11952.504323794798"/>
    <n v="53882.60687026786"/>
    <n v="7228.4798214874172"/>
    <n v="11216.403057732576"/>
    <n v="-3987.9232362451585"/>
  </r>
  <r>
    <s v="330801137110011700"/>
    <n v="500790"/>
    <x v="0"/>
    <s v="MEWAH-OILS SDN. BHD."/>
    <s v="MYR"/>
    <s v="No"/>
    <x v="0"/>
    <x v="0"/>
    <x v="0"/>
    <b v="1"/>
    <n v="2685501.1925002122"/>
    <n v="1421315.0086612741"/>
    <n v="1264186.1838389381"/>
    <n v="2518476.0396846244"/>
    <n v="971001.30359295686"/>
    <n v="1547474.7360916676"/>
    <n v="167025.15281558782"/>
    <n v="450313.70506831724"/>
    <n v="-283288.55225272942"/>
  </r>
  <r>
    <s v="330801137110011100"/>
    <n v="500783"/>
    <x v="0"/>
    <s v="MEWAHOLEO INDUSTRIES SDN BHD"/>
    <s v="MYR"/>
    <s v="No"/>
    <x v="0"/>
    <x v="0"/>
    <x v="0"/>
    <b v="1"/>
    <n v="934365.65734069864"/>
    <n v="285367.83353344898"/>
    <n v="648997.82380724966"/>
    <n v="1043740.6556497264"/>
    <n v="466291.93461581448"/>
    <n v="577448.72103391192"/>
    <n v="-109374.99830902775"/>
    <n v="-180924.10108236549"/>
    <n v="71549.102773337741"/>
  </r>
  <r>
    <s v="330801137121041300"/>
    <n v="501240"/>
    <x v="0"/>
    <s v="MHC COLDSTORAGE SDN BHD"/>
    <s v="MYR"/>
    <s v="No"/>
    <x v="0"/>
    <x v="0"/>
    <x v="0"/>
    <b v="1"/>
    <n v="81792.163329944975"/>
    <n v="81792.163329944975"/>
    <n v="0"/>
    <n v="81366.399674083106"/>
    <n v="81366.399674083106"/>
    <n v="0"/>
    <n v="425.76365586186876"/>
    <n v="425.76365586186876"/>
    <n v="0"/>
  </r>
  <r>
    <s v="330801137107038700"/>
    <n v="501174"/>
    <x v="0"/>
    <s v="MKRS BUMI (M) SDN BHD"/>
    <s v="MYR"/>
    <s v="No"/>
    <x v="0"/>
    <x v="0"/>
    <x v="0"/>
    <b v="1"/>
    <n v="1932.1690415123469"/>
    <n v="1762.0298098695259"/>
    <n v="170.13923164282087"/>
    <n v="3161.115933022078"/>
    <n v="3000.4465729085096"/>
    <n v="160.66936011356859"/>
    <n v="-1228.9468915097311"/>
    <n v="-1238.4167630389836"/>
    <n v="9.4698715292522877"/>
  </r>
  <r>
    <s v="330802137107005200"/>
    <n v="500633"/>
    <x v="0"/>
    <s v="NAUTILUS TUG &amp; TOWAGE SDN BHD"/>
    <s v="USD"/>
    <s v="Yes"/>
    <x v="0"/>
    <x v="1"/>
    <x v="1"/>
    <b v="1"/>
    <n v="0"/>
    <n v="0"/>
    <n v="0"/>
    <n v="166.51245470014814"/>
    <n v="166.51245470014814"/>
    <n v="0"/>
    <n v="-166.51245470014814"/>
    <n v="-166.51245470014814"/>
    <n v="0"/>
  </r>
  <r>
    <s v="330802137110039300"/>
    <n v="501216"/>
    <x v="0"/>
    <s v="NIKMAT MUJUR SDN BHD "/>
    <s v="USD"/>
    <s v="No"/>
    <x v="0"/>
    <x v="0"/>
    <x v="0"/>
    <b v="1"/>
    <n v="1145573.3238840681"/>
    <n v="1145573.3238840681"/>
    <n v="0"/>
    <n v="1157172.6983662739"/>
    <n v="1157172.6983662739"/>
    <n v="0"/>
    <n v="-11599.374482205836"/>
    <n v="-11599.374482205836"/>
    <n v="0"/>
  </r>
  <r>
    <s v="330802137121039400"/>
    <n v="501223"/>
    <x v="0"/>
    <s v="NIKMAT MUJUR SDN BHD "/>
    <s v="USD"/>
    <s v="No"/>
    <x v="0"/>
    <x v="0"/>
    <x v="0"/>
    <b v="1"/>
    <n v="319367.19274597772"/>
    <n v="319367.19274597772"/>
    <n v="0"/>
    <n v="328429.01844754058"/>
    <n v="328429.01844754058"/>
    <n v="0"/>
    <n v="-9061.8257015628624"/>
    <n v="-9061.8257015628624"/>
    <n v="0"/>
  </r>
  <r>
    <s v="330801137107038400"/>
    <n v="501188"/>
    <x v="0"/>
    <s v="OCEAN21 OFFSHORE SDN BHD"/>
    <s v="MYR"/>
    <s v="No"/>
    <x v="0"/>
    <x v="0"/>
    <x v="0"/>
    <b v="1"/>
    <n v="1962.496792159076"/>
    <n v="1962.496792159076"/>
    <n v="0"/>
    <n v="2011.8726308045188"/>
    <n v="2011.8726308045188"/>
    <n v="0"/>
    <n v="-49.375838645442855"/>
    <n v="-49.375838645442855"/>
    <n v="0"/>
  </r>
  <r>
    <s v="330802137201040300"/>
    <n v="501230"/>
    <x v="1"/>
    <s v="OM MATERIALS (SARAWAK) SDN BHD"/>
    <s v="USD"/>
    <s v="No"/>
    <x v="0"/>
    <x v="0"/>
    <x v="0"/>
    <b v="1"/>
    <n v="26678004.807748321"/>
    <n v="26678004.807748321"/>
    <n v="0"/>
    <n v="26940838.529574115"/>
    <n v="26940838.529574115"/>
    <n v="0"/>
    <n v="-262833.72182579339"/>
    <n v="-262833.72182579339"/>
    <n v="0"/>
  </r>
  <r>
    <s v="330801137216005800"/>
    <s v="EXIM/OMS/BG(FG)/24/073"/>
    <x v="1"/>
    <s v="OM Materials (Sarawak) Sdn Bhd"/>
    <s v="MYR"/>
    <s v="No"/>
    <x v="1"/>
    <x v="0"/>
    <x v="0"/>
    <b v="1"/>
    <n v="295923.56405337312"/>
    <n v="0"/>
    <n v="295923.56405337312"/>
    <n v="320599.42815470812"/>
    <n v="0"/>
    <n v="320599.42815470812"/>
    <n v="-24675.864101334999"/>
    <n v="0"/>
    <n v="-24675.864101334999"/>
  </r>
  <r>
    <s v="330801137216005800"/>
    <s v="EXIM/OMS/BG(FG)/24/076"/>
    <x v="1"/>
    <s v="OM Materials (Sarawak) Sdn Bhd"/>
    <s v="MYR"/>
    <s v="No"/>
    <x v="1"/>
    <x v="0"/>
    <x v="0"/>
    <b v="1"/>
    <n v="144118.61885716225"/>
    <n v="0"/>
    <n v="144118.61885716225"/>
    <n v="156136.0851402799"/>
    <n v="0"/>
    <n v="156136.0851402799"/>
    <n v="-12017.466283117654"/>
    <n v="0"/>
    <n v="-12017.466283117654"/>
  </r>
  <r>
    <s v="330801137216005800"/>
    <s v="EXIM/OMS/BG(FG)/24/072"/>
    <x v="1"/>
    <s v="OM Materials (Sarawak) Sdn Bhd"/>
    <s v="MYR"/>
    <s v="No"/>
    <x v="1"/>
    <x v="0"/>
    <x v="0"/>
    <b v="1"/>
    <n v="80706.426560010863"/>
    <n v="0"/>
    <n v="80706.426560010863"/>
    <n v="87436.207678556748"/>
    <n v="0"/>
    <n v="87436.207678556748"/>
    <n v="-6729.781118545885"/>
    <n v="0"/>
    <n v="-6729.781118545885"/>
  </r>
  <r>
    <s v="330801137216005800"/>
    <s v="EXIM/OMS/BG(FG)/24/074"/>
    <x v="1"/>
    <s v="OM Materials (Sarawak) Sdn Bhd"/>
    <s v="MYR"/>
    <s v="No"/>
    <x v="1"/>
    <x v="0"/>
    <x v="0"/>
    <b v="1"/>
    <n v="63412.192297151385"/>
    <n v="0"/>
    <n v="63412.192297151385"/>
    <n v="68699.877461723168"/>
    <n v="0"/>
    <n v="68699.877461723168"/>
    <n v="-5287.6851645717834"/>
    <n v="0"/>
    <n v="-5287.6851645717834"/>
  </r>
  <r>
    <s v="330801137216005800"/>
    <s v="EXIM/OMS/BG(FG)/24/075"/>
    <x v="1"/>
    <s v="OM Materials (Sarawak) Sdn Bhd"/>
    <s v="MYR"/>
    <s v="No"/>
    <x v="1"/>
    <x v="0"/>
    <x v="0"/>
    <b v="1"/>
    <n v="57647.447542864902"/>
    <n v="0"/>
    <n v="57647.447542864902"/>
    <n v="62454.434056111961"/>
    <n v="0"/>
    <n v="62454.434056111961"/>
    <n v="-4806.9865132470586"/>
    <n v="0"/>
    <n v="-4806.9865132470586"/>
  </r>
  <r>
    <s v="330802137112040700"/>
    <n v="501241"/>
    <x v="0"/>
    <s v="OM MATERIALS (SARAWAK) SDN BHD"/>
    <s v="USD"/>
    <s v="No"/>
    <x v="0"/>
    <x v="0"/>
    <x v="0"/>
    <b v="1"/>
    <n v="16847.79"/>
    <n v="16847.79"/>
    <n v="0"/>
    <n v="20919.770741072403"/>
    <n v="20919.770741072403"/>
    <n v="0"/>
    <n v="-4071.9807410724025"/>
    <n v="-4071.9807410724025"/>
    <n v="0"/>
  </r>
  <r>
    <s v="330801137216005800"/>
    <s v="EXIM/OMS/BG(FG)/24/071"/>
    <x v="1"/>
    <s v="OM Materials (Sarawak) Sdn Bhd"/>
    <s v="MYR"/>
    <s v="No"/>
    <x v="1"/>
    <x v="0"/>
    <x v="0"/>
    <b v="1"/>
    <n v="40353.213280005431"/>
    <n v="0"/>
    <n v="40353.213280005431"/>
    <n v="43718.103839278374"/>
    <n v="0"/>
    <n v="43718.103839278374"/>
    <n v="-3364.8905592729425"/>
    <n v="0"/>
    <n v="-3364.8905592729425"/>
  </r>
  <r>
    <s v="330801137216005800"/>
    <s v="EXIM/OMS/BG(FG)/24/082"/>
    <x v="1"/>
    <s v="OM Materials (Sarawak) Sdn Bhd"/>
    <s v="MYR"/>
    <s v="No"/>
    <x v="1"/>
    <x v="0"/>
    <x v="0"/>
    <b v="1"/>
    <n v="21617.79282857434"/>
    <n v="0"/>
    <n v="21617.79282857434"/>
    <n v="23420.412771041993"/>
    <n v="0"/>
    <n v="23420.412771041993"/>
    <n v="-1802.6199424676524"/>
    <n v="0"/>
    <n v="-1802.6199424676524"/>
  </r>
  <r>
    <s v="330801137216005800"/>
    <s v="EXIM/OMS/BG(FG)/25/002"/>
    <x v="1"/>
    <s v="OM Materials (Sarawak) Sdn Bhd"/>
    <s v="MYR"/>
    <s v="No"/>
    <x v="1"/>
    <x v="0"/>
    <x v="0"/>
    <b v="1"/>
    <n v="14669.879947112262"/>
    <n v="0"/>
    <n v="14669.879947112262"/>
    <n v="15893.141653613446"/>
    <n v="0"/>
    <n v="15893.141653613446"/>
    <n v="-1223.2617065011837"/>
    <n v="0"/>
    <n v="-1223.2617065011837"/>
  </r>
  <r>
    <s v="330801137216005800"/>
    <s v="EXIM/OMS/BG(FG)/24/086"/>
    <x v="1"/>
    <s v="OM Materials (Sarawak) Sdn Bhd"/>
    <s v="MYR"/>
    <s v="No"/>
    <x v="1"/>
    <x v="0"/>
    <x v="0"/>
    <b v="1"/>
    <n v="4323.5585657148677"/>
    <n v="0"/>
    <n v="4323.5585657148677"/>
    <n v="4684.0825542083985"/>
    <n v="0"/>
    <n v="4684.0825542083985"/>
    <n v="-360.52398849353085"/>
    <n v="0"/>
    <n v="-360.52398849353085"/>
  </r>
  <r>
    <s v="330801137216005800"/>
    <s v="EXIM/OMS/BG(FG)/24/083"/>
    <x v="1"/>
    <s v="OM Materials (Sarawak) Sdn Bhd"/>
    <s v="MYR"/>
    <s v="No"/>
    <x v="1"/>
    <x v="0"/>
    <x v="0"/>
    <b v="1"/>
    <n v="1441.1861885716223"/>
    <n v="0"/>
    <n v="1441.1861885716223"/>
    <n v="1561.360851402799"/>
    <n v="0"/>
    <n v="1561.360851402799"/>
    <n v="-120.17466283117665"/>
    <n v="0"/>
    <n v="-120.17466283117665"/>
  </r>
  <r>
    <s v="330801137216005800"/>
    <s v="EXIM/OMS/BG(FG)/24/084"/>
    <x v="1"/>
    <s v="OM Materials (Sarawak) Sdn Bhd"/>
    <s v="MYR"/>
    <s v="No"/>
    <x v="1"/>
    <x v="0"/>
    <x v="0"/>
    <b v="1"/>
    <n v="960.79079238108159"/>
    <n v="0"/>
    <n v="960.79079238108159"/>
    <n v="1040.9072342685326"/>
    <n v="0"/>
    <n v="1040.9072342685326"/>
    <n v="-80.11644188745106"/>
    <n v="0"/>
    <n v="-80.11644188745106"/>
  </r>
  <r>
    <s v="330801137216005800"/>
    <s v="EXIM/OMS/BG(FG)/24/085"/>
    <x v="1"/>
    <s v="OM Materials (Sarawak) Sdn Bhd"/>
    <s v="MYR"/>
    <s v="No"/>
    <x v="1"/>
    <x v="0"/>
    <x v="0"/>
    <b v="1"/>
    <n v="960.79079238108159"/>
    <n v="0"/>
    <n v="960.79079238108159"/>
    <n v="1040.9072342685326"/>
    <n v="0"/>
    <n v="1040.9072342685326"/>
    <n v="-80.11644188745106"/>
    <n v="0"/>
    <n v="-80.11644188745106"/>
  </r>
  <r>
    <s v="330801137117037100"/>
    <s v="EXIM/PFSB/BG-i/25/011"/>
    <x v="0"/>
    <s v="Pertama Ferroalloys Sdn Bhd\n (ISLAMIC FACILITY)"/>
    <s v="MYR"/>
    <s v="No"/>
    <x v="1"/>
    <x v="0"/>
    <x v="0"/>
    <b v="1"/>
    <n v="775348.51"/>
    <n v="65581.227785492432"/>
    <n v="709767.28221450758"/>
    <n v="768824.36564380373"/>
    <n v="0"/>
    <n v="768824.36564380373"/>
    <n v="6524.1443561962806"/>
    <n v="65581.227785492432"/>
    <n v="-59057.083429296152"/>
  </r>
  <r>
    <s v="330802137112036100"/>
    <n v="501168"/>
    <x v="0"/>
    <s v="PERTAMA FERROALLOYS SDN. BHD."/>
    <s v="USD"/>
    <s v="No"/>
    <x v="0"/>
    <x v="0"/>
    <x v="0"/>
    <b v="1"/>
    <n v="4053472.2708632043"/>
    <n v="2031282.9619449838"/>
    <n v="2022189.3089182205"/>
    <n v="3807900.1927749692"/>
    <n v="2578354.3365908787"/>
    <n v="1229545.8561840903"/>
    <n v="245572.07808823511"/>
    <n v="-547071.37464589486"/>
    <n v="792643.4527341302"/>
  </r>
  <r>
    <s v="330801137113007600"/>
    <n v="500694"/>
    <x v="0"/>
    <s v="PERUSAHAAN OTOMOBIL NASIONAL SDN. BHD"/>
    <s v="MYR"/>
    <s v="No"/>
    <x v="0"/>
    <x v="0"/>
    <x v="0"/>
    <b v="1"/>
    <n v="2031271.74"/>
    <n v="1086062.4931692823"/>
    <n v="945209.24683071766"/>
    <n v="2820184.3816919723"/>
    <n v="1770477.9408001937"/>
    <n v="1049706.4408917786"/>
    <n v="-788912.64169197227"/>
    <n v="-684415.44763091137"/>
    <n v="-104497.1940610609"/>
  </r>
  <r>
    <s v="330801137212007500"/>
    <n v="500693"/>
    <x v="1"/>
    <s v="PERUSAHAAN OTOMOBIL NASIONAL SDN. BHD"/>
    <s v="MYR"/>
    <s v="No"/>
    <x v="0"/>
    <x v="0"/>
    <x v="0"/>
    <b v="1"/>
    <n v="80280.72"/>
    <n v="47954.153929390937"/>
    <n v="32326.566070609064"/>
    <n v="93815.886611034148"/>
    <n v="58896.489020061388"/>
    <n v="34919.39759097276"/>
    <n v="-13535.166611034147"/>
    <n v="-10942.335090670451"/>
    <n v="-2592.8315203636957"/>
  </r>
  <r>
    <s v="330801137110037300"/>
    <n v="501175"/>
    <x v="0"/>
    <s v="PIPESWAY FURNITURE SDN BHD"/>
    <s v="MYR"/>
    <s v="No"/>
    <x v="0"/>
    <x v="0"/>
    <x v="0"/>
    <b v="1"/>
    <n v="58916.857659693109"/>
    <n v="21292.968330148004"/>
    <n v="37623.889329545105"/>
    <n v="79090.051470827762"/>
    <n v="38412.739627994342"/>
    <n v="40677.31184283342"/>
    <n v="-20173.193811134654"/>
    <n v="-17119.771297846339"/>
    <n v="-3053.4225132883148"/>
  </r>
  <r>
    <s v="330802218104025400"/>
    <n v="501026"/>
    <x v="0"/>
    <s v="PROBASE ESWATINI PTY LTD"/>
    <s v="USD"/>
    <s v="Yes"/>
    <x v="0"/>
    <x v="1"/>
    <x v="1"/>
    <b v="1"/>
    <n v="468687.83863405947"/>
    <n v="468687.83863405947"/>
    <n v="0"/>
    <n v="476271.88810696773"/>
    <n v="476271.88810696773"/>
    <n v="0"/>
    <n v="-7584.0494729082566"/>
    <n v="-7584.0494729082566"/>
    <n v="0"/>
  </r>
  <r>
    <s v="330802105201030200"/>
    <n v="501096"/>
    <x v="0"/>
    <s v="PT ENVIROTECH AKVA INDONESIA "/>
    <s v="USD"/>
    <s v="No"/>
    <x v="0"/>
    <x v="0"/>
    <x v="0"/>
    <b v="1"/>
    <n v="887570.32283966674"/>
    <n v="887570.32283966674"/>
    <n v="0"/>
    <n v="901447.04572925135"/>
    <n v="901447.04572925135"/>
    <n v="0"/>
    <n v="-13876.722889584606"/>
    <n v="-13876.722889584606"/>
    <n v="0"/>
  </r>
  <r>
    <s v="330801137110031100"/>
    <n v="501110"/>
    <x v="0"/>
    <s v="PTS GOLDKIST INDUSTRIES SDN BHD"/>
    <s v="MYR"/>
    <s v="No"/>
    <x v="0"/>
    <x v="0"/>
    <x v="0"/>
    <b v="1"/>
    <n v="201333.58964028483"/>
    <n v="95113.430411704263"/>
    <n v="106220.15922858057"/>
    <n v="207832.7766772176"/>
    <n v="101160.47916078519"/>
    <n v="106672.2975164324"/>
    <n v="-6499.1870369327662"/>
    <n v="-6047.0487490809319"/>
    <n v="-452.13828785183432"/>
  </r>
  <r>
    <s v="330801137110040200"/>
    <n v="501224"/>
    <x v="0"/>
    <s v="PTS GOLDKIST INDUSTRIES SDN BHD"/>
    <s v="MYR"/>
    <s v="No"/>
    <x v="0"/>
    <x v="0"/>
    <x v="0"/>
    <b v="1"/>
    <n v="317666.52929905721"/>
    <n v="174101.31362396086"/>
    <n v="143565.21567509635"/>
    <n v="316827.55577815278"/>
    <n v="162000.77950227662"/>
    <n v="154826.77627587615"/>
    <n v="838.97352090443019"/>
    <n v="12100.534121684235"/>
    <n v="-11261.560600779805"/>
  </r>
  <r>
    <s v="330801137107036500"/>
    <n v="501170"/>
    <x v="0"/>
    <s v="PUREBLEACH SDN BHD"/>
    <s v="MYR"/>
    <s v="No"/>
    <x v="0"/>
    <x v="0"/>
    <x v="0"/>
    <b v="1"/>
    <n v="16078.46065808922"/>
    <n v="16078.46065808922"/>
    <n v="0"/>
    <n v="16404.53587186493"/>
    <n v="16404.53587186493"/>
    <n v="0"/>
    <n v="-326.07521377570993"/>
    <n v="-326.07521377570993"/>
    <n v="0"/>
  </r>
  <r>
    <s v="330801137110039200"/>
    <n v="501169"/>
    <x v="0"/>
    <s v="PUREBLEACH SDN BHD"/>
    <s v="MYR"/>
    <s v="No"/>
    <x v="0"/>
    <x v="0"/>
    <x v="0"/>
    <b v="1"/>
    <n v="36809.097141986771"/>
    <n v="14273.463192945932"/>
    <n v="22535.633949040839"/>
    <n v="36000.273963039057"/>
    <n v="11635.727233383852"/>
    <n v="24364.546729655205"/>
    <n v="808.82317894771404"/>
    <n v="2637.7359595620801"/>
    <n v="-1828.9127806143661"/>
  </r>
  <r>
    <s v="330801137110040100"/>
    <n v="501218"/>
    <x v="0"/>
    <s v="PUSAN FURNITURE INDUSTRIES SDN BHD"/>
    <s v="MYR"/>
    <s v="No"/>
    <x v="0"/>
    <x v="0"/>
    <x v="0"/>
    <b v="1"/>
    <n v="161620.56257799454"/>
    <n v="122808.03872286264"/>
    <n v="38812.523855131898"/>
    <n v="151621.53697088367"/>
    <n v="109734.88481234686"/>
    <n v="41886.652158536803"/>
    <n v="9999.0256071108743"/>
    <n v="13073.153910515772"/>
    <n v="-3074.1283034049047"/>
  </r>
  <r>
    <s v="330801137107020901"/>
    <n v="500941"/>
    <x v="0"/>
    <s v="PWN EXCELLENCE SDN BHD"/>
    <s v="MYR"/>
    <s v="Yes"/>
    <x v="0"/>
    <x v="1"/>
    <x v="1"/>
    <b v="1"/>
    <n v="85396.030191233571"/>
    <n v="85396.030191233571"/>
    <n v="0"/>
    <n v="138860.46981681223"/>
    <n v="138860.46981681223"/>
    <n v="0"/>
    <n v="-53464.439625578656"/>
    <n v="-53464.439625578656"/>
    <n v="0"/>
  </r>
  <r>
    <s v="330801137107020903"/>
    <n v="500943"/>
    <x v="0"/>
    <s v="PWN EXCELLENCE SDN BHD"/>
    <s v="MYR"/>
    <s v="Yes"/>
    <x v="0"/>
    <x v="1"/>
    <x v="1"/>
    <b v="1"/>
    <n v="3151508.81"/>
    <n v="2720204.708939306"/>
    <n v="431304.10106069391"/>
    <n v="3183900.5882844338"/>
    <n v="2764311.9167424692"/>
    <n v="419588.67154196458"/>
    <n v="-32391.778284433763"/>
    <n v="-44107.207803163212"/>
    <n v="11715.429518729332"/>
  </r>
  <r>
    <s v="330801137107031200"/>
    <n v="501118"/>
    <x v="0"/>
    <s v="RADYSIS ASIA SDN. BHD."/>
    <s v="MYR"/>
    <s v="No"/>
    <x v="0"/>
    <x v="0"/>
    <x v="0"/>
    <b v="1"/>
    <n v="141697.89857269789"/>
    <n v="141697.89857269789"/>
    <n v="0"/>
    <n v="145268.17170220448"/>
    <n v="145268.17170220448"/>
    <n v="0"/>
    <n v="-3570.2731295065896"/>
    <n v="-3570.2731295065896"/>
    <n v="0"/>
  </r>
  <r>
    <s v="330802107200000800"/>
    <n v="500400"/>
    <x v="1"/>
    <s v="REPUBLIC OF IRAQ"/>
    <s v="USD"/>
    <s v="No"/>
    <x v="0"/>
    <x v="0"/>
    <x v="0"/>
    <b v="1"/>
    <n v="45465.966055331119"/>
    <n v="45465.966055331119"/>
    <n v="0"/>
    <n v="45962.847280548303"/>
    <n v="45962.847280548303"/>
    <n v="0"/>
    <n v="-496.88122521718469"/>
    <n v="-496.88122521718469"/>
    <n v="0"/>
  </r>
  <r>
    <s v="330802203200002000"/>
    <n v="500401"/>
    <x v="1"/>
    <s v="REPUBLIC OF SEYCHELLES"/>
    <s v="USD"/>
    <s v="Yes"/>
    <x v="0"/>
    <x v="1"/>
    <x v="1"/>
    <b v="1"/>
    <n v="83963.900851198196"/>
    <n v="83963.900851198196"/>
    <n v="0"/>
    <n v="86910.504478372619"/>
    <n v="86910.504478372619"/>
    <n v="0"/>
    <n v="-2946.6036271744233"/>
    <n v="-2946.6036271744233"/>
    <n v="0"/>
  </r>
  <r>
    <s v="330801137107038503"/>
    <n v="501203"/>
    <x v="0"/>
    <s v="RIZMAN RUZAINI CREATIONS (M) SDN BHD"/>
    <s v="MYR"/>
    <s v="No"/>
    <x v="0"/>
    <x v="0"/>
    <x v="0"/>
    <b v="1"/>
    <n v="5130.9624386547393"/>
    <n v="5082.7398049690992"/>
    <n v="48.222633685639877"/>
    <n v="5363.6682101997812"/>
    <n v="5316.0525569732545"/>
    <n v="47.615653226526746"/>
    <n v="-232.7057715450419"/>
    <n v="-233.3127520041553"/>
    <n v="0.60698045911313159"/>
  </r>
  <r>
    <s v="330801137121038600"/>
    <n v="501206"/>
    <x v="0"/>
    <s v="RIZMAN RUZAINI CREATIONS (M) SDN BHD"/>
    <s v="MYR"/>
    <s v="No"/>
    <x v="0"/>
    <x v="0"/>
    <x v="0"/>
    <b v="1"/>
    <n v="2764.1836506201321"/>
    <n v="2764.1836506201321"/>
    <n v="0"/>
    <n v="297.79299942316965"/>
    <n v="297.48491079217536"/>
    <n v="0.30808863099428246"/>
    <n v="2466.3906511969626"/>
    <n v="2466.6987398279566"/>
    <n v="-0.30808863099428246"/>
  </r>
  <r>
    <s v="330803137107027900"/>
    <n v="501066"/>
    <x v="0"/>
    <s v="S P SETIA BERHAD"/>
    <s v="GBP"/>
    <s v="No"/>
    <x v="0"/>
    <x v="0"/>
    <x v="0"/>
    <b v="1"/>
    <n v="3070733.78"/>
    <n v="3070733.78"/>
    <n v="0"/>
    <n v="3682653.2222493552"/>
    <n v="3682653.2222493552"/>
    <n v="0"/>
    <n v="-611919.44224935537"/>
    <n v="-611919.44224935537"/>
    <n v="0"/>
  </r>
  <r>
    <s v="330801137110039600"/>
    <n v="501196"/>
    <x v="0"/>
    <s v="SARAGREEN SDN BHD"/>
    <s v="MYR"/>
    <s v="No"/>
    <x v="0"/>
    <x v="0"/>
    <x v="0"/>
    <b v="1"/>
    <n v="19493.132898782515"/>
    <n v="12175.666180506714"/>
    <n v="7317.4667182758003"/>
    <n v="19250.995585672114"/>
    <n v="11461.938667845265"/>
    <n v="7789.0569178268497"/>
    <n v="242.13731311040101"/>
    <n v="713.72751266144951"/>
    <n v="-471.59019955104941"/>
  </r>
  <r>
    <s v="330802137200030100"/>
    <n v="501098"/>
    <x v="1"/>
    <s v="SARAWAK PETCHEM SDN BHD "/>
    <s v="USD"/>
    <s v="No"/>
    <x v="0"/>
    <x v="0"/>
    <x v="0"/>
    <b v="1"/>
    <n v="2452368.8976506409"/>
    <n v="2452368.8976506409"/>
    <n v="0"/>
    <n v="2475244.6799200866"/>
    <n v="2475244.6799200866"/>
    <n v="0"/>
    <n v="-22875.782269445714"/>
    <n v="-22875.782269445714"/>
    <n v="0"/>
  </r>
  <r>
    <s v="330802205201028500"/>
    <n v="501075"/>
    <x v="1"/>
    <s v="SERI ELBERT (SINGAPORE) PTE. LTD."/>
    <s v="USD"/>
    <s v="No"/>
    <x v="0"/>
    <x v="0"/>
    <x v="0"/>
    <b v="1"/>
    <n v="1277755.384338188"/>
    <n v="1277755.384338188"/>
    <n v="0"/>
    <n v="1289885.590221484"/>
    <n v="1289885.590221484"/>
    <n v="0"/>
    <n v="-12130.205883295974"/>
    <n v="-12130.205883295974"/>
    <n v="0"/>
  </r>
  <r>
    <s v="330802205201028700"/>
    <n v="501077"/>
    <x v="1"/>
    <s v="SERI EMEI (SINGAPORE) PTE. LTD."/>
    <s v="USD"/>
    <s v="No"/>
    <x v="0"/>
    <x v="0"/>
    <x v="0"/>
    <b v="1"/>
    <n v="1306959.4505327709"/>
    <n v="1306959.4505327709"/>
    <n v="0"/>
    <n v="1319363.3211689549"/>
    <n v="1319363.3211689549"/>
    <n v="0"/>
    <n v="-12403.870636184001"/>
    <n v="-12403.870636184001"/>
    <n v="0"/>
  </r>
  <r>
    <s v="330802205201028600"/>
    <n v="501076"/>
    <x v="1"/>
    <s v="SERI EMORY (SINGAPORE) PTE. LTD"/>
    <s v="USD"/>
    <s v="No"/>
    <x v="0"/>
    <x v="0"/>
    <x v="0"/>
    <b v="1"/>
    <n v="1275970.786277564"/>
    <n v="1275970.786277564"/>
    <n v="0"/>
    <n v="1288083.2132493742"/>
    <n v="1288083.2132493742"/>
    <n v="0"/>
    <n v="-12112.426971810171"/>
    <n v="-12112.426971810171"/>
    <n v="0"/>
  </r>
  <r>
    <s v="330802205201028800"/>
    <n v="501078"/>
    <x v="1"/>
    <s v="SERI EMPEROR (SINGAPORE) PTE. LTD"/>
    <s v="USD"/>
    <s v="No"/>
    <x v="0"/>
    <x v="0"/>
    <x v="0"/>
    <b v="1"/>
    <n v="1275970.786277564"/>
    <n v="1275970.786277564"/>
    <n v="0"/>
    <n v="1288083.2132493742"/>
    <n v="1288083.2132493742"/>
    <n v="0"/>
    <n v="-12112.426971810171"/>
    <n v="-12112.426971810171"/>
    <n v="0"/>
  </r>
  <r>
    <s v="330802205201028300"/>
    <n v="501072"/>
    <x v="1"/>
    <s v="SERI ERLANG (SINGAPORE) PTE. LTD."/>
    <s v="USD"/>
    <s v="No"/>
    <x v="0"/>
    <x v="0"/>
    <x v="0"/>
    <b v="1"/>
    <n v="1265771.0988500039"/>
    <n v="1265771.0988500039"/>
    <n v="0"/>
    <n v="1339067.9902627"/>
    <n v="1339067.9902627"/>
    <n v="0"/>
    <n v="-73296.891412696103"/>
    <n v="-73296.891412696103"/>
    <n v="0"/>
  </r>
  <r>
    <s v="330802205201028200"/>
    <n v="501073"/>
    <x v="1"/>
    <s v="SERI EVEREST (SINGAPORE) PTE. LTD."/>
    <s v="USD"/>
    <s v="No"/>
    <x v="0"/>
    <x v="0"/>
    <x v="0"/>
    <b v="1"/>
    <n v="1266159.2528177591"/>
    <n v="1266159.2528177591"/>
    <n v="0"/>
    <n v="1339434.5135581468"/>
    <n v="1339434.5135581468"/>
    <n v="0"/>
    <n v="-73275.260740387719"/>
    <n v="-73275.260740387719"/>
    <n v="0"/>
  </r>
  <r>
    <s v="330801137110034000"/>
    <n v="501124"/>
    <x v="0"/>
    <s v="SITI KHADIJAH APPAREL SDN BHD"/>
    <s v="MYR"/>
    <s v="No"/>
    <x v="0"/>
    <x v="0"/>
    <x v="0"/>
    <b v="1"/>
    <n v="215585.98413293337"/>
    <n v="136619.23254893144"/>
    <n v="78966.751584001933"/>
    <n v="260752.87516769257"/>
    <n v="127203.66081931532"/>
    <n v="133549.21434837725"/>
    <n v="-45166.891034759203"/>
    <n v="9415.5717296161165"/>
    <n v="-54582.462764375319"/>
  </r>
  <r>
    <s v="330801137107032600"/>
    <n v="501127"/>
    <x v="0"/>
    <s v="SITI KHADIJAH APPAREL SDN BHD"/>
    <s v="MYR"/>
    <s v="No"/>
    <x v="0"/>
    <x v="0"/>
    <x v="0"/>
    <b v="1"/>
    <n v="71181.823209182883"/>
    <n v="70981.514044697265"/>
    <n v="200.30916448561661"/>
    <n v="72804.803629224363"/>
    <n v="72804.803629224363"/>
    <n v="0"/>
    <n v="-1622.9804200414801"/>
    <n v="-1823.2895845270978"/>
    <n v="200.30916448561661"/>
  </r>
  <r>
    <s v="330802137107034900"/>
    <n v="501155"/>
    <x v="0"/>
    <s v="SKY BLUE MEDIA SDN BHD"/>
    <s v="USD"/>
    <s v="No"/>
    <x v="0"/>
    <x v="0"/>
    <x v="0"/>
    <b v="1"/>
    <n v="42329.110541539652"/>
    <n v="27578.309265615324"/>
    <n v="14750.80127592433"/>
    <n v="142261.86974032756"/>
    <n v="127863.10117713356"/>
    <n v="14398.768563193993"/>
    <n v="-99932.759198787913"/>
    <n v="-100284.79191151823"/>
    <n v="352.03271273033715"/>
  </r>
  <r>
    <s v="330802137104028900"/>
    <n v="501079"/>
    <x v="0"/>
    <s v="SMH RAIL SDN BHD"/>
    <s v="USD"/>
    <s v="No"/>
    <x v="0"/>
    <x v="0"/>
    <x v="0"/>
    <b v="1"/>
    <n v="512895.66587572137"/>
    <n v="508271.30864019314"/>
    <n v="4624.3572355282513"/>
    <n v="616261.77100647753"/>
    <n v="616261.77100647753"/>
    <n v="0"/>
    <n v="-103366.10513075616"/>
    <n v="-107990.4623662844"/>
    <n v="4624.3572355282513"/>
  </r>
  <r>
    <s v="330801137107028100"/>
    <n v="501070"/>
    <x v="0"/>
    <s v="SMH RAIL SDN BHD"/>
    <s v="MYR"/>
    <s v="No"/>
    <x v="0"/>
    <x v="0"/>
    <x v="0"/>
    <b v="1"/>
    <n v="280648.19649102428"/>
    <n v="265793.32846906927"/>
    <n v="14854.868021955017"/>
    <n v="206128.19914543722"/>
    <n v="206128.19914543722"/>
    <n v="0"/>
    <n v="74519.997345587064"/>
    <n v="59665.129323632049"/>
    <n v="14854.868021955017"/>
  </r>
  <r>
    <s v="330802137216004600"/>
    <s v="EXIM/SMH/APB/25/003"/>
    <x v="1"/>
    <s v="SMH Rail Sdn Bhd/APB/25/003"/>
    <s v="USD"/>
    <s v="No"/>
    <x v="1"/>
    <x v="0"/>
    <x v="0"/>
    <b v="1"/>
    <n v="95024.643788583824"/>
    <n v="0"/>
    <n v="95024.643788583824"/>
    <n v="104525.20395026894"/>
    <n v="0"/>
    <n v="104525.20395026894"/>
    <n v="-9500.56016168512"/>
    <n v="0"/>
    <n v="-9500.56016168512"/>
  </r>
  <r>
    <s v="330802137216004600"/>
    <s v="EXIM/SMH/TNBG/25/013"/>
    <x v="1"/>
    <s v="SMH Rail Sdn Bhd/TNBG/25/013"/>
    <s v="USD"/>
    <s v="No"/>
    <x v="1"/>
    <x v="0"/>
    <x v="0"/>
    <b v="1"/>
    <n v="65036.541597044612"/>
    <n v="0"/>
    <n v="65036.541597044612"/>
    <n v="71538.892476942288"/>
    <n v="0"/>
    <n v="71538.892476942288"/>
    <n v="-6502.3508798976764"/>
    <n v="0"/>
    <n v="-6502.3508798976764"/>
  </r>
  <r>
    <s v="330802137216004600"/>
    <s v="EXIM/SMH/TNBG/25/014"/>
    <x v="1"/>
    <s v="SMH Rail Sdn Bhd/TNBG/25/014"/>
    <s v="USD"/>
    <s v="No"/>
    <x v="1"/>
    <x v="0"/>
    <x v="0"/>
    <b v="1"/>
    <n v="4064.7838498152882"/>
    <n v="0"/>
    <n v="4064.7838498152882"/>
    <n v="4471.180779808893"/>
    <n v="0"/>
    <n v="4471.180779808893"/>
    <n v="-406.39692999360477"/>
    <n v="0"/>
    <n v="-406.39692999360477"/>
  </r>
  <r>
    <s v="330802137216004600"/>
    <s v="EXIM/SMH/TNBG/25/015"/>
    <x v="1"/>
    <s v="SMH Rail Sdn Bhd/TNBG/25/015"/>
    <s v="USD"/>
    <s v="No"/>
    <x v="1"/>
    <x v="0"/>
    <x v="0"/>
    <b v="1"/>
    <n v="4064.7838498152882"/>
    <n v="0"/>
    <n v="4064.7838498152882"/>
    <n v="4471.180779808893"/>
    <n v="0"/>
    <n v="4471.180779808893"/>
    <n v="-406.39692999360477"/>
    <n v="0"/>
    <n v="-406.39692999360477"/>
  </r>
  <r>
    <s v="330802137216004600"/>
    <s v="EXIM/SMH/TNBG/25/016"/>
    <x v="1"/>
    <s v="SMH Rail Sdn Bhd/WBG/25/016"/>
    <s v="USD"/>
    <s v="No"/>
    <x v="1"/>
    <x v="0"/>
    <x v="0"/>
    <b v="1"/>
    <n v="42978.357929741374"/>
    <n v="42978.357929741374"/>
    <n v="0"/>
    <n v="47275.332471107686"/>
    <n v="0"/>
    <n v="47275.332471107686"/>
    <n v="-4296.9745413663113"/>
    <n v="42978.357929741374"/>
    <n v="-47275.332471107686"/>
  </r>
  <r>
    <s v="330802137216004600"/>
    <n v="501006"/>
    <x v="0"/>
    <s v="SMH Rail Thailand Sdn Bhd"/>
    <s v="USD"/>
    <s v="No"/>
    <x v="0"/>
    <x v="0"/>
    <x v="0"/>
    <b v="1"/>
    <n v="28657.248048475118"/>
    <n v="28657.248048475118"/>
    <n v="0"/>
    <n v="40135.272584982675"/>
    <n v="40135.272584982675"/>
    <n v="0"/>
    <n v="-11478.024536507557"/>
    <n v="-11478.024536507557"/>
    <n v="0"/>
  </r>
  <r>
    <s v="330801137110035400"/>
    <n v="501148"/>
    <x v="0"/>
    <s v="SOUTHEAST ASIA FRUITS INDUSTRY SDN BHD"/>
    <s v="MYR"/>
    <s v="No"/>
    <x v="0"/>
    <x v="0"/>
    <x v="0"/>
    <b v="1"/>
    <n v="82645.283874350687"/>
    <n v="48957.41320366603"/>
    <n v="33687.870670684657"/>
    <n v="82414.217935765933"/>
    <n v="46006.217164206391"/>
    <n v="36408.000771559542"/>
    <n v="231.06593858475389"/>
    <n v="2951.196039459639"/>
    <n v="-2720.1301008748851"/>
  </r>
  <r>
    <s v="330801137107029300"/>
    <n v="501090"/>
    <x v="0"/>
    <s v="SRI DAYAA MANUFACTURING SDN. BHD."/>
    <s v="MYR"/>
    <s v="Yes"/>
    <x v="0"/>
    <x v="1"/>
    <x v="1"/>
    <b v="1"/>
    <n v="1206.8087488532774"/>
    <n v="1206.8087488532774"/>
    <n v="0"/>
    <n v="1206.7356934097697"/>
    <n v="1206.7356934097697"/>
    <n v="0"/>
    <n v="7.3055443507655582E-2"/>
    <n v="7.3055443507655582E-2"/>
    <n v="0"/>
  </r>
  <r>
    <s v="330801137110029200"/>
    <n v="501080"/>
    <x v="0"/>
    <s v="SRI DAYAA MANUFACTURING SDN. BHD."/>
    <s v="MYR"/>
    <s v="Yes"/>
    <x v="0"/>
    <x v="1"/>
    <x v="1"/>
    <b v="1"/>
    <n v="1757.3297163766613"/>
    <n v="1753.7438501372283"/>
    <n v="3.5858662394329621"/>
    <n v="1732.2388269180074"/>
    <n v="1728.3665142871801"/>
    <n v="3.8723126308273237"/>
    <n v="25.090889458653919"/>
    <n v="25.377335850048212"/>
    <n v="-0.28644639139436157"/>
  </r>
  <r>
    <s v="330805137107034700"/>
    <n v="501158"/>
    <x v="0"/>
    <s v="TABCO FOOD SERVICES SDN BHD"/>
    <s v="AUD"/>
    <s v="No"/>
    <x v="0"/>
    <x v="0"/>
    <x v="0"/>
    <b v="1"/>
    <n v="48496.536261435773"/>
    <n v="48496.536261435773"/>
    <n v="0"/>
    <n v="50019.638446629731"/>
    <n v="50019.638446629731"/>
    <n v="0"/>
    <n v="-1523.1021851939586"/>
    <n v="-1523.1021851939586"/>
    <n v="0"/>
  </r>
  <r>
    <s v="330801137107027503"/>
    <n v="501058"/>
    <x v="0"/>
    <s v="TAIACE ENERGY SERVICES SDN  BHD"/>
    <s v="MYR"/>
    <s v="Yes"/>
    <x v="0"/>
    <x v="1"/>
    <x v="0"/>
    <b v="0"/>
    <n v="405.40950894185642"/>
    <n v="405.40950894185642"/>
    <n v="0"/>
    <n v="258.24361714871407"/>
    <n v="258.24361714871407"/>
    <n v="0"/>
    <n v="147.16589179314235"/>
    <n v="147.16589179314235"/>
    <n v="0"/>
  </r>
  <r>
    <s v="330801137107027501"/>
    <n v="501056"/>
    <x v="0"/>
    <s v="TAIACE ENERGY SERVICES SDN  BHD"/>
    <s v="MYR"/>
    <s v="Yes"/>
    <x v="0"/>
    <x v="1"/>
    <x v="0"/>
    <b v="0"/>
    <n v="531.42368860422027"/>
    <n v="531.42368860422027"/>
    <n v="0"/>
    <n v="338.51361459145767"/>
    <n v="338.51361459145767"/>
    <n v="0"/>
    <n v="192.91007401276261"/>
    <n v="192.91007401276261"/>
    <n v="0"/>
  </r>
  <r>
    <s v="330801137107027504"/>
    <n v="501071"/>
    <x v="0"/>
    <s v="TAIACE ENERGY SERVICES SDN  BHD"/>
    <s v="MYR"/>
    <s v="Yes"/>
    <x v="0"/>
    <x v="1"/>
    <x v="0"/>
    <b v="0"/>
    <n v="517.07278222774289"/>
    <n v="517.07278222774289"/>
    <n v="0"/>
    <n v="316.34697361571182"/>
    <n v="316.34697361571182"/>
    <n v="0"/>
    <n v="200.72580861203107"/>
    <n v="200.72580861203107"/>
    <n v="0"/>
  </r>
  <r>
    <s v="330801137107027502"/>
    <n v="501057"/>
    <x v="0"/>
    <s v="TAIACE ENERGY SERVICES SDN  BHD"/>
    <s v="MYR"/>
    <s v="Yes"/>
    <x v="0"/>
    <x v="1"/>
    <x v="0"/>
    <b v="0"/>
    <n v="662.29580607503067"/>
    <n v="662.29580607503067"/>
    <n v="0"/>
    <n v="421.87852322641555"/>
    <n v="421.87852322641555"/>
    <n v="0"/>
    <n v="240.41728284861512"/>
    <n v="240.41728284861512"/>
    <n v="0"/>
  </r>
  <r>
    <s v="330801137107027507"/>
    <n v="501217"/>
    <x v="0"/>
    <s v="TAIACE ENERGY SERVICES SDN  BHD"/>
    <s v="MYR"/>
    <s v="Yes"/>
    <x v="0"/>
    <x v="1"/>
    <x v="0"/>
    <b v="0"/>
    <n v="1144.673758752999"/>
    <n v="1144.673758752999"/>
    <n v="0"/>
    <n v="664.20035223597949"/>
    <n v="664.20035223597949"/>
    <n v="0"/>
    <n v="480.4734065170195"/>
    <n v="480.4734065170195"/>
    <n v="0"/>
  </r>
  <r>
    <s v="330801137107033600"/>
    <n v="501136"/>
    <x v="0"/>
    <s v="TERAS BUDI RESOURCES SDN. BHD."/>
    <s v="MYR"/>
    <s v="No"/>
    <x v="0"/>
    <x v="1"/>
    <x v="1"/>
    <b v="1"/>
    <n v="2304.25"/>
    <n v="2298.45080578343"/>
    <n v="5.79919421656985"/>
    <n v="2306.8774537698314"/>
    <n v="2301.1853280782611"/>
    <n v="5.6921256915704745"/>
    <n v="-2.6274537698313907"/>
    <n v="-2.7345222948310948"/>
    <n v="0.10706852499937547"/>
  </r>
  <r>
    <s v="330801224107037000"/>
    <n v="501182"/>
    <x v="0"/>
    <s v="THAI AROI RICE VERMICELLI COMPANY LIMITED"/>
    <s v="MYR"/>
    <s v="No"/>
    <x v="0"/>
    <x v="0"/>
    <x v="0"/>
    <b v="1"/>
    <n v="121651.5393600079"/>
    <n v="121651.5393600079"/>
    <n v="0"/>
    <n v="123882.03649715545"/>
    <n v="123882.03649715545"/>
    <n v="0"/>
    <n v="-2230.4971371475549"/>
    <n v="-2230.4971371475549"/>
    <n v="0"/>
  </r>
  <r>
    <s v="330802123205020400"/>
    <n v="500937"/>
    <x v="1"/>
    <s v="THE MINISTRY OF FINANCE GOVERNMENT OF LAO PDR"/>
    <s v="USD"/>
    <s v="No"/>
    <x v="0"/>
    <x v="0"/>
    <x v="0"/>
    <b v="1"/>
    <n v="24035296.301973142"/>
    <n v="24035296.301973142"/>
    <n v="0"/>
    <n v="26006840.891987074"/>
    <n v="26006840.891987074"/>
    <n v="0"/>
    <n v="-1971544.5900139324"/>
    <n v="-1971544.5900139324"/>
    <n v="0"/>
  </r>
  <r>
    <s v="330801137107030301"/>
    <n v="501097"/>
    <x v="0"/>
    <s v="TIONG NAM LOGISTICS SOLUTIONS SDN. BHD."/>
    <s v="MYR"/>
    <s v="No"/>
    <x v="0"/>
    <x v="0"/>
    <x v="0"/>
    <b v="1"/>
    <n v="76662.073939829235"/>
    <n v="76662.073939829235"/>
    <n v="0"/>
    <n v="77652.577215229336"/>
    <n v="77652.577215229336"/>
    <n v="0"/>
    <n v="-990.50327540010039"/>
    <n v="-990.50327540010039"/>
    <n v="0"/>
  </r>
  <r>
    <s v="330801137107030302"/>
    <n v="501193"/>
    <x v="0"/>
    <s v="TIONG NAM LOGISTICS SOLUTIONS SDN. BHD."/>
    <s v="MYR"/>
    <s v="No"/>
    <x v="0"/>
    <x v="0"/>
    <x v="0"/>
    <b v="1"/>
    <n v="242025.70371233451"/>
    <n v="240251.87944703613"/>
    <n v="1773.8242652983608"/>
    <n v="223178.61992694787"/>
    <n v="221422.14133304355"/>
    <n v="1756.4785939043079"/>
    <n v="18847.08378538664"/>
    <n v="18829.738113992586"/>
    <n v="17.345671394052943"/>
  </r>
  <r>
    <s v="330801137110034200"/>
    <n v="501119"/>
    <x v="0"/>
    <s v="TRISTAR GLOBAL SDN. BHD."/>
    <s v="MYR"/>
    <s v="No"/>
    <x v="0"/>
    <x v="0"/>
    <x v="0"/>
    <b v="1"/>
    <n v="52541.238580108111"/>
    <n v="4081.205290666272"/>
    <n v="48460.033289441839"/>
    <n v="52534.373323478343"/>
    <n v="0"/>
    <n v="52534.373323478343"/>
    <n v="6.8652566297678277"/>
    <n v="4081.205290666272"/>
    <n v="-4074.3400340365042"/>
  </r>
  <r>
    <s v="330801137110034300"/>
    <n v="501134"/>
    <x v="0"/>
    <s v="UB ACRYLIC (M) SDN BHD"/>
    <s v="MYR"/>
    <s v="No"/>
    <x v="0"/>
    <x v="0"/>
    <x v="0"/>
    <b v="1"/>
    <n v="75637.783281428099"/>
    <n v="74269.976595296364"/>
    <n v="1367.8066861317375"/>
    <n v="74711.511103593657"/>
    <n v="73235.638949433589"/>
    <n v="1475.8721541600748"/>
    <n v="926.27217783444212"/>
    <n v="1034.3376458627754"/>
    <n v="-108.06546802833736"/>
  </r>
  <r>
    <s v="330801137107031700"/>
    <n v="501121"/>
    <x v="0"/>
    <s v="URBAN PINNACLE SDN. BHD."/>
    <s v="MYR"/>
    <s v="No"/>
    <x v="0"/>
    <x v="0"/>
    <x v="0"/>
    <b v="1"/>
    <n v="281237.69"/>
    <n v="281172.21385853837"/>
    <n v="65.476141461619676"/>
    <n v="314693.32514999277"/>
    <n v="314693.32514999277"/>
    <n v="0"/>
    <n v="-33455.63514999277"/>
    <n v="-33521.111291454406"/>
    <n v="65.476141461619676"/>
  </r>
  <r>
    <s v="330801137107031800"/>
    <n v="501122"/>
    <x v="0"/>
    <s v="URBAN PINNACLE SDN. BHD."/>
    <s v="MYR"/>
    <s v="No"/>
    <x v="0"/>
    <x v="0"/>
    <x v="0"/>
    <b v="1"/>
    <n v="489609.14"/>
    <n v="489609.14"/>
    <n v="0"/>
    <n v="503062.39375481638"/>
    <n v="503062.39375481638"/>
    <n v="0"/>
    <n v="-13453.253754816367"/>
    <n v="-13453.253754816367"/>
    <n v="0"/>
  </r>
  <r>
    <s v="330801137107032400"/>
    <n v="501126"/>
    <x v="0"/>
    <s v="URBAN PINNACLE SDN. BHD."/>
    <s v="MYR"/>
    <s v="No"/>
    <x v="0"/>
    <x v="0"/>
    <x v="0"/>
    <b v="1"/>
    <n v="252790.33"/>
    <n v="252790.33"/>
    <n v="0"/>
    <n v="259413.12759407389"/>
    <n v="259413.12759407389"/>
    <n v="0"/>
    <n v="-6622.7975940738979"/>
    <n v="-6622.7975940738979"/>
    <n v="0"/>
  </r>
  <r>
    <s v="330801137110040500"/>
    <n v="501123"/>
    <x v="0"/>
    <s v="WELL-BUILT ALLOY INDUSTRIES SDN BHD"/>
    <s v="MYR"/>
    <s v="No"/>
    <x v="0"/>
    <x v="0"/>
    <x v="0"/>
    <b v="1"/>
    <n v="173024.66341414952"/>
    <n v="140421.63810892621"/>
    <n v="32603.025305223298"/>
    <n v="159331.32732367373"/>
    <n v="124095.7678526892"/>
    <n v="35235.559470984539"/>
    <n v="13693.336090475786"/>
    <n v="16325.870256237016"/>
    <n v="-2632.5341657612407"/>
  </r>
  <r>
    <s v="330802137110035100"/>
    <n v="501157"/>
    <x v="0"/>
    <s v="WHITEX GARMENTS SDN BHD"/>
    <s v="USD"/>
    <s v="No"/>
    <x v="0"/>
    <x v="0"/>
    <x v="0"/>
    <b v="1"/>
    <n v="1121100.9455172163"/>
    <n v="1054962.8465410396"/>
    <n v="66138.098976176654"/>
    <n v="1241497.9269469744"/>
    <n v="1169027.6558433292"/>
    <n v="72470.271103645166"/>
    <n v="-120396.98142975802"/>
    <n v="-114064.8093022895"/>
    <n v="-6332.1721274685115"/>
  </r>
  <r>
    <s v="330802137110002300"/>
    <n v="500605"/>
    <x v="0"/>
    <s v="WHITEX GARMENTS SDN BHD"/>
    <s v="USD"/>
    <s v="No"/>
    <x v="0"/>
    <x v="0"/>
    <x v="0"/>
    <b v="1"/>
    <n v="1001428.8066494204"/>
    <n v="960917.69078566704"/>
    <n v="40511.115863753352"/>
    <n v="1109274.0373858041"/>
    <n v="1064878.1485031759"/>
    <n v="44395.888882628169"/>
    <n v="-107845.2307363837"/>
    <n v="-103960.45771750889"/>
    <n v="-3884.7730188748174"/>
  </r>
  <r>
    <s v="330802137110035900"/>
    <n v="501167"/>
    <x v="0"/>
    <s v="WHITEX GARMENTS SDN BHD"/>
    <s v="USD"/>
    <s v="No"/>
    <x v="0"/>
    <x v="0"/>
    <x v="0"/>
    <b v="1"/>
    <n v="297611.61491371715"/>
    <n v="296981.09488204616"/>
    <n v="630.52003167096586"/>
    <n v="329979.89287664078"/>
    <n v="329288.40384728531"/>
    <n v="691.48902935545175"/>
    <n v="-32368.277962923632"/>
    <n v="-32307.30896523915"/>
    <n v="-60.968997684485885"/>
  </r>
  <r>
    <s v="330802137101027000"/>
    <n v="501049"/>
    <x v="0"/>
    <s v="WHITEX GARMENTS SDN BHD"/>
    <s v="USD"/>
    <s v="No"/>
    <x v="0"/>
    <x v="0"/>
    <x v="0"/>
    <b v="1"/>
    <n v="1858715.7900642739"/>
    <n v="1858640.6835043891"/>
    <n v="75.106559884721321"/>
    <n v="1887755.6092701671"/>
    <n v="1887755.6092701671"/>
    <n v="0"/>
    <n v="-29039.819205893204"/>
    <n v="-29114.925765777938"/>
    <n v="75.106559884721321"/>
  </r>
  <r>
    <s v="330802137120029000"/>
    <n v="501092"/>
    <x v="0"/>
    <s v="WSA VENTURE AUSTRALIA (M) SDN BHD"/>
    <s v="USD"/>
    <s v="No"/>
    <x v="0"/>
    <x v="0"/>
    <x v="0"/>
    <b v="1"/>
    <n v="5780.9160747907736"/>
    <n v="-52831.542531960586"/>
    <n v="58612.458606751359"/>
    <n v="72660.92500767528"/>
    <n v="8199.2951254634681"/>
    <n v="64461.629882211811"/>
    <n v="-66880.008932884506"/>
    <n v="-61030.837657424054"/>
    <n v="-5849.1712754604523"/>
  </r>
  <r>
    <s v="330802137122029100"/>
    <n v="501085"/>
    <x v="0"/>
    <s v="WSA VENTURE AUSTRALIA (M) SDN BHD"/>
    <s v="USD"/>
    <s v="No"/>
    <x v="0"/>
    <x v="0"/>
    <x v="0"/>
    <b v="1"/>
    <n v="79577.456836441139"/>
    <n v="79577.456836441139"/>
    <n v="0"/>
    <n v="11967.865096825484"/>
    <n v="11967.865096825484"/>
    <n v="0"/>
    <n v="67609.591739615658"/>
    <n v="67609.591739615658"/>
    <n v="0"/>
  </r>
  <r>
    <s v="330801137107038300"/>
    <n v="501198"/>
    <x v="0"/>
    <s v="YH POLYMER SDN. BHD"/>
    <s v="MYR"/>
    <s v="No"/>
    <x v="0"/>
    <x v="0"/>
    <x v="0"/>
    <b v="1"/>
    <n v="34924.195482730371"/>
    <n v="34924.195482730371"/>
    <n v="0"/>
    <n v="36276.829078811359"/>
    <n v="36276.829078811359"/>
    <n v="0"/>
    <n v="-1352.6335960809884"/>
    <n v="-1352.6335960809884"/>
    <n v="0"/>
  </r>
  <r>
    <s v="330801137110038200"/>
    <n v="501197"/>
    <x v="0"/>
    <s v="YH POLYMER SDN. BHD"/>
    <s v="MYR"/>
    <s v="No"/>
    <x v="0"/>
    <x v="0"/>
    <x v="0"/>
    <b v="1"/>
    <n v="228851.79940306547"/>
    <n v="228846.5282869894"/>
    <n v="5.2711160760772815"/>
    <n v="227759.96141715068"/>
    <n v="227754.26769623702"/>
    <n v="5.6937209136647482"/>
    <n v="1091.8379859147826"/>
    <n v="1092.260590752383"/>
    <n v="-0.4226048375874667"/>
  </r>
  <r>
    <s v="330802205101025000"/>
    <n v="501017"/>
    <x v="0"/>
    <s v="YINSON INTERNATIONAL PTE LTD"/>
    <s v="USD"/>
    <s v="No"/>
    <x v="0"/>
    <x v="0"/>
    <x v="0"/>
    <b v="1"/>
    <n v="412732.02525443397"/>
    <n v="412732.02525443397"/>
    <n v="0"/>
    <n v="474406.53448777169"/>
    <n v="474406.53448777169"/>
    <n v="0"/>
    <n v="-61674.509233337711"/>
    <n v="-61674.509233337711"/>
    <n v="0"/>
  </r>
  <r>
    <s v="330801137121028400"/>
    <n v="500995"/>
    <x v="0"/>
    <s v="ZAID IBRAHIM &amp; CO."/>
    <s v="MYR"/>
    <s v="No"/>
    <x v="0"/>
    <x v="0"/>
    <x v="0"/>
    <b v="1"/>
    <n v="322495.24516279547"/>
    <n v="322495.24516279547"/>
    <n v="0"/>
    <n v="307931.11000190751"/>
    <n v="307931.11000190751"/>
    <n v="0"/>
    <n v="14564.135160887963"/>
    <n v="14564.13516088796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732608-0F35-4136-8F95-D715D188CD3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99:R207" firstHeaderRow="1" firstDataRow="2" firstDataCol="1"/>
  <pivotFields count="19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</pivotFields>
  <rowFields count="2">
    <field x="8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Total ECL MYR (C&amp;C)2" fld="15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92A9A6-5FDC-4DDA-A89E-11F5452E5D4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78:R185" firstHeaderRow="0" firstDataRow="1" firstDataCol="1"/>
  <pivotFields count="19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dataField="1" numFmtId="164" showAll="0"/>
    <pivotField numFmtId="164" showAll="0"/>
    <pivotField numFmtId="164" showAll="0"/>
    <pivotField numFmtId="164" showAll="0"/>
  </pivotFields>
  <rowFields count="2">
    <field x="8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CL - April 2025" fld="13" baseField="0" baseItem="0" numFmtId="164"/>
    <dataField name="Sum of Total ECL MYR (LAF)2" fld="14" baseField="0" baseItem="0" numFmtId="164"/>
    <dataField name="Sum of Total ECL MYR (C&amp;C)2" fld="15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A6A1B4-733C-49BB-80D1-7BE1E68850A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99:M207" firstHeaderRow="1" firstDataRow="2" firstDataCol="1"/>
  <pivotFields count="19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numFmtId="43" showAll="0"/>
    <pivotField numFmtId="43" showAll="0"/>
    <pivotField dataField="1" numFmtId="43" showAll="0"/>
    <pivotField numFmtId="43" showAll="0"/>
    <pivotField numFmtId="43" showAll="0"/>
    <pivotField numFmtId="43" showAll="0"/>
    <pivotField numFmtId="43" showAll="0"/>
    <pivotField numFmtId="4" showAll="0"/>
    <pivotField numFmtId="4" showAll="0"/>
  </pivotFields>
  <rowFields count="2">
    <field x="7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Total ECL MYR (C&amp;C)" fld="12" baseField="0" baseItem="0" numFmtId="4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8F80EA-3244-4742-B883-D98C99F1AC6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78:M185" firstHeaderRow="0" firstDataRow="1" firstDataCol="1"/>
  <pivotFields count="19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dataField="1" numFmtId="43" showAll="0"/>
    <pivotField dataField="1" numFmtId="43" showAll="0"/>
    <pivotField dataField="1" numFmtId="43" showAll="0"/>
    <pivotField numFmtId="43" showAll="0"/>
    <pivotField numFmtId="43" showAll="0"/>
    <pivotField numFmtId="43" showAll="0"/>
    <pivotField numFmtId="43" showAll="0"/>
    <pivotField numFmtId="4" showAll="0"/>
    <pivotField numFmtId="4" showAll="0"/>
  </pivotFields>
  <rowFields count="2">
    <field x="7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CL - May 2025" fld="10" baseField="0" baseItem="0" numFmtId="43"/>
    <dataField name="Sum of Total ECL MYR (LAF)" fld="11" baseField="0" baseItem="0" numFmtId="43"/>
    <dataField name="Sum of Total ECL MYR (C&amp;C)" fld="12" baseField="0" baseItem="0" numFmtId="4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2BB8DD-62E9-49AA-9DF0-E2EF7A1C0471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T199:W207" firstHeaderRow="1" firstDataRow="2" firstDataCol="1"/>
  <pivotFields count="19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</pivotFields>
  <rowFields count="2">
    <field x="2"/>
    <field x="7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Total ECL MYR (C&amp;C)3" fld="18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7EDED8-12AF-446E-BEC5-FA2C44F6B2E8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T178:W185" firstHeaderRow="0" firstDataRow="1" firstDataCol="1"/>
  <pivotFields count="19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dataField="1" numFmtId="164" showAll="0"/>
  </pivotFields>
  <rowFields count="2">
    <field x="2"/>
    <field x="7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CL - May 20252" fld="16" baseField="0" baseItem="0" numFmtId="164"/>
    <dataField name="Sum of Total ECL MYR (LAF)3" fld="17" baseField="0" baseItem="0" numFmtId="164"/>
    <dataField name="Sum of Total ECL MYR (C&amp;C)3" fld="18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C0A3A-7E9A-4238-AE43-EBC1E1D33D64}">
  <sheetPr>
    <tabColor theme="6"/>
  </sheetPr>
  <dimension ref="A1:Q83"/>
  <sheetViews>
    <sheetView topLeftCell="A28" workbookViewId="0">
      <selection activeCell="C13" sqref="C13"/>
    </sheetView>
  </sheetViews>
  <sheetFormatPr defaultColWidth="9.140625" defaultRowHeight="15" x14ac:dyDescent="0.25"/>
  <cols>
    <col min="1" max="2" width="5.5703125" style="27" customWidth="1"/>
    <col min="3" max="3" width="18.7109375" style="27" customWidth="1"/>
    <col min="4" max="4" width="14.28515625" style="27" bestFit="1" customWidth="1"/>
    <col min="5" max="5" width="21.7109375" style="27" customWidth="1"/>
    <col min="6" max="6" width="15" style="27" customWidth="1"/>
    <col min="7" max="7" width="3.28515625" style="27" customWidth="1"/>
    <col min="8" max="8" width="14.85546875" style="28" customWidth="1"/>
    <col min="9" max="9" width="4.7109375" style="28" customWidth="1"/>
    <col min="10" max="10" width="18.28515625" style="28" bestFit="1" customWidth="1"/>
    <col min="11" max="11" width="15" style="27" customWidth="1"/>
    <col min="12" max="12" width="16.85546875" style="29" customWidth="1"/>
    <col min="13" max="13" width="3.5703125" style="27" customWidth="1"/>
    <col min="14" max="14" width="13.5703125" style="27" customWidth="1"/>
    <col min="15" max="15" width="5.5703125" style="27" customWidth="1"/>
    <col min="16" max="16" width="18.7109375" style="27" customWidth="1"/>
    <col min="17" max="17" width="14.28515625" style="27" bestFit="1" customWidth="1"/>
    <col min="18" max="18" width="16.85546875" style="27" customWidth="1"/>
    <col min="19" max="16384" width="9.140625" style="27"/>
  </cols>
  <sheetData>
    <row r="1" spans="1:6" x14ac:dyDescent="0.25">
      <c r="A1" s="25" t="s">
        <v>151</v>
      </c>
      <c r="B1" s="26"/>
      <c r="C1" s="26"/>
      <c r="D1" s="26"/>
      <c r="E1" s="26"/>
    </row>
    <row r="2" spans="1:6" x14ac:dyDescent="0.25">
      <c r="A2" s="26"/>
      <c r="B2" s="26"/>
      <c r="C2" s="30"/>
      <c r="D2" s="26"/>
      <c r="E2" s="26"/>
    </row>
    <row r="3" spans="1:6" x14ac:dyDescent="0.25">
      <c r="A3" s="25" t="s">
        <v>152</v>
      </c>
      <c r="B3" s="26"/>
      <c r="C3" s="26"/>
      <c r="D3" s="26"/>
      <c r="E3" s="26" t="s">
        <v>912</v>
      </c>
    </row>
    <row r="4" spans="1:6" x14ac:dyDescent="0.25">
      <c r="A4" s="26"/>
      <c r="B4" s="26"/>
      <c r="C4" s="31"/>
      <c r="D4" s="26"/>
      <c r="E4" s="26"/>
    </row>
    <row r="5" spans="1:6" x14ac:dyDescent="0.25">
      <c r="A5" s="26" t="s">
        <v>153</v>
      </c>
      <c r="B5" s="26">
        <v>40</v>
      </c>
      <c r="C5" s="31">
        <f>IF(F5&lt;0,210603,511417)</f>
        <v>210603</v>
      </c>
      <c r="D5" s="71">
        <f>IF(F5&lt;0,-F5,F5)</f>
        <v>2891982.499276015</v>
      </c>
      <c r="E5" s="26">
        <v>105358792</v>
      </c>
      <c r="F5" s="32">
        <f>GETPIVOTDATA("Sum of Total ECL MYR (LAF)3",ECL!$T$178,"Type of Financing","Conventional","MFRS staging ",1)</f>
        <v>-2891982.499276015</v>
      </c>
    </row>
    <row r="6" spans="1:6" x14ac:dyDescent="0.25">
      <c r="A6" s="26" t="s">
        <v>154</v>
      </c>
      <c r="B6" s="26">
        <v>50</v>
      </c>
      <c r="C6" s="31">
        <f>IF(F5&gt;0,210603,511417)</f>
        <v>511417</v>
      </c>
      <c r="D6" s="71">
        <f>D5</f>
        <v>2891982.499276015</v>
      </c>
      <c r="E6" s="26"/>
      <c r="F6" s="32"/>
    </row>
    <row r="7" spans="1:6" x14ac:dyDescent="0.25">
      <c r="A7" s="33" t="s">
        <v>169</v>
      </c>
      <c r="B7" s="26"/>
      <c r="C7" s="31"/>
      <c r="D7" s="34"/>
      <c r="E7" s="26"/>
      <c r="F7" s="32"/>
    </row>
    <row r="8" spans="1:6" x14ac:dyDescent="0.25">
      <c r="A8" s="26"/>
      <c r="B8" s="26"/>
      <c r="C8" s="31"/>
      <c r="D8" s="34"/>
      <c r="E8" s="26"/>
      <c r="F8" s="32"/>
    </row>
    <row r="9" spans="1:6" x14ac:dyDescent="0.25">
      <c r="A9" s="26" t="s">
        <v>153</v>
      </c>
      <c r="B9" s="26">
        <v>40</v>
      </c>
      <c r="C9" s="31">
        <f>IF(F9&lt;0,210604,511418)</f>
        <v>210604</v>
      </c>
      <c r="D9" s="71">
        <f>IF(F9&lt;0,-F9,F9)</f>
        <v>2946.6036271744233</v>
      </c>
      <c r="E9" s="26"/>
      <c r="F9" s="32">
        <f>GETPIVOTDATA("Sum of Total ECL MYR (LAF)3",ECL!$T$178,"Type of Financing","Conventional","MFRS staging ",2)</f>
        <v>-2946.6036271744233</v>
      </c>
    </row>
    <row r="10" spans="1:6" x14ac:dyDescent="0.25">
      <c r="A10" s="26" t="s">
        <v>154</v>
      </c>
      <c r="B10" s="26">
        <v>50</v>
      </c>
      <c r="C10" s="31">
        <f>IF(F9&gt;0,210604,511418)</f>
        <v>511418</v>
      </c>
      <c r="D10" s="71">
        <f>D9</f>
        <v>2946.6036271744233</v>
      </c>
      <c r="E10" s="26"/>
      <c r="F10" s="35"/>
    </row>
    <row r="11" spans="1:6" x14ac:dyDescent="0.25">
      <c r="A11" s="33" t="s">
        <v>170</v>
      </c>
      <c r="B11" s="26"/>
      <c r="C11" s="31"/>
      <c r="D11" s="26"/>
      <c r="E11" s="26"/>
      <c r="F11" s="35"/>
    </row>
    <row r="12" spans="1:6" x14ac:dyDescent="0.25">
      <c r="A12" s="33"/>
      <c r="B12" s="26"/>
      <c r="C12" s="31"/>
      <c r="D12" s="26"/>
      <c r="E12" s="26"/>
      <c r="F12" s="35"/>
    </row>
    <row r="13" spans="1:6" x14ac:dyDescent="0.25">
      <c r="A13" s="26" t="s">
        <v>153</v>
      </c>
      <c r="B13" s="26">
        <v>40</v>
      </c>
      <c r="C13" s="31">
        <f>IF(F13&lt;0,210604,210603)</f>
        <v>210604</v>
      </c>
      <c r="D13" s="46">
        <f>IF(F13&lt;0,-F13,F13)</f>
        <v>0.02</v>
      </c>
      <c r="E13" s="26"/>
      <c r="F13" s="35">
        <v>-0.02</v>
      </c>
    </row>
    <row r="14" spans="1:6" x14ac:dyDescent="0.25">
      <c r="A14" s="26" t="s">
        <v>154</v>
      </c>
      <c r="B14" s="26">
        <v>50</v>
      </c>
      <c r="C14" s="31">
        <f>IF(F13&gt;0,210604,210603)</f>
        <v>210603</v>
      </c>
      <c r="D14" s="73">
        <f>D13</f>
        <v>0.02</v>
      </c>
      <c r="E14" s="26"/>
      <c r="F14" s="35"/>
    </row>
    <row r="15" spans="1:6" x14ac:dyDescent="0.25">
      <c r="A15" s="33" t="s">
        <v>916</v>
      </c>
      <c r="B15" s="26"/>
      <c r="C15" s="31"/>
      <c r="D15" s="26"/>
      <c r="E15" s="26"/>
      <c r="F15" s="35"/>
    </row>
    <row r="16" spans="1:6" x14ac:dyDescent="0.25">
      <c r="A16" s="33"/>
      <c r="B16" s="26"/>
      <c r="C16" s="31"/>
      <c r="D16" s="26"/>
      <c r="E16" s="26"/>
      <c r="F16" s="35"/>
    </row>
    <row r="17" spans="1:11" x14ac:dyDescent="0.25">
      <c r="A17" s="26"/>
      <c r="B17" s="26"/>
      <c r="C17" s="31"/>
      <c r="D17" s="26"/>
      <c r="E17" s="26"/>
      <c r="F17" s="35"/>
    </row>
    <row r="18" spans="1:11" x14ac:dyDescent="0.25">
      <c r="A18" s="26"/>
      <c r="B18" s="26"/>
      <c r="C18" s="31"/>
      <c r="D18" s="26"/>
      <c r="E18" s="26"/>
      <c r="F18" s="35"/>
    </row>
    <row r="19" spans="1:11" x14ac:dyDescent="0.25">
      <c r="A19" s="25" t="s">
        <v>155</v>
      </c>
      <c r="B19" s="26"/>
      <c r="C19" s="31"/>
      <c r="D19" s="26"/>
      <c r="E19" s="26"/>
      <c r="F19" s="35"/>
      <c r="J19" s="28" t="s">
        <v>156</v>
      </c>
    </row>
    <row r="20" spans="1:11" x14ac:dyDescent="0.25">
      <c r="A20" s="26"/>
      <c r="B20" s="26"/>
      <c r="C20" s="31"/>
      <c r="D20" s="26"/>
      <c r="E20" s="26"/>
      <c r="F20" s="35"/>
    </row>
    <row r="21" spans="1:11" x14ac:dyDescent="0.25">
      <c r="A21" s="26" t="s">
        <v>153</v>
      </c>
      <c r="B21" s="26">
        <v>40</v>
      </c>
      <c r="C21" s="31">
        <f>IF(F21&lt;0,2210603,5511417)</f>
        <v>5511417</v>
      </c>
      <c r="D21" s="71">
        <f>IF(F21&lt;0,-F21,F21)</f>
        <v>2305198.1519451672</v>
      </c>
      <c r="E21" s="26">
        <v>103148691</v>
      </c>
      <c r="F21" s="32">
        <f>GETPIVOTDATA("Sum of Total ECL MYR (LAF)3",ECL!$T$178,"Type of Financing","Islamic","MFRS staging ",1)</f>
        <v>2305198.1519451672</v>
      </c>
      <c r="H21" s="29">
        <v>8309091.3300000001</v>
      </c>
      <c r="I21" s="29"/>
      <c r="J21" s="29">
        <f>D21-H21</f>
        <v>-6003893.1780548329</v>
      </c>
      <c r="K21" s="29">
        <f>D21-[1]JVBSYTD202502!$D$16</f>
        <v>-41434.759530722164</v>
      </c>
    </row>
    <row r="22" spans="1:11" x14ac:dyDescent="0.25">
      <c r="A22" s="26" t="s">
        <v>154</v>
      </c>
      <c r="B22" s="26">
        <v>50</v>
      </c>
      <c r="C22" s="31">
        <f>IF(F21&gt;0,2210603,5511417)</f>
        <v>2210603</v>
      </c>
      <c r="D22" s="71">
        <f>D21</f>
        <v>2305198.1519451672</v>
      </c>
      <c r="E22" s="26"/>
      <c r="F22" s="32"/>
    </row>
    <row r="23" spans="1:11" x14ac:dyDescent="0.25">
      <c r="A23" s="33" t="s">
        <v>171</v>
      </c>
      <c r="B23" s="26"/>
      <c r="C23" s="31"/>
      <c r="D23" s="34"/>
      <c r="E23" s="26"/>
      <c r="F23" s="32"/>
    </row>
    <row r="24" spans="1:11" x14ac:dyDescent="0.25">
      <c r="A24" s="26"/>
      <c r="B24" s="26"/>
      <c r="C24" s="31"/>
      <c r="D24" s="34"/>
      <c r="E24" s="26"/>
      <c r="F24" s="32"/>
    </row>
    <row r="25" spans="1:11" x14ac:dyDescent="0.25">
      <c r="A25" s="26" t="s">
        <v>153</v>
      </c>
      <c r="B25" s="26">
        <v>40</v>
      </c>
      <c r="C25" s="31">
        <f>IF(F25&lt;0,2210604,5511418)</f>
        <v>2210604</v>
      </c>
      <c r="D25" s="71">
        <f>IF(F25&lt;0,-F25,F25)</f>
        <v>124556.68183004468</v>
      </c>
      <c r="E25" s="26"/>
      <c r="F25" s="32">
        <f>GETPIVOTDATA("Sum of Total ECL MYR (LAF)3",ECL!$T$178,"Type of Financing","Islamic","MFRS staging ",2)</f>
        <v>-124556.68183004468</v>
      </c>
    </row>
    <row r="26" spans="1:11" x14ac:dyDescent="0.25">
      <c r="A26" s="26" t="s">
        <v>154</v>
      </c>
      <c r="B26" s="26">
        <v>50</v>
      </c>
      <c r="C26" s="31">
        <f>IF(F25&gt;0,2210604,5511418)</f>
        <v>5511418</v>
      </c>
      <c r="D26" s="71">
        <f>D25</f>
        <v>124556.68183004468</v>
      </c>
      <c r="E26" s="26" t="s">
        <v>157</v>
      </c>
      <c r="F26" s="35"/>
    </row>
    <row r="27" spans="1:11" x14ac:dyDescent="0.25">
      <c r="A27" s="33" t="s">
        <v>172</v>
      </c>
      <c r="B27" s="26"/>
      <c r="C27" s="26"/>
      <c r="D27" s="26"/>
      <c r="E27" s="26"/>
      <c r="F27" s="35"/>
    </row>
    <row r="28" spans="1:11" x14ac:dyDescent="0.25">
      <c r="A28" s="26"/>
      <c r="B28" s="26"/>
      <c r="C28" s="26"/>
      <c r="D28" s="26"/>
      <c r="E28" s="26"/>
      <c r="F28" s="35"/>
    </row>
    <row r="29" spans="1:11" x14ac:dyDescent="0.25">
      <c r="A29" s="26" t="s">
        <v>153</v>
      </c>
      <c r="B29" s="26">
        <v>40</v>
      </c>
      <c r="C29" s="31">
        <f>IF(F29&lt;0,2210603,2210604)</f>
        <v>2210603</v>
      </c>
      <c r="D29" s="73">
        <f>IF(F29&lt;0,-F29,F29)</f>
        <v>1999.1432906836271</v>
      </c>
      <c r="E29" s="26"/>
      <c r="F29" s="35">
        <v>-1999.1432906836271</v>
      </c>
    </row>
    <row r="30" spans="1:11" x14ac:dyDescent="0.25">
      <c r="A30" s="26" t="s">
        <v>154</v>
      </c>
      <c r="B30" s="26">
        <v>50</v>
      </c>
      <c r="C30" s="31">
        <f>IF(F29&gt;0,2210603,2210604)</f>
        <v>2210604</v>
      </c>
      <c r="D30" s="73">
        <f>D29</f>
        <v>1999.1432906836271</v>
      </c>
      <c r="E30" s="26"/>
      <c r="F30" s="35"/>
    </row>
    <row r="31" spans="1:11" x14ac:dyDescent="0.25">
      <c r="A31" s="33" t="s">
        <v>915</v>
      </c>
      <c r="B31" s="26"/>
      <c r="C31" s="26"/>
      <c r="D31" s="26"/>
      <c r="E31" s="26"/>
      <c r="F31" s="35"/>
    </row>
    <row r="32" spans="1:11" x14ac:dyDescent="0.25">
      <c r="A32" s="26"/>
      <c r="B32" s="26"/>
      <c r="C32" s="26"/>
      <c r="D32" s="26"/>
      <c r="E32" s="26"/>
      <c r="F32" s="35"/>
    </row>
    <row r="33" spans="1:11" x14ac:dyDescent="0.25">
      <c r="A33" s="26"/>
      <c r="B33" s="26"/>
      <c r="C33" s="26"/>
      <c r="D33" s="26"/>
      <c r="E33" s="26"/>
      <c r="F33" s="35"/>
    </row>
    <row r="34" spans="1:11" x14ac:dyDescent="0.25">
      <c r="A34" s="26"/>
      <c r="B34" s="26"/>
      <c r="C34" s="26"/>
      <c r="D34" s="26"/>
      <c r="E34" s="26"/>
      <c r="F34" s="35"/>
    </row>
    <row r="35" spans="1:11" x14ac:dyDescent="0.25">
      <c r="A35" s="36" t="s">
        <v>158</v>
      </c>
      <c r="B35" s="37"/>
      <c r="C35" s="37"/>
      <c r="D35" s="37"/>
      <c r="E35" s="37"/>
      <c r="F35" s="35"/>
    </row>
    <row r="36" spans="1:11" x14ac:dyDescent="0.25">
      <c r="A36" s="37"/>
      <c r="B36" s="37"/>
      <c r="C36" s="37"/>
      <c r="D36" s="37"/>
      <c r="E36" s="37"/>
      <c r="F36" s="35"/>
    </row>
    <row r="37" spans="1:11" x14ac:dyDescent="0.25">
      <c r="A37" s="36" t="s">
        <v>152</v>
      </c>
      <c r="B37" s="37"/>
      <c r="C37" s="37"/>
      <c r="D37" s="37"/>
      <c r="E37" s="37"/>
      <c r="F37" s="35"/>
    </row>
    <row r="38" spans="1:11" x14ac:dyDescent="0.25">
      <c r="A38" s="37"/>
      <c r="B38" s="37"/>
      <c r="C38" s="38"/>
      <c r="D38" s="37"/>
      <c r="E38" s="37"/>
      <c r="F38" s="35"/>
    </row>
    <row r="39" spans="1:11" x14ac:dyDescent="0.25">
      <c r="A39" s="37" t="s">
        <v>153</v>
      </c>
      <c r="B39" s="37">
        <v>40</v>
      </c>
      <c r="C39" s="38">
        <f>IF(F39&lt;0,210806,511425)</f>
        <v>210806</v>
      </c>
      <c r="D39" s="71">
        <f>IF(F39&lt;0,-F39,F39)</f>
        <v>124640.52429683646</v>
      </c>
      <c r="E39" s="37">
        <v>105358793</v>
      </c>
      <c r="F39" s="35">
        <f>GETPIVOTDATA("Total ECL MYR (C&amp;C)3",ECL!$T$199,"Type of Financing","Conventional","Undrawn/BG","BG","MFRS staging ",1)</f>
        <v>-124640.52429683646</v>
      </c>
      <c r="K39" s="39"/>
    </row>
    <row r="40" spans="1:11" x14ac:dyDescent="0.25">
      <c r="A40" s="37" t="s">
        <v>154</v>
      </c>
      <c r="B40" s="37">
        <v>50</v>
      </c>
      <c r="C40" s="38">
        <f>IF(C39=511425,210806,511425)</f>
        <v>511425</v>
      </c>
      <c r="D40" s="71">
        <f>D39</f>
        <v>124640.52429683646</v>
      </c>
      <c r="E40" s="37"/>
      <c r="F40" s="35"/>
    </row>
    <row r="41" spans="1:11" x14ac:dyDescent="0.25">
      <c r="A41" s="40" t="s">
        <v>173</v>
      </c>
      <c r="B41" s="37"/>
      <c r="C41" s="38"/>
      <c r="D41" s="41"/>
      <c r="E41" s="37"/>
      <c r="F41" s="35"/>
    </row>
    <row r="42" spans="1:11" x14ac:dyDescent="0.25">
      <c r="A42" s="37"/>
      <c r="B42" s="37"/>
      <c r="C42" s="38"/>
      <c r="D42" s="41"/>
      <c r="E42" s="37"/>
      <c r="F42" s="35"/>
    </row>
    <row r="43" spans="1:11" x14ac:dyDescent="0.25">
      <c r="A43" s="37" t="s">
        <v>153</v>
      </c>
      <c r="B43" s="37">
        <v>40</v>
      </c>
      <c r="C43" s="38">
        <f>IF(F43&lt;0,210807,511426)</f>
        <v>511426</v>
      </c>
      <c r="D43" s="71">
        <f>IF(F43&lt;0,-F43,F43)</f>
        <v>0</v>
      </c>
      <c r="E43" s="42"/>
      <c r="F43" s="32">
        <f>GETPIVOTDATA("Total ECL MYR (C&amp;C)3",ECL!$T$199,"Type of Financing","Conventional","Undrawn/BG","BG","MFRS staging ",2)</f>
        <v>0</v>
      </c>
    </row>
    <row r="44" spans="1:11" x14ac:dyDescent="0.25">
      <c r="A44" s="37" t="s">
        <v>154</v>
      </c>
      <c r="B44" s="37">
        <v>50</v>
      </c>
      <c r="C44" s="38">
        <f>IF(C43=511426,210807,511426)</f>
        <v>210807</v>
      </c>
      <c r="D44" s="71">
        <f>D43</f>
        <v>0</v>
      </c>
      <c r="E44" s="37"/>
      <c r="F44" s="32"/>
    </row>
    <row r="45" spans="1:11" x14ac:dyDescent="0.25">
      <c r="A45" s="40" t="s">
        <v>174</v>
      </c>
      <c r="B45" s="37"/>
      <c r="C45" s="38"/>
      <c r="D45" s="37"/>
      <c r="E45" s="37"/>
      <c r="F45" s="35"/>
    </row>
    <row r="46" spans="1:11" x14ac:dyDescent="0.25">
      <c r="A46" s="37"/>
      <c r="B46" s="37"/>
      <c r="C46" s="38"/>
      <c r="D46" s="37"/>
      <c r="E46" s="37"/>
      <c r="F46" s="35"/>
    </row>
    <row r="47" spans="1:11" x14ac:dyDescent="0.25">
      <c r="A47" s="37"/>
      <c r="B47" s="37"/>
      <c r="C47" s="38"/>
      <c r="D47" s="37"/>
      <c r="E47" s="37"/>
      <c r="F47" s="35"/>
    </row>
    <row r="48" spans="1:11" x14ac:dyDescent="0.25">
      <c r="A48" s="36" t="s">
        <v>155</v>
      </c>
      <c r="B48" s="37"/>
      <c r="C48" s="38"/>
      <c r="D48" s="37"/>
      <c r="E48" s="37"/>
      <c r="F48" s="35"/>
    </row>
    <row r="49" spans="1:6" x14ac:dyDescent="0.25">
      <c r="A49" s="37"/>
      <c r="B49" s="37"/>
      <c r="C49" s="38"/>
      <c r="D49" s="37"/>
      <c r="E49" s="37"/>
      <c r="F49" s="35"/>
    </row>
    <row r="50" spans="1:6" x14ac:dyDescent="0.25">
      <c r="A50" s="37" t="s">
        <v>153</v>
      </c>
      <c r="B50" s="37">
        <v>40</v>
      </c>
      <c r="C50" s="38">
        <f>IF(F50&lt;0,2210806,5511425)</f>
        <v>2210806</v>
      </c>
      <c r="D50" s="71">
        <f>IF(F50&lt;0,-F50,F50)</f>
        <v>59057.083429296152</v>
      </c>
      <c r="E50" s="37">
        <v>103148692</v>
      </c>
      <c r="F50" s="35">
        <f>GETPIVOTDATA("Total ECL MYR (C&amp;C)3",ECL!$T$199,"Type of Financing","Islamic","Undrawn/BG","BG","MFRS staging ",1)</f>
        <v>-59057.083429296152</v>
      </c>
    </row>
    <row r="51" spans="1:6" x14ac:dyDescent="0.25">
      <c r="A51" s="37" t="s">
        <v>154</v>
      </c>
      <c r="B51" s="37">
        <v>50</v>
      </c>
      <c r="C51" s="38">
        <f>IF(C50=5511425,2210806,5511425)</f>
        <v>5511425</v>
      </c>
      <c r="D51" s="71">
        <f>D50</f>
        <v>59057.083429296152</v>
      </c>
      <c r="E51" s="37"/>
      <c r="F51" s="35"/>
    </row>
    <row r="52" spans="1:6" x14ac:dyDescent="0.25">
      <c r="A52" s="40" t="s">
        <v>175</v>
      </c>
      <c r="B52" s="37"/>
      <c r="C52" s="38"/>
      <c r="D52" s="37"/>
      <c r="E52" s="37"/>
      <c r="F52" s="35"/>
    </row>
    <row r="53" spans="1:6" x14ac:dyDescent="0.25">
      <c r="A53" s="37"/>
      <c r="B53" s="37"/>
      <c r="C53" s="38"/>
      <c r="D53" s="37"/>
      <c r="E53" s="37"/>
      <c r="F53" s="35"/>
    </row>
    <row r="54" spans="1:6" x14ac:dyDescent="0.25">
      <c r="A54" s="37" t="s">
        <v>153</v>
      </c>
      <c r="B54" s="37">
        <v>40</v>
      </c>
      <c r="C54" s="38">
        <f>IF(F54&lt;0,2210807,5511426)</f>
        <v>2210807</v>
      </c>
      <c r="D54" s="72">
        <f>IF(F54&lt;0,-F54,F54)</f>
        <v>71.854439913154806</v>
      </c>
      <c r="E54" s="37"/>
      <c r="F54" s="35">
        <f>GETPIVOTDATA("Total ECL MYR (C&amp;C)3",ECL!$T$199,"Type of Financing","Islamic","Undrawn/BG","BG","MFRS staging ",2)</f>
        <v>-71.854439913154806</v>
      </c>
    </row>
    <row r="55" spans="1:6" x14ac:dyDescent="0.25">
      <c r="A55" s="37" t="s">
        <v>154</v>
      </c>
      <c r="B55" s="37">
        <v>50</v>
      </c>
      <c r="C55" s="38">
        <f>IF(C54=5511426,2210807,5511426)</f>
        <v>5511426</v>
      </c>
      <c r="D55" s="72">
        <f>D54</f>
        <v>71.854439913154806</v>
      </c>
      <c r="E55" s="37"/>
      <c r="F55" s="35"/>
    </row>
    <row r="56" spans="1:6" x14ac:dyDescent="0.25">
      <c r="A56" s="40" t="s">
        <v>176</v>
      </c>
      <c r="B56" s="37"/>
      <c r="C56" s="38"/>
      <c r="D56" s="37"/>
      <c r="E56" s="37"/>
      <c r="F56" s="35"/>
    </row>
    <row r="57" spans="1:6" x14ac:dyDescent="0.25">
      <c r="A57" s="37"/>
      <c r="B57" s="37"/>
      <c r="C57" s="37"/>
      <c r="D57" s="37"/>
      <c r="E57" s="37"/>
      <c r="F57" s="35"/>
    </row>
    <row r="58" spans="1:6" x14ac:dyDescent="0.25">
      <c r="A58" s="37"/>
      <c r="B58" s="37"/>
      <c r="C58" s="37"/>
      <c r="D58" s="37"/>
      <c r="E58" s="37"/>
      <c r="F58" s="35"/>
    </row>
    <row r="59" spans="1:6" x14ac:dyDescent="0.25">
      <c r="A59" s="25" t="s">
        <v>159</v>
      </c>
      <c r="B59" s="26"/>
      <c r="C59" s="26"/>
      <c r="D59" s="26"/>
      <c r="E59" s="26"/>
      <c r="F59" s="35"/>
    </row>
    <row r="60" spans="1:6" x14ac:dyDescent="0.25">
      <c r="A60" s="26"/>
      <c r="B60" s="26"/>
      <c r="C60" s="26"/>
      <c r="D60" s="26"/>
      <c r="E60" s="26"/>
      <c r="F60" s="35"/>
    </row>
    <row r="61" spans="1:6" x14ac:dyDescent="0.25">
      <c r="A61" s="25" t="s">
        <v>152</v>
      </c>
      <c r="B61" s="26"/>
      <c r="C61" s="26"/>
      <c r="D61" s="26"/>
      <c r="E61" s="26"/>
      <c r="F61" s="35"/>
    </row>
    <row r="62" spans="1:6" x14ac:dyDescent="0.25">
      <c r="A62" s="26"/>
      <c r="B62" s="26"/>
      <c r="C62" s="31"/>
      <c r="D62" s="26"/>
      <c r="E62" s="26"/>
      <c r="F62" s="35"/>
    </row>
    <row r="63" spans="1:6" x14ac:dyDescent="0.25">
      <c r="A63" s="26" t="s">
        <v>153</v>
      </c>
      <c r="B63" s="26">
        <v>40</v>
      </c>
      <c r="C63" s="31">
        <f>IF(F63&lt;0,210806,511425)</f>
        <v>210806</v>
      </c>
      <c r="D63" s="71">
        <f>IF(F63&lt;0,-F63,F63)</f>
        <v>2592.8315203636957</v>
      </c>
      <c r="E63" s="26">
        <v>105358794</v>
      </c>
      <c r="F63" s="35">
        <f>GETPIVOTDATA("Total ECL MYR (C&amp;C)3",ECL!$T$199,"Type of Financing","Conventional","Undrawn/BG","Undrawn","MFRS staging ",1)</f>
        <v>-2592.8315203636957</v>
      </c>
    </row>
    <row r="64" spans="1:6" x14ac:dyDescent="0.25">
      <c r="A64" s="26" t="s">
        <v>154</v>
      </c>
      <c r="B64" s="26">
        <v>50</v>
      </c>
      <c r="C64" s="31">
        <f>IF(C63=511425,210806,511425)</f>
        <v>511425</v>
      </c>
      <c r="D64" s="71">
        <f>D63</f>
        <v>2592.8315203636957</v>
      </c>
      <c r="E64" s="26"/>
      <c r="F64" s="35"/>
    </row>
    <row r="65" spans="1:17" x14ac:dyDescent="0.25">
      <c r="A65" s="33" t="s">
        <v>177</v>
      </c>
      <c r="B65" s="26"/>
      <c r="C65" s="31"/>
      <c r="D65" s="26"/>
      <c r="E65" s="26"/>
      <c r="F65" s="35"/>
    </row>
    <row r="66" spans="1:17" x14ac:dyDescent="0.25">
      <c r="A66" s="26"/>
      <c r="B66" s="26"/>
      <c r="C66" s="31"/>
      <c r="D66" s="26"/>
      <c r="E66" s="26"/>
      <c r="F66" s="35"/>
    </row>
    <row r="67" spans="1:17" x14ac:dyDescent="0.25">
      <c r="A67" s="26" t="s">
        <v>153</v>
      </c>
      <c r="B67" s="26">
        <v>40</v>
      </c>
      <c r="C67" s="31">
        <f>IF(F67&lt;0,210807,511426)</f>
        <v>511426</v>
      </c>
      <c r="D67" s="72">
        <f>IF(F67&lt;0,-F67,F67)</f>
        <v>0</v>
      </c>
      <c r="E67" s="26"/>
      <c r="F67" s="35">
        <f>GETPIVOTDATA("Total ECL MYR (C&amp;C)3",ECL!$T$199,"Type of Financing","Conventional","Undrawn/BG","Undrawn","MFRS staging ",2)</f>
        <v>0</v>
      </c>
    </row>
    <row r="68" spans="1:17" x14ac:dyDescent="0.25">
      <c r="A68" s="26" t="s">
        <v>154</v>
      </c>
      <c r="B68" s="26">
        <v>50</v>
      </c>
      <c r="C68" s="31">
        <f>IF(C67=511426,210807,511426)</f>
        <v>210807</v>
      </c>
      <c r="D68" s="72">
        <f>D67</f>
        <v>0</v>
      </c>
      <c r="E68" s="26"/>
      <c r="F68" s="35"/>
    </row>
    <row r="69" spans="1:17" x14ac:dyDescent="0.25">
      <c r="A69" s="33" t="s">
        <v>178</v>
      </c>
      <c r="B69" s="26"/>
      <c r="C69" s="31"/>
      <c r="D69" s="26"/>
      <c r="E69" s="26"/>
      <c r="F69" s="35"/>
    </row>
    <row r="70" spans="1:17" x14ac:dyDescent="0.25">
      <c r="A70" s="26"/>
      <c r="B70" s="26"/>
      <c r="C70" s="31"/>
      <c r="D70" s="26"/>
      <c r="E70" s="26"/>
      <c r="F70" s="35"/>
    </row>
    <row r="71" spans="1:17" x14ac:dyDescent="0.25">
      <c r="A71" s="26"/>
      <c r="B71" s="26"/>
      <c r="C71" s="31"/>
      <c r="D71" s="26"/>
      <c r="E71" s="26"/>
      <c r="F71" s="35"/>
    </row>
    <row r="72" spans="1:17" x14ac:dyDescent="0.25">
      <c r="A72" s="25" t="s">
        <v>155</v>
      </c>
      <c r="B72" s="26"/>
      <c r="C72" s="31"/>
      <c r="D72" s="26"/>
      <c r="E72" s="26"/>
      <c r="F72" s="35"/>
    </row>
    <row r="73" spans="1:17" x14ac:dyDescent="0.25">
      <c r="A73" s="26"/>
      <c r="B73" s="26"/>
      <c r="C73" s="31"/>
      <c r="D73" s="26"/>
      <c r="E73" s="26"/>
      <c r="F73" s="35"/>
    </row>
    <row r="74" spans="1:17" x14ac:dyDescent="0.25">
      <c r="A74" s="26" t="s">
        <v>153</v>
      </c>
      <c r="B74" s="26">
        <v>40</v>
      </c>
      <c r="C74" s="31">
        <f>IF(F74&lt;0,2210806,5511425)</f>
        <v>2210806</v>
      </c>
      <c r="D74" s="71">
        <f>IF(F74&lt;0,-F74,F74)</f>
        <v>2698562.0153991715</v>
      </c>
      <c r="E74" s="26">
        <v>103148693</v>
      </c>
      <c r="F74" s="32">
        <f>GETPIVOTDATA("Total ECL MYR (C&amp;C)3",ECL!$T$199,"Type of Financing","Islamic","Undrawn/BG","Undrawn","MFRS staging ",1)</f>
        <v>-2698562.0153991715</v>
      </c>
      <c r="H74" s="29">
        <v>94765.971971206367</v>
      </c>
      <c r="J74" s="29">
        <f>D74+H74</f>
        <v>2793327.9873703779</v>
      </c>
    </row>
    <row r="75" spans="1:17" x14ac:dyDescent="0.25">
      <c r="A75" s="26" t="s">
        <v>154</v>
      </c>
      <c r="B75" s="26">
        <v>50</v>
      </c>
      <c r="C75" s="31">
        <f>IF(C74=5511425,2210806,5511425)</f>
        <v>5511425</v>
      </c>
      <c r="D75" s="71">
        <f>D74</f>
        <v>2698562.0153991715</v>
      </c>
      <c r="E75" s="26"/>
      <c r="F75" s="32"/>
      <c r="G75" s="35"/>
      <c r="H75" s="34"/>
      <c r="I75" s="34"/>
      <c r="J75" s="43"/>
      <c r="K75" s="32"/>
    </row>
    <row r="76" spans="1:17" x14ac:dyDescent="0.25">
      <c r="A76" s="33" t="s">
        <v>179</v>
      </c>
      <c r="B76" s="26"/>
      <c r="C76" s="31"/>
      <c r="D76" s="34"/>
      <c r="E76" s="26"/>
      <c r="F76" s="32"/>
      <c r="G76" s="35"/>
      <c r="H76" s="44"/>
      <c r="I76" s="34"/>
      <c r="J76" s="43"/>
      <c r="K76" s="32"/>
    </row>
    <row r="77" spans="1:17" x14ac:dyDescent="0.25">
      <c r="A77" s="26"/>
      <c r="B77" s="26"/>
      <c r="C77" s="31"/>
      <c r="D77" s="34"/>
      <c r="E77" s="26"/>
      <c r="F77" s="32"/>
      <c r="G77" s="35"/>
      <c r="H77" s="34"/>
      <c r="I77" s="34"/>
      <c r="J77" s="43"/>
      <c r="K77" s="32"/>
    </row>
    <row r="78" spans="1:17" x14ac:dyDescent="0.25">
      <c r="A78" s="26" t="s">
        <v>153</v>
      </c>
      <c r="B78" s="26">
        <v>40</v>
      </c>
      <c r="C78" s="31">
        <f>IF(F78&lt;0,2210807,5511426)</f>
        <v>5511426</v>
      </c>
      <c r="D78" s="71">
        <f>IF(F78&lt;0,-F78,F78)</f>
        <v>5649.8977294183478</v>
      </c>
      <c r="E78" s="26"/>
      <c r="F78" s="32">
        <f>GETPIVOTDATA("Total ECL MYR (C&amp;C)3",ECL!$T$199,"Type of Financing","Islamic","Undrawn/BG","Undrawn","MFRS staging ",2)</f>
        <v>5649.8977294183478</v>
      </c>
      <c r="G78" s="35"/>
      <c r="H78" s="34"/>
      <c r="I78" s="34"/>
      <c r="J78" s="43"/>
      <c r="K78" s="32"/>
      <c r="P78" s="27">
        <v>5511425</v>
      </c>
      <c r="Q78" s="27">
        <v>10107.33</v>
      </c>
    </row>
    <row r="79" spans="1:17" x14ac:dyDescent="0.25">
      <c r="A79" s="26" t="s">
        <v>154</v>
      </c>
      <c r="B79" s="26">
        <v>50</v>
      </c>
      <c r="C79" s="31">
        <f>IF(C78=5511426,2210807,5511426)</f>
        <v>2210807</v>
      </c>
      <c r="D79" s="71">
        <f>D78</f>
        <v>5649.8977294183478</v>
      </c>
      <c r="E79" s="26"/>
      <c r="F79" s="35"/>
      <c r="G79" s="35"/>
      <c r="H79" s="34"/>
      <c r="I79" s="34"/>
      <c r="J79" s="43"/>
      <c r="K79" s="35"/>
      <c r="P79" s="27">
        <v>2210806</v>
      </c>
      <c r="Q79" s="27">
        <f>Q78</f>
        <v>10107.33</v>
      </c>
    </row>
    <row r="80" spans="1:17" x14ac:dyDescent="0.25">
      <c r="A80" s="33" t="s">
        <v>180</v>
      </c>
      <c r="B80" s="26"/>
      <c r="C80" s="26"/>
      <c r="D80" s="26"/>
      <c r="E80" s="26"/>
      <c r="F80" s="35"/>
      <c r="G80" s="35"/>
      <c r="H80" s="44"/>
      <c r="I80" s="34"/>
      <c r="J80" s="34"/>
      <c r="K80" s="35"/>
      <c r="P80" s="27">
        <v>5511425</v>
      </c>
    </row>
    <row r="81" spans="1:11" x14ac:dyDescent="0.25">
      <c r="A81" s="26"/>
      <c r="B81" s="26"/>
      <c r="C81" s="26"/>
      <c r="D81" s="26"/>
      <c r="E81" s="26"/>
      <c r="F81" s="35"/>
      <c r="G81" s="35"/>
      <c r="H81" s="34"/>
      <c r="I81" s="34"/>
      <c r="J81" s="34"/>
      <c r="K81" s="35"/>
    </row>
    <row r="83" spans="1:11" x14ac:dyDescent="0.25">
      <c r="B83" s="27" t="s">
        <v>160</v>
      </c>
      <c r="E83" s="27" t="s">
        <v>157</v>
      </c>
      <c r="F83" s="45">
        <f>SUM(F1:F82)-GETPIVOTDATA("Sum of ECL - May 20252",ECL!$T$178)</f>
        <v>-1999.1632906850427</v>
      </c>
      <c r="G83" s="46"/>
      <c r="J83" s="28" t="s">
        <v>160</v>
      </c>
      <c r="K83" s="45">
        <v>-2.6077032089233398E-8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rowBreaks count="2" manualBreakCount="2">
    <brk id="34" max="16383" man="1"/>
    <brk id="58" max="16383" man="1"/>
  </rowBreaks>
  <colBreaks count="1" manualBreakCount="1">
    <brk id="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B3954-D0D4-4F59-8EF4-1C8BA78E4D93}">
  <dimension ref="A1:Z216"/>
  <sheetViews>
    <sheetView tabSelected="1"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D8" sqref="D8"/>
    </sheetView>
  </sheetViews>
  <sheetFormatPr defaultColWidth="8.85546875" defaultRowHeight="15" x14ac:dyDescent="0.25"/>
  <cols>
    <col min="1" max="1" width="20.28515625" style="1" customWidth="1"/>
    <col min="2" max="2" width="20.28515625" style="83" customWidth="1"/>
    <col min="3" max="3" width="18.85546875" style="1" customWidth="1"/>
    <col min="4" max="4" width="13.28515625" style="1" customWidth="1"/>
    <col min="5" max="5" width="21.7109375" style="1" customWidth="1"/>
    <col min="6" max="6" width="8.5703125" style="8" bestFit="1" customWidth="1"/>
    <col min="7" max="8" width="15.5703125" style="8" customWidth="1"/>
    <col min="9" max="9" width="12.5703125" style="8" bestFit="1" customWidth="1"/>
    <col min="10" max="10" width="14.5703125" style="8" bestFit="1" customWidth="1"/>
    <col min="11" max="11" width="19.28515625" style="8" bestFit="1" customWidth="1"/>
    <col min="12" max="12" width="23.42578125" style="12" bestFit="1" customWidth="1"/>
    <col min="13" max="13" width="24.140625" style="12" bestFit="1" customWidth="1"/>
    <col min="14" max="14" width="20" style="1" bestFit="1" customWidth="1"/>
    <col min="15" max="15" width="14.5703125" style="1" bestFit="1" customWidth="1"/>
    <col min="16" max="16" width="20" style="1" bestFit="1" customWidth="1"/>
    <col min="17" max="17" width="24.42578125" style="1" bestFit="1" customWidth="1"/>
    <col min="18" max="19" width="25.140625" style="1" bestFit="1" customWidth="1"/>
    <col min="20" max="20" width="13.5703125" style="1" bestFit="1" customWidth="1"/>
    <col min="21" max="21" width="20.28515625" style="1" bestFit="1" customWidth="1"/>
    <col min="22" max="22" width="24.42578125" style="1" bestFit="1" customWidth="1"/>
    <col min="23" max="23" width="25.140625" style="1" bestFit="1" customWidth="1"/>
    <col min="24" max="24" width="24.42578125" style="1" bestFit="1" customWidth="1"/>
    <col min="25" max="25" width="25.140625" style="1" bestFit="1" customWidth="1"/>
    <col min="26" max="16384" width="8.85546875" style="1"/>
  </cols>
  <sheetData>
    <row r="1" spans="1:25" ht="15.75" thickBot="1" x14ac:dyDescent="0.3">
      <c r="I1" s="21">
        <v>45778</v>
      </c>
      <c r="J1" s="21">
        <v>45748</v>
      </c>
      <c r="K1" s="21">
        <v>45778</v>
      </c>
      <c r="L1" s="79" t="s">
        <v>6</v>
      </c>
      <c r="M1" s="79"/>
      <c r="N1" s="80"/>
      <c r="O1" s="78" t="s">
        <v>8</v>
      </c>
      <c r="P1" s="79"/>
      <c r="Q1" s="80"/>
      <c r="R1" s="78" t="s">
        <v>148</v>
      </c>
      <c r="S1" s="79"/>
      <c r="T1" s="80"/>
    </row>
    <row r="2" spans="1:25" ht="15.75" thickBot="1" x14ac:dyDescent="0.3">
      <c r="A2" s="19" t="s">
        <v>919</v>
      </c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20" t="s">
        <v>5</v>
      </c>
      <c r="H2" s="19" t="s">
        <v>166</v>
      </c>
      <c r="I2" s="23" t="s">
        <v>149</v>
      </c>
      <c r="J2" s="22" t="s">
        <v>149</v>
      </c>
      <c r="K2" s="23" t="s">
        <v>150</v>
      </c>
      <c r="L2" s="16" t="s">
        <v>6</v>
      </c>
      <c r="M2" s="17" t="s">
        <v>146</v>
      </c>
      <c r="N2" s="17" t="s">
        <v>7</v>
      </c>
      <c r="O2" s="17" t="s">
        <v>8</v>
      </c>
      <c r="P2" s="17" t="s">
        <v>146</v>
      </c>
      <c r="Q2" s="17" t="s">
        <v>7</v>
      </c>
      <c r="R2" s="17" t="s">
        <v>6</v>
      </c>
      <c r="S2" s="17" t="s">
        <v>146</v>
      </c>
      <c r="T2" s="17" t="s">
        <v>7</v>
      </c>
    </row>
    <row r="3" spans="1:25" x14ac:dyDescent="0.25">
      <c r="A3" s="76">
        <v>3.3080113710703898E+17</v>
      </c>
      <c r="B3" s="84" t="str">
        <f>TEXT(A3,"0")</f>
        <v>330801137107039000</v>
      </c>
      <c r="C3" s="3">
        <v>501180</v>
      </c>
      <c r="D3" s="3" t="s">
        <v>10</v>
      </c>
      <c r="E3" s="2" t="s">
        <v>11</v>
      </c>
      <c r="F3" s="4" t="s">
        <v>12</v>
      </c>
      <c r="G3" s="4" t="s">
        <v>13</v>
      </c>
      <c r="H3" s="18" t="s">
        <v>167</v>
      </c>
      <c r="I3" s="18">
        <f>IFERROR(_xlfn.XLOOKUP(C3,[2]Sheet1!$B:$B,[2]Sheet1!$G:$G),0)</f>
        <v>1</v>
      </c>
      <c r="J3" s="18">
        <f>IFERROR(_xlfn.XLOOKUP(C3,[2]Sheet1!$B:$B,[2]Sheet1!$K:$K),0)</f>
        <v>1</v>
      </c>
      <c r="K3" s="18" t="b">
        <f>I3=J3</f>
        <v>1</v>
      </c>
      <c r="L3" s="52">
        <v>527551.76705231087</v>
      </c>
      <c r="M3" s="52">
        <f>L3-N3</f>
        <v>527551.76705231087</v>
      </c>
      <c r="N3" s="53">
        <f>IFERROR(_xlfn.XLOOKUP(C3,'[3]ECL CC May 25'!$A:$A,'[3]ECL CC May 25'!$C:$C),0)</f>
        <v>0</v>
      </c>
      <c r="O3" s="53">
        <v>537274.83661516756</v>
      </c>
      <c r="P3" s="53">
        <f>IFERROR(_xlfn.XLOOKUP(C3,[2]Sheet1!$B:$B,[2]Sheet1!$L:$L),0)</f>
        <v>537274.83661516756</v>
      </c>
      <c r="Q3" s="53">
        <f>IFERROR(_xlfn.XLOOKUP(C3,[2]Sheet1!$B:$B,[2]Sheet1!$M:$M),0)</f>
        <v>0</v>
      </c>
      <c r="R3" s="54">
        <f>L3-O3</f>
        <v>-9723.06956285669</v>
      </c>
      <c r="S3" s="54">
        <f>M3-P3</f>
        <v>-9723.06956285669</v>
      </c>
      <c r="T3" s="54">
        <f>N3-Q3</f>
        <v>0</v>
      </c>
      <c r="X3" s="6"/>
      <c r="Y3" s="6"/>
    </row>
    <row r="4" spans="1:25" x14ac:dyDescent="0.25">
      <c r="A4" s="76">
        <v>3.30801137110032E+17</v>
      </c>
      <c r="B4" s="84" t="str">
        <f t="shared" ref="B4:B67" si="0">TEXT(A4,"0")</f>
        <v>330801137110032000</v>
      </c>
      <c r="C4" s="3">
        <v>501125</v>
      </c>
      <c r="D4" s="3" t="s">
        <v>10</v>
      </c>
      <c r="E4" s="2" t="s">
        <v>14</v>
      </c>
      <c r="F4" s="4" t="s">
        <v>12</v>
      </c>
      <c r="G4" s="4" t="s">
        <v>13</v>
      </c>
      <c r="H4" s="18" t="s">
        <v>167</v>
      </c>
      <c r="I4" s="18">
        <f>IFERROR(_xlfn.XLOOKUP(C4,[2]Sheet1!$B:$B,[2]Sheet1!$G:$G),0)</f>
        <v>1</v>
      </c>
      <c r="J4" s="18">
        <f>IFERROR(_xlfn.XLOOKUP(C4,[2]Sheet1!$B:$B,[2]Sheet1!$K:$K),0)</f>
        <v>1</v>
      </c>
      <c r="K4" s="18" t="b">
        <f t="shared" ref="K4:K67" si="1">I4=J4</f>
        <v>1</v>
      </c>
      <c r="L4" s="55">
        <v>50584.345181535406</v>
      </c>
      <c r="M4" s="55">
        <f t="shared" ref="M4:M67" si="2">L4-N4</f>
        <v>13205.551532628713</v>
      </c>
      <c r="N4" s="56">
        <f>IFERROR(_xlfn.XLOOKUP(C4,'[3]ECL CC May 25'!$A:$A,'[3]ECL CC May 25'!$C:$C),0)</f>
        <v>37378.793648906692</v>
      </c>
      <c r="O4" s="56">
        <v>40387.189608465589</v>
      </c>
      <c r="P4" s="56">
        <f>IFERROR(_xlfn.XLOOKUP(C4,[2]Sheet1!$B:$B,[2]Sheet1!$L:$L),0)</f>
        <v>0</v>
      </c>
      <c r="Q4" s="56">
        <f>IFERROR(_xlfn.XLOOKUP(C4,[2]Sheet1!$B:$B,[2]Sheet1!$M:$M),0)</f>
        <v>40387.189608465589</v>
      </c>
      <c r="R4" s="57">
        <f t="shared" ref="R4:R67" si="3">L4-O4</f>
        <v>10197.155573069816</v>
      </c>
      <c r="S4" s="57">
        <f t="shared" ref="S4:S67" si="4">M4-P4</f>
        <v>13205.551532628713</v>
      </c>
      <c r="T4" s="57">
        <f t="shared" ref="T4:T67" si="5">N4-Q4</f>
        <v>-3008.3959595588967</v>
      </c>
      <c r="X4" s="6"/>
      <c r="Y4" s="6"/>
    </row>
    <row r="5" spans="1:25" x14ac:dyDescent="0.25">
      <c r="A5" s="76">
        <v>3.3080113711003597E+17</v>
      </c>
      <c r="B5" s="84" t="str">
        <f t="shared" si="0"/>
        <v>330801137110036000</v>
      </c>
      <c r="C5" s="3">
        <v>501172</v>
      </c>
      <c r="D5" s="3" t="s">
        <v>10</v>
      </c>
      <c r="E5" s="2" t="s">
        <v>15</v>
      </c>
      <c r="F5" s="4" t="s">
        <v>12</v>
      </c>
      <c r="G5" s="4" t="s">
        <v>13</v>
      </c>
      <c r="H5" s="18" t="s">
        <v>167</v>
      </c>
      <c r="I5" s="18">
        <f>IFERROR(_xlfn.XLOOKUP(C5,[2]Sheet1!$B:$B,[2]Sheet1!$G:$G),0)</f>
        <v>1</v>
      </c>
      <c r="J5" s="18">
        <f>IFERROR(_xlfn.XLOOKUP(C5,[2]Sheet1!$B:$B,[2]Sheet1!$K:$K),0)</f>
        <v>1</v>
      </c>
      <c r="K5" s="18" t="b">
        <f t="shared" si="1"/>
        <v>1</v>
      </c>
      <c r="L5" s="55">
        <v>397811.32710151945</v>
      </c>
      <c r="M5" s="55">
        <f t="shared" si="2"/>
        <v>397537.42074385507</v>
      </c>
      <c r="N5" s="56">
        <f>IFERROR(_xlfn.XLOOKUP(C5,'[3]ECL CC May 25'!$A:$A,'[3]ECL CC May 25'!$C:$C),0)</f>
        <v>273.90635766435298</v>
      </c>
      <c r="O5" s="56">
        <v>434698.3755878369</v>
      </c>
      <c r="P5" s="56">
        <f>IFERROR(_xlfn.XLOOKUP(C5,[2]Sheet1!$B:$B,[2]Sheet1!$L:$L),0)</f>
        <v>371788.22487356543</v>
      </c>
      <c r="Q5" s="56">
        <f>IFERROR(_xlfn.XLOOKUP(C5,[2]Sheet1!$B:$B,[2]Sheet1!$M:$M),0)</f>
        <v>62910.150714271476</v>
      </c>
      <c r="R5" s="57">
        <f t="shared" si="3"/>
        <v>-36887.04848631745</v>
      </c>
      <c r="S5" s="57">
        <f t="shared" si="4"/>
        <v>25749.195870289637</v>
      </c>
      <c r="T5" s="57">
        <f t="shared" si="5"/>
        <v>-62636.244356607123</v>
      </c>
      <c r="X5" s="6"/>
      <c r="Y5" s="6"/>
    </row>
    <row r="6" spans="1:25" x14ac:dyDescent="0.25">
      <c r="A6" s="76">
        <v>3.3080113713203098E+17</v>
      </c>
      <c r="B6" s="84" t="str">
        <f t="shared" si="0"/>
        <v>330801137132031000</v>
      </c>
      <c r="C6" s="3">
        <v>501111</v>
      </c>
      <c r="D6" s="3" t="s">
        <v>10</v>
      </c>
      <c r="E6" s="2" t="s">
        <v>15</v>
      </c>
      <c r="F6" s="4" t="s">
        <v>12</v>
      </c>
      <c r="G6" s="4" t="s">
        <v>13</v>
      </c>
      <c r="H6" s="18" t="s">
        <v>167</v>
      </c>
      <c r="I6" s="18">
        <f>IFERROR(_xlfn.XLOOKUP(C6,[2]Sheet1!$B:$B,[2]Sheet1!$G:$G),0)</f>
        <v>1</v>
      </c>
      <c r="J6" s="18">
        <f>IFERROR(_xlfn.XLOOKUP(C6,[2]Sheet1!$B:$B,[2]Sheet1!$K:$K),0)</f>
        <v>1</v>
      </c>
      <c r="K6" s="18" t="b">
        <f t="shared" si="1"/>
        <v>1</v>
      </c>
      <c r="L6" s="55">
        <v>327189.11254282744</v>
      </c>
      <c r="M6" s="55">
        <f t="shared" si="2"/>
        <v>302252.21982967528</v>
      </c>
      <c r="N6" s="56">
        <f>IFERROR(_xlfn.XLOOKUP(C6,'[3]ECL CC May 25'!$A:$A,'[3]ECL CC May 25'!$C:$C),0)</f>
        <v>24936.892713152149</v>
      </c>
      <c r="O6" s="56">
        <v>162512.85362903279</v>
      </c>
      <c r="P6" s="56">
        <f>IFERROR(_xlfn.XLOOKUP(C6,[2]Sheet1!$B:$B,[2]Sheet1!$L:$L),0)</f>
        <v>160424.69995885968</v>
      </c>
      <c r="Q6" s="56">
        <f>IFERROR(_xlfn.XLOOKUP(C6,[2]Sheet1!$B:$B,[2]Sheet1!$M:$M),0)</f>
        <v>2088.1536701731047</v>
      </c>
      <c r="R6" s="57">
        <f t="shared" si="3"/>
        <v>164676.25891379465</v>
      </c>
      <c r="S6" s="57">
        <f t="shared" si="4"/>
        <v>141827.51987081559</v>
      </c>
      <c r="T6" s="57">
        <f t="shared" si="5"/>
        <v>22848.739042979043</v>
      </c>
      <c r="X6" s="6"/>
      <c r="Y6" s="6"/>
    </row>
    <row r="7" spans="1:25" x14ac:dyDescent="0.25">
      <c r="A7" s="76">
        <v>3.3080113711003699E+17</v>
      </c>
      <c r="B7" s="84" t="str">
        <f t="shared" si="0"/>
        <v>330801137110037000</v>
      </c>
      <c r="C7" s="3">
        <v>501166</v>
      </c>
      <c r="D7" s="3" t="s">
        <v>10</v>
      </c>
      <c r="E7" s="2" t="s">
        <v>16</v>
      </c>
      <c r="F7" s="4" t="s">
        <v>12</v>
      </c>
      <c r="G7" s="4" t="s">
        <v>13</v>
      </c>
      <c r="H7" s="18" t="s">
        <v>167</v>
      </c>
      <c r="I7" s="18">
        <f>IFERROR(_xlfn.XLOOKUP(C7,[2]Sheet1!$B:$B,[2]Sheet1!$G:$G),0)</f>
        <v>1</v>
      </c>
      <c r="J7" s="18">
        <f>IFERROR(_xlfn.XLOOKUP(C7,[2]Sheet1!$B:$B,[2]Sheet1!$K:$K),0)</f>
        <v>1</v>
      </c>
      <c r="K7" s="18" t="b">
        <f t="shared" si="1"/>
        <v>1</v>
      </c>
      <c r="L7" s="55">
        <v>125990.85409301317</v>
      </c>
      <c r="M7" s="55">
        <f t="shared" si="2"/>
        <v>-127728.062203889</v>
      </c>
      <c r="N7" s="56">
        <f>IFERROR(_xlfn.XLOOKUP(C7,'[3]ECL CC May 25'!$A:$A,'[3]ECL CC May 25'!$C:$C),0)</f>
        <v>253718.91629690217</v>
      </c>
      <c r="O7" s="56">
        <v>334310.20327326306</v>
      </c>
      <c r="P7" s="56">
        <f>IFERROR(_xlfn.XLOOKUP(C7,[2]Sheet1!$B:$B,[2]Sheet1!$L:$L),0)</f>
        <v>64233.033180996659</v>
      </c>
      <c r="Q7" s="56">
        <f>IFERROR(_xlfn.XLOOKUP(C7,[2]Sheet1!$B:$B,[2]Sheet1!$M:$M),0)</f>
        <v>270077.1700922664</v>
      </c>
      <c r="R7" s="57">
        <f t="shared" si="3"/>
        <v>-208319.3491802499</v>
      </c>
      <c r="S7" s="57">
        <f t="shared" si="4"/>
        <v>-191961.09538488567</v>
      </c>
      <c r="T7" s="57">
        <f t="shared" si="5"/>
        <v>-16358.253795364231</v>
      </c>
      <c r="X7" s="6"/>
      <c r="Y7" s="6"/>
    </row>
    <row r="8" spans="1:25" x14ac:dyDescent="0.25">
      <c r="A8" s="76">
        <v>3.3080113710703501E+17</v>
      </c>
      <c r="B8" s="84" t="str">
        <f t="shared" si="0"/>
        <v>330801137107035000</v>
      </c>
      <c r="C8" s="3">
        <v>501173</v>
      </c>
      <c r="D8" s="3" t="s">
        <v>10</v>
      </c>
      <c r="E8" s="2" t="s">
        <v>16</v>
      </c>
      <c r="F8" s="4" t="s">
        <v>12</v>
      </c>
      <c r="G8" s="4" t="s">
        <v>13</v>
      </c>
      <c r="H8" s="18" t="s">
        <v>167</v>
      </c>
      <c r="I8" s="18">
        <f>IFERROR(_xlfn.XLOOKUP(C8,[2]Sheet1!$B:$B,[2]Sheet1!$G:$G),0)</f>
        <v>1</v>
      </c>
      <c r="J8" s="18">
        <f>IFERROR(_xlfn.XLOOKUP(C8,[2]Sheet1!$B:$B,[2]Sheet1!$K:$K),0)</f>
        <v>1</v>
      </c>
      <c r="K8" s="18" t="b">
        <f t="shared" si="1"/>
        <v>1</v>
      </c>
      <c r="L8" s="55">
        <v>45854.136309094261</v>
      </c>
      <c r="M8" s="55">
        <f t="shared" si="2"/>
        <v>45854.136309094261</v>
      </c>
      <c r="N8" s="56">
        <f>IFERROR(_xlfn.XLOOKUP(C8,'[3]ECL CC May 25'!$A:$A,'[3]ECL CC May 25'!$C:$C),0)</f>
        <v>0</v>
      </c>
      <c r="O8" s="56">
        <v>145171.01882017168</v>
      </c>
      <c r="P8" s="56">
        <f>IFERROR(_xlfn.XLOOKUP(C8,[2]Sheet1!$B:$B,[2]Sheet1!$L:$L),0)</f>
        <v>145171.01882017168</v>
      </c>
      <c r="Q8" s="56">
        <f>IFERROR(_xlfn.XLOOKUP(C8,[2]Sheet1!$B:$B,[2]Sheet1!$M:$M),0)</f>
        <v>0</v>
      </c>
      <c r="R8" s="57">
        <f t="shared" si="3"/>
        <v>-99316.88251107742</v>
      </c>
      <c r="S8" s="57">
        <f t="shared" si="4"/>
        <v>-99316.88251107742</v>
      </c>
      <c r="T8" s="57">
        <f t="shared" si="5"/>
        <v>0</v>
      </c>
      <c r="X8" s="6"/>
      <c r="Y8" s="6"/>
    </row>
    <row r="9" spans="1:25" x14ac:dyDescent="0.25">
      <c r="A9" s="76">
        <v>3.3080113711003302E+17</v>
      </c>
      <c r="B9" s="84" t="str">
        <f t="shared" si="0"/>
        <v>330801137110033000</v>
      </c>
      <c r="C9" s="3">
        <v>501129</v>
      </c>
      <c r="D9" s="3" t="s">
        <v>10</v>
      </c>
      <c r="E9" s="2" t="s">
        <v>17</v>
      </c>
      <c r="F9" s="4" t="s">
        <v>12</v>
      </c>
      <c r="G9" s="4" t="s">
        <v>13</v>
      </c>
      <c r="H9" s="18" t="s">
        <v>167</v>
      </c>
      <c r="I9" s="18">
        <f>IFERROR(_xlfn.XLOOKUP(C9,[2]Sheet1!$B:$B,[2]Sheet1!$G:$G),0)</f>
        <v>1</v>
      </c>
      <c r="J9" s="18">
        <f>IFERROR(_xlfn.XLOOKUP(C9,[2]Sheet1!$B:$B,[2]Sheet1!$K:$K),0)</f>
        <v>1</v>
      </c>
      <c r="K9" s="18" t="b">
        <f t="shared" si="1"/>
        <v>1</v>
      </c>
      <c r="L9" s="55">
        <v>141793.86798746651</v>
      </c>
      <c r="M9" s="55">
        <f t="shared" si="2"/>
        <v>11890.591821485476</v>
      </c>
      <c r="N9" s="56">
        <f>IFERROR(_xlfn.XLOOKUP(C9,'[3]ECL CC May 25'!$A:$A,'[3]ECL CC May 25'!$C:$C),0)</f>
        <v>129903.27616598103</v>
      </c>
      <c r="O9" s="56">
        <v>143012.57741018356</v>
      </c>
      <c r="P9" s="56">
        <f>IFERROR(_xlfn.XLOOKUP(C9,[2]Sheet1!$B:$B,[2]Sheet1!$L:$L),0)</f>
        <v>2617.2923430629889</v>
      </c>
      <c r="Q9" s="56">
        <f>IFERROR(_xlfn.XLOOKUP(C9,[2]Sheet1!$B:$B,[2]Sheet1!$M:$M),0)</f>
        <v>140395.28506712057</v>
      </c>
      <c r="R9" s="57">
        <f t="shared" si="3"/>
        <v>-1218.7094227170455</v>
      </c>
      <c r="S9" s="57">
        <f t="shared" si="4"/>
        <v>9273.2994784224866</v>
      </c>
      <c r="T9" s="57">
        <f t="shared" si="5"/>
        <v>-10492.008901139532</v>
      </c>
      <c r="X9" s="6"/>
      <c r="Y9" s="6"/>
    </row>
    <row r="10" spans="1:25" x14ac:dyDescent="0.25">
      <c r="A10" s="76">
        <v>3.3080313710203802E+17</v>
      </c>
      <c r="B10" s="84" t="str">
        <f t="shared" si="0"/>
        <v>330803137102038000</v>
      </c>
      <c r="C10" s="3">
        <v>501209</v>
      </c>
      <c r="D10" s="3" t="s">
        <v>10</v>
      </c>
      <c r="E10" s="2" t="s">
        <v>18</v>
      </c>
      <c r="F10" s="4" t="s">
        <v>19</v>
      </c>
      <c r="G10" s="4" t="s">
        <v>13</v>
      </c>
      <c r="H10" s="18" t="s">
        <v>167</v>
      </c>
      <c r="I10" s="18">
        <f>IFERROR(_xlfn.XLOOKUP(C10,[2]Sheet1!$B:$B,[2]Sheet1!$G:$G),0)</f>
        <v>1</v>
      </c>
      <c r="J10" s="18">
        <f>IFERROR(_xlfn.XLOOKUP(C10,[2]Sheet1!$B:$B,[2]Sheet1!$K:$K),0)</f>
        <v>1</v>
      </c>
      <c r="K10" s="18" t="b">
        <f t="shared" si="1"/>
        <v>1</v>
      </c>
      <c r="L10" s="55">
        <v>7674598.3600000003</v>
      </c>
      <c r="M10" s="55">
        <f t="shared" si="2"/>
        <v>6809036.6498962352</v>
      </c>
      <c r="N10" s="56">
        <f>IFERROR(_xlfn.XLOOKUP(C10,'[3]ECL CC May 25'!$A:$A,'[3]ECL CC May 25'!$C:$C),0)</f>
        <v>865561.71010376536</v>
      </c>
      <c r="O10" s="56">
        <v>7651773.5022599921</v>
      </c>
      <c r="P10" s="56">
        <f>IFERROR(_xlfn.XLOOKUP(C10,[2]Sheet1!$B:$B,[2]Sheet1!$L:$L),0)</f>
        <v>6800910.2145832106</v>
      </c>
      <c r="Q10" s="56">
        <f>IFERROR(_xlfn.XLOOKUP(C10,[2]Sheet1!$B:$B,[2]Sheet1!$M:$M),0)</f>
        <v>850863.28767678188</v>
      </c>
      <c r="R10" s="57">
        <f t="shared" si="3"/>
        <v>22824.857740008272</v>
      </c>
      <c r="S10" s="57">
        <f t="shared" si="4"/>
        <v>8126.4353130245581</v>
      </c>
      <c r="T10" s="57">
        <f t="shared" si="5"/>
        <v>14698.422426983481</v>
      </c>
      <c r="X10" s="6"/>
      <c r="Y10" s="6"/>
    </row>
    <row r="11" spans="1:25" x14ac:dyDescent="0.25">
      <c r="A11" s="76">
        <v>3.3080113712003501E+17</v>
      </c>
      <c r="B11" s="84" t="str">
        <f t="shared" si="0"/>
        <v>330801137120035000</v>
      </c>
      <c r="C11" s="3">
        <v>501161</v>
      </c>
      <c r="D11" s="3" t="s">
        <v>10</v>
      </c>
      <c r="E11" s="2" t="s">
        <v>20</v>
      </c>
      <c r="F11" s="4" t="s">
        <v>12</v>
      </c>
      <c r="G11" s="4" t="s">
        <v>13</v>
      </c>
      <c r="H11" s="18" t="s">
        <v>167</v>
      </c>
      <c r="I11" s="18">
        <f>IFERROR(_xlfn.XLOOKUP(C11,[2]Sheet1!$B:$B,[2]Sheet1!$G:$G),0)</f>
        <v>1</v>
      </c>
      <c r="J11" s="18">
        <f>IFERROR(_xlfn.XLOOKUP(C11,[2]Sheet1!$B:$B,[2]Sheet1!$K:$K),0)</f>
        <v>1</v>
      </c>
      <c r="K11" s="18" t="b">
        <f t="shared" si="1"/>
        <v>1</v>
      </c>
      <c r="L11" s="55">
        <v>2457186.7691311948</v>
      </c>
      <c r="M11" s="55">
        <f t="shared" si="2"/>
        <v>1254555.6987582347</v>
      </c>
      <c r="N11" s="56">
        <f>IFERROR(_xlfn.XLOOKUP(C11,'[3]ECL CC May 25'!$A:$A,'[3]ECL CC May 25'!$C:$C),0)</f>
        <v>1202631.0703729601</v>
      </c>
      <c r="O11" s="56">
        <v>2448258.5228635622</v>
      </c>
      <c r="P11" s="56">
        <f>IFERROR(_xlfn.XLOOKUP(C11,[2]Sheet1!$B:$B,[2]Sheet1!$L:$L),0)</f>
        <v>783218.60869611846</v>
      </c>
      <c r="Q11" s="56">
        <f>IFERROR(_xlfn.XLOOKUP(C11,[2]Sheet1!$B:$B,[2]Sheet1!$M:$M),0)</f>
        <v>1665039.9141674438</v>
      </c>
      <c r="R11" s="57">
        <f t="shared" si="3"/>
        <v>8928.2462676325813</v>
      </c>
      <c r="S11" s="57">
        <f t="shared" si="4"/>
        <v>471337.09006211627</v>
      </c>
      <c r="T11" s="57">
        <f t="shared" si="5"/>
        <v>-462408.84379448369</v>
      </c>
      <c r="X11" s="6"/>
      <c r="Y11" s="6"/>
    </row>
    <row r="12" spans="1:25" x14ac:dyDescent="0.25">
      <c r="A12" s="76">
        <v>3.3080113710703098E+17</v>
      </c>
      <c r="B12" s="84" t="str">
        <f t="shared" si="0"/>
        <v>330801137107031000</v>
      </c>
      <c r="C12" s="3">
        <v>501116</v>
      </c>
      <c r="D12" s="3" t="s">
        <v>10</v>
      </c>
      <c r="E12" s="2" t="s">
        <v>21</v>
      </c>
      <c r="F12" s="4" t="s">
        <v>12</v>
      </c>
      <c r="G12" s="4" t="s">
        <v>22</v>
      </c>
      <c r="H12" s="18" t="s">
        <v>167</v>
      </c>
      <c r="I12" s="18">
        <f>IFERROR(_xlfn.XLOOKUP(C12,[2]Sheet1!$B:$B,[2]Sheet1!$G:$G),0)</f>
        <v>2</v>
      </c>
      <c r="J12" s="18">
        <f>IFERROR(_xlfn.XLOOKUP(C12,[2]Sheet1!$B:$B,[2]Sheet1!$K:$K),0)</f>
        <v>2</v>
      </c>
      <c r="K12" s="18" t="b">
        <f t="shared" si="1"/>
        <v>1</v>
      </c>
      <c r="L12" s="55">
        <v>75798.328925910435</v>
      </c>
      <c r="M12" s="55">
        <f t="shared" si="2"/>
        <v>75798.328925910435</v>
      </c>
      <c r="N12" s="56">
        <f>IFERROR(_xlfn.XLOOKUP(C12,'[3]ECL CC May 25'!$A:$A,'[3]ECL CC May 25'!$C:$C),0)</f>
        <v>0</v>
      </c>
      <c r="O12" s="56">
        <v>78211.978022153708</v>
      </c>
      <c r="P12" s="56">
        <f>IFERROR(_xlfn.XLOOKUP(C12,[2]Sheet1!$B:$B,[2]Sheet1!$L:$L),0)</f>
        <v>78211.978022153708</v>
      </c>
      <c r="Q12" s="56">
        <f>IFERROR(_xlfn.XLOOKUP(C12,[2]Sheet1!$B:$B,[2]Sheet1!$M:$M),0)</f>
        <v>0</v>
      </c>
      <c r="R12" s="57">
        <f t="shared" si="3"/>
        <v>-2413.6490962432727</v>
      </c>
      <c r="S12" s="57">
        <f t="shared" si="4"/>
        <v>-2413.6490962432727</v>
      </c>
      <c r="T12" s="57">
        <f t="shared" si="5"/>
        <v>0</v>
      </c>
      <c r="X12" s="6"/>
      <c r="Y12" s="6"/>
    </row>
    <row r="13" spans="1:25" x14ac:dyDescent="0.25">
      <c r="A13" s="76">
        <v>3.3080113712103098E+17</v>
      </c>
      <c r="B13" s="84" t="str">
        <f t="shared" si="0"/>
        <v>330801137121031000</v>
      </c>
      <c r="C13" s="3">
        <v>501117</v>
      </c>
      <c r="D13" s="3" t="s">
        <v>10</v>
      </c>
      <c r="E13" s="2" t="s">
        <v>21</v>
      </c>
      <c r="F13" s="4" t="s">
        <v>12</v>
      </c>
      <c r="G13" s="4" t="s">
        <v>22</v>
      </c>
      <c r="H13" s="18" t="s">
        <v>167</v>
      </c>
      <c r="I13" s="18">
        <f>IFERROR(_xlfn.XLOOKUP(C13,[2]Sheet1!$B:$B,[2]Sheet1!$G:$G),0)</f>
        <v>2</v>
      </c>
      <c r="J13" s="18">
        <f>IFERROR(_xlfn.XLOOKUP(C13,[2]Sheet1!$B:$B,[2]Sheet1!$K:$K),0)</f>
        <v>2</v>
      </c>
      <c r="K13" s="18" t="b">
        <f t="shared" si="1"/>
        <v>1</v>
      </c>
      <c r="L13" s="55">
        <v>8483.5709320392525</v>
      </c>
      <c r="M13" s="55">
        <f t="shared" si="2"/>
        <v>8483.5709320392525</v>
      </c>
      <c r="N13" s="56">
        <f>IFERROR(_xlfn.XLOOKUP(C13,'[3]ECL CC May 25'!$A:$A,'[3]ECL CC May 25'!$C:$C),0)</f>
        <v>0</v>
      </c>
      <c r="O13" s="56">
        <v>2431.313062855088</v>
      </c>
      <c r="P13" s="56">
        <f>IFERROR(_xlfn.XLOOKUP(C13,[2]Sheet1!$B:$B,[2]Sheet1!$L:$L),0)</f>
        <v>2431.313062855088</v>
      </c>
      <c r="Q13" s="56">
        <f>IFERROR(_xlfn.XLOOKUP(C13,[2]Sheet1!$B:$B,[2]Sheet1!$M:$M),0)</f>
        <v>0</v>
      </c>
      <c r="R13" s="57">
        <f t="shared" si="3"/>
        <v>6052.2578691841645</v>
      </c>
      <c r="S13" s="57">
        <f t="shared" si="4"/>
        <v>6052.2578691841645</v>
      </c>
      <c r="T13" s="57">
        <f t="shared" si="5"/>
        <v>0</v>
      </c>
      <c r="X13" s="6"/>
      <c r="Y13" s="6"/>
    </row>
    <row r="14" spans="1:25" x14ac:dyDescent="0.25">
      <c r="A14" s="76">
        <v>3.3080113711703098E+17</v>
      </c>
      <c r="B14" s="84" t="str">
        <f t="shared" si="0"/>
        <v>330801137117031000</v>
      </c>
      <c r="C14" s="3" t="s">
        <v>23</v>
      </c>
      <c r="D14" s="3" t="s">
        <v>10</v>
      </c>
      <c r="E14" s="2" t="s">
        <v>24</v>
      </c>
      <c r="F14" s="4" t="s">
        <v>12</v>
      </c>
      <c r="G14" s="4" t="s">
        <v>22</v>
      </c>
      <c r="H14" s="18" t="s">
        <v>168</v>
      </c>
      <c r="I14" s="18">
        <f>IFERROR(_xlfn.XLOOKUP(C14,[2]Sheet1!$B:$B,[2]Sheet1!$G:$G),0)</f>
        <v>2</v>
      </c>
      <c r="J14" s="18">
        <f>IFERROR(_xlfn.XLOOKUP(C14,[2]Sheet1!$B:$B,[2]Sheet1!$K:$K),0)</f>
        <v>2</v>
      </c>
      <c r="K14" s="18" t="b">
        <f t="shared" si="1"/>
        <v>1</v>
      </c>
      <c r="L14" s="55">
        <v>1909.856060559418</v>
      </c>
      <c r="M14" s="55">
        <f t="shared" si="2"/>
        <v>1046.2859759773842</v>
      </c>
      <c r="N14" s="56">
        <f>IFERROR(_xlfn.XLOOKUP(C14,'[3]ECL CC May 25'!$A:$A,'[3]ECL CC May 25'!$C:$C),0)</f>
        <v>863.5700845820337</v>
      </c>
      <c r="O14" s="56">
        <v>935.42452449518851</v>
      </c>
      <c r="P14" s="56">
        <f>IFERROR(_xlfn.XLOOKUP(C14,[2]Sheet1!$B:$B,[2]Sheet1!$L:$L),0)</f>
        <v>0</v>
      </c>
      <c r="Q14" s="56">
        <f>IFERROR(_xlfn.XLOOKUP(C14,[2]Sheet1!$B:$B,[2]Sheet1!$M:$M),0)</f>
        <v>935.42452449518851</v>
      </c>
      <c r="R14" s="57">
        <f t="shared" si="3"/>
        <v>974.43153606422948</v>
      </c>
      <c r="S14" s="57">
        <f t="shared" si="4"/>
        <v>1046.2859759773842</v>
      </c>
      <c r="T14" s="57">
        <f t="shared" si="5"/>
        <v>-71.854439913154806</v>
      </c>
      <c r="X14" s="6"/>
      <c r="Y14" s="6"/>
    </row>
    <row r="15" spans="1:25" x14ac:dyDescent="0.25">
      <c r="A15" s="77">
        <v>3.3080113711004E+17</v>
      </c>
      <c r="B15" s="84" t="str">
        <f t="shared" si="0"/>
        <v>330801137110040000</v>
      </c>
      <c r="C15" s="3">
        <v>501231</v>
      </c>
      <c r="D15" s="3" t="s">
        <v>10</v>
      </c>
      <c r="E15" s="3" t="s">
        <v>25</v>
      </c>
      <c r="F15" s="4" t="s">
        <v>12</v>
      </c>
      <c r="G15" s="4" t="s">
        <v>13</v>
      </c>
      <c r="H15" s="18" t="s">
        <v>167</v>
      </c>
      <c r="I15" s="18">
        <f>IFERROR(_xlfn.XLOOKUP(C15,[2]Sheet1!$B:$B,[2]Sheet1!$G:$G),0)</f>
        <v>1</v>
      </c>
      <c r="J15" s="18">
        <f>IFERROR(_xlfn.XLOOKUP(C15,[2]Sheet1!$B:$B,[2]Sheet1!$K:$K),0)</f>
        <v>1</v>
      </c>
      <c r="K15" s="18" t="b">
        <f t="shared" si="1"/>
        <v>1</v>
      </c>
      <c r="L15" s="55">
        <v>172985.77267252805</v>
      </c>
      <c r="M15" s="55">
        <f t="shared" si="2"/>
        <v>166677.3037534983</v>
      </c>
      <c r="N15" s="56">
        <f>IFERROR(_xlfn.XLOOKUP(C15,'[3]ECL CC May 25'!$A:$A,'[3]ECL CC May 25'!$C:$C),0)</f>
        <v>6308.4689190297559</v>
      </c>
      <c r="O15" s="56">
        <v>127422.38705941374</v>
      </c>
      <c r="P15" s="56">
        <f>IFERROR(_xlfn.XLOOKUP(C15,[2]Sheet1!$B:$B,[2]Sheet1!$L:$L),0)</f>
        <v>50255.786358105528</v>
      </c>
      <c r="Q15" s="56">
        <f>IFERROR(_xlfn.XLOOKUP(C15,[2]Sheet1!$B:$B,[2]Sheet1!$M:$M),0)</f>
        <v>77166.600701308213</v>
      </c>
      <c r="R15" s="57">
        <f t="shared" si="3"/>
        <v>45563.385613114311</v>
      </c>
      <c r="S15" s="57">
        <f t="shared" si="4"/>
        <v>116421.51739539277</v>
      </c>
      <c r="T15" s="57">
        <f t="shared" si="5"/>
        <v>-70858.131782278462</v>
      </c>
      <c r="X15" s="6"/>
      <c r="Y15" s="6"/>
    </row>
    <row r="16" spans="1:25" x14ac:dyDescent="0.25">
      <c r="A16" s="76">
        <v>3.3080113711003398E+17</v>
      </c>
      <c r="B16" s="84" t="str">
        <f t="shared" si="0"/>
        <v>330801137110034000</v>
      </c>
      <c r="C16" s="3">
        <v>501137</v>
      </c>
      <c r="D16" s="3" t="s">
        <v>10</v>
      </c>
      <c r="E16" s="2" t="s">
        <v>26</v>
      </c>
      <c r="F16" s="4" t="s">
        <v>12</v>
      </c>
      <c r="G16" s="4" t="s">
        <v>13</v>
      </c>
      <c r="H16" s="18" t="s">
        <v>167</v>
      </c>
      <c r="I16" s="18">
        <f>IFERROR(_xlfn.XLOOKUP(C16,[2]Sheet1!$B:$B,[2]Sheet1!$G:$G),0)</f>
        <v>1</v>
      </c>
      <c r="J16" s="18">
        <f>IFERROR(_xlfn.XLOOKUP(C16,[2]Sheet1!$B:$B,[2]Sheet1!$K:$K),0)</f>
        <v>1</v>
      </c>
      <c r="K16" s="18" t="b">
        <f t="shared" si="1"/>
        <v>1</v>
      </c>
      <c r="L16" s="55">
        <v>169729.95163516834</v>
      </c>
      <c r="M16" s="55">
        <f t="shared" si="2"/>
        <v>144708.47896298522</v>
      </c>
      <c r="N16" s="56">
        <f>IFERROR(_xlfn.XLOOKUP(C16,'[3]ECL CC May 25'!$A:$A,'[3]ECL CC May 25'!$C:$C),0)</f>
        <v>25021.472672183114</v>
      </c>
      <c r="O16" s="56">
        <v>32999.226768003267</v>
      </c>
      <c r="P16" s="56">
        <f>IFERROR(_xlfn.XLOOKUP(C16,[2]Sheet1!$B:$B,[2]Sheet1!$L:$L),0)</f>
        <v>5970.9863389761304</v>
      </c>
      <c r="Q16" s="56">
        <f>IFERROR(_xlfn.XLOOKUP(C16,[2]Sheet1!$B:$B,[2]Sheet1!$M:$M),0)</f>
        <v>27028.240429027137</v>
      </c>
      <c r="R16" s="57">
        <f t="shared" si="3"/>
        <v>136730.72486716509</v>
      </c>
      <c r="S16" s="57">
        <f t="shared" si="4"/>
        <v>138737.49262400909</v>
      </c>
      <c r="T16" s="57">
        <f t="shared" si="5"/>
        <v>-2006.7677568440231</v>
      </c>
      <c r="X16" s="6"/>
      <c r="Y16" s="6"/>
    </row>
    <row r="17" spans="1:25" x14ac:dyDescent="0.25">
      <c r="A17" s="76">
        <v>3.30801137110032E+17</v>
      </c>
      <c r="B17" s="84" t="str">
        <f t="shared" si="0"/>
        <v>330801137110032000</v>
      </c>
      <c r="C17" s="3">
        <v>501131</v>
      </c>
      <c r="D17" s="3" t="s">
        <v>10</v>
      </c>
      <c r="E17" s="2" t="s">
        <v>27</v>
      </c>
      <c r="F17" s="4" t="s">
        <v>12</v>
      </c>
      <c r="G17" s="4" t="s">
        <v>13</v>
      </c>
      <c r="H17" s="18" t="s">
        <v>167</v>
      </c>
      <c r="I17" s="18">
        <f>IFERROR(_xlfn.XLOOKUP(C17,[2]Sheet1!$B:$B,[2]Sheet1!$G:$G),0)</f>
        <v>1</v>
      </c>
      <c r="J17" s="18">
        <f>IFERROR(_xlfn.XLOOKUP(C17,[2]Sheet1!$B:$B,[2]Sheet1!$K:$K),0)</f>
        <v>1</v>
      </c>
      <c r="K17" s="18" t="b">
        <f t="shared" si="1"/>
        <v>1</v>
      </c>
      <c r="L17" s="55">
        <v>1260.7226182012457</v>
      </c>
      <c r="M17" s="55">
        <f t="shared" si="2"/>
        <v>1260.7226182012457</v>
      </c>
      <c r="N17" s="56">
        <f>IFERROR(_xlfn.XLOOKUP(C17,'[3]ECL CC May 25'!$A:$A,'[3]ECL CC May 25'!$C:$C),0)</f>
        <v>0</v>
      </c>
      <c r="O17" s="56">
        <v>1320.853933008392</v>
      </c>
      <c r="P17" s="56">
        <f>IFERROR(_xlfn.XLOOKUP(C17,[2]Sheet1!$B:$B,[2]Sheet1!$L:$L),0)</f>
        <v>867.29913979483399</v>
      </c>
      <c r="Q17" s="56">
        <f>IFERROR(_xlfn.XLOOKUP(C17,[2]Sheet1!$B:$B,[2]Sheet1!$M:$M),0)</f>
        <v>453.55479321355807</v>
      </c>
      <c r="R17" s="57">
        <f t="shared" si="3"/>
        <v>-60.131314807146282</v>
      </c>
      <c r="S17" s="57">
        <f t="shared" si="4"/>
        <v>393.42347840641173</v>
      </c>
      <c r="T17" s="57">
        <f t="shared" si="5"/>
        <v>-453.55479321355807</v>
      </c>
      <c r="X17" s="6"/>
      <c r="Y17" s="6"/>
    </row>
    <row r="18" spans="1:25" x14ac:dyDescent="0.25">
      <c r="A18" s="76">
        <v>3.3080113710703098E+17</v>
      </c>
      <c r="B18" s="84" t="str">
        <f t="shared" si="0"/>
        <v>330801137107031000</v>
      </c>
      <c r="C18" s="3">
        <v>501114</v>
      </c>
      <c r="D18" s="3" t="s">
        <v>10</v>
      </c>
      <c r="E18" s="2" t="s">
        <v>27</v>
      </c>
      <c r="F18" s="4" t="s">
        <v>12</v>
      </c>
      <c r="G18" s="4" t="s">
        <v>13</v>
      </c>
      <c r="H18" s="18" t="s">
        <v>167</v>
      </c>
      <c r="I18" s="18">
        <f>IFERROR(_xlfn.XLOOKUP(C18,[2]Sheet1!$B:$B,[2]Sheet1!$G:$G),0)</f>
        <v>1</v>
      </c>
      <c r="J18" s="18">
        <f>IFERROR(_xlfn.XLOOKUP(C18,[2]Sheet1!$B:$B,[2]Sheet1!$K:$K),0)</f>
        <v>1</v>
      </c>
      <c r="K18" s="18" t="b">
        <f t="shared" si="1"/>
        <v>1</v>
      </c>
      <c r="L18" s="55">
        <v>1156.9391344204801</v>
      </c>
      <c r="M18" s="55">
        <f t="shared" si="2"/>
        <v>1156.9391344204801</v>
      </c>
      <c r="N18" s="56">
        <f>IFERROR(_xlfn.XLOOKUP(C18,'[3]ECL CC May 25'!$A:$A,'[3]ECL CC May 25'!$C:$C),0)</f>
        <v>0</v>
      </c>
      <c r="O18" s="56">
        <v>1185.7281678983477</v>
      </c>
      <c r="P18" s="56">
        <f>IFERROR(_xlfn.XLOOKUP(C18,[2]Sheet1!$B:$B,[2]Sheet1!$L:$L),0)</f>
        <v>1185.7281678983477</v>
      </c>
      <c r="Q18" s="56">
        <f>IFERROR(_xlfn.XLOOKUP(C18,[2]Sheet1!$B:$B,[2]Sheet1!$M:$M),0)</f>
        <v>0</v>
      </c>
      <c r="R18" s="57">
        <f t="shared" si="3"/>
        <v>-28.789033477867633</v>
      </c>
      <c r="S18" s="57">
        <f t="shared" si="4"/>
        <v>-28.789033477867633</v>
      </c>
      <c r="T18" s="57">
        <f t="shared" si="5"/>
        <v>0</v>
      </c>
      <c r="X18" s="6"/>
      <c r="Y18" s="6"/>
    </row>
    <row r="19" spans="1:25" x14ac:dyDescent="0.25">
      <c r="A19" s="76">
        <v>3.3080113710703002E+17</v>
      </c>
      <c r="B19" s="84" t="str">
        <f t="shared" si="0"/>
        <v>330801137107030000</v>
      </c>
      <c r="C19" s="3">
        <v>501109</v>
      </c>
      <c r="D19" s="3" t="s">
        <v>10</v>
      </c>
      <c r="E19" s="2" t="s">
        <v>28</v>
      </c>
      <c r="F19" s="4" t="s">
        <v>12</v>
      </c>
      <c r="G19" s="4" t="s">
        <v>22</v>
      </c>
      <c r="H19" s="18" t="s">
        <v>167</v>
      </c>
      <c r="I19" s="18">
        <f>IFERROR(_xlfn.XLOOKUP(C19,[2]Sheet1!$B:$B,[2]Sheet1!$G:$G),0)</f>
        <v>2</v>
      </c>
      <c r="J19" s="18">
        <f>IFERROR(_xlfn.XLOOKUP(C19,[2]Sheet1!$B:$B,[2]Sheet1!$K:$K),0)</f>
        <v>2</v>
      </c>
      <c r="K19" s="18" t="b">
        <f t="shared" si="1"/>
        <v>1</v>
      </c>
      <c r="L19" s="55">
        <v>99290.545590443086</v>
      </c>
      <c r="M19" s="55">
        <f t="shared" si="2"/>
        <v>99290.545590443086</v>
      </c>
      <c r="N19" s="56">
        <f>IFERROR(_xlfn.XLOOKUP(C19,'[3]ECL CC May 25'!$A:$A,'[3]ECL CC May 25'!$C:$C),0)</f>
        <v>0</v>
      </c>
      <c r="O19" s="56">
        <v>98608.531568804508</v>
      </c>
      <c r="P19" s="56">
        <f>IFERROR(_xlfn.XLOOKUP(C19,[2]Sheet1!$B:$B,[2]Sheet1!$L:$L),0)</f>
        <v>98608.531568804508</v>
      </c>
      <c r="Q19" s="56">
        <f>IFERROR(_xlfn.XLOOKUP(C19,[2]Sheet1!$B:$B,[2]Sheet1!$M:$M),0)</f>
        <v>0</v>
      </c>
      <c r="R19" s="57">
        <f t="shared" si="3"/>
        <v>682.01402163857711</v>
      </c>
      <c r="S19" s="57">
        <f t="shared" si="4"/>
        <v>682.01402163857711</v>
      </c>
      <c r="T19" s="57">
        <f t="shared" si="5"/>
        <v>0</v>
      </c>
      <c r="X19" s="6"/>
      <c r="Y19" s="6"/>
    </row>
    <row r="20" spans="1:25" x14ac:dyDescent="0.25">
      <c r="A20" s="76">
        <v>3.3080113710703002E+17</v>
      </c>
      <c r="B20" s="84" t="str">
        <f t="shared" si="0"/>
        <v>330801137107030000</v>
      </c>
      <c r="C20" s="3">
        <v>501108</v>
      </c>
      <c r="D20" s="3" t="s">
        <v>10</v>
      </c>
      <c r="E20" s="2" t="s">
        <v>28</v>
      </c>
      <c r="F20" s="4" t="s">
        <v>12</v>
      </c>
      <c r="G20" s="4" t="s">
        <v>22</v>
      </c>
      <c r="H20" s="18" t="s">
        <v>167</v>
      </c>
      <c r="I20" s="18">
        <f>IFERROR(_xlfn.XLOOKUP(C20,[2]Sheet1!$B:$B,[2]Sheet1!$G:$G),0)</f>
        <v>2</v>
      </c>
      <c r="J20" s="18">
        <f>IFERROR(_xlfn.XLOOKUP(C20,[2]Sheet1!$B:$B,[2]Sheet1!$K:$K),0)</f>
        <v>2</v>
      </c>
      <c r="K20" s="18" t="b">
        <f t="shared" si="1"/>
        <v>1</v>
      </c>
      <c r="L20" s="55">
        <v>37612.825628360188</v>
      </c>
      <c r="M20" s="55">
        <f t="shared" si="2"/>
        <v>37612.825628360188</v>
      </c>
      <c r="N20" s="56">
        <f>IFERROR(_xlfn.XLOOKUP(C20,'[3]ECL CC May 25'!$A:$A,'[3]ECL CC May 25'!$C:$C),0)</f>
        <v>0</v>
      </c>
      <c r="O20" s="56">
        <v>33092.324948873196</v>
      </c>
      <c r="P20" s="56">
        <f>IFERROR(_xlfn.XLOOKUP(C20,[2]Sheet1!$B:$B,[2]Sheet1!$L:$L),0)</f>
        <v>33092.324948873196</v>
      </c>
      <c r="Q20" s="56">
        <f>IFERROR(_xlfn.XLOOKUP(C20,[2]Sheet1!$B:$B,[2]Sheet1!$M:$M),0)</f>
        <v>0</v>
      </c>
      <c r="R20" s="57">
        <f t="shared" si="3"/>
        <v>4520.5006794869914</v>
      </c>
      <c r="S20" s="57">
        <f t="shared" si="4"/>
        <v>4520.5006794869914</v>
      </c>
      <c r="T20" s="57">
        <f t="shared" si="5"/>
        <v>0</v>
      </c>
      <c r="X20" s="6"/>
      <c r="Y20" s="6"/>
    </row>
    <row r="21" spans="1:25" x14ac:dyDescent="0.25">
      <c r="A21" s="76">
        <v>3.3080113710703002E+17</v>
      </c>
      <c r="B21" s="84" t="str">
        <f t="shared" si="0"/>
        <v>330801137107030000</v>
      </c>
      <c r="C21" s="3">
        <v>501106</v>
      </c>
      <c r="D21" s="3" t="s">
        <v>10</v>
      </c>
      <c r="E21" s="2" t="s">
        <v>28</v>
      </c>
      <c r="F21" s="4" t="s">
        <v>12</v>
      </c>
      <c r="G21" s="4" t="s">
        <v>22</v>
      </c>
      <c r="H21" s="18" t="s">
        <v>167</v>
      </c>
      <c r="I21" s="18">
        <f>IFERROR(_xlfn.XLOOKUP(C21,[2]Sheet1!$B:$B,[2]Sheet1!$G:$G),0)</f>
        <v>2</v>
      </c>
      <c r="J21" s="18">
        <f>IFERROR(_xlfn.XLOOKUP(C21,[2]Sheet1!$B:$B,[2]Sheet1!$K:$K),0)</f>
        <v>2</v>
      </c>
      <c r="K21" s="18" t="b">
        <f t="shared" si="1"/>
        <v>1</v>
      </c>
      <c r="L21" s="55">
        <v>99010.221555797514</v>
      </c>
      <c r="M21" s="55">
        <f t="shared" si="2"/>
        <v>99010.221555797514</v>
      </c>
      <c r="N21" s="56">
        <f>IFERROR(_xlfn.XLOOKUP(C21,'[3]ECL CC May 25'!$A:$A,'[3]ECL CC May 25'!$C:$C),0)</f>
        <v>0</v>
      </c>
      <c r="O21" s="56">
        <v>87110.667443166865</v>
      </c>
      <c r="P21" s="56">
        <f>IFERROR(_xlfn.XLOOKUP(C21,[2]Sheet1!$B:$B,[2]Sheet1!$L:$L),0)</f>
        <v>87110.667443166865</v>
      </c>
      <c r="Q21" s="56">
        <f>IFERROR(_xlfn.XLOOKUP(C21,[2]Sheet1!$B:$B,[2]Sheet1!$M:$M),0)</f>
        <v>0</v>
      </c>
      <c r="R21" s="57">
        <f t="shared" si="3"/>
        <v>11899.554112630649</v>
      </c>
      <c r="S21" s="57">
        <f t="shared" si="4"/>
        <v>11899.554112630649</v>
      </c>
      <c r="T21" s="57">
        <f t="shared" si="5"/>
        <v>0</v>
      </c>
      <c r="X21" s="6"/>
      <c r="Y21" s="6"/>
    </row>
    <row r="22" spans="1:25" x14ac:dyDescent="0.25">
      <c r="A22" s="76">
        <v>3.3080113710703002E+17</v>
      </c>
      <c r="B22" s="84" t="str">
        <f t="shared" si="0"/>
        <v>330801137107030000</v>
      </c>
      <c r="C22" s="3">
        <v>501107</v>
      </c>
      <c r="D22" s="3" t="s">
        <v>10</v>
      </c>
      <c r="E22" s="2" t="s">
        <v>28</v>
      </c>
      <c r="F22" s="4" t="s">
        <v>12</v>
      </c>
      <c r="G22" s="4" t="s">
        <v>22</v>
      </c>
      <c r="H22" s="18" t="s">
        <v>167</v>
      </c>
      <c r="I22" s="18">
        <f>IFERROR(_xlfn.XLOOKUP(C22,[2]Sheet1!$B:$B,[2]Sheet1!$G:$G),0)</f>
        <v>2</v>
      </c>
      <c r="J22" s="18">
        <f>IFERROR(_xlfn.XLOOKUP(C22,[2]Sheet1!$B:$B,[2]Sheet1!$K:$K),0)</f>
        <v>2</v>
      </c>
      <c r="K22" s="18" t="b">
        <f t="shared" si="1"/>
        <v>1</v>
      </c>
      <c r="L22" s="55">
        <v>98457.10087180011</v>
      </c>
      <c r="M22" s="55">
        <f t="shared" si="2"/>
        <v>98457.10087180011</v>
      </c>
      <c r="N22" s="56">
        <f>IFERROR(_xlfn.XLOOKUP(C22,'[3]ECL CC May 25'!$A:$A,'[3]ECL CC May 25'!$C:$C),0)</f>
        <v>0</v>
      </c>
      <c r="O22" s="56">
        <v>84731.832635017126</v>
      </c>
      <c r="P22" s="56">
        <f>IFERROR(_xlfn.XLOOKUP(C22,[2]Sheet1!$B:$B,[2]Sheet1!$L:$L),0)</f>
        <v>84731.832635017126</v>
      </c>
      <c r="Q22" s="56">
        <f>IFERROR(_xlfn.XLOOKUP(C22,[2]Sheet1!$B:$B,[2]Sheet1!$M:$M),0)</f>
        <v>0</v>
      </c>
      <c r="R22" s="57">
        <f t="shared" si="3"/>
        <v>13725.268236782984</v>
      </c>
      <c r="S22" s="57">
        <f t="shared" si="4"/>
        <v>13725.268236782984</v>
      </c>
      <c r="T22" s="57">
        <f t="shared" si="5"/>
        <v>0</v>
      </c>
      <c r="X22" s="6"/>
      <c r="Y22" s="6"/>
    </row>
    <row r="23" spans="1:25" x14ac:dyDescent="0.25">
      <c r="A23" s="76">
        <v>3.3080113711002598E+17</v>
      </c>
      <c r="B23" s="84" t="str">
        <f t="shared" si="0"/>
        <v>330801137110026000</v>
      </c>
      <c r="C23" s="3">
        <v>501035</v>
      </c>
      <c r="D23" s="3" t="s">
        <v>10</v>
      </c>
      <c r="E23" s="2" t="s">
        <v>29</v>
      </c>
      <c r="F23" s="4" t="s">
        <v>12</v>
      </c>
      <c r="G23" s="4" t="s">
        <v>13</v>
      </c>
      <c r="H23" s="18" t="s">
        <v>167</v>
      </c>
      <c r="I23" s="18">
        <f>IFERROR(_xlfn.XLOOKUP(C23,[2]Sheet1!$B:$B,[2]Sheet1!$G:$G),0)</f>
        <v>1</v>
      </c>
      <c r="J23" s="18">
        <f>IFERROR(_xlfn.XLOOKUP(C23,[2]Sheet1!$B:$B,[2]Sheet1!$K:$K),0)</f>
        <v>1</v>
      </c>
      <c r="K23" s="18" t="b">
        <f t="shared" si="1"/>
        <v>1</v>
      </c>
      <c r="L23" s="55">
        <v>1366.9582745778041</v>
      </c>
      <c r="M23" s="55">
        <f t="shared" si="2"/>
        <v>105.17727947081266</v>
      </c>
      <c r="N23" s="56">
        <f>IFERROR(_xlfn.XLOOKUP(C23,'[3]ECL CC May 25'!$A:$A,'[3]ECL CC May 25'!$C:$C),0)</f>
        <v>1261.7809951069914</v>
      </c>
      <c r="O23" s="56">
        <v>1366.7393497207097</v>
      </c>
      <c r="P23" s="56">
        <f>IFERROR(_xlfn.XLOOKUP(C23,[2]Sheet1!$B:$B,[2]Sheet1!$L:$L),0)</f>
        <v>0</v>
      </c>
      <c r="Q23" s="56">
        <f>IFERROR(_xlfn.XLOOKUP(C23,[2]Sheet1!$B:$B,[2]Sheet1!$M:$M),0)</f>
        <v>1366.7393497207097</v>
      </c>
      <c r="R23" s="57">
        <f t="shared" si="3"/>
        <v>0.21892485709440734</v>
      </c>
      <c r="S23" s="57">
        <f t="shared" si="4"/>
        <v>105.17727947081266</v>
      </c>
      <c r="T23" s="57">
        <f t="shared" si="5"/>
        <v>-104.95835461371826</v>
      </c>
      <c r="X23" s="6"/>
      <c r="Y23" s="6"/>
    </row>
    <row r="24" spans="1:25" x14ac:dyDescent="0.25">
      <c r="A24" s="76">
        <v>3.3080213711003501E+17</v>
      </c>
      <c r="B24" s="84" t="str">
        <f t="shared" si="0"/>
        <v>330802137110035000</v>
      </c>
      <c r="C24" s="3">
        <v>501156</v>
      </c>
      <c r="D24" s="3" t="s">
        <v>10</v>
      </c>
      <c r="E24" s="2" t="s">
        <v>30</v>
      </c>
      <c r="F24" s="4" t="s">
        <v>31</v>
      </c>
      <c r="G24" s="4" t="s">
        <v>13</v>
      </c>
      <c r="H24" s="18" t="s">
        <v>167</v>
      </c>
      <c r="I24" s="18">
        <f>IFERROR(_xlfn.XLOOKUP(C24,[2]Sheet1!$B:$B,[2]Sheet1!$G:$G),0)</f>
        <v>1</v>
      </c>
      <c r="J24" s="18">
        <f>IFERROR(_xlfn.XLOOKUP(C24,[2]Sheet1!$B:$B,[2]Sheet1!$K:$K),0)</f>
        <v>1</v>
      </c>
      <c r="K24" s="18" t="b">
        <f t="shared" si="1"/>
        <v>1</v>
      </c>
      <c r="L24" s="55">
        <v>1726760.6071014029</v>
      </c>
      <c r="M24" s="55">
        <f t="shared" si="2"/>
        <v>126295.64938963437</v>
      </c>
      <c r="N24" s="56">
        <f>IFERROR(_xlfn.XLOOKUP(C24,'[3]ECL CC May 25'!$A:$A,'[3]ECL CC May 25'!$C:$C),0)</f>
        <v>1600464.9577117686</v>
      </c>
      <c r="O24" s="56">
        <v>1754118.3155137517</v>
      </c>
      <c r="P24" s="56">
        <f>IFERROR(_xlfn.XLOOKUP(C24,[2]Sheet1!$B:$B,[2]Sheet1!$L:$L),0)</f>
        <v>0</v>
      </c>
      <c r="Q24" s="56">
        <f>IFERROR(_xlfn.XLOOKUP(C24,[2]Sheet1!$B:$B,[2]Sheet1!$M:$M),0)</f>
        <v>1754118.3155137517</v>
      </c>
      <c r="R24" s="57">
        <f t="shared" si="3"/>
        <v>-27357.708412348758</v>
      </c>
      <c r="S24" s="57">
        <f t="shared" si="4"/>
        <v>126295.64938963437</v>
      </c>
      <c r="T24" s="57">
        <f t="shared" si="5"/>
        <v>-153653.35780198313</v>
      </c>
      <c r="X24" s="6"/>
      <c r="Y24" s="6"/>
    </row>
    <row r="25" spans="1:25" x14ac:dyDescent="0.25">
      <c r="A25" s="76">
        <v>3.3080213712102899E+17</v>
      </c>
      <c r="B25" s="84" t="str">
        <f t="shared" si="0"/>
        <v>330802137121029000</v>
      </c>
      <c r="C25" s="3">
        <v>501086</v>
      </c>
      <c r="D25" s="3" t="s">
        <v>10</v>
      </c>
      <c r="E25" s="2" t="s">
        <v>30</v>
      </c>
      <c r="F25" s="4" t="s">
        <v>31</v>
      </c>
      <c r="G25" s="4" t="s">
        <v>13</v>
      </c>
      <c r="H25" s="18" t="s">
        <v>167</v>
      </c>
      <c r="I25" s="18">
        <f>IFERROR(_xlfn.XLOOKUP(C25,[2]Sheet1!$B:$B,[2]Sheet1!$G:$G),0)</f>
        <v>1</v>
      </c>
      <c r="J25" s="18">
        <f>IFERROR(_xlfn.XLOOKUP(C25,[2]Sheet1!$B:$B,[2]Sheet1!$K:$K),0)</f>
        <v>1</v>
      </c>
      <c r="K25" s="18" t="b">
        <f t="shared" si="1"/>
        <v>1</v>
      </c>
      <c r="L25" s="55">
        <v>864358.60339430207</v>
      </c>
      <c r="M25" s="55">
        <f t="shared" si="2"/>
        <v>63296.686058664345</v>
      </c>
      <c r="N25" s="56">
        <f>IFERROR(_xlfn.XLOOKUP(C25,'[3]ECL CC May 25'!$A:$A,'[3]ECL CC May 25'!$C:$C),0)</f>
        <v>801061.91733563773</v>
      </c>
      <c r="O25" s="56">
        <v>878055.69652398222</v>
      </c>
      <c r="P25" s="56">
        <f>IFERROR(_xlfn.XLOOKUP(C25,[2]Sheet1!$B:$B,[2]Sheet1!$L:$L),0)</f>
        <v>0</v>
      </c>
      <c r="Q25" s="56">
        <f>IFERROR(_xlfn.XLOOKUP(C25,[2]Sheet1!$B:$B,[2]Sheet1!$M:$M),0)</f>
        <v>878055.69652398222</v>
      </c>
      <c r="R25" s="57">
        <f t="shared" si="3"/>
        <v>-13697.093129680143</v>
      </c>
      <c r="S25" s="57">
        <f t="shared" si="4"/>
        <v>63296.686058664345</v>
      </c>
      <c r="T25" s="57">
        <f t="shared" si="5"/>
        <v>-76993.779188344488</v>
      </c>
      <c r="X25" s="6"/>
      <c r="Y25" s="6"/>
    </row>
    <row r="26" spans="1:25" x14ac:dyDescent="0.25">
      <c r="A26" s="76">
        <v>3.3080213810703501E+17</v>
      </c>
      <c r="B26" s="84" t="str">
        <f t="shared" si="0"/>
        <v>330802138107035000</v>
      </c>
      <c r="C26" s="3">
        <v>501159</v>
      </c>
      <c r="D26" s="3" t="s">
        <v>10</v>
      </c>
      <c r="E26" s="2" t="s">
        <v>33</v>
      </c>
      <c r="F26" s="4" t="s">
        <v>31</v>
      </c>
      <c r="G26" s="4" t="s">
        <v>13</v>
      </c>
      <c r="H26" s="18" t="s">
        <v>167</v>
      </c>
      <c r="I26" s="18">
        <f>IFERROR(_xlfn.XLOOKUP(C26,[2]Sheet1!$B:$B,[2]Sheet1!$G:$G),0)</f>
        <v>1</v>
      </c>
      <c r="J26" s="18">
        <f>IFERROR(_xlfn.XLOOKUP(C26,[2]Sheet1!$B:$B,[2]Sheet1!$K:$K),0)</f>
        <v>1</v>
      </c>
      <c r="K26" s="18" t="b">
        <f t="shared" si="1"/>
        <v>1</v>
      </c>
      <c r="L26" s="55">
        <v>1271819.7854136492</v>
      </c>
      <c r="M26" s="55">
        <f t="shared" si="2"/>
        <v>1271819.7854136492</v>
      </c>
      <c r="N26" s="56">
        <f>IFERROR(_xlfn.XLOOKUP(C26,'[3]ECL CC May 25'!$A:$A,'[3]ECL CC May 25'!$C:$C),0)</f>
        <v>0</v>
      </c>
      <c r="O26" s="56">
        <v>1281551.8452921435</v>
      </c>
      <c r="P26" s="56">
        <f>IFERROR(_xlfn.XLOOKUP(C26,[2]Sheet1!$B:$B,[2]Sheet1!$L:$L),0)</f>
        <v>1281551.8452921435</v>
      </c>
      <c r="Q26" s="56">
        <f>IFERROR(_xlfn.XLOOKUP(C26,[2]Sheet1!$B:$B,[2]Sheet1!$M:$M),0)</f>
        <v>0</v>
      </c>
      <c r="R26" s="57">
        <f t="shared" si="3"/>
        <v>-9732.0598784943577</v>
      </c>
      <c r="S26" s="57">
        <f t="shared" si="4"/>
        <v>-9732.0598784943577</v>
      </c>
      <c r="T26" s="57">
        <f t="shared" si="5"/>
        <v>0</v>
      </c>
      <c r="X26" s="6"/>
      <c r="Y26" s="6"/>
    </row>
    <row r="27" spans="1:25" x14ac:dyDescent="0.25">
      <c r="A27" s="76">
        <v>3.3080213820003002E+17</v>
      </c>
      <c r="B27" s="84" t="str">
        <f t="shared" si="0"/>
        <v>330802138200030000</v>
      </c>
      <c r="C27" s="3">
        <v>501100</v>
      </c>
      <c r="D27" s="3" t="s">
        <v>32</v>
      </c>
      <c r="E27" s="2" t="s">
        <v>33</v>
      </c>
      <c r="F27" s="4" t="s">
        <v>31</v>
      </c>
      <c r="G27" s="4" t="s">
        <v>13</v>
      </c>
      <c r="H27" s="18" t="s">
        <v>167</v>
      </c>
      <c r="I27" s="18">
        <f>IFERROR(_xlfn.XLOOKUP(C27,[2]Sheet1!$B:$B,[2]Sheet1!$G:$G),0)</f>
        <v>1</v>
      </c>
      <c r="J27" s="18">
        <f>IFERROR(_xlfn.XLOOKUP(C27,[2]Sheet1!$B:$B,[2]Sheet1!$K:$K),0)</f>
        <v>1</v>
      </c>
      <c r="K27" s="18" t="b">
        <f t="shared" si="1"/>
        <v>1</v>
      </c>
      <c r="L27" s="55">
        <v>885602.22090636764</v>
      </c>
      <c r="M27" s="55">
        <f t="shared" si="2"/>
        <v>885602.22090636764</v>
      </c>
      <c r="N27" s="56">
        <f>IFERROR(_xlfn.XLOOKUP(C27,'[3]ECL CC May 25'!$A:$A,'[3]ECL CC May 25'!$C:$C),0)</f>
        <v>0</v>
      </c>
      <c r="O27" s="56">
        <v>891945.17755404802</v>
      </c>
      <c r="P27" s="56">
        <f>IFERROR(_xlfn.XLOOKUP(C27,[2]Sheet1!$B:$B,[2]Sheet1!$L:$L),0)</f>
        <v>891945.17755404802</v>
      </c>
      <c r="Q27" s="56">
        <f>IFERROR(_xlfn.XLOOKUP(C27,[2]Sheet1!$B:$B,[2]Sheet1!$M:$M),0)</f>
        <v>0</v>
      </c>
      <c r="R27" s="57">
        <f t="shared" si="3"/>
        <v>-6342.9566476803739</v>
      </c>
      <c r="S27" s="57">
        <f t="shared" si="4"/>
        <v>-6342.9566476803739</v>
      </c>
      <c r="T27" s="57">
        <f t="shared" si="5"/>
        <v>0</v>
      </c>
      <c r="X27" s="6"/>
      <c r="Y27" s="6"/>
    </row>
    <row r="28" spans="1:25" x14ac:dyDescent="0.25">
      <c r="A28" s="76">
        <v>3.30802137101024E+17</v>
      </c>
      <c r="B28" s="84" t="str">
        <f t="shared" si="0"/>
        <v>330802137101024000</v>
      </c>
      <c r="C28" s="3">
        <v>501010</v>
      </c>
      <c r="D28" s="3" t="s">
        <v>10</v>
      </c>
      <c r="E28" s="2" t="s">
        <v>34</v>
      </c>
      <c r="F28" s="4" t="s">
        <v>31</v>
      </c>
      <c r="G28" s="4" t="s">
        <v>22</v>
      </c>
      <c r="H28" s="18" t="s">
        <v>167</v>
      </c>
      <c r="I28" s="18">
        <f>IFERROR(_xlfn.XLOOKUP(C28,[2]Sheet1!$B:$B,[2]Sheet1!$G:$G),0)</f>
        <v>2</v>
      </c>
      <c r="J28" s="18">
        <f>IFERROR(_xlfn.XLOOKUP(C28,[2]Sheet1!$B:$B,[2]Sheet1!$K:$K),0)</f>
        <v>2</v>
      </c>
      <c r="K28" s="18" t="b">
        <f t="shared" si="1"/>
        <v>1</v>
      </c>
      <c r="L28" s="55">
        <v>718152.11136089207</v>
      </c>
      <c r="M28" s="55">
        <f t="shared" si="2"/>
        <v>718152.11136089207</v>
      </c>
      <c r="N28" s="56">
        <f>IFERROR(_xlfn.XLOOKUP(C28,'[3]ECL CC May 25'!$A:$A,'[3]ECL CC May 25'!$C:$C),0)</f>
        <v>0</v>
      </c>
      <c r="O28" s="56">
        <v>723134.89694352983</v>
      </c>
      <c r="P28" s="56">
        <f>IFERROR(_xlfn.XLOOKUP(C28,[2]Sheet1!$B:$B,[2]Sheet1!$L:$L),0)</f>
        <v>723134.89694352983</v>
      </c>
      <c r="Q28" s="56">
        <f>IFERROR(_xlfn.XLOOKUP(C28,[2]Sheet1!$B:$B,[2]Sheet1!$M:$M),0)</f>
        <v>0</v>
      </c>
      <c r="R28" s="57">
        <f t="shared" si="3"/>
        <v>-4982.7855826377636</v>
      </c>
      <c r="S28" s="57">
        <f t="shared" si="4"/>
        <v>-4982.7855826377636</v>
      </c>
      <c r="T28" s="57">
        <f t="shared" si="5"/>
        <v>0</v>
      </c>
      <c r="X28" s="6"/>
      <c r="Y28" s="6"/>
    </row>
    <row r="29" spans="1:25" x14ac:dyDescent="0.25">
      <c r="A29" s="76">
        <v>3.3080113711003398E+17</v>
      </c>
      <c r="B29" s="84" t="str">
        <f t="shared" si="0"/>
        <v>330801137110034000</v>
      </c>
      <c r="C29" s="3">
        <v>501142</v>
      </c>
      <c r="D29" s="3" t="s">
        <v>10</v>
      </c>
      <c r="E29" s="2" t="s">
        <v>35</v>
      </c>
      <c r="F29" s="4" t="s">
        <v>12</v>
      </c>
      <c r="G29" s="4" t="s">
        <v>13</v>
      </c>
      <c r="H29" s="18" t="s">
        <v>167</v>
      </c>
      <c r="I29" s="18">
        <f>IFERROR(_xlfn.XLOOKUP(C29,[2]Sheet1!$B:$B,[2]Sheet1!$G:$G),0)</f>
        <v>1</v>
      </c>
      <c r="J29" s="18">
        <f>IFERROR(_xlfn.XLOOKUP(C29,[2]Sheet1!$B:$B,[2]Sheet1!$K:$K),0)</f>
        <v>1</v>
      </c>
      <c r="K29" s="18" t="b">
        <f t="shared" si="1"/>
        <v>1</v>
      </c>
      <c r="L29" s="55">
        <v>1937.7537130464798</v>
      </c>
      <c r="M29" s="55">
        <f t="shared" si="2"/>
        <v>1528.1346279468855</v>
      </c>
      <c r="N29" s="56">
        <f>IFERROR(_xlfn.XLOOKUP(C29,'[3]ECL CC May 25'!$A:$A,'[3]ECL CC May 25'!$C:$C),0)</f>
        <v>409.61908509959426</v>
      </c>
      <c r="O29" s="56">
        <v>2229.596544845705</v>
      </c>
      <c r="P29" s="56">
        <f>IFERROR(_xlfn.XLOOKUP(C29,[2]Sheet1!$B:$B,[2]Sheet1!$L:$L),0)</f>
        <v>1785.2581587234897</v>
      </c>
      <c r="Q29" s="56">
        <f>IFERROR(_xlfn.XLOOKUP(C29,[2]Sheet1!$B:$B,[2]Sheet1!$M:$M),0)</f>
        <v>444.33838612221535</v>
      </c>
      <c r="R29" s="57">
        <f t="shared" si="3"/>
        <v>-291.84283179922522</v>
      </c>
      <c r="S29" s="57">
        <f t="shared" si="4"/>
        <v>-257.12353077660418</v>
      </c>
      <c r="T29" s="57">
        <f t="shared" si="5"/>
        <v>-34.719301022621096</v>
      </c>
      <c r="X29" s="6"/>
      <c r="Y29" s="6"/>
    </row>
    <row r="30" spans="1:25" x14ac:dyDescent="0.25">
      <c r="A30" s="76">
        <v>3.3080113710704102E+17</v>
      </c>
      <c r="B30" s="84" t="str">
        <f t="shared" si="0"/>
        <v>330801137107041000</v>
      </c>
      <c r="C30" s="3">
        <v>501233</v>
      </c>
      <c r="D30" s="3" t="s">
        <v>10</v>
      </c>
      <c r="E30" s="2" t="s">
        <v>36</v>
      </c>
      <c r="F30" s="4" t="s">
        <v>12</v>
      </c>
      <c r="G30" s="4" t="s">
        <v>13</v>
      </c>
      <c r="H30" s="18" t="s">
        <v>167</v>
      </c>
      <c r="I30" s="18">
        <f>IFERROR(_xlfn.XLOOKUP(C30,[2]Sheet1!$B:$B,[2]Sheet1!$G:$G),0)</f>
        <v>1</v>
      </c>
      <c r="J30" s="18">
        <f>IFERROR(_xlfn.XLOOKUP(C30,[2]Sheet1!$B:$B,[2]Sheet1!$K:$K),0)</f>
        <v>1</v>
      </c>
      <c r="K30" s="18" t="b">
        <f t="shared" si="1"/>
        <v>1</v>
      </c>
      <c r="L30" s="55">
        <v>33784.971741811692</v>
      </c>
      <c r="M30" s="55">
        <f t="shared" si="2"/>
        <v>33784.971741811692</v>
      </c>
      <c r="N30" s="56">
        <f>IFERROR(_xlfn.XLOOKUP(C30,'[3]ECL CC May 25'!$A:$A,'[3]ECL CC May 25'!$C:$C),0)</f>
        <v>0</v>
      </c>
      <c r="O30" s="56">
        <v>0</v>
      </c>
      <c r="P30" s="56">
        <f>IFERROR(_xlfn.XLOOKUP(C30,[2]Sheet1!$B:$B,[2]Sheet1!$L:$L),0)</f>
        <v>0</v>
      </c>
      <c r="Q30" s="56">
        <f>IFERROR(_xlfn.XLOOKUP(C30,[2]Sheet1!$B:$B,[2]Sheet1!$M:$M),0)</f>
        <v>0</v>
      </c>
      <c r="R30" s="57">
        <f t="shared" si="3"/>
        <v>33784.971741811692</v>
      </c>
      <c r="S30" s="57">
        <f t="shared" si="4"/>
        <v>33784.971741811692</v>
      </c>
      <c r="T30" s="57">
        <f t="shared" si="5"/>
        <v>0</v>
      </c>
      <c r="X30" s="6"/>
      <c r="Y30" s="6"/>
    </row>
    <row r="31" spans="1:25" x14ac:dyDescent="0.25">
      <c r="A31" s="76">
        <v>3.3080213712103898E+17</v>
      </c>
      <c r="B31" s="84" t="str">
        <f t="shared" si="0"/>
        <v>330802137121039000</v>
      </c>
      <c r="C31" s="3">
        <v>501222</v>
      </c>
      <c r="D31" s="3" t="s">
        <v>10</v>
      </c>
      <c r="E31" s="2" t="s">
        <v>37</v>
      </c>
      <c r="F31" s="4" t="s">
        <v>31</v>
      </c>
      <c r="G31" s="4" t="s">
        <v>13</v>
      </c>
      <c r="H31" s="18" t="s">
        <v>167</v>
      </c>
      <c r="I31" s="18">
        <f>IFERROR(_xlfn.XLOOKUP(C31,[2]Sheet1!$B:$B,[2]Sheet1!$G:$G),0)</f>
        <v>1</v>
      </c>
      <c r="J31" s="18">
        <f>IFERROR(_xlfn.XLOOKUP(C31,[2]Sheet1!$B:$B,[2]Sheet1!$K:$K),0)</f>
        <v>1</v>
      </c>
      <c r="K31" s="18" t="b">
        <f t="shared" si="1"/>
        <v>1</v>
      </c>
      <c r="L31" s="55">
        <v>438658.74</v>
      </c>
      <c r="M31" s="55">
        <f t="shared" si="2"/>
        <v>437861.49974703841</v>
      </c>
      <c r="N31" s="56">
        <f>IFERROR(_xlfn.XLOOKUP(C31,'[3]ECL CC May 25'!$A:$A,'[3]ECL CC May 25'!$C:$C),0)</f>
        <v>797.2402529615548</v>
      </c>
      <c r="O31" s="56">
        <v>541610.04909663461</v>
      </c>
      <c r="P31" s="56">
        <f>IFERROR(_xlfn.XLOOKUP(C31,[2]Sheet1!$B:$B,[2]Sheet1!$L:$L),0)</f>
        <v>540645.13427192089</v>
      </c>
      <c r="Q31" s="56">
        <f>IFERROR(_xlfn.XLOOKUP(C31,[2]Sheet1!$B:$B,[2]Sheet1!$M:$M),0)</f>
        <v>964.91482471372228</v>
      </c>
      <c r="R31" s="57">
        <f t="shared" si="3"/>
        <v>-102951.30909663462</v>
      </c>
      <c r="S31" s="57">
        <f t="shared" si="4"/>
        <v>-102783.63452488248</v>
      </c>
      <c r="T31" s="57">
        <f t="shared" si="5"/>
        <v>-167.67457175216748</v>
      </c>
      <c r="X31" s="6"/>
      <c r="Y31" s="6"/>
    </row>
    <row r="32" spans="1:25" x14ac:dyDescent="0.25">
      <c r="A32" s="76">
        <v>3.3080213710703898E+17</v>
      </c>
      <c r="B32" s="84" t="str">
        <f t="shared" si="0"/>
        <v>330802137107039000</v>
      </c>
      <c r="C32" s="3">
        <v>501219</v>
      </c>
      <c r="D32" s="3" t="s">
        <v>10</v>
      </c>
      <c r="E32" s="2" t="s">
        <v>37</v>
      </c>
      <c r="F32" s="4" t="s">
        <v>31</v>
      </c>
      <c r="G32" s="4" t="s">
        <v>13</v>
      </c>
      <c r="H32" s="18" t="s">
        <v>167</v>
      </c>
      <c r="I32" s="18">
        <f>IFERROR(_xlfn.XLOOKUP(C32,[2]Sheet1!$B:$B,[2]Sheet1!$G:$G),0)</f>
        <v>1</v>
      </c>
      <c r="J32" s="18">
        <f>IFERROR(_xlfn.XLOOKUP(C32,[2]Sheet1!$B:$B,[2]Sheet1!$K:$K),0)</f>
        <v>1</v>
      </c>
      <c r="K32" s="18" t="b">
        <f t="shared" si="1"/>
        <v>1</v>
      </c>
      <c r="L32" s="55">
        <v>3781736.9000342479</v>
      </c>
      <c r="M32" s="55">
        <f t="shared" si="2"/>
        <v>3779124.2871970744</v>
      </c>
      <c r="N32" s="56">
        <f>IFERROR(_xlfn.XLOOKUP(C32,'[3]ECL CC May 25'!$A:$A,'[3]ECL CC May 25'!$C:$C),0)</f>
        <v>2612.6128371735285</v>
      </c>
      <c r="O32" s="56">
        <v>3863952.246360241</v>
      </c>
      <c r="P32" s="56">
        <f>IFERROR(_xlfn.XLOOKUP(C32,[2]Sheet1!$B:$B,[2]Sheet1!$L:$L),0)</f>
        <v>3861321.2585941954</v>
      </c>
      <c r="Q32" s="56">
        <f>IFERROR(_xlfn.XLOOKUP(C32,[2]Sheet1!$B:$B,[2]Sheet1!$M:$M),0)</f>
        <v>2630.9877660457596</v>
      </c>
      <c r="R32" s="57">
        <f t="shared" si="3"/>
        <v>-82215.346325993072</v>
      </c>
      <c r="S32" s="57">
        <f t="shared" si="4"/>
        <v>-82196.971397120971</v>
      </c>
      <c r="T32" s="57">
        <f t="shared" si="5"/>
        <v>-18.374928872231067</v>
      </c>
      <c r="X32" s="6"/>
      <c r="Y32" s="6"/>
    </row>
    <row r="33" spans="1:25" x14ac:dyDescent="0.25">
      <c r="A33" s="76">
        <v>3.3080113711303098E+17</v>
      </c>
      <c r="B33" s="84" t="str">
        <f t="shared" si="0"/>
        <v>330801137113031000</v>
      </c>
      <c r="C33" s="3">
        <v>501112</v>
      </c>
      <c r="D33" s="3" t="s">
        <v>10</v>
      </c>
      <c r="E33" s="2" t="s">
        <v>38</v>
      </c>
      <c r="F33" s="4" t="s">
        <v>12</v>
      </c>
      <c r="G33" s="4" t="s">
        <v>13</v>
      </c>
      <c r="H33" s="18" t="s">
        <v>167</v>
      </c>
      <c r="I33" s="18">
        <f>IFERROR(_xlfn.XLOOKUP(C33,[2]Sheet1!$B:$B,[2]Sheet1!$G:$G),0)</f>
        <v>1</v>
      </c>
      <c r="J33" s="18">
        <f>IFERROR(_xlfn.XLOOKUP(C33,[2]Sheet1!$B:$B,[2]Sheet1!$K:$K),0)</f>
        <v>1</v>
      </c>
      <c r="K33" s="18" t="b">
        <f t="shared" si="1"/>
        <v>1</v>
      </c>
      <c r="L33" s="55">
        <v>180453.49510887789</v>
      </c>
      <c r="M33" s="55">
        <f t="shared" si="2"/>
        <v>14132.6462221283</v>
      </c>
      <c r="N33" s="56">
        <f>IFERROR(_xlfn.XLOOKUP(C33,'[3]ECL CC May 25'!$A:$A,'[3]ECL CC May 25'!$C:$C),0)</f>
        <v>166320.84888674959</v>
      </c>
      <c r="O33" s="56">
        <v>180434.56989102156</v>
      </c>
      <c r="P33" s="56">
        <f>IFERROR(_xlfn.XLOOKUP(C33,[2]Sheet1!$B:$B,[2]Sheet1!$L:$L),0)</f>
        <v>0</v>
      </c>
      <c r="Q33" s="56">
        <f>IFERROR(_xlfn.XLOOKUP(C33,[2]Sheet1!$B:$B,[2]Sheet1!$M:$M),0)</f>
        <v>180434.56989102156</v>
      </c>
      <c r="R33" s="57">
        <f t="shared" si="3"/>
        <v>18.925217856332893</v>
      </c>
      <c r="S33" s="57">
        <f t="shared" si="4"/>
        <v>14132.6462221283</v>
      </c>
      <c r="T33" s="57">
        <f t="shared" si="5"/>
        <v>-14113.721004271967</v>
      </c>
      <c r="X33" s="6"/>
      <c r="Y33" s="6"/>
    </row>
    <row r="34" spans="1:25" x14ac:dyDescent="0.25">
      <c r="A34" s="76">
        <v>3.3080213712004E+17</v>
      </c>
      <c r="B34" s="84" t="str">
        <f t="shared" si="0"/>
        <v>330802137120040000</v>
      </c>
      <c r="C34" s="3">
        <v>501232</v>
      </c>
      <c r="D34" s="3" t="s">
        <v>10</v>
      </c>
      <c r="E34" s="2" t="s">
        <v>39</v>
      </c>
      <c r="F34" s="4" t="s">
        <v>31</v>
      </c>
      <c r="G34" s="4" t="s">
        <v>13</v>
      </c>
      <c r="H34" s="18" t="s">
        <v>167</v>
      </c>
      <c r="I34" s="18">
        <f>IFERROR(_xlfn.XLOOKUP(C34,[2]Sheet1!$B:$B,[2]Sheet1!$G:$G),0)</f>
        <v>1</v>
      </c>
      <c r="J34" s="18">
        <f>IFERROR(_xlfn.XLOOKUP(C34,[2]Sheet1!$B:$B,[2]Sheet1!$K:$K),0)</f>
        <v>1</v>
      </c>
      <c r="K34" s="18" t="b">
        <f t="shared" si="1"/>
        <v>1</v>
      </c>
      <c r="L34" s="55">
        <v>344632.29820224218</v>
      </c>
      <c r="M34" s="55">
        <f t="shared" si="2"/>
        <v>286261.83939791011</v>
      </c>
      <c r="N34" s="56">
        <f>IFERROR(_xlfn.XLOOKUP(C34,'[3]ECL CC May 25'!$A:$A,'[3]ECL CC May 25'!$C:$C),0)</f>
        <v>58370.458804332069</v>
      </c>
      <c r="O34" s="56">
        <v>296181.39140416327</v>
      </c>
      <c r="P34" s="56">
        <f>IFERROR(_xlfn.XLOOKUP(C34,[2]Sheet1!$B:$B,[2]Sheet1!$L:$L),0)</f>
        <v>231943.78898086352</v>
      </c>
      <c r="Q34" s="56">
        <f>IFERROR(_xlfn.XLOOKUP(C34,[2]Sheet1!$B:$B,[2]Sheet1!$M:$M),0)</f>
        <v>64237.602423299744</v>
      </c>
      <c r="R34" s="57">
        <f t="shared" si="3"/>
        <v>48450.906798078911</v>
      </c>
      <c r="S34" s="57">
        <f t="shared" si="4"/>
        <v>54318.050417046587</v>
      </c>
      <c r="T34" s="57">
        <f t="shared" si="5"/>
        <v>-5867.1436189676751</v>
      </c>
      <c r="X34" s="6"/>
      <c r="Y34" s="6"/>
    </row>
    <row r="35" spans="1:25" x14ac:dyDescent="0.25">
      <c r="A35" s="76">
        <v>3.3080113711003802E+17</v>
      </c>
      <c r="B35" s="84" t="str">
        <f t="shared" si="0"/>
        <v>330801137110038000</v>
      </c>
      <c r="C35" s="3">
        <v>501181</v>
      </c>
      <c r="D35" s="3" t="s">
        <v>10</v>
      </c>
      <c r="E35" s="2" t="s">
        <v>40</v>
      </c>
      <c r="F35" s="4" t="s">
        <v>12</v>
      </c>
      <c r="G35" s="4" t="s">
        <v>13</v>
      </c>
      <c r="H35" s="18" t="s">
        <v>167</v>
      </c>
      <c r="I35" s="18">
        <f>IFERROR(_xlfn.XLOOKUP(C35,[2]Sheet1!$B:$B,[2]Sheet1!$G:$G),0)</f>
        <v>1</v>
      </c>
      <c r="J35" s="18">
        <f>IFERROR(_xlfn.XLOOKUP(C35,[2]Sheet1!$B:$B,[2]Sheet1!$K:$K),0)</f>
        <v>1</v>
      </c>
      <c r="K35" s="18" t="b">
        <f t="shared" si="1"/>
        <v>1</v>
      </c>
      <c r="L35" s="55">
        <v>337462.56633886212</v>
      </c>
      <c r="M35" s="55">
        <f t="shared" si="2"/>
        <v>321463.21658041264</v>
      </c>
      <c r="N35" s="56">
        <f>IFERROR(_xlfn.XLOOKUP(C35,'[3]ECL CC May 25'!$A:$A,'[3]ECL CC May 25'!$C:$C),0)</f>
        <v>15999.349758449469</v>
      </c>
      <c r="O35" s="56">
        <v>380173.01920182491</v>
      </c>
      <c r="P35" s="56">
        <f>IFERROR(_xlfn.XLOOKUP(C35,[2]Sheet1!$B:$B,[2]Sheet1!$L:$L),0)</f>
        <v>378091.45769798319</v>
      </c>
      <c r="Q35" s="56">
        <f>IFERROR(_xlfn.XLOOKUP(C35,[2]Sheet1!$B:$B,[2]Sheet1!$M:$M),0)</f>
        <v>2081.5615038417045</v>
      </c>
      <c r="R35" s="57">
        <f t="shared" si="3"/>
        <v>-42710.452862962789</v>
      </c>
      <c r="S35" s="57">
        <f t="shared" si="4"/>
        <v>-56628.241117570549</v>
      </c>
      <c r="T35" s="57">
        <f t="shared" si="5"/>
        <v>13917.788254607764</v>
      </c>
      <c r="X35" s="6"/>
      <c r="Y35" s="6"/>
    </row>
    <row r="36" spans="1:25" x14ac:dyDescent="0.25">
      <c r="A36" s="77">
        <v>3.3080113711003802E+17</v>
      </c>
      <c r="B36" s="84" t="str">
        <f t="shared" si="0"/>
        <v>330801137110038000</v>
      </c>
      <c r="C36" s="3">
        <v>501242</v>
      </c>
      <c r="D36" s="3" t="s">
        <v>10</v>
      </c>
      <c r="E36" s="3" t="s">
        <v>40</v>
      </c>
      <c r="F36" s="4" t="s">
        <v>12</v>
      </c>
      <c r="G36" s="4" t="s">
        <v>13</v>
      </c>
      <c r="H36" s="18" t="s">
        <v>167</v>
      </c>
      <c r="I36" s="18">
        <f>IFERROR(_xlfn.XLOOKUP(C36,[2]Sheet1!$B:$B,[2]Sheet1!$G:$G),0)</f>
        <v>1</v>
      </c>
      <c r="J36" s="18">
        <f>IFERROR(_xlfn.XLOOKUP(C36,[2]Sheet1!$B:$B,[2]Sheet1!$K:$K),0)</f>
        <v>1</v>
      </c>
      <c r="K36" s="18" t="b">
        <f t="shared" si="1"/>
        <v>1</v>
      </c>
      <c r="L36" s="55">
        <v>391093.57845916192</v>
      </c>
      <c r="M36" s="55">
        <f t="shared" si="2"/>
        <v>41569.475795289036</v>
      </c>
      <c r="N36" s="56">
        <f>IFERROR(_xlfn.XLOOKUP(C36,'[3]ECL CC May 25'!$A:$A,'[3]ECL CC May 25'!$C:$C),0)</f>
        <v>349524.10266387288</v>
      </c>
      <c r="O36" s="56">
        <v>408374.15368127724</v>
      </c>
      <c r="P36" s="56">
        <f>IFERROR(_xlfn.XLOOKUP(C36,[2]Sheet1!$B:$B,[2]Sheet1!$L:$L),0)</f>
        <v>14652.64150071179</v>
      </c>
      <c r="Q36" s="56">
        <f>IFERROR(_xlfn.XLOOKUP(C36,[2]Sheet1!$B:$B,[2]Sheet1!$M:$M),0)</f>
        <v>393721.51218056545</v>
      </c>
      <c r="R36" s="57">
        <f t="shared" si="3"/>
        <v>-17280.575222115323</v>
      </c>
      <c r="S36" s="57">
        <f t="shared" si="4"/>
        <v>26916.834294577246</v>
      </c>
      <c r="T36" s="57">
        <f t="shared" si="5"/>
        <v>-44197.409516692569</v>
      </c>
      <c r="X36" s="6"/>
      <c r="Y36" s="6"/>
    </row>
    <row r="37" spans="1:25" x14ac:dyDescent="0.25">
      <c r="A37" s="76">
        <v>3.3080113711003802E+17</v>
      </c>
      <c r="B37" s="84" t="str">
        <f t="shared" si="0"/>
        <v>330801137110038000</v>
      </c>
      <c r="C37" s="3">
        <v>501208</v>
      </c>
      <c r="D37" s="3" t="s">
        <v>10</v>
      </c>
      <c r="E37" s="2" t="s">
        <v>40</v>
      </c>
      <c r="F37" s="4" t="s">
        <v>12</v>
      </c>
      <c r="G37" s="4" t="s">
        <v>13</v>
      </c>
      <c r="H37" s="18" t="s">
        <v>167</v>
      </c>
      <c r="I37" s="18">
        <f>IFERROR(_xlfn.XLOOKUP(C37,[2]Sheet1!$B:$B,[2]Sheet1!$G:$G),0)</f>
        <v>1</v>
      </c>
      <c r="J37" s="18">
        <f>IFERROR(_xlfn.XLOOKUP(C37,[2]Sheet1!$B:$B,[2]Sheet1!$K:$K),0)</f>
        <v>1</v>
      </c>
      <c r="K37" s="18" t="b">
        <f t="shared" si="1"/>
        <v>1</v>
      </c>
      <c r="L37" s="55">
        <v>260613.59685617467</v>
      </c>
      <c r="M37" s="55">
        <f t="shared" si="2"/>
        <v>207716.68266771382</v>
      </c>
      <c r="N37" s="56">
        <f>IFERROR(_xlfn.XLOOKUP(C37,'[3]ECL CC May 25'!$A:$A,'[3]ECL CC May 25'!$C:$C),0)</f>
        <v>52896.914188460847</v>
      </c>
      <c r="O37" s="56">
        <v>264038.36212949816</v>
      </c>
      <c r="P37" s="56">
        <f>IFERROR(_xlfn.XLOOKUP(C37,[2]Sheet1!$B:$B,[2]Sheet1!$L:$L),0)</f>
        <v>135930.76874511084</v>
      </c>
      <c r="Q37" s="56">
        <f>IFERROR(_xlfn.XLOOKUP(C37,[2]Sheet1!$B:$B,[2]Sheet1!$M:$M),0)</f>
        <v>128107.59338438734</v>
      </c>
      <c r="R37" s="57">
        <f t="shared" si="3"/>
        <v>-3424.7652733234863</v>
      </c>
      <c r="S37" s="57">
        <f t="shared" si="4"/>
        <v>71785.91392260298</v>
      </c>
      <c r="T37" s="57">
        <f t="shared" si="5"/>
        <v>-75210.679195926496</v>
      </c>
      <c r="X37" s="6"/>
      <c r="Y37" s="6"/>
    </row>
    <row r="38" spans="1:25" x14ac:dyDescent="0.25">
      <c r="A38" s="76">
        <v>3.3080113711001101E+17</v>
      </c>
      <c r="B38" s="84" t="str">
        <f t="shared" si="0"/>
        <v>330801137110011000</v>
      </c>
      <c r="C38" s="3">
        <v>500784</v>
      </c>
      <c r="D38" s="3" t="s">
        <v>10</v>
      </c>
      <c r="E38" s="2" t="s">
        <v>41</v>
      </c>
      <c r="F38" s="4" t="s">
        <v>12</v>
      </c>
      <c r="G38" s="4" t="s">
        <v>13</v>
      </c>
      <c r="H38" s="18" t="s">
        <v>167</v>
      </c>
      <c r="I38" s="18">
        <f>IFERROR(_xlfn.XLOOKUP(C38,[2]Sheet1!$B:$B,[2]Sheet1!$G:$G),0)</f>
        <v>1</v>
      </c>
      <c r="J38" s="18">
        <f>IFERROR(_xlfn.XLOOKUP(C38,[2]Sheet1!$B:$B,[2]Sheet1!$K:$K),0)</f>
        <v>1</v>
      </c>
      <c r="K38" s="18" t="b">
        <f t="shared" si="1"/>
        <v>1</v>
      </c>
      <c r="L38" s="55">
        <v>6023577.363653183</v>
      </c>
      <c r="M38" s="55">
        <f t="shared" si="2"/>
        <v>3496614.1224096892</v>
      </c>
      <c r="N38" s="56">
        <f>IFERROR(_xlfn.XLOOKUP(C38,'[3]ECL CC May 25'!$A:$A,'[3]ECL CC May 25'!$C:$C),0)</f>
        <v>2526963.2412434937</v>
      </c>
      <c r="O38" s="56">
        <v>4508684.5186674111</v>
      </c>
      <c r="P38" s="56">
        <f>IFERROR(_xlfn.XLOOKUP(C38,[2]Sheet1!$B:$B,[2]Sheet1!$L:$L),0)</f>
        <v>0</v>
      </c>
      <c r="Q38" s="56">
        <f>IFERROR(_xlfn.XLOOKUP(C38,[2]Sheet1!$B:$B,[2]Sheet1!$M:$M),0)</f>
        <v>4508684.5186674111</v>
      </c>
      <c r="R38" s="57">
        <f t="shared" si="3"/>
        <v>1514892.8449857719</v>
      </c>
      <c r="S38" s="57">
        <f t="shared" si="4"/>
        <v>3496614.1224096892</v>
      </c>
      <c r="T38" s="57">
        <f t="shared" si="5"/>
        <v>-1981721.2774239173</v>
      </c>
      <c r="X38" s="6"/>
      <c r="Y38" s="6"/>
    </row>
    <row r="39" spans="1:25" x14ac:dyDescent="0.25">
      <c r="A39" s="76">
        <v>3.3080113711003501E+17</v>
      </c>
      <c r="B39" s="84" t="str">
        <f t="shared" si="0"/>
        <v>330801137110035000</v>
      </c>
      <c r="C39" s="3">
        <v>501147</v>
      </c>
      <c r="D39" s="3" t="s">
        <v>10</v>
      </c>
      <c r="E39" s="2" t="s">
        <v>42</v>
      </c>
      <c r="F39" s="4" t="s">
        <v>12</v>
      </c>
      <c r="G39" s="4" t="s">
        <v>13</v>
      </c>
      <c r="H39" s="18" t="s">
        <v>167</v>
      </c>
      <c r="I39" s="18">
        <f>IFERROR(_xlfn.XLOOKUP(C39,[2]Sheet1!$B:$B,[2]Sheet1!$G:$G),0)</f>
        <v>1</v>
      </c>
      <c r="J39" s="18">
        <f>IFERROR(_xlfn.XLOOKUP(C39,[2]Sheet1!$B:$B,[2]Sheet1!$K:$K),0)</f>
        <v>1</v>
      </c>
      <c r="K39" s="18" t="b">
        <f t="shared" si="1"/>
        <v>1</v>
      </c>
      <c r="L39" s="55">
        <v>188077.99863673595</v>
      </c>
      <c r="M39" s="55">
        <f t="shared" si="2"/>
        <v>160280.06383731606</v>
      </c>
      <c r="N39" s="56">
        <f>IFERROR(_xlfn.XLOOKUP(C39,'[3]ECL CC May 25'!$A:$A,'[3]ECL CC May 25'!$C:$C),0)</f>
        <v>27797.934799419891</v>
      </c>
      <c r="O39" s="56">
        <v>163229.3858244968</v>
      </c>
      <c r="P39" s="56">
        <f>IFERROR(_xlfn.XLOOKUP(C39,[2]Sheet1!$B:$B,[2]Sheet1!$L:$L),0)</f>
        <v>133218.18089455907</v>
      </c>
      <c r="Q39" s="56">
        <f>IFERROR(_xlfn.XLOOKUP(C39,[2]Sheet1!$B:$B,[2]Sheet1!$M:$M),0)</f>
        <v>30011.204929937732</v>
      </c>
      <c r="R39" s="57">
        <f t="shared" si="3"/>
        <v>24848.612812239153</v>
      </c>
      <c r="S39" s="57">
        <f t="shared" si="4"/>
        <v>27061.882942756987</v>
      </c>
      <c r="T39" s="57">
        <f t="shared" si="5"/>
        <v>-2213.2701305178416</v>
      </c>
      <c r="X39" s="6"/>
      <c r="Y39" s="6"/>
    </row>
    <row r="40" spans="1:25" x14ac:dyDescent="0.25">
      <c r="A40" s="76">
        <v>3.3080113711003398E+17</v>
      </c>
      <c r="B40" s="84" t="str">
        <f t="shared" si="0"/>
        <v>330801137110034000</v>
      </c>
      <c r="C40" s="3">
        <v>501149</v>
      </c>
      <c r="D40" s="3" t="s">
        <v>10</v>
      </c>
      <c r="E40" s="2" t="s">
        <v>43</v>
      </c>
      <c r="F40" s="4" t="s">
        <v>12</v>
      </c>
      <c r="G40" s="4" t="s">
        <v>13</v>
      </c>
      <c r="H40" s="18" t="s">
        <v>167</v>
      </c>
      <c r="I40" s="18">
        <f>IFERROR(_xlfn.XLOOKUP(C40,[2]Sheet1!$B:$B,[2]Sheet1!$G:$G),0)</f>
        <v>1</v>
      </c>
      <c r="J40" s="18">
        <f>IFERROR(_xlfn.XLOOKUP(C40,[2]Sheet1!$B:$B,[2]Sheet1!$K:$K),0)</f>
        <v>1</v>
      </c>
      <c r="K40" s="18" t="b">
        <f t="shared" si="1"/>
        <v>1</v>
      </c>
      <c r="L40" s="55">
        <v>1680.115616962659</v>
      </c>
      <c r="M40" s="55">
        <f t="shared" si="2"/>
        <v>1135.7779970732643</v>
      </c>
      <c r="N40" s="56">
        <f>IFERROR(_xlfn.XLOOKUP(C40,'[3]ECL CC May 25'!$A:$A,'[3]ECL CC May 25'!$C:$C),0)</f>
        <v>544.33761988939477</v>
      </c>
      <c r="O40" s="56">
        <v>2052.724287266502</v>
      </c>
      <c r="P40" s="56">
        <f>IFERROR(_xlfn.XLOOKUP(C40,[2]Sheet1!$B:$B,[2]Sheet1!$L:$L),0)</f>
        <v>1464.5885034197963</v>
      </c>
      <c r="Q40" s="56">
        <f>IFERROR(_xlfn.XLOOKUP(C40,[2]Sheet1!$B:$B,[2]Sheet1!$M:$M),0)</f>
        <v>588.13578384670552</v>
      </c>
      <c r="R40" s="57">
        <f t="shared" si="3"/>
        <v>-372.60867030384293</v>
      </c>
      <c r="S40" s="57">
        <f t="shared" si="4"/>
        <v>-328.81050634653207</v>
      </c>
      <c r="T40" s="57">
        <f t="shared" si="5"/>
        <v>-43.798163957310749</v>
      </c>
      <c r="X40" s="6"/>
      <c r="Y40" s="6"/>
    </row>
    <row r="41" spans="1:25" x14ac:dyDescent="0.25">
      <c r="A41" s="76">
        <v>3.3080113710703302E+17</v>
      </c>
      <c r="B41" s="84" t="str">
        <f t="shared" si="0"/>
        <v>330801137107033000</v>
      </c>
      <c r="C41" s="3">
        <v>501141</v>
      </c>
      <c r="D41" s="3" t="s">
        <v>10</v>
      </c>
      <c r="E41" s="2" t="s">
        <v>43</v>
      </c>
      <c r="F41" s="4" t="s">
        <v>12</v>
      </c>
      <c r="G41" s="4" t="s">
        <v>13</v>
      </c>
      <c r="H41" s="18" t="s">
        <v>167</v>
      </c>
      <c r="I41" s="18">
        <f>IFERROR(_xlfn.XLOOKUP(C41,[2]Sheet1!$B:$B,[2]Sheet1!$G:$G),0)</f>
        <v>1</v>
      </c>
      <c r="J41" s="18">
        <f>IFERROR(_xlfn.XLOOKUP(C41,[2]Sheet1!$B:$B,[2]Sheet1!$K:$K),0)</f>
        <v>1</v>
      </c>
      <c r="K41" s="18" t="b">
        <f t="shared" si="1"/>
        <v>1</v>
      </c>
      <c r="L41" s="55">
        <v>1327.9570252767601</v>
      </c>
      <c r="M41" s="55">
        <f t="shared" si="2"/>
        <v>1327.9570252767601</v>
      </c>
      <c r="N41" s="56">
        <f>IFERROR(_xlfn.XLOOKUP(C41,'[3]ECL CC May 25'!$A:$A,'[3]ECL CC May 25'!$C:$C),0)</f>
        <v>0</v>
      </c>
      <c r="O41" s="56">
        <v>1355.6301371571042</v>
      </c>
      <c r="P41" s="56">
        <f>IFERROR(_xlfn.XLOOKUP(C41,[2]Sheet1!$B:$B,[2]Sheet1!$L:$L),0)</f>
        <v>1355.6301371571042</v>
      </c>
      <c r="Q41" s="56">
        <f>IFERROR(_xlfn.XLOOKUP(C41,[2]Sheet1!$B:$B,[2]Sheet1!$M:$M),0)</f>
        <v>0</v>
      </c>
      <c r="R41" s="57">
        <f t="shared" si="3"/>
        <v>-27.673111880344095</v>
      </c>
      <c r="S41" s="57">
        <f t="shared" si="4"/>
        <v>-27.673111880344095</v>
      </c>
      <c r="T41" s="57">
        <f t="shared" si="5"/>
        <v>0</v>
      </c>
      <c r="X41" s="6"/>
      <c r="Y41" s="6"/>
    </row>
    <row r="42" spans="1:25" x14ac:dyDescent="0.25">
      <c r="A42" s="76">
        <v>3.3080203610103699E+17</v>
      </c>
      <c r="B42" s="84" t="str">
        <f t="shared" si="0"/>
        <v>330802036101037000</v>
      </c>
      <c r="C42" s="3">
        <v>501190</v>
      </c>
      <c r="D42" s="3" t="s">
        <v>10</v>
      </c>
      <c r="E42" s="2" t="s">
        <v>44</v>
      </c>
      <c r="F42" s="4" t="s">
        <v>31</v>
      </c>
      <c r="G42" s="4" t="s">
        <v>13</v>
      </c>
      <c r="H42" s="18" t="s">
        <v>167</v>
      </c>
      <c r="I42" s="18">
        <f>IFERROR(_xlfn.XLOOKUP(C42,[2]Sheet1!$B:$B,[2]Sheet1!$G:$G),0)</f>
        <v>1</v>
      </c>
      <c r="J42" s="18">
        <f>IFERROR(_xlfn.XLOOKUP(C42,[2]Sheet1!$B:$B,[2]Sheet1!$K:$K),0)</f>
        <v>1</v>
      </c>
      <c r="K42" s="18" t="b">
        <f t="shared" si="1"/>
        <v>1</v>
      </c>
      <c r="L42" s="55">
        <v>586006.18420414394</v>
      </c>
      <c r="M42" s="55">
        <f t="shared" si="2"/>
        <v>576359.16457873315</v>
      </c>
      <c r="N42" s="56">
        <f>IFERROR(_xlfn.XLOOKUP(C42,'[3]ECL CC May 25'!$A:$A,'[3]ECL CC May 25'!$C:$C),0)</f>
        <v>9647.0196254108123</v>
      </c>
      <c r="O42" s="56">
        <v>656452.03444183629</v>
      </c>
      <c r="P42" s="56">
        <f>IFERROR(_xlfn.XLOOKUP(C42,[2]Sheet1!$B:$B,[2]Sheet1!$L:$L),0)</f>
        <v>646761.86672108679</v>
      </c>
      <c r="Q42" s="56">
        <f>IFERROR(_xlfn.XLOOKUP(C42,[2]Sheet1!$B:$B,[2]Sheet1!$M:$M),0)</f>
        <v>9690.1677207495595</v>
      </c>
      <c r="R42" s="57">
        <f t="shared" si="3"/>
        <v>-70445.850237692357</v>
      </c>
      <c r="S42" s="57">
        <f t="shared" si="4"/>
        <v>-70402.702142353635</v>
      </c>
      <c r="T42" s="57">
        <f t="shared" si="5"/>
        <v>-43.148095338747225</v>
      </c>
      <c r="X42" s="6"/>
      <c r="Y42" s="6"/>
    </row>
    <row r="43" spans="1:25" x14ac:dyDescent="0.25">
      <c r="A43" s="76">
        <v>3.3080203612103603E+17</v>
      </c>
      <c r="B43" s="84" t="str">
        <f t="shared" si="0"/>
        <v>330802036121036000</v>
      </c>
      <c r="C43" s="3">
        <v>501171</v>
      </c>
      <c r="D43" s="3" t="s">
        <v>10</v>
      </c>
      <c r="E43" s="2" t="s">
        <v>44</v>
      </c>
      <c r="F43" s="4" t="s">
        <v>31</v>
      </c>
      <c r="G43" s="4" t="s">
        <v>13</v>
      </c>
      <c r="H43" s="18" t="s">
        <v>167</v>
      </c>
      <c r="I43" s="18">
        <f>IFERROR(_xlfn.XLOOKUP(C43,[2]Sheet1!$B:$B,[2]Sheet1!$G:$G),0)</f>
        <v>1</v>
      </c>
      <c r="J43" s="18">
        <f>IFERROR(_xlfn.XLOOKUP(C43,[2]Sheet1!$B:$B,[2]Sheet1!$K:$K),0)</f>
        <v>1</v>
      </c>
      <c r="K43" s="18" t="b">
        <f t="shared" si="1"/>
        <v>1</v>
      </c>
      <c r="L43" s="55">
        <v>354125.07109182561</v>
      </c>
      <c r="M43" s="55">
        <f t="shared" si="2"/>
        <v>354125.07109182561</v>
      </c>
      <c r="N43" s="56">
        <f>IFERROR(_xlfn.XLOOKUP(C43,'[3]ECL CC May 25'!$A:$A,'[3]ECL CC May 25'!$C:$C),0)</f>
        <v>0</v>
      </c>
      <c r="O43" s="56">
        <v>98100.516035546883</v>
      </c>
      <c r="P43" s="56">
        <f>IFERROR(_xlfn.XLOOKUP(C43,[2]Sheet1!$B:$B,[2]Sheet1!$L:$L),0)</f>
        <v>98100.516035546883</v>
      </c>
      <c r="Q43" s="56">
        <f>IFERROR(_xlfn.XLOOKUP(C43,[2]Sheet1!$B:$B,[2]Sheet1!$M:$M),0)</f>
        <v>0</v>
      </c>
      <c r="R43" s="57">
        <f t="shared" si="3"/>
        <v>256024.55505627871</v>
      </c>
      <c r="S43" s="57">
        <f t="shared" si="4"/>
        <v>256024.55505627871</v>
      </c>
      <c r="T43" s="57">
        <f t="shared" si="5"/>
        <v>0</v>
      </c>
      <c r="X43" s="6"/>
      <c r="Y43" s="6"/>
    </row>
    <row r="44" spans="1:25" x14ac:dyDescent="0.25">
      <c r="A44" s="76">
        <v>3.30801137107032E+17</v>
      </c>
      <c r="B44" s="84" t="str">
        <f t="shared" si="0"/>
        <v>330801137107032000</v>
      </c>
      <c r="C44" s="3">
        <v>501130</v>
      </c>
      <c r="D44" s="3" t="s">
        <v>10</v>
      </c>
      <c r="E44" s="2" t="s">
        <v>45</v>
      </c>
      <c r="F44" s="4" t="s">
        <v>12</v>
      </c>
      <c r="G44" s="4" t="s">
        <v>13</v>
      </c>
      <c r="H44" s="18" t="s">
        <v>167</v>
      </c>
      <c r="I44" s="18">
        <f>IFERROR(_xlfn.XLOOKUP(C44,[2]Sheet1!$B:$B,[2]Sheet1!$G:$G),0)</f>
        <v>1</v>
      </c>
      <c r="J44" s="18">
        <f>IFERROR(_xlfn.XLOOKUP(C44,[2]Sheet1!$B:$B,[2]Sheet1!$K:$K),0)</f>
        <v>1</v>
      </c>
      <c r="K44" s="18" t="b">
        <f t="shared" si="1"/>
        <v>1</v>
      </c>
      <c r="L44" s="55">
        <v>964.41393556124171</v>
      </c>
      <c r="M44" s="55">
        <f t="shared" si="2"/>
        <v>954.50959449492018</v>
      </c>
      <c r="N44" s="56">
        <f>IFERROR(_xlfn.XLOOKUP(C44,'[3]ECL CC May 25'!$A:$A,'[3]ECL CC May 25'!$C:$C),0)</f>
        <v>9.9043410663215354</v>
      </c>
      <c r="O44" s="56">
        <v>1013.6550020697707</v>
      </c>
      <c r="P44" s="56">
        <f>IFERROR(_xlfn.XLOOKUP(C44,[2]Sheet1!$B:$B,[2]Sheet1!$L:$L),0)</f>
        <v>999.31560408912424</v>
      </c>
      <c r="Q44" s="56">
        <f>IFERROR(_xlfn.XLOOKUP(C44,[2]Sheet1!$B:$B,[2]Sheet1!$M:$M),0)</f>
        <v>14.339397980646453</v>
      </c>
      <c r="R44" s="57">
        <f t="shared" si="3"/>
        <v>-49.241066508529002</v>
      </c>
      <c r="S44" s="57">
        <f t="shared" si="4"/>
        <v>-44.806009594204056</v>
      </c>
      <c r="T44" s="57">
        <f t="shared" si="5"/>
        <v>-4.4350569143249174</v>
      </c>
      <c r="X44" s="6"/>
      <c r="Y44" s="6"/>
    </row>
    <row r="45" spans="1:25" x14ac:dyDescent="0.25">
      <c r="A45" s="76">
        <v>3.3080213712003302E+17</v>
      </c>
      <c r="B45" s="84" t="str">
        <f t="shared" si="0"/>
        <v>330802137120033000</v>
      </c>
      <c r="C45" s="3">
        <v>501128</v>
      </c>
      <c r="D45" s="3" t="s">
        <v>10</v>
      </c>
      <c r="E45" s="2" t="s">
        <v>46</v>
      </c>
      <c r="F45" s="4" t="s">
        <v>31</v>
      </c>
      <c r="G45" s="4" t="s">
        <v>13</v>
      </c>
      <c r="H45" s="18" t="s">
        <v>167</v>
      </c>
      <c r="I45" s="18">
        <f>IFERROR(_xlfn.XLOOKUP(C45,[2]Sheet1!$B:$B,[2]Sheet1!$G:$G),0)</f>
        <v>1</v>
      </c>
      <c r="J45" s="18">
        <f>IFERROR(_xlfn.XLOOKUP(C45,[2]Sheet1!$B:$B,[2]Sheet1!$K:$K),0)</f>
        <v>1</v>
      </c>
      <c r="K45" s="18" t="b">
        <f t="shared" si="1"/>
        <v>1</v>
      </c>
      <c r="L45" s="55">
        <v>472175.00609659299</v>
      </c>
      <c r="M45" s="55">
        <f t="shared" si="2"/>
        <v>304504.43359704956</v>
      </c>
      <c r="N45" s="56">
        <f>IFERROR(_xlfn.XLOOKUP(C45,'[3]ECL CC May 25'!$A:$A,'[3]ECL CC May 25'!$C:$C),0)</f>
        <v>167670.5724995434</v>
      </c>
      <c r="O45" s="56">
        <v>476537.94046107761</v>
      </c>
      <c r="P45" s="56">
        <f>IFERROR(_xlfn.XLOOKUP(C45,[2]Sheet1!$B:$B,[2]Sheet1!$L:$L),0)</f>
        <v>292670.33931147156</v>
      </c>
      <c r="Q45" s="56">
        <f>IFERROR(_xlfn.XLOOKUP(C45,[2]Sheet1!$B:$B,[2]Sheet1!$M:$M),0)</f>
        <v>183867.60114960602</v>
      </c>
      <c r="R45" s="57">
        <f t="shared" si="3"/>
        <v>-4362.9343644846231</v>
      </c>
      <c r="S45" s="57">
        <f t="shared" si="4"/>
        <v>11834.094285578001</v>
      </c>
      <c r="T45" s="57">
        <f t="shared" si="5"/>
        <v>-16197.028650062624</v>
      </c>
      <c r="X45" s="6"/>
      <c r="Y45" s="6"/>
    </row>
    <row r="46" spans="1:25" x14ac:dyDescent="0.25">
      <c r="A46" s="76">
        <v>3.3080213710703898E+17</v>
      </c>
      <c r="B46" s="84" t="str">
        <f t="shared" si="0"/>
        <v>330802137107039000</v>
      </c>
      <c r="C46" s="3">
        <v>501210</v>
      </c>
      <c r="D46" s="3" t="s">
        <v>10</v>
      </c>
      <c r="E46" s="2" t="s">
        <v>47</v>
      </c>
      <c r="F46" s="4" t="s">
        <v>31</v>
      </c>
      <c r="G46" s="4" t="s">
        <v>13</v>
      </c>
      <c r="H46" s="18" t="s">
        <v>167</v>
      </c>
      <c r="I46" s="18">
        <f>IFERROR(_xlfn.XLOOKUP(C46,[2]Sheet1!$B:$B,[2]Sheet1!$G:$G),0)</f>
        <v>1</v>
      </c>
      <c r="J46" s="18">
        <f>IFERROR(_xlfn.XLOOKUP(C46,[2]Sheet1!$B:$B,[2]Sheet1!$K:$K),0)</f>
        <v>1</v>
      </c>
      <c r="K46" s="18" t="b">
        <f t="shared" si="1"/>
        <v>1</v>
      </c>
      <c r="L46" s="55">
        <v>1413879.92809056</v>
      </c>
      <c r="M46" s="55">
        <f t="shared" si="2"/>
        <v>1413879.92809056</v>
      </c>
      <c r="N46" s="56">
        <f>IFERROR(_xlfn.XLOOKUP(C46,'[3]ECL CC May 25'!$A:$A,'[3]ECL CC May 25'!$C:$C),0)</f>
        <v>0</v>
      </c>
      <c r="O46" s="56">
        <v>1462039.6677783153</v>
      </c>
      <c r="P46" s="56">
        <f>IFERROR(_xlfn.XLOOKUP(C46,[2]Sheet1!$B:$B,[2]Sheet1!$L:$L),0)</f>
        <v>1462039.6677783153</v>
      </c>
      <c r="Q46" s="56">
        <f>IFERROR(_xlfn.XLOOKUP(C46,[2]Sheet1!$B:$B,[2]Sheet1!$M:$M),0)</f>
        <v>0</v>
      </c>
      <c r="R46" s="57">
        <f t="shared" si="3"/>
        <v>-48159.739687755238</v>
      </c>
      <c r="S46" s="57">
        <f t="shared" si="4"/>
        <v>-48159.739687755238</v>
      </c>
      <c r="T46" s="57">
        <f t="shared" si="5"/>
        <v>0</v>
      </c>
      <c r="X46" s="6"/>
      <c r="Y46" s="6"/>
    </row>
    <row r="47" spans="1:25" x14ac:dyDescent="0.25">
      <c r="A47" s="76">
        <v>3.3080113713103699E+17</v>
      </c>
      <c r="B47" s="84" t="str">
        <f t="shared" si="0"/>
        <v>330801137131037000</v>
      </c>
      <c r="C47" s="3">
        <v>501194</v>
      </c>
      <c r="D47" s="3" t="s">
        <v>10</v>
      </c>
      <c r="E47" s="2" t="s">
        <v>48</v>
      </c>
      <c r="F47" s="4" t="s">
        <v>12</v>
      </c>
      <c r="G47" s="4" t="s">
        <v>13</v>
      </c>
      <c r="H47" s="18" t="s">
        <v>167</v>
      </c>
      <c r="I47" s="18">
        <f>IFERROR(_xlfn.XLOOKUP(C47,[2]Sheet1!$B:$B,[2]Sheet1!$G:$G),0)</f>
        <v>1</v>
      </c>
      <c r="J47" s="18">
        <f>IFERROR(_xlfn.XLOOKUP(C47,[2]Sheet1!$B:$B,[2]Sheet1!$K:$K),0)</f>
        <v>1</v>
      </c>
      <c r="K47" s="18" t="b">
        <f t="shared" si="1"/>
        <v>1</v>
      </c>
      <c r="L47" s="55">
        <v>857226.1661422688</v>
      </c>
      <c r="M47" s="55">
        <f t="shared" si="2"/>
        <v>711810.37474372855</v>
      </c>
      <c r="N47" s="56">
        <f>IFERROR(_xlfn.XLOOKUP(C47,'[3]ECL CC May 25'!$A:$A,'[3]ECL CC May 25'!$C:$C),0)</f>
        <v>145415.79139854023</v>
      </c>
      <c r="O47" s="56">
        <v>1003883.685612828</v>
      </c>
      <c r="P47" s="56">
        <f>IFERROR(_xlfn.XLOOKUP(C47,[2]Sheet1!$B:$B,[2]Sheet1!$L:$L),0)</f>
        <v>846877.75387004483</v>
      </c>
      <c r="Q47" s="56">
        <f>IFERROR(_xlfn.XLOOKUP(C47,[2]Sheet1!$B:$B,[2]Sheet1!$M:$M),0)</f>
        <v>157005.93174278323</v>
      </c>
      <c r="R47" s="57">
        <f t="shared" si="3"/>
        <v>-146657.5194705592</v>
      </c>
      <c r="S47" s="57">
        <f t="shared" si="4"/>
        <v>-135067.37912631629</v>
      </c>
      <c r="T47" s="57">
        <f t="shared" si="5"/>
        <v>-11590.140344243002</v>
      </c>
      <c r="X47" s="6"/>
      <c r="Y47" s="6"/>
    </row>
    <row r="48" spans="1:25" x14ac:dyDescent="0.25">
      <c r="A48" s="76">
        <v>3.3080213710703603E+17</v>
      </c>
      <c r="B48" s="84" t="str">
        <f t="shared" si="0"/>
        <v>330802137107036000</v>
      </c>
      <c r="C48" s="3">
        <v>501179</v>
      </c>
      <c r="D48" s="3" t="s">
        <v>10</v>
      </c>
      <c r="E48" s="2" t="s">
        <v>49</v>
      </c>
      <c r="F48" s="4" t="s">
        <v>31</v>
      </c>
      <c r="G48" s="4" t="s">
        <v>22</v>
      </c>
      <c r="H48" s="18" t="s">
        <v>167</v>
      </c>
      <c r="I48" s="18">
        <f>IFERROR(_xlfn.XLOOKUP(C48,[2]Sheet1!$B:$B,[2]Sheet1!$G:$G),0)</f>
        <v>2</v>
      </c>
      <c r="J48" s="18">
        <f>IFERROR(_xlfn.XLOOKUP(C48,[2]Sheet1!$B:$B,[2]Sheet1!$K:$K),0)</f>
        <v>2</v>
      </c>
      <c r="K48" s="18" t="b">
        <f t="shared" si="1"/>
        <v>1</v>
      </c>
      <c r="L48" s="55">
        <v>1042588.129084578</v>
      </c>
      <c r="M48" s="55">
        <f t="shared" si="2"/>
        <v>1042588.129084578</v>
      </c>
      <c r="N48" s="56">
        <f>IFERROR(_xlfn.XLOOKUP(C48,'[3]ECL CC May 25'!$A:$A,'[3]ECL CC May 25'!$C:$C),0)</f>
        <v>0</v>
      </c>
      <c r="O48" s="56">
        <v>1163029.0219685819</v>
      </c>
      <c r="P48" s="56">
        <f>IFERROR(_xlfn.XLOOKUP(C48,[2]Sheet1!$B:$B,[2]Sheet1!$L:$L),0)</f>
        <v>1163029.0219685819</v>
      </c>
      <c r="Q48" s="56">
        <f>IFERROR(_xlfn.XLOOKUP(C48,[2]Sheet1!$B:$B,[2]Sheet1!$M:$M),0)</f>
        <v>0</v>
      </c>
      <c r="R48" s="57">
        <f t="shared" si="3"/>
        <v>-120440.89288400393</v>
      </c>
      <c r="S48" s="57">
        <f t="shared" si="4"/>
        <v>-120440.89288400393</v>
      </c>
      <c r="T48" s="57">
        <f t="shared" si="5"/>
        <v>0</v>
      </c>
      <c r="X48" s="6"/>
      <c r="Y48" s="6"/>
    </row>
    <row r="49" spans="1:25" x14ac:dyDescent="0.25">
      <c r="A49" s="76">
        <v>3.3080213710103603E+17</v>
      </c>
      <c r="B49" s="84" t="str">
        <f t="shared" si="0"/>
        <v>330802137101036000</v>
      </c>
      <c r="C49" s="3">
        <v>501178</v>
      </c>
      <c r="D49" s="3" t="s">
        <v>10</v>
      </c>
      <c r="E49" s="2" t="s">
        <v>49</v>
      </c>
      <c r="F49" s="4" t="s">
        <v>31</v>
      </c>
      <c r="G49" s="4" t="s">
        <v>22</v>
      </c>
      <c r="H49" s="18" t="s">
        <v>167</v>
      </c>
      <c r="I49" s="18">
        <f>IFERROR(_xlfn.XLOOKUP(C49,[2]Sheet1!$B:$B,[2]Sheet1!$G:$G),0)</f>
        <v>2</v>
      </c>
      <c r="J49" s="18">
        <f>IFERROR(_xlfn.XLOOKUP(C49,[2]Sheet1!$B:$B,[2]Sheet1!$K:$K),0)</f>
        <v>2</v>
      </c>
      <c r="K49" s="18" t="b">
        <f t="shared" si="1"/>
        <v>1</v>
      </c>
      <c r="L49" s="55">
        <v>1750587.86030948</v>
      </c>
      <c r="M49" s="55">
        <f t="shared" si="2"/>
        <v>1750587.86030948</v>
      </c>
      <c r="N49" s="56">
        <f>IFERROR(_xlfn.XLOOKUP(C49,'[3]ECL CC May 25'!$A:$A,'[3]ECL CC May 25'!$C:$C),0)</f>
        <v>0</v>
      </c>
      <c r="O49" s="56">
        <v>1857301.7479072427</v>
      </c>
      <c r="P49" s="56">
        <f>IFERROR(_xlfn.XLOOKUP(C49,[2]Sheet1!$B:$B,[2]Sheet1!$L:$L),0)</f>
        <v>1857301.7479072427</v>
      </c>
      <c r="Q49" s="56">
        <f>IFERROR(_xlfn.XLOOKUP(C49,[2]Sheet1!$B:$B,[2]Sheet1!$M:$M),0)</f>
        <v>0</v>
      </c>
      <c r="R49" s="57">
        <f t="shared" si="3"/>
        <v>-106713.88759776275</v>
      </c>
      <c r="S49" s="57">
        <f t="shared" si="4"/>
        <v>-106713.88759776275</v>
      </c>
      <c r="T49" s="57">
        <f t="shared" si="5"/>
        <v>0</v>
      </c>
      <c r="X49" s="6"/>
      <c r="Y49" s="6"/>
    </row>
    <row r="50" spans="1:25" x14ac:dyDescent="0.25">
      <c r="A50" s="76">
        <v>3.3080113710703699E+17</v>
      </c>
      <c r="B50" s="84" t="str">
        <f t="shared" si="0"/>
        <v>330801137107037000</v>
      </c>
      <c r="C50" s="3">
        <v>501192</v>
      </c>
      <c r="D50" s="3" t="s">
        <v>10</v>
      </c>
      <c r="E50" s="2" t="s">
        <v>50</v>
      </c>
      <c r="F50" s="4" t="s">
        <v>12</v>
      </c>
      <c r="G50" s="4" t="s">
        <v>13</v>
      </c>
      <c r="H50" s="18" t="s">
        <v>167</v>
      </c>
      <c r="I50" s="18">
        <f>IFERROR(_xlfn.XLOOKUP(C50,[2]Sheet1!$B:$B,[2]Sheet1!$G:$G),0)</f>
        <v>1</v>
      </c>
      <c r="J50" s="18">
        <f>IFERROR(_xlfn.XLOOKUP(C50,[2]Sheet1!$B:$B,[2]Sheet1!$K:$K),0)</f>
        <v>1</v>
      </c>
      <c r="K50" s="18" t="b">
        <f t="shared" si="1"/>
        <v>1</v>
      </c>
      <c r="L50" s="55">
        <v>243549.30743373459</v>
      </c>
      <c r="M50" s="55">
        <f t="shared" si="2"/>
        <v>238993.63407415312</v>
      </c>
      <c r="N50" s="56">
        <f>IFERROR(_xlfn.XLOOKUP(C50,'[3]ECL CC May 25'!$A:$A,'[3]ECL CC May 25'!$C:$C),0)</f>
        <v>4555.6733595814803</v>
      </c>
      <c r="O50" s="56">
        <v>272144.25235668576</v>
      </c>
      <c r="P50" s="56">
        <f>IFERROR(_xlfn.XLOOKUP(C50,[2]Sheet1!$B:$B,[2]Sheet1!$L:$L),0)</f>
        <v>267657.10847021738</v>
      </c>
      <c r="Q50" s="56">
        <f>IFERROR(_xlfn.XLOOKUP(C50,[2]Sheet1!$B:$B,[2]Sheet1!$M:$M),0)</f>
        <v>4487.1438864683823</v>
      </c>
      <c r="R50" s="57">
        <f t="shared" si="3"/>
        <v>-28594.944922951167</v>
      </c>
      <c r="S50" s="57">
        <f t="shared" si="4"/>
        <v>-28663.474396064266</v>
      </c>
      <c r="T50" s="57">
        <f t="shared" si="5"/>
        <v>68.529473113097993</v>
      </c>
      <c r="X50" s="6"/>
      <c r="Y50" s="6"/>
    </row>
    <row r="51" spans="1:25" x14ac:dyDescent="0.25">
      <c r="A51" s="76">
        <v>3.3080113710703699E+17</v>
      </c>
      <c r="B51" s="84" t="str">
        <f t="shared" si="0"/>
        <v>330801137107037000</v>
      </c>
      <c r="C51" s="3">
        <v>501191</v>
      </c>
      <c r="D51" s="3" t="s">
        <v>10</v>
      </c>
      <c r="E51" s="2" t="s">
        <v>50</v>
      </c>
      <c r="F51" s="4" t="s">
        <v>12</v>
      </c>
      <c r="G51" s="4" t="s">
        <v>13</v>
      </c>
      <c r="H51" s="18" t="s">
        <v>167</v>
      </c>
      <c r="I51" s="18">
        <f>IFERROR(_xlfn.XLOOKUP(C51,[2]Sheet1!$B:$B,[2]Sheet1!$G:$G),0)</f>
        <v>1</v>
      </c>
      <c r="J51" s="18">
        <f>IFERROR(_xlfn.XLOOKUP(C51,[2]Sheet1!$B:$B,[2]Sheet1!$K:$K),0)</f>
        <v>1</v>
      </c>
      <c r="K51" s="18" t="b">
        <f t="shared" si="1"/>
        <v>1</v>
      </c>
      <c r="L51" s="55">
        <v>281759.11848282471</v>
      </c>
      <c r="M51" s="55">
        <f t="shared" si="2"/>
        <v>280541.42690494825</v>
      </c>
      <c r="N51" s="56">
        <f>IFERROR(_xlfn.XLOOKUP(C51,'[3]ECL CC May 25'!$A:$A,'[3]ECL CC May 25'!$C:$C),0)</f>
        <v>1217.6915778764248</v>
      </c>
      <c r="O51" s="56">
        <v>289592.8848109073</v>
      </c>
      <c r="P51" s="56">
        <f>IFERROR(_xlfn.XLOOKUP(C51,[2]Sheet1!$B:$B,[2]Sheet1!$L:$L),0)</f>
        <v>288393.48398599337</v>
      </c>
      <c r="Q51" s="56">
        <f>IFERROR(_xlfn.XLOOKUP(C51,[2]Sheet1!$B:$B,[2]Sheet1!$M:$M),0)</f>
        <v>1199.4008249139354</v>
      </c>
      <c r="R51" s="57">
        <f t="shared" si="3"/>
        <v>-7833.7663280825946</v>
      </c>
      <c r="S51" s="57">
        <f t="shared" si="4"/>
        <v>-7852.0570810451172</v>
      </c>
      <c r="T51" s="57">
        <f t="shared" si="5"/>
        <v>18.290752962489478</v>
      </c>
      <c r="X51" s="6"/>
      <c r="Y51" s="6"/>
    </row>
    <row r="52" spans="1:25" x14ac:dyDescent="0.25">
      <c r="A52" s="76">
        <v>3.3080113712103699E+17</v>
      </c>
      <c r="B52" s="84" t="str">
        <f t="shared" si="0"/>
        <v>330801137121037000</v>
      </c>
      <c r="C52" s="3">
        <v>501200</v>
      </c>
      <c r="D52" s="3" t="s">
        <v>10</v>
      </c>
      <c r="E52" s="2" t="s">
        <v>50</v>
      </c>
      <c r="F52" s="4" t="s">
        <v>12</v>
      </c>
      <c r="G52" s="4" t="s">
        <v>13</v>
      </c>
      <c r="H52" s="18" t="s">
        <v>167</v>
      </c>
      <c r="I52" s="18">
        <f>IFERROR(_xlfn.XLOOKUP(C52,[2]Sheet1!$B:$B,[2]Sheet1!$G:$G),0)</f>
        <v>1</v>
      </c>
      <c r="J52" s="18">
        <f>IFERROR(_xlfn.XLOOKUP(C52,[2]Sheet1!$B:$B,[2]Sheet1!$K:$K),0)</f>
        <v>1</v>
      </c>
      <c r="K52" s="18" t="b">
        <f t="shared" si="1"/>
        <v>1</v>
      </c>
      <c r="L52" s="55">
        <v>18846.862838454919</v>
      </c>
      <c r="M52" s="55">
        <f t="shared" si="2"/>
        <v>18846.862838454919</v>
      </c>
      <c r="N52" s="56">
        <f>IFERROR(_xlfn.XLOOKUP(C52,'[3]ECL CC May 25'!$A:$A,'[3]ECL CC May 25'!$C:$C),0)</f>
        <v>0</v>
      </c>
      <c r="O52" s="56">
        <v>19509.944699029111</v>
      </c>
      <c r="P52" s="56">
        <f>IFERROR(_xlfn.XLOOKUP(C52,[2]Sheet1!$B:$B,[2]Sheet1!$L:$L),0)</f>
        <v>19509.944699029111</v>
      </c>
      <c r="Q52" s="56">
        <f>IFERROR(_xlfn.XLOOKUP(C52,[2]Sheet1!$B:$B,[2]Sheet1!$M:$M),0)</f>
        <v>0</v>
      </c>
      <c r="R52" s="57">
        <f t="shared" si="3"/>
        <v>-663.08186057419152</v>
      </c>
      <c r="S52" s="57">
        <f t="shared" si="4"/>
        <v>-663.08186057419152</v>
      </c>
      <c r="T52" s="57">
        <f t="shared" si="5"/>
        <v>0</v>
      </c>
      <c r="X52" s="6"/>
      <c r="Y52" s="6"/>
    </row>
    <row r="53" spans="1:25" x14ac:dyDescent="0.25">
      <c r="A53" s="76">
        <v>3.3080113711003302E+17</v>
      </c>
      <c r="B53" s="84" t="str">
        <f t="shared" si="0"/>
        <v>330801137110033000</v>
      </c>
      <c r="C53" s="3">
        <v>501140</v>
      </c>
      <c r="D53" s="3" t="s">
        <v>10</v>
      </c>
      <c r="E53" s="2" t="s">
        <v>51</v>
      </c>
      <c r="F53" s="4" t="s">
        <v>12</v>
      </c>
      <c r="G53" s="4" t="s">
        <v>13</v>
      </c>
      <c r="H53" s="18" t="s">
        <v>167</v>
      </c>
      <c r="I53" s="18">
        <f>IFERROR(_xlfn.XLOOKUP(C53,[2]Sheet1!$B:$B,[2]Sheet1!$G:$G),0)</f>
        <v>1</v>
      </c>
      <c r="J53" s="18">
        <f>IFERROR(_xlfn.XLOOKUP(C53,[2]Sheet1!$B:$B,[2]Sheet1!$K:$K),0)</f>
        <v>1</v>
      </c>
      <c r="K53" s="18" t="b">
        <f t="shared" si="1"/>
        <v>1</v>
      </c>
      <c r="L53" s="55">
        <v>1119.560428444609</v>
      </c>
      <c r="M53" s="55">
        <f t="shared" si="2"/>
        <v>1118.293463462312</v>
      </c>
      <c r="N53" s="56">
        <f>IFERROR(_xlfn.XLOOKUP(C53,'[3]ECL CC May 25'!$A:$A,'[3]ECL CC May 25'!$C:$C),0)</f>
        <v>1.2669649822970335</v>
      </c>
      <c r="O53" s="56">
        <v>2585.5636836987064</v>
      </c>
      <c r="P53" s="56">
        <f>IFERROR(_xlfn.XLOOKUP(C53,[2]Sheet1!$B:$B,[2]Sheet1!$L:$L),0)</f>
        <v>2584.194417516705</v>
      </c>
      <c r="Q53" s="56">
        <f>IFERROR(_xlfn.XLOOKUP(C53,[2]Sheet1!$B:$B,[2]Sheet1!$M:$M),0)</f>
        <v>1.3692661820015182</v>
      </c>
      <c r="R53" s="57">
        <f t="shared" si="3"/>
        <v>-1466.0032552540974</v>
      </c>
      <c r="S53" s="57">
        <f t="shared" si="4"/>
        <v>-1465.900954054393</v>
      </c>
      <c r="T53" s="57">
        <f t="shared" si="5"/>
        <v>-0.1023011997044847</v>
      </c>
      <c r="X53" s="6"/>
      <c r="Y53" s="6"/>
    </row>
    <row r="54" spans="1:25" x14ac:dyDescent="0.25">
      <c r="A54" s="76">
        <v>3.3080113711003699E+17</v>
      </c>
      <c r="B54" s="84" t="str">
        <f t="shared" si="0"/>
        <v>330801137110037000</v>
      </c>
      <c r="C54" s="3">
        <v>501195</v>
      </c>
      <c r="D54" s="3" t="s">
        <v>10</v>
      </c>
      <c r="E54" s="2" t="s">
        <v>51</v>
      </c>
      <c r="F54" s="4" t="s">
        <v>12</v>
      </c>
      <c r="G54" s="4" t="s">
        <v>13</v>
      </c>
      <c r="H54" s="18" t="s">
        <v>167</v>
      </c>
      <c r="I54" s="18">
        <f>IFERROR(_xlfn.XLOOKUP(C54,[2]Sheet1!$B:$B,[2]Sheet1!$G:$G),0)</f>
        <v>1</v>
      </c>
      <c r="J54" s="18">
        <f>IFERROR(_xlfn.XLOOKUP(C54,[2]Sheet1!$B:$B,[2]Sheet1!$K:$K),0)</f>
        <v>1</v>
      </c>
      <c r="K54" s="18" t="b">
        <f t="shared" si="1"/>
        <v>1</v>
      </c>
      <c r="L54" s="55">
        <v>6052.9808538794859</v>
      </c>
      <c r="M54" s="55">
        <f t="shared" si="2"/>
        <v>6052.6721540118278</v>
      </c>
      <c r="N54" s="56">
        <f>IFERROR(_xlfn.XLOOKUP(C54,'[3]ECL CC May 25'!$A:$A,'[3]ECL CC May 25'!$C:$C),0)</f>
        <v>0.30869986765854512</v>
      </c>
      <c r="O54" s="56">
        <v>6023.1602946913836</v>
      </c>
      <c r="P54" s="56">
        <f>IFERROR(_xlfn.XLOOKUP(C54,[2]Sheet1!$B:$B,[2]Sheet1!$L:$L),0)</f>
        <v>6022.8266705820224</v>
      </c>
      <c r="Q54" s="56">
        <f>IFERROR(_xlfn.XLOOKUP(C54,[2]Sheet1!$B:$B,[2]Sheet1!$M:$M),0)</f>
        <v>0.33362410936115322</v>
      </c>
      <c r="R54" s="57">
        <f t="shared" si="3"/>
        <v>29.820559188102379</v>
      </c>
      <c r="S54" s="57">
        <f t="shared" si="4"/>
        <v>29.845483429805427</v>
      </c>
      <c r="T54" s="57">
        <f t="shared" si="5"/>
        <v>-2.4924241702608096E-2</v>
      </c>
      <c r="X54" s="6"/>
      <c r="Y54" s="6"/>
    </row>
    <row r="55" spans="1:25" x14ac:dyDescent="0.25">
      <c r="A55" s="76">
        <v>3.3080113710702701E+17</v>
      </c>
      <c r="B55" s="84" t="str">
        <f t="shared" si="0"/>
        <v>330801137107027000</v>
      </c>
      <c r="C55" s="3">
        <v>501050</v>
      </c>
      <c r="D55" s="3" t="s">
        <v>10</v>
      </c>
      <c r="E55" s="2" t="s">
        <v>52</v>
      </c>
      <c r="F55" s="4" t="s">
        <v>12</v>
      </c>
      <c r="G55" s="4" t="s">
        <v>22</v>
      </c>
      <c r="H55" s="18" t="s">
        <v>167</v>
      </c>
      <c r="I55" s="18">
        <f>IFERROR(_xlfn.XLOOKUP(C55,[2]Sheet1!$B:$B,[2]Sheet1!$G:$G),0)</f>
        <v>2</v>
      </c>
      <c r="J55" s="18">
        <f>IFERROR(_xlfn.XLOOKUP(C55,[2]Sheet1!$B:$B,[2]Sheet1!$K:$K),0)</f>
        <v>2</v>
      </c>
      <c r="K55" s="18" t="b">
        <f t="shared" si="1"/>
        <v>1</v>
      </c>
      <c r="L55" s="55">
        <v>10726960.29088022</v>
      </c>
      <c r="M55" s="55">
        <f t="shared" si="2"/>
        <v>10726960.29088022</v>
      </c>
      <c r="N55" s="56">
        <f>IFERROR(_xlfn.XLOOKUP(C55,'[3]ECL CC May 25'!$A:$A,'[3]ECL CC May 25'!$C:$C),0)</f>
        <v>0</v>
      </c>
      <c r="O55" s="56">
        <v>10762163.162495974</v>
      </c>
      <c r="P55" s="56">
        <f>IFERROR(_xlfn.XLOOKUP(C55,[2]Sheet1!$B:$B,[2]Sheet1!$L:$L),0)</f>
        <v>10762163.162495974</v>
      </c>
      <c r="Q55" s="56">
        <f>IFERROR(_xlfn.XLOOKUP(C55,[2]Sheet1!$B:$B,[2]Sheet1!$M:$M),0)</f>
        <v>0</v>
      </c>
      <c r="R55" s="57">
        <f t="shared" si="3"/>
        <v>-35202.87161575444</v>
      </c>
      <c r="S55" s="57">
        <f t="shared" si="4"/>
        <v>-35202.87161575444</v>
      </c>
      <c r="T55" s="57">
        <f t="shared" si="5"/>
        <v>0</v>
      </c>
      <c r="X55" s="6"/>
      <c r="Y55" s="6"/>
    </row>
    <row r="56" spans="1:25" x14ac:dyDescent="0.25">
      <c r="A56" s="76">
        <v>3.3080213711003302E+17</v>
      </c>
      <c r="B56" s="84" t="str">
        <f t="shared" si="0"/>
        <v>330802137110033000</v>
      </c>
      <c r="C56" s="3">
        <v>501133</v>
      </c>
      <c r="D56" s="3" t="s">
        <v>10</v>
      </c>
      <c r="E56" s="2" t="s">
        <v>52</v>
      </c>
      <c r="F56" s="4" t="s">
        <v>31</v>
      </c>
      <c r="G56" s="4" t="s">
        <v>22</v>
      </c>
      <c r="H56" s="18" t="s">
        <v>167</v>
      </c>
      <c r="I56" s="18">
        <f>IFERROR(_xlfn.XLOOKUP(C56,[2]Sheet1!$B:$B,[2]Sheet1!$G:$G),0)</f>
        <v>2</v>
      </c>
      <c r="J56" s="18">
        <f>IFERROR(_xlfn.XLOOKUP(C56,[2]Sheet1!$B:$B,[2]Sheet1!$K:$K),0)</f>
        <v>2</v>
      </c>
      <c r="K56" s="18" t="b">
        <f t="shared" si="1"/>
        <v>1</v>
      </c>
      <c r="L56" s="55">
        <v>800222.28353262995</v>
      </c>
      <c r="M56" s="55">
        <f t="shared" si="2"/>
        <v>736971.44917670544</v>
      </c>
      <c r="N56" s="56">
        <f>IFERROR(_xlfn.XLOOKUP(C56,'[3]ECL CC May 25'!$A:$A,'[3]ECL CC May 25'!$C:$C),0)</f>
        <v>63250.834355924453</v>
      </c>
      <c r="O56" s="56">
        <v>589392.6438631888</v>
      </c>
      <c r="P56" s="56">
        <f>IFERROR(_xlfn.XLOOKUP(C56,[2]Sheet1!$B:$B,[2]Sheet1!$L:$L),0)</f>
        <v>520073.61610345298</v>
      </c>
      <c r="Q56" s="56">
        <f>IFERROR(_xlfn.XLOOKUP(C56,[2]Sheet1!$B:$B,[2]Sheet1!$M:$M),0)</f>
        <v>69319.027759735793</v>
      </c>
      <c r="R56" s="57">
        <f t="shared" si="3"/>
        <v>210829.63966944115</v>
      </c>
      <c r="S56" s="57">
        <f t="shared" si="4"/>
        <v>216897.83307325246</v>
      </c>
      <c r="T56" s="57">
        <f t="shared" si="5"/>
        <v>-6068.1934038113395</v>
      </c>
      <c r="X56" s="6"/>
      <c r="Y56" s="6"/>
    </row>
    <row r="57" spans="1:25" x14ac:dyDescent="0.25">
      <c r="A57" s="76">
        <v>3.3080423020200902E+17</v>
      </c>
      <c r="B57" s="84" t="str">
        <f t="shared" si="0"/>
        <v>330804230202009000</v>
      </c>
      <c r="C57" s="3">
        <v>500749</v>
      </c>
      <c r="D57" s="3" t="s">
        <v>32</v>
      </c>
      <c r="E57" s="2" t="s">
        <v>53</v>
      </c>
      <c r="F57" s="4" t="s">
        <v>54</v>
      </c>
      <c r="G57" s="4" t="s">
        <v>13</v>
      </c>
      <c r="H57" s="18" t="s">
        <v>167</v>
      </c>
      <c r="I57" s="18">
        <f>IFERROR(_xlfn.XLOOKUP(C57,[2]Sheet1!$B:$B,[2]Sheet1!$G:$G),0)</f>
        <v>1</v>
      </c>
      <c r="J57" s="18">
        <f>IFERROR(_xlfn.XLOOKUP(C57,[2]Sheet1!$B:$B,[2]Sheet1!$K:$K),0)</f>
        <v>1</v>
      </c>
      <c r="K57" s="18" t="b">
        <f t="shared" si="1"/>
        <v>1</v>
      </c>
      <c r="L57" s="55">
        <v>3164532.7816991722</v>
      </c>
      <c r="M57" s="55">
        <f t="shared" si="2"/>
        <v>3164532.7816991722</v>
      </c>
      <c r="N57" s="56">
        <f>IFERROR(_xlfn.XLOOKUP(C57,'[3]ECL CC May 25'!$A:$A,'[3]ECL CC May 25'!$C:$C),0)</f>
        <v>0</v>
      </c>
      <c r="O57" s="56">
        <v>3629126.2892160048</v>
      </c>
      <c r="P57" s="56">
        <f>IFERROR(_xlfn.XLOOKUP(C57,[2]Sheet1!$B:$B,[2]Sheet1!$L:$L),0)</f>
        <v>3629126.2892160048</v>
      </c>
      <c r="Q57" s="56">
        <f>IFERROR(_xlfn.XLOOKUP(C57,[2]Sheet1!$B:$B,[2]Sheet1!$M:$M),0)</f>
        <v>0</v>
      </c>
      <c r="R57" s="57">
        <f t="shared" si="3"/>
        <v>-464593.50751683256</v>
      </c>
      <c r="S57" s="57">
        <f t="shared" si="4"/>
        <v>-464593.50751683256</v>
      </c>
      <c r="T57" s="57">
        <f t="shared" si="5"/>
        <v>0</v>
      </c>
      <c r="X57" s="6"/>
      <c r="Y57" s="6"/>
    </row>
    <row r="58" spans="1:25" x14ac:dyDescent="0.25">
      <c r="A58" s="76">
        <v>3.3080113711003898E+17</v>
      </c>
      <c r="B58" s="84" t="str">
        <f t="shared" si="0"/>
        <v>330801137110039000</v>
      </c>
      <c r="C58" s="3">
        <v>501213</v>
      </c>
      <c r="D58" s="3" t="s">
        <v>10</v>
      </c>
      <c r="E58" s="2" t="s">
        <v>55</v>
      </c>
      <c r="F58" s="4" t="s">
        <v>12</v>
      </c>
      <c r="G58" s="4" t="s">
        <v>13</v>
      </c>
      <c r="H58" s="18" t="s">
        <v>167</v>
      </c>
      <c r="I58" s="18">
        <f>IFERROR(_xlfn.XLOOKUP(C58,[2]Sheet1!$B:$B,[2]Sheet1!$G:$G),0)</f>
        <v>1</v>
      </c>
      <c r="J58" s="18">
        <f>IFERROR(_xlfn.XLOOKUP(C58,[2]Sheet1!$B:$B,[2]Sheet1!$K:$K),0)</f>
        <v>1</v>
      </c>
      <c r="K58" s="18" t="b">
        <f t="shared" si="1"/>
        <v>1</v>
      </c>
      <c r="L58" s="55">
        <v>292739.66494420683</v>
      </c>
      <c r="M58" s="55">
        <f t="shared" si="2"/>
        <v>192048.7730410645</v>
      </c>
      <c r="N58" s="56">
        <f>IFERROR(_xlfn.XLOOKUP(C58,'[3]ECL CC May 25'!$A:$A,'[3]ECL CC May 25'!$C:$C),0)</f>
        <v>100690.89190314231</v>
      </c>
      <c r="O58" s="56">
        <v>291678.579568366</v>
      </c>
      <c r="P58" s="56">
        <f>IFERROR(_xlfn.XLOOKUP(C58,[2]Sheet1!$B:$B,[2]Sheet1!$L:$L),0)</f>
        <v>182954.41588211292</v>
      </c>
      <c r="Q58" s="56">
        <f>IFERROR(_xlfn.XLOOKUP(C58,[2]Sheet1!$B:$B,[2]Sheet1!$M:$M),0)</f>
        <v>108724.16368625307</v>
      </c>
      <c r="R58" s="57">
        <f t="shared" si="3"/>
        <v>1061.0853758408339</v>
      </c>
      <c r="S58" s="57">
        <f t="shared" si="4"/>
        <v>9094.3571589515777</v>
      </c>
      <c r="T58" s="57">
        <f t="shared" si="5"/>
        <v>-8033.2717831107584</v>
      </c>
      <c r="X58" s="6"/>
      <c r="Y58" s="6"/>
    </row>
    <row r="59" spans="1:25" x14ac:dyDescent="0.25">
      <c r="A59" s="76">
        <v>3.3080501310702899E+17</v>
      </c>
      <c r="B59" s="84" t="str">
        <f t="shared" si="0"/>
        <v>330805013107029000</v>
      </c>
      <c r="C59" s="3">
        <v>501099</v>
      </c>
      <c r="D59" s="3" t="s">
        <v>10</v>
      </c>
      <c r="E59" s="2" t="s">
        <v>56</v>
      </c>
      <c r="F59" s="4" t="s">
        <v>57</v>
      </c>
      <c r="G59" s="4" t="s">
        <v>22</v>
      </c>
      <c r="H59" s="18" t="s">
        <v>167</v>
      </c>
      <c r="I59" s="18">
        <f>IFERROR(_xlfn.XLOOKUP(C59,[2]Sheet1!$B:$B,[2]Sheet1!$G:$G),0)</f>
        <v>2</v>
      </c>
      <c r="J59" s="18">
        <f>IFERROR(_xlfn.XLOOKUP(C59,[2]Sheet1!$B:$B,[2]Sheet1!$K:$K),0)</f>
        <v>2</v>
      </c>
      <c r="K59" s="18" t="b">
        <f t="shared" si="1"/>
        <v>1</v>
      </c>
      <c r="L59" s="55">
        <v>1789.8184702636449</v>
      </c>
      <c r="M59" s="55">
        <f t="shared" si="2"/>
        <v>1772.7005536332454</v>
      </c>
      <c r="N59" s="56">
        <f>IFERROR(_xlfn.XLOOKUP(C59,'[3]ECL CC May 25'!$A:$A,'[3]ECL CC May 25'!$C:$C),0)</f>
        <v>17.117916630399474</v>
      </c>
      <c r="O59" s="56">
        <v>2056.4941440876787</v>
      </c>
      <c r="P59" s="56">
        <f>IFERROR(_xlfn.XLOOKUP(C59,[2]Sheet1!$B:$B,[2]Sheet1!$L:$L),0)</f>
        <v>2042.2172198240301</v>
      </c>
      <c r="Q59" s="56">
        <f>IFERROR(_xlfn.XLOOKUP(C59,[2]Sheet1!$B:$B,[2]Sheet1!$M:$M),0)</f>
        <v>14.27692426364875</v>
      </c>
      <c r="R59" s="57">
        <f t="shared" si="3"/>
        <v>-266.67567382403377</v>
      </c>
      <c r="S59" s="57">
        <f t="shared" si="4"/>
        <v>-269.51666619078469</v>
      </c>
      <c r="T59" s="57">
        <f t="shared" si="5"/>
        <v>2.840992366750724</v>
      </c>
      <c r="X59" s="6"/>
      <c r="Y59" s="6"/>
    </row>
    <row r="60" spans="1:25" x14ac:dyDescent="0.25">
      <c r="A60" s="76">
        <v>3.3080113710702701E+17</v>
      </c>
      <c r="B60" s="84" t="str">
        <f t="shared" si="0"/>
        <v>330801137107027000</v>
      </c>
      <c r="C60" s="3">
        <v>501060</v>
      </c>
      <c r="D60" s="3" t="s">
        <v>10</v>
      </c>
      <c r="E60" s="2" t="s">
        <v>58</v>
      </c>
      <c r="F60" s="4" t="s">
        <v>12</v>
      </c>
      <c r="G60" s="4" t="s">
        <v>22</v>
      </c>
      <c r="H60" s="18" t="s">
        <v>167</v>
      </c>
      <c r="I60" s="18">
        <f>IFERROR(_xlfn.XLOOKUP(C60,[2]Sheet1!$B:$B,[2]Sheet1!$G:$G),0)</f>
        <v>2</v>
      </c>
      <c r="J60" s="18">
        <f>IFERROR(_xlfn.XLOOKUP(C60,[2]Sheet1!$B:$B,[2]Sheet1!$K:$K),0)</f>
        <v>2</v>
      </c>
      <c r="K60" s="18" t="b">
        <f t="shared" si="1"/>
        <v>1</v>
      </c>
      <c r="L60" s="55">
        <v>172811.04879481031</v>
      </c>
      <c r="M60" s="55">
        <f t="shared" si="2"/>
        <v>172811.04879481031</v>
      </c>
      <c r="N60" s="56">
        <f>IFERROR(_xlfn.XLOOKUP(C60,'[3]ECL CC May 25'!$A:$A,'[3]ECL CC May 25'!$C:$C),0)</f>
        <v>0</v>
      </c>
      <c r="O60" s="56">
        <v>175701.67842258379</v>
      </c>
      <c r="P60" s="56">
        <f>IFERROR(_xlfn.XLOOKUP(C60,[2]Sheet1!$B:$B,[2]Sheet1!$L:$L),0)</f>
        <v>175701.67842258379</v>
      </c>
      <c r="Q60" s="56">
        <f>IFERROR(_xlfn.XLOOKUP(C60,[2]Sheet1!$B:$B,[2]Sheet1!$M:$M),0)</f>
        <v>0</v>
      </c>
      <c r="R60" s="57">
        <f t="shared" si="3"/>
        <v>-2890.62962777348</v>
      </c>
      <c r="S60" s="57">
        <f t="shared" si="4"/>
        <v>-2890.62962777348</v>
      </c>
      <c r="T60" s="57">
        <f t="shared" si="5"/>
        <v>0</v>
      </c>
      <c r="X60" s="6"/>
      <c r="Y60" s="6"/>
    </row>
    <row r="61" spans="1:25" x14ac:dyDescent="0.25">
      <c r="A61" s="76">
        <v>3.3080113710702701E+17</v>
      </c>
      <c r="B61" s="84" t="str">
        <f t="shared" si="0"/>
        <v>330801137107027000</v>
      </c>
      <c r="C61" s="3">
        <v>501061</v>
      </c>
      <c r="D61" s="3" t="s">
        <v>10</v>
      </c>
      <c r="E61" s="2" t="s">
        <v>58</v>
      </c>
      <c r="F61" s="4" t="s">
        <v>12</v>
      </c>
      <c r="G61" s="4" t="s">
        <v>22</v>
      </c>
      <c r="H61" s="18" t="s">
        <v>167</v>
      </c>
      <c r="I61" s="18">
        <f>IFERROR(_xlfn.XLOOKUP(C61,[2]Sheet1!$B:$B,[2]Sheet1!$G:$G),0)</f>
        <v>2</v>
      </c>
      <c r="J61" s="18">
        <f>IFERROR(_xlfn.XLOOKUP(C61,[2]Sheet1!$B:$B,[2]Sheet1!$K:$K),0)</f>
        <v>2</v>
      </c>
      <c r="K61" s="18" t="b">
        <f t="shared" si="1"/>
        <v>1</v>
      </c>
      <c r="L61" s="55">
        <v>77715.605978189211</v>
      </c>
      <c r="M61" s="55">
        <f t="shared" si="2"/>
        <v>77715.605978189211</v>
      </c>
      <c r="N61" s="56">
        <f>IFERROR(_xlfn.XLOOKUP(C61,'[3]ECL CC May 25'!$A:$A,'[3]ECL CC May 25'!$C:$C),0)</f>
        <v>0</v>
      </c>
      <c r="O61" s="56">
        <v>79248.875880249136</v>
      </c>
      <c r="P61" s="56">
        <f>IFERROR(_xlfn.XLOOKUP(C61,[2]Sheet1!$B:$B,[2]Sheet1!$L:$L),0)</f>
        <v>79248.875880249136</v>
      </c>
      <c r="Q61" s="56">
        <f>IFERROR(_xlfn.XLOOKUP(C61,[2]Sheet1!$B:$B,[2]Sheet1!$M:$M),0)</f>
        <v>0</v>
      </c>
      <c r="R61" s="57">
        <f t="shared" si="3"/>
        <v>-1533.2699020599248</v>
      </c>
      <c r="S61" s="57">
        <f t="shared" si="4"/>
        <v>-1533.2699020599248</v>
      </c>
      <c r="T61" s="57">
        <f t="shared" si="5"/>
        <v>0</v>
      </c>
      <c r="X61" s="6"/>
      <c r="Y61" s="6"/>
    </row>
    <row r="62" spans="1:25" x14ac:dyDescent="0.25">
      <c r="A62" s="76">
        <v>3.3080113710702502E+17</v>
      </c>
      <c r="B62" s="84" t="str">
        <f t="shared" si="0"/>
        <v>330801137107025000</v>
      </c>
      <c r="C62" s="3">
        <v>501027</v>
      </c>
      <c r="D62" s="3" t="s">
        <v>10</v>
      </c>
      <c r="E62" s="2" t="s">
        <v>58</v>
      </c>
      <c r="F62" s="4" t="s">
        <v>12</v>
      </c>
      <c r="G62" s="4" t="s">
        <v>22</v>
      </c>
      <c r="H62" s="18" t="s">
        <v>167</v>
      </c>
      <c r="I62" s="18">
        <f>IFERROR(_xlfn.XLOOKUP(C62,[2]Sheet1!$B:$B,[2]Sheet1!$G:$G),0)</f>
        <v>2</v>
      </c>
      <c r="J62" s="18">
        <f>IFERROR(_xlfn.XLOOKUP(C62,[2]Sheet1!$B:$B,[2]Sheet1!$K:$K),0)</f>
        <v>2</v>
      </c>
      <c r="K62" s="18" t="b">
        <f t="shared" si="1"/>
        <v>1</v>
      </c>
      <c r="L62" s="55">
        <v>1256.862760829137</v>
      </c>
      <c r="M62" s="55">
        <f t="shared" si="2"/>
        <v>1256.862760829137</v>
      </c>
      <c r="N62" s="56">
        <f>IFERROR(_xlfn.XLOOKUP(C62,'[3]ECL CC May 25'!$A:$A,'[3]ECL CC May 25'!$C:$C),0)</f>
        <v>0</v>
      </c>
      <c r="O62" s="56">
        <v>1514.9197280028645</v>
      </c>
      <c r="P62" s="56">
        <f>IFERROR(_xlfn.XLOOKUP(C62,[2]Sheet1!$B:$B,[2]Sheet1!$L:$L),0)</f>
        <v>1514.9197280028645</v>
      </c>
      <c r="Q62" s="56">
        <f>IFERROR(_xlfn.XLOOKUP(C62,[2]Sheet1!$B:$B,[2]Sheet1!$M:$M),0)</f>
        <v>0</v>
      </c>
      <c r="R62" s="57">
        <f t="shared" si="3"/>
        <v>-258.05696717372757</v>
      </c>
      <c r="S62" s="57">
        <f t="shared" si="4"/>
        <v>-258.05696717372757</v>
      </c>
      <c r="T62" s="57">
        <f t="shared" si="5"/>
        <v>0</v>
      </c>
      <c r="X62" s="6"/>
      <c r="Y62" s="6"/>
    </row>
    <row r="63" spans="1:25" x14ac:dyDescent="0.25">
      <c r="A63" s="76">
        <v>3.3080113710703302E+17</v>
      </c>
      <c r="B63" s="84" t="str">
        <f t="shared" si="0"/>
        <v>330801137107033000</v>
      </c>
      <c r="C63" s="3">
        <v>501146</v>
      </c>
      <c r="D63" s="3" t="s">
        <v>10</v>
      </c>
      <c r="E63" s="2" t="s">
        <v>59</v>
      </c>
      <c r="F63" s="4" t="s">
        <v>12</v>
      </c>
      <c r="G63" s="4" t="s">
        <v>13</v>
      </c>
      <c r="H63" s="18" t="s">
        <v>167</v>
      </c>
      <c r="I63" s="18">
        <f>IFERROR(_xlfn.XLOOKUP(C63,[2]Sheet1!$B:$B,[2]Sheet1!$G:$G),0)</f>
        <v>1</v>
      </c>
      <c r="J63" s="18">
        <f>IFERROR(_xlfn.XLOOKUP(C63,[2]Sheet1!$B:$B,[2]Sheet1!$K:$K),0)</f>
        <v>1</v>
      </c>
      <c r="K63" s="18" t="b">
        <f t="shared" si="1"/>
        <v>1</v>
      </c>
      <c r="L63" s="55">
        <v>9410745.7752621565</v>
      </c>
      <c r="M63" s="55">
        <f t="shared" si="2"/>
        <v>9410745.7752621565</v>
      </c>
      <c r="N63" s="56">
        <f>IFERROR(_xlfn.XLOOKUP(C63,'[3]ECL CC May 25'!$A:$A,'[3]ECL CC May 25'!$C:$C),0)</f>
        <v>0</v>
      </c>
      <c r="O63" s="56">
        <v>9418322.5800101813</v>
      </c>
      <c r="P63" s="56">
        <f>IFERROR(_xlfn.XLOOKUP(C63,[2]Sheet1!$B:$B,[2]Sheet1!$L:$L),0)</f>
        <v>9418322.5800101813</v>
      </c>
      <c r="Q63" s="56">
        <f>IFERROR(_xlfn.XLOOKUP(C63,[2]Sheet1!$B:$B,[2]Sheet1!$M:$M),0)</f>
        <v>0</v>
      </c>
      <c r="R63" s="57">
        <f t="shared" si="3"/>
        <v>-7576.8047480247915</v>
      </c>
      <c r="S63" s="57">
        <f t="shared" si="4"/>
        <v>-7576.8047480247915</v>
      </c>
      <c r="T63" s="57">
        <f t="shared" si="5"/>
        <v>0</v>
      </c>
      <c r="X63" s="6"/>
      <c r="Y63" s="6"/>
    </row>
    <row r="64" spans="1:25" x14ac:dyDescent="0.25">
      <c r="A64" s="76">
        <v>3.3080113711003398E+17</v>
      </c>
      <c r="B64" s="84" t="str">
        <f t="shared" si="0"/>
        <v>330801137110034000</v>
      </c>
      <c r="C64" s="3">
        <v>501145</v>
      </c>
      <c r="D64" s="3" t="s">
        <v>10</v>
      </c>
      <c r="E64" s="2" t="s">
        <v>60</v>
      </c>
      <c r="F64" s="4" t="s">
        <v>12</v>
      </c>
      <c r="G64" s="4" t="s">
        <v>13</v>
      </c>
      <c r="H64" s="18" t="s">
        <v>167</v>
      </c>
      <c r="I64" s="18">
        <f>IFERROR(_xlfn.XLOOKUP(C64,[2]Sheet1!$B:$B,[2]Sheet1!$G:$G),0)</f>
        <v>1</v>
      </c>
      <c r="J64" s="18">
        <f>IFERROR(_xlfn.XLOOKUP(C64,[2]Sheet1!$B:$B,[2]Sheet1!$K:$K),0)</f>
        <v>1</v>
      </c>
      <c r="K64" s="18" t="b">
        <f t="shared" si="1"/>
        <v>1</v>
      </c>
      <c r="L64" s="55">
        <v>100938.1644025104</v>
      </c>
      <c r="M64" s="55">
        <f t="shared" si="2"/>
        <v>75831.058932215587</v>
      </c>
      <c r="N64" s="56">
        <f>IFERROR(_xlfn.XLOOKUP(C64,'[3]ECL CC May 25'!$A:$A,'[3]ECL CC May 25'!$C:$C),0)</f>
        <v>25107.105470294817</v>
      </c>
      <c r="O64" s="56">
        <v>168083.65876070524</v>
      </c>
      <c r="P64" s="56">
        <f>IFERROR(_xlfn.XLOOKUP(C64,[2]Sheet1!$B:$B,[2]Sheet1!$L:$L),0)</f>
        <v>140956.82664236333</v>
      </c>
      <c r="Q64" s="56">
        <f>IFERROR(_xlfn.XLOOKUP(C64,[2]Sheet1!$B:$B,[2]Sheet1!$M:$M),0)</f>
        <v>27126.832118341903</v>
      </c>
      <c r="R64" s="57">
        <f t="shared" si="3"/>
        <v>-67145.494358194832</v>
      </c>
      <c r="S64" s="57">
        <f t="shared" si="4"/>
        <v>-65125.767710147746</v>
      </c>
      <c r="T64" s="57">
        <f t="shared" si="5"/>
        <v>-2019.7266480470862</v>
      </c>
      <c r="X64" s="6"/>
      <c r="Y64" s="6"/>
    </row>
    <row r="65" spans="1:25" x14ac:dyDescent="0.25">
      <c r="A65" s="76">
        <v>3.3080113710703398E+17</v>
      </c>
      <c r="B65" s="84" t="str">
        <f t="shared" si="0"/>
        <v>330801137107034000</v>
      </c>
      <c r="C65" s="3">
        <v>501150</v>
      </c>
      <c r="D65" s="3" t="s">
        <v>10</v>
      </c>
      <c r="E65" s="2" t="s">
        <v>61</v>
      </c>
      <c r="F65" s="4" t="s">
        <v>12</v>
      </c>
      <c r="G65" s="4" t="s">
        <v>22</v>
      </c>
      <c r="H65" s="18" t="s">
        <v>167</v>
      </c>
      <c r="I65" s="18">
        <f>IFERROR(_xlfn.XLOOKUP(C65,[2]Sheet1!$B:$B,[2]Sheet1!$G:$G),0)</f>
        <v>2</v>
      </c>
      <c r="J65" s="18">
        <f>IFERROR(_xlfn.XLOOKUP(C65,[2]Sheet1!$B:$B,[2]Sheet1!$K:$K),0)</f>
        <v>2</v>
      </c>
      <c r="K65" s="18" t="b">
        <f t="shared" si="1"/>
        <v>1</v>
      </c>
      <c r="L65" s="55">
        <v>1062.6907690777909</v>
      </c>
      <c r="M65" s="55">
        <f t="shared" si="2"/>
        <v>1062.6907690777909</v>
      </c>
      <c r="N65" s="56">
        <f>IFERROR(_xlfn.XLOOKUP(C65,'[3]ECL CC May 25'!$A:$A,'[3]ECL CC May 25'!$C:$C),0)</f>
        <v>0</v>
      </c>
      <c r="O65" s="56">
        <v>1699.7256049076423</v>
      </c>
      <c r="P65" s="56">
        <f>IFERROR(_xlfn.XLOOKUP(C65,[2]Sheet1!$B:$B,[2]Sheet1!$L:$L),0)</f>
        <v>1699.7256049076423</v>
      </c>
      <c r="Q65" s="56">
        <f>IFERROR(_xlfn.XLOOKUP(C65,[2]Sheet1!$B:$B,[2]Sheet1!$M:$M),0)</f>
        <v>0</v>
      </c>
      <c r="R65" s="57">
        <f t="shared" si="3"/>
        <v>-637.03483582985132</v>
      </c>
      <c r="S65" s="57">
        <f t="shared" si="4"/>
        <v>-637.03483582985132</v>
      </c>
      <c r="T65" s="57">
        <f t="shared" si="5"/>
        <v>0</v>
      </c>
      <c r="X65" s="6"/>
      <c r="Y65" s="6"/>
    </row>
    <row r="66" spans="1:25" x14ac:dyDescent="0.25">
      <c r="A66" s="76">
        <v>3.3080113711003501E+17</v>
      </c>
      <c r="B66" s="84" t="str">
        <f t="shared" si="0"/>
        <v>330801137110035000</v>
      </c>
      <c r="C66" s="3">
        <v>501160</v>
      </c>
      <c r="D66" s="3" t="s">
        <v>10</v>
      </c>
      <c r="E66" s="2" t="s">
        <v>62</v>
      </c>
      <c r="F66" s="4" t="s">
        <v>12</v>
      </c>
      <c r="G66" s="4" t="s">
        <v>13</v>
      </c>
      <c r="H66" s="18" t="s">
        <v>167</v>
      </c>
      <c r="I66" s="18">
        <f>IFERROR(_xlfn.XLOOKUP(C66,[2]Sheet1!$B:$B,[2]Sheet1!$G:$G),0)</f>
        <v>1</v>
      </c>
      <c r="J66" s="18">
        <f>IFERROR(_xlfn.XLOOKUP(C66,[2]Sheet1!$B:$B,[2]Sheet1!$K:$K),0)</f>
        <v>1</v>
      </c>
      <c r="K66" s="18" t="b">
        <f t="shared" si="1"/>
        <v>1</v>
      </c>
      <c r="L66" s="55">
        <v>4267.1540793076902</v>
      </c>
      <c r="M66" s="55">
        <f t="shared" si="2"/>
        <v>3103.0917073526657</v>
      </c>
      <c r="N66" s="56">
        <f>IFERROR(_xlfn.XLOOKUP(C66,'[3]ECL CC May 25'!$A:$A,'[3]ECL CC May 25'!$C:$C),0)</f>
        <v>1164.0623719550244</v>
      </c>
      <c r="O66" s="56">
        <v>12159.558425252097</v>
      </c>
      <c r="P66" s="56">
        <f>IFERROR(_xlfn.XLOOKUP(C66,[2]Sheet1!$B:$B,[2]Sheet1!$L:$L),0)</f>
        <v>10921.400595246327</v>
      </c>
      <c r="Q66" s="56">
        <f>IFERROR(_xlfn.XLOOKUP(C66,[2]Sheet1!$B:$B,[2]Sheet1!$M:$M),0)</f>
        <v>1238.1578300057708</v>
      </c>
      <c r="R66" s="57">
        <f t="shared" si="3"/>
        <v>-7892.4043459444065</v>
      </c>
      <c r="S66" s="57">
        <f t="shared" si="4"/>
        <v>-7818.3088878936614</v>
      </c>
      <c r="T66" s="57">
        <f t="shared" si="5"/>
        <v>-74.095458050746402</v>
      </c>
      <c r="X66" s="6"/>
      <c r="Y66" s="6"/>
    </row>
    <row r="67" spans="1:25" x14ac:dyDescent="0.25">
      <c r="A67" s="76">
        <v>3.3080113712003898E+17</v>
      </c>
      <c r="B67" s="84" t="str">
        <f t="shared" si="0"/>
        <v>330801137120039000</v>
      </c>
      <c r="C67" s="3">
        <v>501220</v>
      </c>
      <c r="D67" s="3" t="s">
        <v>10</v>
      </c>
      <c r="E67" s="2" t="s">
        <v>63</v>
      </c>
      <c r="F67" s="4" t="s">
        <v>12</v>
      </c>
      <c r="G67" s="4" t="s">
        <v>13</v>
      </c>
      <c r="H67" s="18" t="s">
        <v>167</v>
      </c>
      <c r="I67" s="18">
        <f>IFERROR(_xlfn.XLOOKUP(C67,[2]Sheet1!$B:$B,[2]Sheet1!$G:$G),0)</f>
        <v>1</v>
      </c>
      <c r="J67" s="18">
        <f>IFERROR(_xlfn.XLOOKUP(C67,[2]Sheet1!$B:$B,[2]Sheet1!$K:$K),0)</f>
        <v>1</v>
      </c>
      <c r="K67" s="18" t="b">
        <f t="shared" si="1"/>
        <v>1</v>
      </c>
      <c r="L67" s="55">
        <v>330616.58469946031</v>
      </c>
      <c r="M67" s="55">
        <f t="shared" si="2"/>
        <v>317475.75949951931</v>
      </c>
      <c r="N67" s="56">
        <f>IFERROR(_xlfn.XLOOKUP(C67,'[3]ECL CC May 25'!$A:$A,'[3]ECL CC May 25'!$C:$C),0)</f>
        <v>13140.825199941017</v>
      </c>
      <c r="O67" s="56">
        <v>316608.80271359754</v>
      </c>
      <c r="P67" s="56">
        <f>IFERROR(_xlfn.XLOOKUP(C67,[2]Sheet1!$B:$B,[2]Sheet1!$L:$L),0)</f>
        <v>302363.4454965422</v>
      </c>
      <c r="Q67" s="56">
        <f>IFERROR(_xlfn.XLOOKUP(C67,[2]Sheet1!$B:$B,[2]Sheet1!$M:$M),0)</f>
        <v>14245.357217055349</v>
      </c>
      <c r="R67" s="57">
        <f t="shared" si="3"/>
        <v>14007.781985862763</v>
      </c>
      <c r="S67" s="57">
        <f t="shared" si="4"/>
        <v>15112.314002977102</v>
      </c>
      <c r="T67" s="57">
        <f t="shared" si="5"/>
        <v>-1104.5320171143321</v>
      </c>
      <c r="X67" s="6"/>
      <c r="Y67" s="6"/>
    </row>
    <row r="68" spans="1:25" x14ac:dyDescent="0.25">
      <c r="A68" s="76">
        <v>3.3080113711003802E+17</v>
      </c>
      <c r="B68" s="84" t="str">
        <f t="shared" ref="B68:B131" si="6">TEXT(A68,"0")</f>
        <v>330801137110038000</v>
      </c>
      <c r="C68" s="3">
        <v>501201</v>
      </c>
      <c r="D68" s="3" t="s">
        <v>10</v>
      </c>
      <c r="E68" s="2" t="s">
        <v>64</v>
      </c>
      <c r="F68" s="4" t="s">
        <v>12</v>
      </c>
      <c r="G68" s="4" t="s">
        <v>13</v>
      </c>
      <c r="H68" s="18" t="s">
        <v>167</v>
      </c>
      <c r="I68" s="18">
        <f>IFERROR(_xlfn.XLOOKUP(C68,[2]Sheet1!$B:$B,[2]Sheet1!$G:$G),0)</f>
        <v>1</v>
      </c>
      <c r="J68" s="18">
        <f>IFERROR(_xlfn.XLOOKUP(C68,[2]Sheet1!$B:$B,[2]Sheet1!$K:$K),0)</f>
        <v>1</v>
      </c>
      <c r="K68" s="18" t="b">
        <f t="shared" ref="K68:K131" si="7">I68=J68</f>
        <v>1</v>
      </c>
      <c r="L68" s="55">
        <v>1636286.7696464681</v>
      </c>
      <c r="M68" s="55">
        <f t="shared" ref="M68:M131" si="8">L68-N68</f>
        <v>120554.27990769828</v>
      </c>
      <c r="N68" s="56">
        <f>IFERROR(_xlfn.XLOOKUP(C68,'[3]ECL CC May 25'!$A:$A,'[3]ECL CC May 25'!$C:$C),0)</f>
        <v>1515732.4897387698</v>
      </c>
      <c r="O68" s="56">
        <v>1636448.762455272</v>
      </c>
      <c r="P68" s="56">
        <f>IFERROR(_xlfn.XLOOKUP(C68,[2]Sheet1!$B:$B,[2]Sheet1!$L:$L),0)</f>
        <v>2.3283064365386963E-10</v>
      </c>
      <c r="Q68" s="56">
        <f>IFERROR(_xlfn.XLOOKUP(C68,[2]Sheet1!$B:$B,[2]Sheet1!$M:$M),0)</f>
        <v>1636448.7624552718</v>
      </c>
      <c r="R68" s="57">
        <f t="shared" ref="R68:R131" si="9">L68-O68</f>
        <v>-161.99280880391598</v>
      </c>
      <c r="S68" s="57">
        <f t="shared" ref="S68:S131" si="10">M68-P68</f>
        <v>120554.27990769804</v>
      </c>
      <c r="T68" s="57">
        <f t="shared" ref="T68:T131" si="11">N68-Q68</f>
        <v>-120716.27271650196</v>
      </c>
      <c r="X68" s="6"/>
      <c r="Y68" s="6"/>
    </row>
    <row r="69" spans="1:25" x14ac:dyDescent="0.25">
      <c r="A69" s="76">
        <v>3.3080113710703603E+17</v>
      </c>
      <c r="B69" s="84" t="str">
        <f t="shared" si="6"/>
        <v>330801137107036000</v>
      </c>
      <c r="C69" s="3">
        <v>501176</v>
      </c>
      <c r="D69" s="3" t="s">
        <v>10</v>
      </c>
      <c r="E69" s="2" t="s">
        <v>65</v>
      </c>
      <c r="F69" s="4" t="s">
        <v>12</v>
      </c>
      <c r="G69" s="4" t="s">
        <v>13</v>
      </c>
      <c r="H69" s="18" t="s">
        <v>167</v>
      </c>
      <c r="I69" s="18">
        <f>IFERROR(_xlfn.XLOOKUP(C69,[2]Sheet1!$B:$B,[2]Sheet1!$G:$G),0)</f>
        <v>1</v>
      </c>
      <c r="J69" s="18">
        <f>IFERROR(_xlfn.XLOOKUP(C69,[2]Sheet1!$B:$B,[2]Sheet1!$K:$K),0)</f>
        <v>1</v>
      </c>
      <c r="K69" s="18" t="b">
        <f t="shared" si="7"/>
        <v>1</v>
      </c>
      <c r="L69" s="55">
        <v>452.41442065241893</v>
      </c>
      <c r="M69" s="55">
        <f t="shared" si="8"/>
        <v>452.41442065241893</v>
      </c>
      <c r="N69" s="56">
        <f>IFERROR(_xlfn.XLOOKUP(C69,'[3]ECL CC May 25'!$A:$A,'[3]ECL CC May 25'!$C:$C),0)</f>
        <v>0</v>
      </c>
      <c r="O69" s="56">
        <v>484.75281808747661</v>
      </c>
      <c r="P69" s="56">
        <f>IFERROR(_xlfn.XLOOKUP(C69,[2]Sheet1!$B:$B,[2]Sheet1!$L:$L),0)</f>
        <v>484.75281808747661</v>
      </c>
      <c r="Q69" s="56">
        <f>IFERROR(_xlfn.XLOOKUP(C69,[2]Sheet1!$B:$B,[2]Sheet1!$M:$M),0)</f>
        <v>0</v>
      </c>
      <c r="R69" s="57">
        <f t="shared" si="9"/>
        <v>-32.338397435057686</v>
      </c>
      <c r="S69" s="57">
        <f t="shared" si="10"/>
        <v>-32.338397435057686</v>
      </c>
      <c r="T69" s="57">
        <f t="shared" si="11"/>
        <v>0</v>
      </c>
      <c r="X69" s="6"/>
      <c r="Y69" s="6"/>
    </row>
    <row r="70" spans="1:25" x14ac:dyDescent="0.25">
      <c r="A70" s="76">
        <v>3.3080113710703603E+17</v>
      </c>
      <c r="B70" s="84" t="str">
        <f t="shared" si="6"/>
        <v>330801137107036000</v>
      </c>
      <c r="C70" s="3">
        <v>501186</v>
      </c>
      <c r="D70" s="3" t="s">
        <v>10</v>
      </c>
      <c r="E70" s="2" t="s">
        <v>65</v>
      </c>
      <c r="F70" s="4" t="s">
        <v>12</v>
      </c>
      <c r="G70" s="4" t="s">
        <v>13</v>
      </c>
      <c r="H70" s="18" t="s">
        <v>167</v>
      </c>
      <c r="I70" s="18">
        <f>IFERROR(_xlfn.XLOOKUP(C70,[2]Sheet1!$B:$B,[2]Sheet1!$G:$G),0)</f>
        <v>1</v>
      </c>
      <c r="J70" s="18">
        <f>IFERROR(_xlfn.XLOOKUP(C70,[2]Sheet1!$B:$B,[2]Sheet1!$K:$K),0)</f>
        <v>1</v>
      </c>
      <c r="K70" s="18" t="b">
        <f t="shared" si="7"/>
        <v>1</v>
      </c>
      <c r="L70" s="55">
        <v>452.41442065241893</v>
      </c>
      <c r="M70" s="55">
        <f t="shared" si="8"/>
        <v>452.41442065241893</v>
      </c>
      <c r="N70" s="56">
        <f>IFERROR(_xlfn.XLOOKUP(C70,'[3]ECL CC May 25'!$A:$A,'[3]ECL CC May 25'!$C:$C),0)</f>
        <v>0</v>
      </c>
      <c r="O70" s="56">
        <v>484.75281808747661</v>
      </c>
      <c r="P70" s="56">
        <f>IFERROR(_xlfn.XLOOKUP(C70,[2]Sheet1!$B:$B,[2]Sheet1!$L:$L),0)</f>
        <v>484.75281808747661</v>
      </c>
      <c r="Q70" s="56">
        <f>IFERROR(_xlfn.XLOOKUP(C70,[2]Sheet1!$B:$B,[2]Sheet1!$M:$M),0)</f>
        <v>0</v>
      </c>
      <c r="R70" s="57">
        <f t="shared" si="9"/>
        <v>-32.338397435057686</v>
      </c>
      <c r="S70" s="57">
        <f t="shared" si="10"/>
        <v>-32.338397435057686</v>
      </c>
      <c r="T70" s="57">
        <f t="shared" si="11"/>
        <v>0</v>
      </c>
      <c r="X70" s="6"/>
      <c r="Y70" s="6"/>
    </row>
    <row r="71" spans="1:25" x14ac:dyDescent="0.25">
      <c r="A71" s="76">
        <v>3.3080113710703603E+17</v>
      </c>
      <c r="B71" s="84" t="str">
        <f t="shared" si="6"/>
        <v>330801137107036000</v>
      </c>
      <c r="C71" s="3">
        <v>501187</v>
      </c>
      <c r="D71" s="3" t="s">
        <v>10</v>
      </c>
      <c r="E71" s="2" t="s">
        <v>65</v>
      </c>
      <c r="F71" s="4" t="s">
        <v>12</v>
      </c>
      <c r="G71" s="4" t="s">
        <v>13</v>
      </c>
      <c r="H71" s="18" t="s">
        <v>167</v>
      </c>
      <c r="I71" s="18">
        <f>IFERROR(_xlfn.XLOOKUP(C71,[2]Sheet1!$B:$B,[2]Sheet1!$G:$G),0)</f>
        <v>1</v>
      </c>
      <c r="J71" s="18">
        <f>IFERROR(_xlfn.XLOOKUP(C71,[2]Sheet1!$B:$B,[2]Sheet1!$K:$K),0)</f>
        <v>1</v>
      </c>
      <c r="K71" s="18" t="b">
        <f t="shared" si="7"/>
        <v>1</v>
      </c>
      <c r="L71" s="55">
        <v>452.41442065241893</v>
      </c>
      <c r="M71" s="55">
        <f t="shared" si="8"/>
        <v>452.41442065241893</v>
      </c>
      <c r="N71" s="56">
        <f>IFERROR(_xlfn.XLOOKUP(C71,'[3]ECL CC May 25'!$A:$A,'[3]ECL CC May 25'!$C:$C),0)</f>
        <v>0</v>
      </c>
      <c r="O71" s="56">
        <v>484.75281808747661</v>
      </c>
      <c r="P71" s="56">
        <f>IFERROR(_xlfn.XLOOKUP(C71,[2]Sheet1!$B:$B,[2]Sheet1!$L:$L),0)</f>
        <v>484.75281808747661</v>
      </c>
      <c r="Q71" s="56">
        <f>IFERROR(_xlfn.XLOOKUP(C71,[2]Sheet1!$B:$B,[2]Sheet1!$M:$M),0)</f>
        <v>0</v>
      </c>
      <c r="R71" s="57">
        <f t="shared" si="9"/>
        <v>-32.338397435057686</v>
      </c>
      <c r="S71" s="57">
        <f t="shared" si="10"/>
        <v>-32.338397435057686</v>
      </c>
      <c r="T71" s="57">
        <f t="shared" si="11"/>
        <v>0</v>
      </c>
      <c r="X71" s="6"/>
      <c r="Y71" s="6"/>
    </row>
    <row r="72" spans="1:25" x14ac:dyDescent="0.25">
      <c r="A72" s="76">
        <v>3.3080113710703603E+17</v>
      </c>
      <c r="B72" s="84" t="str">
        <f t="shared" si="6"/>
        <v>330801137107036000</v>
      </c>
      <c r="C72" s="3">
        <v>501204</v>
      </c>
      <c r="D72" s="3" t="s">
        <v>10</v>
      </c>
      <c r="E72" s="2" t="s">
        <v>65</v>
      </c>
      <c r="F72" s="4" t="s">
        <v>12</v>
      </c>
      <c r="G72" s="4" t="s">
        <v>13</v>
      </c>
      <c r="H72" s="18" t="s">
        <v>167</v>
      </c>
      <c r="I72" s="18">
        <f>IFERROR(_xlfn.XLOOKUP(C72,[2]Sheet1!$B:$B,[2]Sheet1!$G:$G),0)</f>
        <v>1</v>
      </c>
      <c r="J72" s="18">
        <f>IFERROR(_xlfn.XLOOKUP(C72,[2]Sheet1!$B:$B,[2]Sheet1!$K:$K),0)</f>
        <v>1</v>
      </c>
      <c r="K72" s="18" t="b">
        <f t="shared" si="7"/>
        <v>1</v>
      </c>
      <c r="L72" s="55">
        <v>490.32772590732873</v>
      </c>
      <c r="M72" s="55">
        <f t="shared" si="8"/>
        <v>490.32772590732873</v>
      </c>
      <c r="N72" s="56">
        <f>IFERROR(_xlfn.XLOOKUP(C72,'[3]ECL CC May 25'!$A:$A,'[3]ECL CC May 25'!$C:$C),0)</f>
        <v>0</v>
      </c>
      <c r="O72" s="56">
        <v>522.0843073152688</v>
      </c>
      <c r="P72" s="56">
        <f>IFERROR(_xlfn.XLOOKUP(C72,[2]Sheet1!$B:$B,[2]Sheet1!$L:$L),0)</f>
        <v>522.0843073152688</v>
      </c>
      <c r="Q72" s="56">
        <f>IFERROR(_xlfn.XLOOKUP(C72,[2]Sheet1!$B:$B,[2]Sheet1!$M:$M),0)</f>
        <v>0</v>
      </c>
      <c r="R72" s="57">
        <f t="shared" si="9"/>
        <v>-31.756581407940075</v>
      </c>
      <c r="S72" s="57">
        <f t="shared" si="10"/>
        <v>-31.756581407940075</v>
      </c>
      <c r="T72" s="57">
        <f t="shared" si="11"/>
        <v>0</v>
      </c>
      <c r="X72" s="6"/>
      <c r="Y72" s="6"/>
    </row>
    <row r="73" spans="1:25" x14ac:dyDescent="0.25">
      <c r="A73" s="76">
        <v>3.3080113710703603E+17</v>
      </c>
      <c r="B73" s="84" t="str">
        <f t="shared" si="6"/>
        <v>330801137107036000</v>
      </c>
      <c r="C73" s="3">
        <v>501205</v>
      </c>
      <c r="D73" s="3" t="s">
        <v>10</v>
      </c>
      <c r="E73" s="2" t="s">
        <v>65</v>
      </c>
      <c r="F73" s="4" t="s">
        <v>12</v>
      </c>
      <c r="G73" s="4" t="s">
        <v>13</v>
      </c>
      <c r="H73" s="18" t="s">
        <v>167</v>
      </c>
      <c r="I73" s="18">
        <f>IFERROR(_xlfn.XLOOKUP(C73,[2]Sheet1!$B:$B,[2]Sheet1!$G:$G),0)</f>
        <v>1</v>
      </c>
      <c r="J73" s="18">
        <f>IFERROR(_xlfn.XLOOKUP(C73,[2]Sheet1!$B:$B,[2]Sheet1!$K:$K),0)</f>
        <v>1</v>
      </c>
      <c r="K73" s="18" t="b">
        <f t="shared" si="7"/>
        <v>1</v>
      </c>
      <c r="L73" s="55">
        <v>490.34833004221178</v>
      </c>
      <c r="M73" s="55">
        <f t="shared" si="8"/>
        <v>490.34833004221178</v>
      </c>
      <c r="N73" s="56">
        <f>IFERROR(_xlfn.XLOOKUP(C73,'[3]ECL CC May 25'!$A:$A,'[3]ECL CC May 25'!$C:$C),0)</f>
        <v>0</v>
      </c>
      <c r="O73" s="56">
        <v>522.0843073152688</v>
      </c>
      <c r="P73" s="56">
        <f>IFERROR(_xlfn.XLOOKUP(C73,[2]Sheet1!$B:$B,[2]Sheet1!$L:$L),0)</f>
        <v>522.0843073152688</v>
      </c>
      <c r="Q73" s="56">
        <f>IFERROR(_xlfn.XLOOKUP(C73,[2]Sheet1!$B:$B,[2]Sheet1!$M:$M),0)</f>
        <v>0</v>
      </c>
      <c r="R73" s="57">
        <f t="shared" si="9"/>
        <v>-31.735977273057017</v>
      </c>
      <c r="S73" s="57">
        <f t="shared" si="10"/>
        <v>-31.735977273057017</v>
      </c>
      <c r="T73" s="57">
        <f t="shared" si="11"/>
        <v>0</v>
      </c>
      <c r="X73" s="6"/>
      <c r="Y73" s="6"/>
    </row>
    <row r="74" spans="1:25" x14ac:dyDescent="0.25">
      <c r="A74" s="76">
        <v>3.3080113711004E+17</v>
      </c>
      <c r="B74" s="84" t="str">
        <f t="shared" si="6"/>
        <v>330801137110040000</v>
      </c>
      <c r="C74" s="3">
        <v>501211</v>
      </c>
      <c r="D74" s="3" t="s">
        <v>10</v>
      </c>
      <c r="E74" s="2" t="s">
        <v>66</v>
      </c>
      <c r="F74" s="4" t="s">
        <v>12</v>
      </c>
      <c r="G74" s="4" t="s">
        <v>13</v>
      </c>
      <c r="H74" s="18" t="s">
        <v>167</v>
      </c>
      <c r="I74" s="18">
        <f>IFERROR(_xlfn.XLOOKUP(C74,[2]Sheet1!$B:$B,[2]Sheet1!$G:$G),0)</f>
        <v>1</v>
      </c>
      <c r="J74" s="18">
        <f>IFERROR(_xlfn.XLOOKUP(C74,[2]Sheet1!$B:$B,[2]Sheet1!$K:$K),0)</f>
        <v>1</v>
      </c>
      <c r="K74" s="18" t="b">
        <f t="shared" si="7"/>
        <v>1</v>
      </c>
      <c r="L74" s="55">
        <v>73063.591015550075</v>
      </c>
      <c r="M74" s="55">
        <f t="shared" si="8"/>
        <v>23168.907381527373</v>
      </c>
      <c r="N74" s="56">
        <f>IFERROR(_xlfn.XLOOKUP(C74,'[3]ECL CC May 25'!$A:$A,'[3]ECL CC May 25'!$C:$C),0)</f>
        <v>49894.683634022702</v>
      </c>
      <c r="O74" s="56">
        <v>65835.111194062658</v>
      </c>
      <c r="P74" s="56">
        <f>IFERROR(_xlfn.XLOOKUP(C74,[2]Sheet1!$B:$B,[2]Sheet1!$L:$L),0)</f>
        <v>11952.504323794798</v>
      </c>
      <c r="Q74" s="56">
        <f>IFERROR(_xlfn.XLOOKUP(C74,[2]Sheet1!$B:$B,[2]Sheet1!$M:$M),0)</f>
        <v>53882.60687026786</v>
      </c>
      <c r="R74" s="57">
        <f t="shared" si="9"/>
        <v>7228.4798214874172</v>
      </c>
      <c r="S74" s="57">
        <f t="shared" si="10"/>
        <v>11216.403057732576</v>
      </c>
      <c r="T74" s="57">
        <f t="shared" si="11"/>
        <v>-3987.9232362451585</v>
      </c>
      <c r="X74" s="6"/>
      <c r="Y74" s="6"/>
    </row>
    <row r="75" spans="1:25" x14ac:dyDescent="0.25">
      <c r="A75" s="76">
        <v>3.3080113711001101E+17</v>
      </c>
      <c r="B75" s="84" t="str">
        <f t="shared" si="6"/>
        <v>330801137110011000</v>
      </c>
      <c r="C75" s="3">
        <v>500790</v>
      </c>
      <c r="D75" s="3" t="s">
        <v>10</v>
      </c>
      <c r="E75" s="2" t="s">
        <v>67</v>
      </c>
      <c r="F75" s="4" t="s">
        <v>12</v>
      </c>
      <c r="G75" s="4" t="s">
        <v>13</v>
      </c>
      <c r="H75" s="18" t="s">
        <v>167</v>
      </c>
      <c r="I75" s="18">
        <f>IFERROR(_xlfn.XLOOKUP(C75,[2]Sheet1!$B:$B,[2]Sheet1!$G:$G),0)</f>
        <v>1</v>
      </c>
      <c r="J75" s="18">
        <f>IFERROR(_xlfn.XLOOKUP(C75,[2]Sheet1!$B:$B,[2]Sheet1!$K:$K),0)</f>
        <v>1</v>
      </c>
      <c r="K75" s="18" t="b">
        <f t="shared" si="7"/>
        <v>1</v>
      </c>
      <c r="L75" s="55">
        <v>2685501.1925002122</v>
      </c>
      <c r="M75" s="55">
        <f t="shared" si="8"/>
        <v>1421315.0086612741</v>
      </c>
      <c r="N75" s="56">
        <f>IFERROR(_xlfn.XLOOKUP(C75,'[3]ECL CC May 25'!$A:$A,'[3]ECL CC May 25'!$C:$C),0)</f>
        <v>1264186.1838389381</v>
      </c>
      <c r="O75" s="56">
        <v>2518476.0396846244</v>
      </c>
      <c r="P75" s="56">
        <f>IFERROR(_xlfn.XLOOKUP(C75,[2]Sheet1!$B:$B,[2]Sheet1!$L:$L),0)</f>
        <v>971001.30359295686</v>
      </c>
      <c r="Q75" s="56">
        <f>IFERROR(_xlfn.XLOOKUP(C75,[2]Sheet1!$B:$B,[2]Sheet1!$M:$M),0)</f>
        <v>1547474.7360916676</v>
      </c>
      <c r="R75" s="57">
        <f t="shared" si="9"/>
        <v>167025.15281558782</v>
      </c>
      <c r="S75" s="57">
        <f t="shared" si="10"/>
        <v>450313.70506831724</v>
      </c>
      <c r="T75" s="57">
        <f t="shared" si="11"/>
        <v>-283288.55225272942</v>
      </c>
      <c r="X75" s="6"/>
      <c r="Y75" s="6"/>
    </row>
    <row r="76" spans="1:25" x14ac:dyDescent="0.25">
      <c r="A76" s="76">
        <v>3.3080113711001101E+17</v>
      </c>
      <c r="B76" s="84" t="str">
        <f t="shared" si="6"/>
        <v>330801137110011000</v>
      </c>
      <c r="C76" s="3">
        <v>500783</v>
      </c>
      <c r="D76" s="3" t="s">
        <v>10</v>
      </c>
      <c r="E76" s="2" t="s">
        <v>68</v>
      </c>
      <c r="F76" s="4" t="s">
        <v>12</v>
      </c>
      <c r="G76" s="4" t="s">
        <v>13</v>
      </c>
      <c r="H76" s="18" t="s">
        <v>167</v>
      </c>
      <c r="I76" s="18">
        <f>IFERROR(_xlfn.XLOOKUP(C76,[2]Sheet1!$B:$B,[2]Sheet1!$G:$G),0)</f>
        <v>1</v>
      </c>
      <c r="J76" s="18">
        <f>IFERROR(_xlfn.XLOOKUP(C76,[2]Sheet1!$B:$B,[2]Sheet1!$K:$K),0)</f>
        <v>1</v>
      </c>
      <c r="K76" s="18" t="b">
        <f t="shared" si="7"/>
        <v>1</v>
      </c>
      <c r="L76" s="55">
        <v>934365.65734069864</v>
      </c>
      <c r="M76" s="55">
        <f t="shared" si="8"/>
        <v>285367.83353344898</v>
      </c>
      <c r="N76" s="56">
        <f>IFERROR(_xlfn.XLOOKUP(C76,'[3]ECL CC May 25'!$A:$A,'[3]ECL CC May 25'!$C:$C),0)</f>
        <v>648997.82380724966</v>
      </c>
      <c r="O76" s="56">
        <v>1043740.6556497264</v>
      </c>
      <c r="P76" s="56">
        <f>IFERROR(_xlfn.XLOOKUP(C76,[2]Sheet1!$B:$B,[2]Sheet1!$L:$L),0)</f>
        <v>466291.93461581448</v>
      </c>
      <c r="Q76" s="56">
        <f>IFERROR(_xlfn.XLOOKUP(C76,[2]Sheet1!$B:$B,[2]Sheet1!$M:$M),0)</f>
        <v>577448.72103391192</v>
      </c>
      <c r="R76" s="57">
        <f t="shared" si="9"/>
        <v>-109374.99830902775</v>
      </c>
      <c r="S76" s="57">
        <f t="shared" si="10"/>
        <v>-180924.10108236549</v>
      </c>
      <c r="T76" s="57">
        <f t="shared" si="11"/>
        <v>71549.102773337741</v>
      </c>
      <c r="X76" s="6"/>
      <c r="Y76" s="6"/>
    </row>
    <row r="77" spans="1:25" x14ac:dyDescent="0.25">
      <c r="A77" s="76">
        <v>3.3080113712104102E+17</v>
      </c>
      <c r="B77" s="84" t="str">
        <f t="shared" si="6"/>
        <v>330801137121041000</v>
      </c>
      <c r="C77" s="3">
        <v>501240</v>
      </c>
      <c r="D77" s="3" t="s">
        <v>10</v>
      </c>
      <c r="E77" s="2" t="s">
        <v>69</v>
      </c>
      <c r="F77" s="4" t="s">
        <v>12</v>
      </c>
      <c r="G77" s="4" t="s">
        <v>13</v>
      </c>
      <c r="H77" s="18" t="s">
        <v>167</v>
      </c>
      <c r="I77" s="18">
        <f>IFERROR(_xlfn.XLOOKUP(C77,[2]Sheet1!$B:$B,[2]Sheet1!$G:$G),0)</f>
        <v>1</v>
      </c>
      <c r="J77" s="18">
        <f>IFERROR(_xlfn.XLOOKUP(C77,[2]Sheet1!$B:$B,[2]Sheet1!$K:$K),0)</f>
        <v>1</v>
      </c>
      <c r="K77" s="18" t="b">
        <f t="shared" si="7"/>
        <v>1</v>
      </c>
      <c r="L77" s="55">
        <v>81792.163329944975</v>
      </c>
      <c r="M77" s="55">
        <f t="shared" si="8"/>
        <v>81792.163329944975</v>
      </c>
      <c r="N77" s="56">
        <f>IFERROR(_xlfn.XLOOKUP(C77,'[3]ECL CC May 25'!$A:$A,'[3]ECL CC May 25'!$C:$C),0)</f>
        <v>0</v>
      </c>
      <c r="O77" s="56">
        <v>81366.399674083106</v>
      </c>
      <c r="P77" s="56">
        <f>IFERROR(_xlfn.XLOOKUP(C77,[2]Sheet1!$B:$B,[2]Sheet1!$L:$L),0)</f>
        <v>81366.399674083106</v>
      </c>
      <c r="Q77" s="56">
        <f>IFERROR(_xlfn.XLOOKUP(C77,[2]Sheet1!$B:$B,[2]Sheet1!$M:$M),0)</f>
        <v>0</v>
      </c>
      <c r="R77" s="57">
        <f t="shared" si="9"/>
        <v>425.76365586186876</v>
      </c>
      <c r="S77" s="57">
        <f t="shared" si="10"/>
        <v>425.76365586186876</v>
      </c>
      <c r="T77" s="57">
        <f t="shared" si="11"/>
        <v>0</v>
      </c>
      <c r="X77" s="6"/>
      <c r="Y77" s="6"/>
    </row>
    <row r="78" spans="1:25" x14ac:dyDescent="0.25">
      <c r="A78" s="76">
        <v>3.3080113710703802E+17</v>
      </c>
      <c r="B78" s="84" t="str">
        <f t="shared" si="6"/>
        <v>330801137107038000</v>
      </c>
      <c r="C78" s="3">
        <v>501174</v>
      </c>
      <c r="D78" s="3" t="s">
        <v>10</v>
      </c>
      <c r="E78" s="2" t="s">
        <v>70</v>
      </c>
      <c r="F78" s="4" t="s">
        <v>12</v>
      </c>
      <c r="G78" s="4" t="s">
        <v>13</v>
      </c>
      <c r="H78" s="18" t="s">
        <v>167</v>
      </c>
      <c r="I78" s="18">
        <f>IFERROR(_xlfn.XLOOKUP(C78,[2]Sheet1!$B:$B,[2]Sheet1!$G:$G),0)</f>
        <v>1</v>
      </c>
      <c r="J78" s="18">
        <f>IFERROR(_xlfn.XLOOKUP(C78,[2]Sheet1!$B:$B,[2]Sheet1!$K:$K),0)</f>
        <v>1</v>
      </c>
      <c r="K78" s="18" t="b">
        <f t="shared" si="7"/>
        <v>1</v>
      </c>
      <c r="L78" s="55">
        <v>1932.1690415123469</v>
      </c>
      <c r="M78" s="55">
        <f t="shared" si="8"/>
        <v>1762.0298098695259</v>
      </c>
      <c r="N78" s="56">
        <f>IFERROR(_xlfn.XLOOKUP(C78,'[3]ECL CC May 25'!$A:$A,'[3]ECL CC May 25'!$C:$C),0)</f>
        <v>170.13923164282087</v>
      </c>
      <c r="O78" s="56">
        <v>3161.115933022078</v>
      </c>
      <c r="P78" s="56">
        <f>IFERROR(_xlfn.XLOOKUP(C78,[2]Sheet1!$B:$B,[2]Sheet1!$L:$L),0)</f>
        <v>3000.4465729085096</v>
      </c>
      <c r="Q78" s="56">
        <f>IFERROR(_xlfn.XLOOKUP(C78,[2]Sheet1!$B:$B,[2]Sheet1!$M:$M),0)</f>
        <v>160.66936011356859</v>
      </c>
      <c r="R78" s="57">
        <f t="shared" si="9"/>
        <v>-1228.9468915097311</v>
      </c>
      <c r="S78" s="57">
        <f t="shared" si="10"/>
        <v>-1238.4167630389836</v>
      </c>
      <c r="T78" s="57">
        <f t="shared" si="11"/>
        <v>9.4698715292522877</v>
      </c>
      <c r="X78" s="6"/>
      <c r="Y78" s="6"/>
    </row>
    <row r="79" spans="1:25" x14ac:dyDescent="0.25">
      <c r="A79" s="76">
        <v>3.3080213710700499E+17</v>
      </c>
      <c r="B79" s="84" t="str">
        <f t="shared" si="6"/>
        <v>330802137107005000</v>
      </c>
      <c r="C79" s="3">
        <v>500633</v>
      </c>
      <c r="D79" s="3" t="s">
        <v>10</v>
      </c>
      <c r="E79" s="2" t="s">
        <v>71</v>
      </c>
      <c r="F79" s="4" t="s">
        <v>31</v>
      </c>
      <c r="G79" s="4" t="s">
        <v>22</v>
      </c>
      <c r="H79" s="18" t="s">
        <v>167</v>
      </c>
      <c r="I79" s="18">
        <f>IFERROR(_xlfn.XLOOKUP(C79,[2]Sheet1!$B:$B,[2]Sheet1!$G:$G),0)</f>
        <v>2</v>
      </c>
      <c r="J79" s="18">
        <f>IFERROR(_xlfn.XLOOKUP(C79,[2]Sheet1!$B:$B,[2]Sheet1!$K:$K),0)</f>
        <v>2</v>
      </c>
      <c r="K79" s="18" t="b">
        <f t="shared" si="7"/>
        <v>1</v>
      </c>
      <c r="L79" s="55">
        <v>0</v>
      </c>
      <c r="M79" s="55">
        <f t="shared" si="8"/>
        <v>0</v>
      </c>
      <c r="N79" s="56">
        <f>IFERROR(_xlfn.XLOOKUP(C79,'[3]ECL CC May 25'!$A:$A,'[3]ECL CC May 25'!$C:$C),0)</f>
        <v>0</v>
      </c>
      <c r="O79" s="56">
        <v>166.51245470014814</v>
      </c>
      <c r="P79" s="56">
        <f>IFERROR(_xlfn.XLOOKUP(C79,[2]Sheet1!$B:$B,[2]Sheet1!$L:$L),0)</f>
        <v>166.51245470014814</v>
      </c>
      <c r="Q79" s="56">
        <f>IFERROR(_xlfn.XLOOKUP(C79,[2]Sheet1!$B:$B,[2]Sheet1!$M:$M),0)</f>
        <v>0</v>
      </c>
      <c r="R79" s="57">
        <f t="shared" si="9"/>
        <v>-166.51245470014814</v>
      </c>
      <c r="S79" s="57">
        <f t="shared" si="10"/>
        <v>-166.51245470014814</v>
      </c>
      <c r="T79" s="57">
        <f t="shared" si="11"/>
        <v>0</v>
      </c>
      <c r="X79" s="6"/>
      <c r="Y79" s="6"/>
    </row>
    <row r="80" spans="1:25" x14ac:dyDescent="0.25">
      <c r="A80" s="76">
        <v>3.3080213711003898E+17</v>
      </c>
      <c r="B80" s="84" t="str">
        <f t="shared" si="6"/>
        <v>330802137110039000</v>
      </c>
      <c r="C80" s="3">
        <v>501216</v>
      </c>
      <c r="D80" s="3" t="s">
        <v>10</v>
      </c>
      <c r="E80" s="2" t="s">
        <v>72</v>
      </c>
      <c r="F80" s="4" t="s">
        <v>31</v>
      </c>
      <c r="G80" s="4" t="s">
        <v>13</v>
      </c>
      <c r="H80" s="18" t="s">
        <v>167</v>
      </c>
      <c r="I80" s="18">
        <f>IFERROR(_xlfn.XLOOKUP(C80,[2]Sheet1!$B:$B,[2]Sheet1!$G:$G),0)</f>
        <v>1</v>
      </c>
      <c r="J80" s="18">
        <f>IFERROR(_xlfn.XLOOKUP(C80,[2]Sheet1!$B:$B,[2]Sheet1!$K:$K),0)</f>
        <v>1</v>
      </c>
      <c r="K80" s="18" t="b">
        <f t="shared" si="7"/>
        <v>1</v>
      </c>
      <c r="L80" s="55">
        <v>1145573.3238840681</v>
      </c>
      <c r="M80" s="55">
        <f t="shared" si="8"/>
        <v>1145573.3238840681</v>
      </c>
      <c r="N80" s="56">
        <f>IFERROR(_xlfn.XLOOKUP(C80,'[3]ECL CC May 25'!$A:$A,'[3]ECL CC May 25'!$C:$C),0)</f>
        <v>0</v>
      </c>
      <c r="O80" s="56">
        <v>1157172.6983662739</v>
      </c>
      <c r="P80" s="56">
        <f>IFERROR(_xlfn.XLOOKUP(C80,[2]Sheet1!$B:$B,[2]Sheet1!$L:$L),0)</f>
        <v>1157172.6983662739</v>
      </c>
      <c r="Q80" s="56">
        <f>IFERROR(_xlfn.XLOOKUP(C80,[2]Sheet1!$B:$B,[2]Sheet1!$M:$M),0)</f>
        <v>0</v>
      </c>
      <c r="R80" s="57">
        <f t="shared" si="9"/>
        <v>-11599.374482205836</v>
      </c>
      <c r="S80" s="57">
        <f t="shared" si="10"/>
        <v>-11599.374482205836</v>
      </c>
      <c r="T80" s="57">
        <f t="shared" si="11"/>
        <v>0</v>
      </c>
      <c r="X80" s="6"/>
      <c r="Y80" s="6"/>
    </row>
    <row r="81" spans="1:25" x14ac:dyDescent="0.25">
      <c r="A81" s="76">
        <v>3.3080213712103898E+17</v>
      </c>
      <c r="B81" s="84" t="str">
        <f t="shared" si="6"/>
        <v>330802137121039000</v>
      </c>
      <c r="C81" s="3">
        <v>501223</v>
      </c>
      <c r="D81" s="3" t="s">
        <v>10</v>
      </c>
      <c r="E81" s="2" t="s">
        <v>72</v>
      </c>
      <c r="F81" s="4" t="s">
        <v>31</v>
      </c>
      <c r="G81" s="4" t="s">
        <v>13</v>
      </c>
      <c r="H81" s="18" t="s">
        <v>167</v>
      </c>
      <c r="I81" s="18">
        <f>IFERROR(_xlfn.XLOOKUP(C81,[2]Sheet1!$B:$B,[2]Sheet1!$G:$G),0)</f>
        <v>1</v>
      </c>
      <c r="J81" s="18">
        <f>IFERROR(_xlfn.XLOOKUP(C81,[2]Sheet1!$B:$B,[2]Sheet1!$K:$K),0)</f>
        <v>1</v>
      </c>
      <c r="K81" s="18" t="b">
        <f t="shared" si="7"/>
        <v>1</v>
      </c>
      <c r="L81" s="55">
        <v>319367.19274597772</v>
      </c>
      <c r="M81" s="55">
        <f t="shared" si="8"/>
        <v>319367.19274597772</v>
      </c>
      <c r="N81" s="56">
        <f>IFERROR(_xlfn.XLOOKUP(C81,'[3]ECL CC May 25'!$A:$A,'[3]ECL CC May 25'!$C:$C),0)</f>
        <v>0</v>
      </c>
      <c r="O81" s="56">
        <v>328429.01844754058</v>
      </c>
      <c r="P81" s="56">
        <f>IFERROR(_xlfn.XLOOKUP(C81,[2]Sheet1!$B:$B,[2]Sheet1!$L:$L),0)</f>
        <v>328429.01844754058</v>
      </c>
      <c r="Q81" s="56">
        <f>IFERROR(_xlfn.XLOOKUP(C81,[2]Sheet1!$B:$B,[2]Sheet1!$M:$M),0)</f>
        <v>0</v>
      </c>
      <c r="R81" s="57">
        <f t="shared" si="9"/>
        <v>-9061.8257015628624</v>
      </c>
      <c r="S81" s="57">
        <f t="shared" si="10"/>
        <v>-9061.8257015628624</v>
      </c>
      <c r="T81" s="57">
        <f t="shared" si="11"/>
        <v>0</v>
      </c>
      <c r="X81" s="6"/>
      <c r="Y81" s="6"/>
    </row>
    <row r="82" spans="1:25" x14ac:dyDescent="0.25">
      <c r="A82" s="76">
        <v>3.3080113710703802E+17</v>
      </c>
      <c r="B82" s="84" t="str">
        <f t="shared" si="6"/>
        <v>330801137107038000</v>
      </c>
      <c r="C82" s="3">
        <v>501188</v>
      </c>
      <c r="D82" s="3" t="s">
        <v>10</v>
      </c>
      <c r="E82" s="2" t="s">
        <v>73</v>
      </c>
      <c r="F82" s="4" t="s">
        <v>12</v>
      </c>
      <c r="G82" s="4" t="s">
        <v>13</v>
      </c>
      <c r="H82" s="18" t="s">
        <v>167</v>
      </c>
      <c r="I82" s="18">
        <f>IFERROR(_xlfn.XLOOKUP(C82,[2]Sheet1!$B:$B,[2]Sheet1!$G:$G),0)</f>
        <v>1</v>
      </c>
      <c r="J82" s="18">
        <f>IFERROR(_xlfn.XLOOKUP(C82,[2]Sheet1!$B:$B,[2]Sheet1!$K:$K),0)</f>
        <v>1</v>
      </c>
      <c r="K82" s="18" t="b">
        <f t="shared" si="7"/>
        <v>1</v>
      </c>
      <c r="L82" s="55">
        <v>1962.496792159076</v>
      </c>
      <c r="M82" s="55">
        <f t="shared" si="8"/>
        <v>1962.496792159076</v>
      </c>
      <c r="N82" s="56">
        <f>IFERROR(_xlfn.XLOOKUP(C82,'[3]ECL CC May 25'!$A:$A,'[3]ECL CC May 25'!$C:$C),0)</f>
        <v>0</v>
      </c>
      <c r="O82" s="56">
        <v>2011.8726308045188</v>
      </c>
      <c r="P82" s="56">
        <f>IFERROR(_xlfn.XLOOKUP(C82,[2]Sheet1!$B:$B,[2]Sheet1!$L:$L),0)</f>
        <v>2011.8726308045188</v>
      </c>
      <c r="Q82" s="56">
        <f>IFERROR(_xlfn.XLOOKUP(C82,[2]Sheet1!$B:$B,[2]Sheet1!$M:$M),0)</f>
        <v>0</v>
      </c>
      <c r="R82" s="57">
        <f t="shared" si="9"/>
        <v>-49.375838645442855</v>
      </c>
      <c r="S82" s="57">
        <f t="shared" si="10"/>
        <v>-49.375838645442855</v>
      </c>
      <c r="T82" s="57">
        <f t="shared" si="11"/>
        <v>0</v>
      </c>
      <c r="X82" s="6"/>
      <c r="Y82" s="6"/>
    </row>
    <row r="83" spans="1:25" x14ac:dyDescent="0.25">
      <c r="A83" s="76">
        <v>3.3080213720104E+17</v>
      </c>
      <c r="B83" s="84" t="str">
        <f t="shared" si="6"/>
        <v>330802137201040000</v>
      </c>
      <c r="C83" s="3">
        <v>501230</v>
      </c>
      <c r="D83" s="3" t="s">
        <v>32</v>
      </c>
      <c r="E83" s="2" t="s">
        <v>74</v>
      </c>
      <c r="F83" s="4" t="s">
        <v>31</v>
      </c>
      <c r="G83" s="4" t="s">
        <v>13</v>
      </c>
      <c r="H83" s="18" t="s">
        <v>167</v>
      </c>
      <c r="I83" s="18">
        <f>IFERROR(_xlfn.XLOOKUP(C83,[2]Sheet1!$B:$B,[2]Sheet1!$G:$G),0)</f>
        <v>1</v>
      </c>
      <c r="J83" s="18">
        <f>IFERROR(_xlfn.XLOOKUP(C83,[2]Sheet1!$B:$B,[2]Sheet1!$K:$K),0)</f>
        <v>1</v>
      </c>
      <c r="K83" s="18" t="b">
        <f t="shared" si="7"/>
        <v>1</v>
      </c>
      <c r="L83" s="55">
        <v>26678004.807748321</v>
      </c>
      <c r="M83" s="55">
        <f t="shared" si="8"/>
        <v>26678004.807748321</v>
      </c>
      <c r="N83" s="56">
        <f>IFERROR(_xlfn.XLOOKUP(C83,'[3]ECL CC May 25'!$A:$A,'[3]ECL CC May 25'!$C:$C),0)</f>
        <v>0</v>
      </c>
      <c r="O83" s="56">
        <v>26940838.529574115</v>
      </c>
      <c r="P83" s="56">
        <f>IFERROR(_xlfn.XLOOKUP(C83,[2]Sheet1!$B:$B,[2]Sheet1!$L:$L),0)</f>
        <v>26940838.529574115</v>
      </c>
      <c r="Q83" s="56">
        <f>IFERROR(_xlfn.XLOOKUP(C83,[2]Sheet1!$B:$B,[2]Sheet1!$M:$M),0)</f>
        <v>0</v>
      </c>
      <c r="R83" s="57">
        <f t="shared" si="9"/>
        <v>-262833.72182579339</v>
      </c>
      <c r="S83" s="57">
        <f t="shared" si="10"/>
        <v>-262833.72182579339</v>
      </c>
      <c r="T83" s="57">
        <f t="shared" si="11"/>
        <v>0</v>
      </c>
      <c r="X83" s="6"/>
      <c r="Y83" s="6"/>
    </row>
    <row r="84" spans="1:25" x14ac:dyDescent="0.25">
      <c r="A84" s="76">
        <v>3.3080113721600499E+17</v>
      </c>
      <c r="B84" s="84" t="str">
        <f t="shared" si="6"/>
        <v>330801137216005000</v>
      </c>
      <c r="C84" s="3" t="s">
        <v>75</v>
      </c>
      <c r="D84" s="3" t="s">
        <v>32</v>
      </c>
      <c r="E84" s="2" t="s">
        <v>76</v>
      </c>
      <c r="F84" s="4" t="s">
        <v>12</v>
      </c>
      <c r="G84" s="4" t="s">
        <v>13</v>
      </c>
      <c r="H84" s="18" t="s">
        <v>168</v>
      </c>
      <c r="I84" s="18">
        <f>IFERROR(_xlfn.XLOOKUP(C84,[2]Sheet1!$B:$B,[2]Sheet1!$G:$G),0)</f>
        <v>1</v>
      </c>
      <c r="J84" s="18">
        <f>IFERROR(_xlfn.XLOOKUP(C84,[2]Sheet1!$B:$B,[2]Sheet1!$K:$K),0)</f>
        <v>1</v>
      </c>
      <c r="K84" s="18" t="b">
        <f t="shared" si="7"/>
        <v>1</v>
      </c>
      <c r="L84" s="55">
        <v>295923.56405337312</v>
      </c>
      <c r="M84" s="55">
        <f t="shared" si="8"/>
        <v>0</v>
      </c>
      <c r="N84" s="56">
        <f>IFERROR(_xlfn.XLOOKUP(C84,'[3]ECL CC May 25'!$A:$A,'[3]ECL CC May 25'!$C:$C),0)</f>
        <v>295923.56405337312</v>
      </c>
      <c r="O84" s="56">
        <v>320599.42815470812</v>
      </c>
      <c r="P84" s="56">
        <f>IFERROR(_xlfn.XLOOKUP(C84,[2]Sheet1!$B:$B,[2]Sheet1!$L:$L),0)</f>
        <v>0</v>
      </c>
      <c r="Q84" s="56">
        <f>IFERROR(_xlfn.XLOOKUP(C84,[2]Sheet1!$B:$B,[2]Sheet1!$M:$M),0)</f>
        <v>320599.42815470812</v>
      </c>
      <c r="R84" s="57">
        <f t="shared" si="9"/>
        <v>-24675.864101334999</v>
      </c>
      <c r="S84" s="57">
        <f t="shared" si="10"/>
        <v>0</v>
      </c>
      <c r="T84" s="57">
        <f t="shared" si="11"/>
        <v>-24675.864101334999</v>
      </c>
      <c r="X84" s="6"/>
      <c r="Y84" s="6"/>
    </row>
    <row r="85" spans="1:25" x14ac:dyDescent="0.25">
      <c r="A85" s="76">
        <v>3.3080113721600499E+17</v>
      </c>
      <c r="B85" s="84" t="str">
        <f t="shared" si="6"/>
        <v>330801137216005000</v>
      </c>
      <c r="C85" s="3" t="s">
        <v>77</v>
      </c>
      <c r="D85" s="3" t="s">
        <v>32</v>
      </c>
      <c r="E85" s="2" t="s">
        <v>76</v>
      </c>
      <c r="F85" s="4" t="s">
        <v>12</v>
      </c>
      <c r="G85" s="4" t="s">
        <v>13</v>
      </c>
      <c r="H85" s="18" t="s">
        <v>168</v>
      </c>
      <c r="I85" s="18">
        <f>IFERROR(_xlfn.XLOOKUP(C85,[2]Sheet1!$B:$B,[2]Sheet1!$G:$G),0)</f>
        <v>1</v>
      </c>
      <c r="J85" s="18">
        <f>IFERROR(_xlfn.XLOOKUP(C85,[2]Sheet1!$B:$B,[2]Sheet1!$K:$K),0)</f>
        <v>1</v>
      </c>
      <c r="K85" s="18" t="b">
        <f t="shared" si="7"/>
        <v>1</v>
      </c>
      <c r="L85" s="55">
        <v>144118.61885716225</v>
      </c>
      <c r="M85" s="55">
        <f t="shared" si="8"/>
        <v>0</v>
      </c>
      <c r="N85" s="56">
        <f>IFERROR(_xlfn.XLOOKUP(C85,'[3]ECL CC May 25'!$A:$A,'[3]ECL CC May 25'!$C:$C),0)</f>
        <v>144118.61885716225</v>
      </c>
      <c r="O85" s="56">
        <v>156136.0851402799</v>
      </c>
      <c r="P85" s="56">
        <f>IFERROR(_xlfn.XLOOKUP(C85,[2]Sheet1!$B:$B,[2]Sheet1!$L:$L),0)</f>
        <v>0</v>
      </c>
      <c r="Q85" s="56">
        <f>IFERROR(_xlfn.XLOOKUP(C85,[2]Sheet1!$B:$B,[2]Sheet1!$M:$M),0)</f>
        <v>156136.0851402799</v>
      </c>
      <c r="R85" s="57">
        <f t="shared" si="9"/>
        <v>-12017.466283117654</v>
      </c>
      <c r="S85" s="57">
        <f t="shared" si="10"/>
        <v>0</v>
      </c>
      <c r="T85" s="57">
        <f t="shared" si="11"/>
        <v>-12017.466283117654</v>
      </c>
      <c r="X85" s="6"/>
      <c r="Y85" s="6"/>
    </row>
    <row r="86" spans="1:25" x14ac:dyDescent="0.25">
      <c r="A86" s="76">
        <v>3.3080113721600499E+17</v>
      </c>
      <c r="B86" s="84" t="str">
        <f t="shared" si="6"/>
        <v>330801137216005000</v>
      </c>
      <c r="C86" s="3" t="s">
        <v>78</v>
      </c>
      <c r="D86" s="3" t="s">
        <v>32</v>
      </c>
      <c r="E86" s="2" t="s">
        <v>76</v>
      </c>
      <c r="F86" s="4" t="s">
        <v>12</v>
      </c>
      <c r="G86" s="4" t="s">
        <v>13</v>
      </c>
      <c r="H86" s="18" t="s">
        <v>168</v>
      </c>
      <c r="I86" s="18">
        <f>IFERROR(_xlfn.XLOOKUP(C86,[2]Sheet1!$B:$B,[2]Sheet1!$G:$G),0)</f>
        <v>1</v>
      </c>
      <c r="J86" s="18">
        <f>IFERROR(_xlfn.XLOOKUP(C86,[2]Sheet1!$B:$B,[2]Sheet1!$K:$K),0)</f>
        <v>1</v>
      </c>
      <c r="K86" s="18" t="b">
        <f t="shared" si="7"/>
        <v>1</v>
      </c>
      <c r="L86" s="55">
        <v>80706.426560010863</v>
      </c>
      <c r="M86" s="55">
        <f t="shared" si="8"/>
        <v>0</v>
      </c>
      <c r="N86" s="56">
        <f>IFERROR(_xlfn.XLOOKUP(C86,'[3]ECL CC May 25'!$A:$A,'[3]ECL CC May 25'!$C:$C),0)</f>
        <v>80706.426560010863</v>
      </c>
      <c r="O86" s="56">
        <v>87436.207678556748</v>
      </c>
      <c r="P86" s="56">
        <f>IFERROR(_xlfn.XLOOKUP(C86,[2]Sheet1!$B:$B,[2]Sheet1!$L:$L),0)</f>
        <v>0</v>
      </c>
      <c r="Q86" s="56">
        <f>IFERROR(_xlfn.XLOOKUP(C86,[2]Sheet1!$B:$B,[2]Sheet1!$M:$M),0)</f>
        <v>87436.207678556748</v>
      </c>
      <c r="R86" s="57">
        <f t="shared" si="9"/>
        <v>-6729.781118545885</v>
      </c>
      <c r="S86" s="57">
        <f t="shared" si="10"/>
        <v>0</v>
      </c>
      <c r="T86" s="57">
        <f t="shared" si="11"/>
        <v>-6729.781118545885</v>
      </c>
      <c r="X86" s="6"/>
      <c r="Y86" s="6"/>
    </row>
    <row r="87" spans="1:25" x14ac:dyDescent="0.25">
      <c r="A87" s="76">
        <v>3.3080113721600499E+17</v>
      </c>
      <c r="B87" s="84" t="str">
        <f t="shared" si="6"/>
        <v>330801137216005000</v>
      </c>
      <c r="C87" s="3" t="s">
        <v>79</v>
      </c>
      <c r="D87" s="3" t="s">
        <v>32</v>
      </c>
      <c r="E87" s="2" t="s">
        <v>76</v>
      </c>
      <c r="F87" s="4" t="s">
        <v>12</v>
      </c>
      <c r="G87" s="4" t="s">
        <v>13</v>
      </c>
      <c r="H87" s="18" t="s">
        <v>168</v>
      </c>
      <c r="I87" s="18">
        <f>IFERROR(_xlfn.XLOOKUP(C87,[2]Sheet1!$B:$B,[2]Sheet1!$G:$G),0)</f>
        <v>1</v>
      </c>
      <c r="J87" s="18">
        <f>IFERROR(_xlfn.XLOOKUP(C87,[2]Sheet1!$B:$B,[2]Sheet1!$K:$K),0)</f>
        <v>1</v>
      </c>
      <c r="K87" s="18" t="b">
        <f t="shared" si="7"/>
        <v>1</v>
      </c>
      <c r="L87" s="55">
        <v>63412.192297151385</v>
      </c>
      <c r="M87" s="55">
        <f t="shared" si="8"/>
        <v>0</v>
      </c>
      <c r="N87" s="56">
        <f>IFERROR(_xlfn.XLOOKUP(C87,'[3]ECL CC May 25'!$A:$A,'[3]ECL CC May 25'!$C:$C),0)</f>
        <v>63412.192297151385</v>
      </c>
      <c r="O87" s="56">
        <v>68699.877461723168</v>
      </c>
      <c r="P87" s="56">
        <f>IFERROR(_xlfn.XLOOKUP(C87,[2]Sheet1!$B:$B,[2]Sheet1!$L:$L),0)</f>
        <v>0</v>
      </c>
      <c r="Q87" s="56">
        <f>IFERROR(_xlfn.XLOOKUP(C87,[2]Sheet1!$B:$B,[2]Sheet1!$M:$M),0)</f>
        <v>68699.877461723168</v>
      </c>
      <c r="R87" s="57">
        <f t="shared" si="9"/>
        <v>-5287.6851645717834</v>
      </c>
      <c r="S87" s="57">
        <f t="shared" si="10"/>
        <v>0</v>
      </c>
      <c r="T87" s="57">
        <f t="shared" si="11"/>
        <v>-5287.6851645717834</v>
      </c>
      <c r="X87" s="6"/>
      <c r="Y87" s="6"/>
    </row>
    <row r="88" spans="1:25" x14ac:dyDescent="0.25">
      <c r="A88" s="76">
        <v>3.3080113721600499E+17</v>
      </c>
      <c r="B88" s="84" t="str">
        <f t="shared" si="6"/>
        <v>330801137216005000</v>
      </c>
      <c r="C88" s="3" t="s">
        <v>80</v>
      </c>
      <c r="D88" s="3" t="s">
        <v>32</v>
      </c>
      <c r="E88" s="2" t="s">
        <v>76</v>
      </c>
      <c r="F88" s="4" t="s">
        <v>12</v>
      </c>
      <c r="G88" s="4" t="s">
        <v>13</v>
      </c>
      <c r="H88" s="18" t="s">
        <v>168</v>
      </c>
      <c r="I88" s="18">
        <f>IFERROR(_xlfn.XLOOKUP(C88,[2]Sheet1!$B:$B,[2]Sheet1!$G:$G),0)</f>
        <v>1</v>
      </c>
      <c r="J88" s="18">
        <f>IFERROR(_xlfn.XLOOKUP(C88,[2]Sheet1!$B:$B,[2]Sheet1!$K:$K),0)</f>
        <v>1</v>
      </c>
      <c r="K88" s="18" t="b">
        <f t="shared" si="7"/>
        <v>1</v>
      </c>
      <c r="L88" s="55">
        <v>57647.447542864902</v>
      </c>
      <c r="M88" s="55">
        <f t="shared" si="8"/>
        <v>0</v>
      </c>
      <c r="N88" s="56">
        <f>IFERROR(_xlfn.XLOOKUP(C88,'[3]ECL CC May 25'!$A:$A,'[3]ECL CC May 25'!$C:$C),0)</f>
        <v>57647.447542864902</v>
      </c>
      <c r="O88" s="56">
        <v>62454.434056111961</v>
      </c>
      <c r="P88" s="56">
        <f>IFERROR(_xlfn.XLOOKUP(C88,[2]Sheet1!$B:$B,[2]Sheet1!$L:$L),0)</f>
        <v>0</v>
      </c>
      <c r="Q88" s="56">
        <f>IFERROR(_xlfn.XLOOKUP(C88,[2]Sheet1!$B:$B,[2]Sheet1!$M:$M),0)</f>
        <v>62454.434056111961</v>
      </c>
      <c r="R88" s="57">
        <f t="shared" si="9"/>
        <v>-4806.9865132470586</v>
      </c>
      <c r="S88" s="57">
        <f t="shared" si="10"/>
        <v>0</v>
      </c>
      <c r="T88" s="57">
        <f t="shared" si="11"/>
        <v>-4806.9865132470586</v>
      </c>
      <c r="X88" s="6"/>
      <c r="Y88" s="6"/>
    </row>
    <row r="89" spans="1:25" x14ac:dyDescent="0.25">
      <c r="A89" s="76">
        <v>3.3080213711204E+17</v>
      </c>
      <c r="B89" s="84" t="str">
        <f t="shared" si="6"/>
        <v>330802137112040000</v>
      </c>
      <c r="C89" s="3">
        <v>501241</v>
      </c>
      <c r="D89" s="3" t="s">
        <v>10</v>
      </c>
      <c r="E89" s="2" t="s">
        <v>74</v>
      </c>
      <c r="F89" s="4" t="s">
        <v>31</v>
      </c>
      <c r="G89" s="4" t="s">
        <v>13</v>
      </c>
      <c r="H89" s="18" t="s">
        <v>167</v>
      </c>
      <c r="I89" s="18">
        <f>IFERROR(_xlfn.XLOOKUP(C89,[2]Sheet1!$B:$B,[2]Sheet1!$G:$G),0)</f>
        <v>1</v>
      </c>
      <c r="J89" s="18">
        <f>IFERROR(_xlfn.XLOOKUP(C89,[2]Sheet1!$B:$B,[2]Sheet1!$K:$K),0)</f>
        <v>1</v>
      </c>
      <c r="K89" s="18" t="b">
        <f t="shared" si="7"/>
        <v>1</v>
      </c>
      <c r="L89" s="55">
        <v>16847.79</v>
      </c>
      <c r="M89" s="55">
        <f t="shared" si="8"/>
        <v>16847.79</v>
      </c>
      <c r="N89" s="56">
        <f>IFERROR(_xlfn.XLOOKUP(C89,'[3]ECL CC May 25'!$A:$A,'[3]ECL CC May 25'!$C:$C),0)</f>
        <v>0</v>
      </c>
      <c r="O89" s="56">
        <v>20919.770741072403</v>
      </c>
      <c r="P89" s="56">
        <f>IFERROR(_xlfn.XLOOKUP(C89,[2]Sheet1!$B:$B,[2]Sheet1!$L:$L),0)</f>
        <v>20919.770741072403</v>
      </c>
      <c r="Q89" s="56">
        <f>IFERROR(_xlfn.XLOOKUP(C89,[2]Sheet1!$B:$B,[2]Sheet1!$M:$M),0)</f>
        <v>0</v>
      </c>
      <c r="R89" s="57">
        <f t="shared" si="9"/>
        <v>-4071.9807410724025</v>
      </c>
      <c r="S89" s="57">
        <f t="shared" si="10"/>
        <v>-4071.9807410724025</v>
      </c>
      <c r="T89" s="57">
        <f t="shared" si="11"/>
        <v>0</v>
      </c>
      <c r="X89" s="6"/>
      <c r="Y89" s="6"/>
    </row>
    <row r="90" spans="1:25" x14ac:dyDescent="0.25">
      <c r="A90" s="76">
        <v>3.3080113721600499E+17</v>
      </c>
      <c r="B90" s="84" t="str">
        <f t="shared" si="6"/>
        <v>330801137216005000</v>
      </c>
      <c r="C90" s="3" t="s">
        <v>81</v>
      </c>
      <c r="D90" s="3" t="s">
        <v>32</v>
      </c>
      <c r="E90" s="2" t="s">
        <v>76</v>
      </c>
      <c r="F90" s="4" t="s">
        <v>12</v>
      </c>
      <c r="G90" s="4" t="s">
        <v>13</v>
      </c>
      <c r="H90" s="18" t="s">
        <v>168</v>
      </c>
      <c r="I90" s="18">
        <f>IFERROR(_xlfn.XLOOKUP(C90,[2]Sheet1!$B:$B,[2]Sheet1!$G:$G),0)</f>
        <v>1</v>
      </c>
      <c r="J90" s="18">
        <f>IFERROR(_xlfn.XLOOKUP(C90,[2]Sheet1!$B:$B,[2]Sheet1!$K:$K),0)</f>
        <v>1</v>
      </c>
      <c r="K90" s="18" t="b">
        <f t="shared" si="7"/>
        <v>1</v>
      </c>
      <c r="L90" s="55">
        <v>40353.213280005431</v>
      </c>
      <c r="M90" s="55">
        <f t="shared" si="8"/>
        <v>0</v>
      </c>
      <c r="N90" s="56">
        <f>IFERROR(_xlfn.XLOOKUP(C90,'[3]ECL CC May 25'!$A:$A,'[3]ECL CC May 25'!$C:$C),0)</f>
        <v>40353.213280005431</v>
      </c>
      <c r="O90" s="56">
        <v>43718.103839278374</v>
      </c>
      <c r="P90" s="56">
        <f>IFERROR(_xlfn.XLOOKUP(C90,[2]Sheet1!$B:$B,[2]Sheet1!$L:$L),0)</f>
        <v>0</v>
      </c>
      <c r="Q90" s="56">
        <f>IFERROR(_xlfn.XLOOKUP(C90,[2]Sheet1!$B:$B,[2]Sheet1!$M:$M),0)</f>
        <v>43718.103839278374</v>
      </c>
      <c r="R90" s="57">
        <f t="shared" si="9"/>
        <v>-3364.8905592729425</v>
      </c>
      <c r="S90" s="57">
        <f t="shared" si="10"/>
        <v>0</v>
      </c>
      <c r="T90" s="57">
        <f t="shared" si="11"/>
        <v>-3364.8905592729425</v>
      </c>
      <c r="X90" s="6"/>
      <c r="Y90" s="6"/>
    </row>
    <row r="91" spans="1:25" x14ac:dyDescent="0.25">
      <c r="A91" s="76">
        <v>3.3080113721600499E+17</v>
      </c>
      <c r="B91" s="84" t="str">
        <f t="shared" si="6"/>
        <v>330801137216005000</v>
      </c>
      <c r="C91" s="3" t="s">
        <v>82</v>
      </c>
      <c r="D91" s="3" t="s">
        <v>32</v>
      </c>
      <c r="E91" s="2" t="s">
        <v>76</v>
      </c>
      <c r="F91" s="4" t="s">
        <v>12</v>
      </c>
      <c r="G91" s="4" t="s">
        <v>13</v>
      </c>
      <c r="H91" s="18" t="s">
        <v>168</v>
      </c>
      <c r="I91" s="18">
        <f>IFERROR(_xlfn.XLOOKUP(C91,[2]Sheet1!$B:$B,[2]Sheet1!$G:$G),0)</f>
        <v>1</v>
      </c>
      <c r="J91" s="18">
        <f>IFERROR(_xlfn.XLOOKUP(C91,[2]Sheet1!$B:$B,[2]Sheet1!$K:$K),0)</f>
        <v>1</v>
      </c>
      <c r="K91" s="18" t="b">
        <f t="shared" si="7"/>
        <v>1</v>
      </c>
      <c r="L91" s="55">
        <v>21617.79282857434</v>
      </c>
      <c r="M91" s="55">
        <f t="shared" si="8"/>
        <v>0</v>
      </c>
      <c r="N91" s="56">
        <f>IFERROR(_xlfn.XLOOKUP(C91,'[3]ECL CC May 25'!$A:$A,'[3]ECL CC May 25'!$C:$C),0)</f>
        <v>21617.79282857434</v>
      </c>
      <c r="O91" s="56">
        <v>23420.412771041993</v>
      </c>
      <c r="P91" s="56">
        <f>IFERROR(_xlfn.XLOOKUP(C91,[2]Sheet1!$B:$B,[2]Sheet1!$L:$L),0)</f>
        <v>0</v>
      </c>
      <c r="Q91" s="56">
        <f>IFERROR(_xlfn.XLOOKUP(C91,[2]Sheet1!$B:$B,[2]Sheet1!$M:$M),0)</f>
        <v>23420.412771041993</v>
      </c>
      <c r="R91" s="57">
        <f t="shared" si="9"/>
        <v>-1802.6199424676524</v>
      </c>
      <c r="S91" s="57">
        <f t="shared" si="10"/>
        <v>0</v>
      </c>
      <c r="T91" s="57">
        <f t="shared" si="11"/>
        <v>-1802.6199424676524</v>
      </c>
      <c r="X91" s="6"/>
      <c r="Y91" s="6"/>
    </row>
    <row r="92" spans="1:25" x14ac:dyDescent="0.25">
      <c r="A92" s="76">
        <v>3.3080113721600499E+17</v>
      </c>
      <c r="B92" s="84" t="str">
        <f t="shared" si="6"/>
        <v>330801137216005000</v>
      </c>
      <c r="C92" s="3" t="s">
        <v>83</v>
      </c>
      <c r="D92" s="3" t="s">
        <v>32</v>
      </c>
      <c r="E92" s="2" t="s">
        <v>76</v>
      </c>
      <c r="F92" s="4" t="s">
        <v>12</v>
      </c>
      <c r="G92" s="4" t="s">
        <v>13</v>
      </c>
      <c r="H92" s="18" t="s">
        <v>168</v>
      </c>
      <c r="I92" s="18">
        <f>IFERROR(_xlfn.XLOOKUP(C92,[2]Sheet1!$B:$B,[2]Sheet1!$G:$G),0)</f>
        <v>1</v>
      </c>
      <c r="J92" s="18">
        <f>IFERROR(_xlfn.XLOOKUP(C92,[2]Sheet1!$B:$B,[2]Sheet1!$K:$K),0)</f>
        <v>1</v>
      </c>
      <c r="K92" s="18" t="b">
        <f t="shared" si="7"/>
        <v>1</v>
      </c>
      <c r="L92" s="55">
        <v>14669.879947112262</v>
      </c>
      <c r="M92" s="55">
        <f t="shared" si="8"/>
        <v>0</v>
      </c>
      <c r="N92" s="56">
        <f>IFERROR(_xlfn.XLOOKUP(C92,'[3]ECL CC May 25'!$A:$A,'[3]ECL CC May 25'!$C:$C),0)</f>
        <v>14669.879947112262</v>
      </c>
      <c r="O92" s="56">
        <v>15893.141653613446</v>
      </c>
      <c r="P92" s="56">
        <f>IFERROR(_xlfn.XLOOKUP(C92,[2]Sheet1!$B:$B,[2]Sheet1!$L:$L),0)</f>
        <v>0</v>
      </c>
      <c r="Q92" s="56">
        <f>IFERROR(_xlfn.XLOOKUP(C92,[2]Sheet1!$B:$B,[2]Sheet1!$M:$M),0)</f>
        <v>15893.141653613446</v>
      </c>
      <c r="R92" s="57">
        <f t="shared" si="9"/>
        <v>-1223.2617065011837</v>
      </c>
      <c r="S92" s="57">
        <f t="shared" si="10"/>
        <v>0</v>
      </c>
      <c r="T92" s="57">
        <f t="shared" si="11"/>
        <v>-1223.2617065011837</v>
      </c>
      <c r="X92" s="6"/>
      <c r="Y92" s="6"/>
    </row>
    <row r="93" spans="1:25" x14ac:dyDescent="0.25">
      <c r="A93" s="76">
        <v>3.3080113721600499E+17</v>
      </c>
      <c r="B93" s="84" t="str">
        <f t="shared" si="6"/>
        <v>330801137216005000</v>
      </c>
      <c r="C93" s="3" t="s">
        <v>84</v>
      </c>
      <c r="D93" s="3" t="s">
        <v>32</v>
      </c>
      <c r="E93" s="2" t="s">
        <v>76</v>
      </c>
      <c r="F93" s="4" t="s">
        <v>12</v>
      </c>
      <c r="G93" s="4" t="s">
        <v>13</v>
      </c>
      <c r="H93" s="18" t="s">
        <v>168</v>
      </c>
      <c r="I93" s="18">
        <f>IFERROR(_xlfn.XLOOKUP(C93,[2]Sheet1!$B:$B,[2]Sheet1!$G:$G),0)</f>
        <v>1</v>
      </c>
      <c r="J93" s="18">
        <f>IFERROR(_xlfn.XLOOKUP(C93,[2]Sheet1!$B:$B,[2]Sheet1!$K:$K),0)</f>
        <v>1</v>
      </c>
      <c r="K93" s="18" t="b">
        <f t="shared" si="7"/>
        <v>1</v>
      </c>
      <c r="L93" s="55">
        <v>4323.5585657148677</v>
      </c>
      <c r="M93" s="55">
        <f t="shared" si="8"/>
        <v>0</v>
      </c>
      <c r="N93" s="56">
        <f>IFERROR(_xlfn.XLOOKUP(C93,'[3]ECL CC May 25'!$A:$A,'[3]ECL CC May 25'!$C:$C),0)</f>
        <v>4323.5585657148677</v>
      </c>
      <c r="O93" s="56">
        <v>4684.0825542083985</v>
      </c>
      <c r="P93" s="56">
        <f>IFERROR(_xlfn.XLOOKUP(C93,[2]Sheet1!$B:$B,[2]Sheet1!$L:$L),0)</f>
        <v>0</v>
      </c>
      <c r="Q93" s="56">
        <f>IFERROR(_xlfn.XLOOKUP(C93,[2]Sheet1!$B:$B,[2]Sheet1!$M:$M),0)</f>
        <v>4684.0825542083985</v>
      </c>
      <c r="R93" s="57">
        <f t="shared" si="9"/>
        <v>-360.52398849353085</v>
      </c>
      <c r="S93" s="57">
        <f t="shared" si="10"/>
        <v>0</v>
      </c>
      <c r="T93" s="57">
        <f t="shared" si="11"/>
        <v>-360.52398849353085</v>
      </c>
      <c r="X93" s="6"/>
      <c r="Y93" s="6"/>
    </row>
    <row r="94" spans="1:25" x14ac:dyDescent="0.25">
      <c r="A94" s="76">
        <v>3.3080113721600499E+17</v>
      </c>
      <c r="B94" s="84" t="str">
        <f t="shared" si="6"/>
        <v>330801137216005000</v>
      </c>
      <c r="C94" s="3" t="s">
        <v>85</v>
      </c>
      <c r="D94" s="3" t="s">
        <v>32</v>
      </c>
      <c r="E94" s="2" t="s">
        <v>76</v>
      </c>
      <c r="F94" s="4" t="s">
        <v>12</v>
      </c>
      <c r="G94" s="4" t="s">
        <v>13</v>
      </c>
      <c r="H94" s="18" t="s">
        <v>168</v>
      </c>
      <c r="I94" s="18">
        <f>IFERROR(_xlfn.XLOOKUP(C94,[2]Sheet1!$B:$B,[2]Sheet1!$G:$G),0)</f>
        <v>1</v>
      </c>
      <c r="J94" s="18">
        <f>IFERROR(_xlfn.XLOOKUP(C94,[2]Sheet1!$B:$B,[2]Sheet1!$K:$K),0)</f>
        <v>1</v>
      </c>
      <c r="K94" s="18" t="b">
        <f t="shared" si="7"/>
        <v>1</v>
      </c>
      <c r="L94" s="55">
        <v>1441.1861885716223</v>
      </c>
      <c r="M94" s="55">
        <f t="shared" si="8"/>
        <v>0</v>
      </c>
      <c r="N94" s="56">
        <f>IFERROR(_xlfn.XLOOKUP(C94,'[3]ECL CC May 25'!$A:$A,'[3]ECL CC May 25'!$C:$C),0)</f>
        <v>1441.1861885716223</v>
      </c>
      <c r="O94" s="56">
        <v>1561.360851402799</v>
      </c>
      <c r="P94" s="56">
        <f>IFERROR(_xlfn.XLOOKUP(C94,[2]Sheet1!$B:$B,[2]Sheet1!$L:$L),0)</f>
        <v>0</v>
      </c>
      <c r="Q94" s="56">
        <f>IFERROR(_xlfn.XLOOKUP(C94,[2]Sheet1!$B:$B,[2]Sheet1!$M:$M),0)</f>
        <v>1561.360851402799</v>
      </c>
      <c r="R94" s="57">
        <f t="shared" si="9"/>
        <v>-120.17466283117665</v>
      </c>
      <c r="S94" s="57">
        <f t="shared" si="10"/>
        <v>0</v>
      </c>
      <c r="T94" s="57">
        <f t="shared" si="11"/>
        <v>-120.17466283117665</v>
      </c>
      <c r="X94" s="6"/>
      <c r="Y94" s="6"/>
    </row>
    <row r="95" spans="1:25" x14ac:dyDescent="0.25">
      <c r="A95" s="76">
        <v>3.3080113721600499E+17</v>
      </c>
      <c r="B95" s="84" t="str">
        <f t="shared" si="6"/>
        <v>330801137216005000</v>
      </c>
      <c r="C95" s="3" t="s">
        <v>86</v>
      </c>
      <c r="D95" s="3" t="s">
        <v>32</v>
      </c>
      <c r="E95" s="2" t="s">
        <v>76</v>
      </c>
      <c r="F95" s="4" t="s">
        <v>12</v>
      </c>
      <c r="G95" s="4" t="s">
        <v>13</v>
      </c>
      <c r="H95" s="18" t="s">
        <v>168</v>
      </c>
      <c r="I95" s="18">
        <f>IFERROR(_xlfn.XLOOKUP(C95,[2]Sheet1!$B:$B,[2]Sheet1!$G:$G),0)</f>
        <v>1</v>
      </c>
      <c r="J95" s="18">
        <f>IFERROR(_xlfn.XLOOKUP(C95,[2]Sheet1!$B:$B,[2]Sheet1!$K:$K),0)</f>
        <v>1</v>
      </c>
      <c r="K95" s="18" t="b">
        <f t="shared" si="7"/>
        <v>1</v>
      </c>
      <c r="L95" s="55">
        <v>960.79079238108159</v>
      </c>
      <c r="M95" s="55">
        <f t="shared" si="8"/>
        <v>0</v>
      </c>
      <c r="N95" s="56">
        <f>IFERROR(_xlfn.XLOOKUP(C95,'[3]ECL CC May 25'!$A:$A,'[3]ECL CC May 25'!$C:$C),0)</f>
        <v>960.79079238108159</v>
      </c>
      <c r="O95" s="56">
        <v>1040.9072342685326</v>
      </c>
      <c r="P95" s="56">
        <f>IFERROR(_xlfn.XLOOKUP(C95,[2]Sheet1!$B:$B,[2]Sheet1!$L:$L),0)</f>
        <v>0</v>
      </c>
      <c r="Q95" s="56">
        <f>IFERROR(_xlfn.XLOOKUP(C95,[2]Sheet1!$B:$B,[2]Sheet1!$M:$M),0)</f>
        <v>1040.9072342685326</v>
      </c>
      <c r="R95" s="57">
        <f t="shared" si="9"/>
        <v>-80.11644188745106</v>
      </c>
      <c r="S95" s="57">
        <f t="shared" si="10"/>
        <v>0</v>
      </c>
      <c r="T95" s="57">
        <f t="shared" si="11"/>
        <v>-80.11644188745106</v>
      </c>
      <c r="X95" s="6"/>
      <c r="Y95" s="6"/>
    </row>
    <row r="96" spans="1:25" x14ac:dyDescent="0.25">
      <c r="A96" s="76">
        <v>3.3080113721600499E+17</v>
      </c>
      <c r="B96" s="84" t="str">
        <f t="shared" si="6"/>
        <v>330801137216005000</v>
      </c>
      <c r="C96" s="3" t="s">
        <v>87</v>
      </c>
      <c r="D96" s="3" t="s">
        <v>32</v>
      </c>
      <c r="E96" s="2" t="s">
        <v>76</v>
      </c>
      <c r="F96" s="4" t="s">
        <v>12</v>
      </c>
      <c r="G96" s="4" t="s">
        <v>13</v>
      </c>
      <c r="H96" s="18" t="s">
        <v>168</v>
      </c>
      <c r="I96" s="18">
        <f>IFERROR(_xlfn.XLOOKUP(C96,[2]Sheet1!$B:$B,[2]Sheet1!$G:$G),0)</f>
        <v>1</v>
      </c>
      <c r="J96" s="18">
        <f>IFERROR(_xlfn.XLOOKUP(C96,[2]Sheet1!$B:$B,[2]Sheet1!$K:$K),0)</f>
        <v>1</v>
      </c>
      <c r="K96" s="18" t="b">
        <f t="shared" si="7"/>
        <v>1</v>
      </c>
      <c r="L96" s="55">
        <v>960.79079238108159</v>
      </c>
      <c r="M96" s="55">
        <f t="shared" si="8"/>
        <v>0</v>
      </c>
      <c r="N96" s="56">
        <f>IFERROR(_xlfn.XLOOKUP(C96,'[3]ECL CC May 25'!$A:$A,'[3]ECL CC May 25'!$C:$C),0)</f>
        <v>960.79079238108159</v>
      </c>
      <c r="O96" s="56">
        <v>1040.9072342685326</v>
      </c>
      <c r="P96" s="56">
        <f>IFERROR(_xlfn.XLOOKUP(C96,[2]Sheet1!$B:$B,[2]Sheet1!$L:$L),0)</f>
        <v>0</v>
      </c>
      <c r="Q96" s="56">
        <f>IFERROR(_xlfn.XLOOKUP(C96,[2]Sheet1!$B:$B,[2]Sheet1!$M:$M),0)</f>
        <v>1040.9072342685326</v>
      </c>
      <c r="R96" s="57">
        <f t="shared" si="9"/>
        <v>-80.11644188745106</v>
      </c>
      <c r="S96" s="57">
        <f t="shared" si="10"/>
        <v>0</v>
      </c>
      <c r="T96" s="57">
        <f t="shared" si="11"/>
        <v>-80.11644188745106</v>
      </c>
      <c r="X96" s="6"/>
      <c r="Y96" s="6"/>
    </row>
    <row r="97" spans="1:25" x14ac:dyDescent="0.25">
      <c r="A97" s="76">
        <v>3.3080113711703699E+17</v>
      </c>
      <c r="B97" s="84" t="str">
        <f t="shared" si="6"/>
        <v>330801137117037000</v>
      </c>
      <c r="C97" s="3" t="s">
        <v>88</v>
      </c>
      <c r="D97" s="3" t="s">
        <v>10</v>
      </c>
      <c r="E97" s="2" t="s">
        <v>89</v>
      </c>
      <c r="F97" s="4" t="s">
        <v>12</v>
      </c>
      <c r="G97" s="4" t="s">
        <v>13</v>
      </c>
      <c r="H97" s="18" t="s">
        <v>168</v>
      </c>
      <c r="I97" s="18">
        <f>IFERROR(_xlfn.XLOOKUP(C97,[2]Sheet1!$B:$B,[2]Sheet1!$G:$G),0)</f>
        <v>1</v>
      </c>
      <c r="J97" s="18">
        <f>IFERROR(_xlfn.XLOOKUP(C97,[2]Sheet1!$B:$B,[2]Sheet1!$K:$K),0)</f>
        <v>1</v>
      </c>
      <c r="K97" s="18" t="b">
        <f t="shared" si="7"/>
        <v>1</v>
      </c>
      <c r="L97" s="55">
        <v>775348.51</v>
      </c>
      <c r="M97" s="55">
        <f t="shared" si="8"/>
        <v>65581.227785492432</v>
      </c>
      <c r="N97" s="56">
        <f>IFERROR(_xlfn.XLOOKUP(C97,'[3]ECL CC May 25'!$A:$A,'[3]ECL CC May 25'!$C:$C),0)</f>
        <v>709767.28221450758</v>
      </c>
      <c r="O97" s="56">
        <v>768824.36564380373</v>
      </c>
      <c r="P97" s="56">
        <f>IFERROR(_xlfn.XLOOKUP(C97,[2]Sheet1!$B:$B,[2]Sheet1!$L:$L),0)</f>
        <v>0</v>
      </c>
      <c r="Q97" s="56">
        <f>IFERROR(_xlfn.XLOOKUP(C97,[2]Sheet1!$B:$B,[2]Sheet1!$M:$M),0)</f>
        <v>768824.36564380373</v>
      </c>
      <c r="R97" s="57">
        <f t="shared" si="9"/>
        <v>6524.1443561962806</v>
      </c>
      <c r="S97" s="57">
        <f t="shared" si="10"/>
        <v>65581.227785492432</v>
      </c>
      <c r="T97" s="57">
        <f t="shared" si="11"/>
        <v>-59057.083429296152</v>
      </c>
      <c r="X97" s="6"/>
      <c r="Y97" s="6"/>
    </row>
    <row r="98" spans="1:25" x14ac:dyDescent="0.25">
      <c r="A98" s="76">
        <v>3.3080213711203597E+17</v>
      </c>
      <c r="B98" s="84" t="str">
        <f t="shared" si="6"/>
        <v>330802137112036000</v>
      </c>
      <c r="C98" s="3">
        <v>501168</v>
      </c>
      <c r="D98" s="3" t="s">
        <v>10</v>
      </c>
      <c r="E98" s="2" t="s">
        <v>90</v>
      </c>
      <c r="F98" s="4" t="s">
        <v>31</v>
      </c>
      <c r="G98" s="4" t="s">
        <v>13</v>
      </c>
      <c r="H98" s="18" t="s">
        <v>167</v>
      </c>
      <c r="I98" s="18">
        <f>IFERROR(_xlfn.XLOOKUP(C98,[2]Sheet1!$B:$B,[2]Sheet1!$G:$G),0)</f>
        <v>1</v>
      </c>
      <c r="J98" s="18">
        <f>IFERROR(_xlfn.XLOOKUP(C98,[2]Sheet1!$B:$B,[2]Sheet1!$K:$K),0)</f>
        <v>1</v>
      </c>
      <c r="K98" s="18" t="b">
        <f t="shared" si="7"/>
        <v>1</v>
      </c>
      <c r="L98" s="55">
        <v>4053472.2708632043</v>
      </c>
      <c r="M98" s="55">
        <f t="shared" si="8"/>
        <v>2031282.9619449838</v>
      </c>
      <c r="N98" s="56">
        <f>IFERROR(_xlfn.XLOOKUP(C98,'[3]ECL CC May 25'!$A:$A,'[3]ECL CC May 25'!$C:$C),0)</f>
        <v>2022189.3089182205</v>
      </c>
      <c r="O98" s="56">
        <v>3807900.1927749692</v>
      </c>
      <c r="P98" s="56">
        <f>IFERROR(_xlfn.XLOOKUP(C98,[2]Sheet1!$B:$B,[2]Sheet1!$L:$L),0)</f>
        <v>2578354.3365908787</v>
      </c>
      <c r="Q98" s="56">
        <f>IFERROR(_xlfn.XLOOKUP(C98,[2]Sheet1!$B:$B,[2]Sheet1!$M:$M),0)</f>
        <v>1229545.8561840903</v>
      </c>
      <c r="R98" s="57">
        <f t="shared" si="9"/>
        <v>245572.07808823511</v>
      </c>
      <c r="S98" s="57">
        <f t="shared" si="10"/>
        <v>-547071.37464589486</v>
      </c>
      <c r="T98" s="57">
        <f t="shared" si="11"/>
        <v>792643.4527341302</v>
      </c>
      <c r="X98" s="6"/>
      <c r="Y98" s="6"/>
    </row>
    <row r="99" spans="1:25" x14ac:dyDescent="0.25">
      <c r="A99" s="76">
        <v>3.3080113711300698E+17</v>
      </c>
      <c r="B99" s="84" t="str">
        <f t="shared" si="6"/>
        <v>330801137113007000</v>
      </c>
      <c r="C99" s="3">
        <v>500694</v>
      </c>
      <c r="D99" s="3" t="s">
        <v>10</v>
      </c>
      <c r="E99" s="2" t="s">
        <v>91</v>
      </c>
      <c r="F99" s="4" t="s">
        <v>12</v>
      </c>
      <c r="G99" s="4" t="s">
        <v>13</v>
      </c>
      <c r="H99" s="18" t="s">
        <v>167</v>
      </c>
      <c r="I99" s="18">
        <f>IFERROR(_xlfn.XLOOKUP(C99,[2]Sheet1!$B:$B,[2]Sheet1!$G:$G),0)</f>
        <v>1</v>
      </c>
      <c r="J99" s="18">
        <f>IFERROR(_xlfn.XLOOKUP(C99,[2]Sheet1!$B:$B,[2]Sheet1!$K:$K),0)</f>
        <v>1</v>
      </c>
      <c r="K99" s="18" t="b">
        <f t="shared" si="7"/>
        <v>1</v>
      </c>
      <c r="L99" s="55">
        <v>2031271.74</v>
      </c>
      <c r="M99" s="55">
        <f t="shared" si="8"/>
        <v>1086062.4931692823</v>
      </c>
      <c r="N99" s="56">
        <f>IFERROR(_xlfn.XLOOKUP(C99,'[3]ECL CC May 25'!$A:$A,'[3]ECL CC May 25'!$C:$C),0)</f>
        <v>945209.24683071766</v>
      </c>
      <c r="O99" s="56">
        <v>2820184.3816919723</v>
      </c>
      <c r="P99" s="56">
        <f>IFERROR(_xlfn.XLOOKUP(C99,[2]Sheet1!$B:$B,[2]Sheet1!$L:$L),0)</f>
        <v>1770477.9408001937</v>
      </c>
      <c r="Q99" s="56">
        <f>IFERROR(_xlfn.XLOOKUP(C99,[2]Sheet1!$B:$B,[2]Sheet1!$M:$M),0)</f>
        <v>1049706.4408917786</v>
      </c>
      <c r="R99" s="57">
        <f t="shared" si="9"/>
        <v>-788912.64169197227</v>
      </c>
      <c r="S99" s="57">
        <f t="shared" si="10"/>
        <v>-684415.44763091137</v>
      </c>
      <c r="T99" s="57">
        <f t="shared" si="11"/>
        <v>-104497.1940610609</v>
      </c>
      <c r="X99" s="6"/>
      <c r="Y99" s="6"/>
    </row>
    <row r="100" spans="1:25" x14ac:dyDescent="0.25">
      <c r="A100" s="76">
        <v>3.3080113721200698E+17</v>
      </c>
      <c r="B100" s="84" t="str">
        <f t="shared" si="6"/>
        <v>330801137212007000</v>
      </c>
      <c r="C100" s="3">
        <v>500693</v>
      </c>
      <c r="D100" s="3" t="s">
        <v>32</v>
      </c>
      <c r="E100" s="2" t="s">
        <v>91</v>
      </c>
      <c r="F100" s="4" t="s">
        <v>12</v>
      </c>
      <c r="G100" s="4" t="s">
        <v>13</v>
      </c>
      <c r="H100" s="18" t="s">
        <v>167</v>
      </c>
      <c r="I100" s="18">
        <f>IFERROR(_xlfn.XLOOKUP(C100,[2]Sheet1!$B:$B,[2]Sheet1!$G:$G),0)</f>
        <v>1</v>
      </c>
      <c r="J100" s="18">
        <f>IFERROR(_xlfn.XLOOKUP(C100,[2]Sheet1!$B:$B,[2]Sheet1!$K:$K),0)</f>
        <v>1</v>
      </c>
      <c r="K100" s="18" t="b">
        <f t="shared" si="7"/>
        <v>1</v>
      </c>
      <c r="L100" s="55">
        <v>80280.72</v>
      </c>
      <c r="M100" s="55">
        <f t="shared" si="8"/>
        <v>47954.153929390937</v>
      </c>
      <c r="N100" s="56">
        <f>IFERROR(_xlfn.XLOOKUP(C100,'[3]ECL CC May 25'!$A:$A,'[3]ECL CC May 25'!$C:$C),0)</f>
        <v>32326.566070609064</v>
      </c>
      <c r="O100" s="56">
        <v>93815.886611034148</v>
      </c>
      <c r="P100" s="56">
        <f>IFERROR(_xlfn.XLOOKUP(C100,[2]Sheet1!$B:$B,[2]Sheet1!$L:$L),0)</f>
        <v>58896.489020061388</v>
      </c>
      <c r="Q100" s="56">
        <f>IFERROR(_xlfn.XLOOKUP(C100,[2]Sheet1!$B:$B,[2]Sheet1!$M:$M),0)</f>
        <v>34919.39759097276</v>
      </c>
      <c r="R100" s="57">
        <f t="shared" si="9"/>
        <v>-13535.166611034147</v>
      </c>
      <c r="S100" s="57">
        <f t="shared" si="10"/>
        <v>-10942.335090670451</v>
      </c>
      <c r="T100" s="57">
        <f t="shared" si="11"/>
        <v>-2592.8315203636957</v>
      </c>
      <c r="X100" s="6"/>
      <c r="Y100" s="6"/>
    </row>
    <row r="101" spans="1:25" x14ac:dyDescent="0.25">
      <c r="A101" s="76">
        <v>3.3080113711003699E+17</v>
      </c>
      <c r="B101" s="84" t="str">
        <f t="shared" si="6"/>
        <v>330801137110037000</v>
      </c>
      <c r="C101" s="3">
        <v>501175</v>
      </c>
      <c r="D101" s="3" t="s">
        <v>10</v>
      </c>
      <c r="E101" s="2" t="s">
        <v>92</v>
      </c>
      <c r="F101" s="4" t="s">
        <v>12</v>
      </c>
      <c r="G101" s="4" t="s">
        <v>13</v>
      </c>
      <c r="H101" s="18" t="s">
        <v>167</v>
      </c>
      <c r="I101" s="18">
        <f>IFERROR(_xlfn.XLOOKUP(C101,[2]Sheet1!$B:$B,[2]Sheet1!$G:$G),0)</f>
        <v>1</v>
      </c>
      <c r="J101" s="18">
        <f>IFERROR(_xlfn.XLOOKUP(C101,[2]Sheet1!$B:$B,[2]Sheet1!$K:$K),0)</f>
        <v>1</v>
      </c>
      <c r="K101" s="18" t="b">
        <f t="shared" si="7"/>
        <v>1</v>
      </c>
      <c r="L101" s="55">
        <v>58916.857659693109</v>
      </c>
      <c r="M101" s="55">
        <f t="shared" si="8"/>
        <v>21292.968330148004</v>
      </c>
      <c r="N101" s="56">
        <f>IFERROR(_xlfn.XLOOKUP(C101,'[3]ECL CC May 25'!$A:$A,'[3]ECL CC May 25'!$C:$C),0)</f>
        <v>37623.889329545105</v>
      </c>
      <c r="O101" s="56">
        <v>79090.051470827762</v>
      </c>
      <c r="P101" s="56">
        <f>IFERROR(_xlfn.XLOOKUP(C101,[2]Sheet1!$B:$B,[2]Sheet1!$L:$L),0)</f>
        <v>38412.739627994342</v>
      </c>
      <c r="Q101" s="56">
        <f>IFERROR(_xlfn.XLOOKUP(C101,[2]Sheet1!$B:$B,[2]Sheet1!$M:$M),0)</f>
        <v>40677.31184283342</v>
      </c>
      <c r="R101" s="57">
        <f t="shared" si="9"/>
        <v>-20173.193811134654</v>
      </c>
      <c r="S101" s="57">
        <f t="shared" si="10"/>
        <v>-17119.771297846339</v>
      </c>
      <c r="T101" s="57">
        <f t="shared" si="11"/>
        <v>-3053.4225132883148</v>
      </c>
      <c r="X101" s="6"/>
      <c r="Y101" s="6"/>
    </row>
    <row r="102" spans="1:25" x14ac:dyDescent="0.25">
      <c r="A102" s="76">
        <v>3.3080221810402502E+17</v>
      </c>
      <c r="B102" s="84" t="str">
        <f t="shared" si="6"/>
        <v>330802218104025000</v>
      </c>
      <c r="C102" s="3">
        <v>501026</v>
      </c>
      <c r="D102" s="3" t="s">
        <v>10</v>
      </c>
      <c r="E102" s="2" t="s">
        <v>93</v>
      </c>
      <c r="F102" s="4" t="s">
        <v>31</v>
      </c>
      <c r="G102" s="4" t="s">
        <v>22</v>
      </c>
      <c r="H102" s="18" t="s">
        <v>167</v>
      </c>
      <c r="I102" s="18">
        <f>IFERROR(_xlfn.XLOOKUP(C102,[2]Sheet1!$B:$B,[2]Sheet1!$G:$G),0)</f>
        <v>2</v>
      </c>
      <c r="J102" s="18">
        <f>IFERROR(_xlfn.XLOOKUP(C102,[2]Sheet1!$B:$B,[2]Sheet1!$K:$K),0)</f>
        <v>2</v>
      </c>
      <c r="K102" s="18" t="b">
        <f t="shared" si="7"/>
        <v>1</v>
      </c>
      <c r="L102" s="55">
        <v>468687.83863405947</v>
      </c>
      <c r="M102" s="55">
        <f t="shared" si="8"/>
        <v>468687.83863405947</v>
      </c>
      <c r="N102" s="56">
        <f>IFERROR(_xlfn.XLOOKUP(C102,'[3]ECL CC May 25'!$A:$A,'[3]ECL CC May 25'!$C:$C),0)</f>
        <v>0</v>
      </c>
      <c r="O102" s="56">
        <v>476271.88810696773</v>
      </c>
      <c r="P102" s="56">
        <f>IFERROR(_xlfn.XLOOKUP(C102,[2]Sheet1!$B:$B,[2]Sheet1!$L:$L),0)</f>
        <v>476271.88810696773</v>
      </c>
      <c r="Q102" s="56">
        <f>IFERROR(_xlfn.XLOOKUP(C102,[2]Sheet1!$B:$B,[2]Sheet1!$M:$M),0)</f>
        <v>0</v>
      </c>
      <c r="R102" s="57">
        <f t="shared" si="9"/>
        <v>-7584.0494729082566</v>
      </c>
      <c r="S102" s="57">
        <f t="shared" si="10"/>
        <v>-7584.0494729082566</v>
      </c>
      <c r="T102" s="57">
        <f t="shared" si="11"/>
        <v>0</v>
      </c>
      <c r="X102" s="6"/>
      <c r="Y102" s="6"/>
    </row>
    <row r="103" spans="1:25" x14ac:dyDescent="0.25">
      <c r="A103" s="76">
        <v>3.3080210520103002E+17</v>
      </c>
      <c r="B103" s="84" t="str">
        <f t="shared" si="6"/>
        <v>330802105201030000</v>
      </c>
      <c r="C103" s="3">
        <v>501096</v>
      </c>
      <c r="D103" s="3" t="s">
        <v>10</v>
      </c>
      <c r="E103" s="2" t="s">
        <v>94</v>
      </c>
      <c r="F103" s="4" t="s">
        <v>31</v>
      </c>
      <c r="G103" s="4" t="s">
        <v>13</v>
      </c>
      <c r="H103" s="18" t="s">
        <v>167</v>
      </c>
      <c r="I103" s="18">
        <f>IFERROR(_xlfn.XLOOKUP(C103,[2]Sheet1!$B:$B,[2]Sheet1!$G:$G),0)</f>
        <v>1</v>
      </c>
      <c r="J103" s="18">
        <f>IFERROR(_xlfn.XLOOKUP(C103,[2]Sheet1!$B:$B,[2]Sheet1!$K:$K),0)</f>
        <v>1</v>
      </c>
      <c r="K103" s="18" t="b">
        <f t="shared" si="7"/>
        <v>1</v>
      </c>
      <c r="L103" s="55">
        <v>887570.32283966674</v>
      </c>
      <c r="M103" s="55">
        <f t="shared" si="8"/>
        <v>887570.32283966674</v>
      </c>
      <c r="N103" s="56">
        <f>IFERROR(_xlfn.XLOOKUP(C103,'[3]ECL CC May 25'!$A:$A,'[3]ECL CC May 25'!$C:$C),0)</f>
        <v>0</v>
      </c>
      <c r="O103" s="56">
        <v>901447.04572925135</v>
      </c>
      <c r="P103" s="56">
        <f>IFERROR(_xlfn.XLOOKUP(C103,[2]Sheet1!$B:$B,[2]Sheet1!$L:$L),0)</f>
        <v>901447.04572925135</v>
      </c>
      <c r="Q103" s="56">
        <f>IFERROR(_xlfn.XLOOKUP(C103,[2]Sheet1!$B:$B,[2]Sheet1!$M:$M),0)</f>
        <v>0</v>
      </c>
      <c r="R103" s="57">
        <f t="shared" si="9"/>
        <v>-13876.722889584606</v>
      </c>
      <c r="S103" s="57">
        <f t="shared" si="10"/>
        <v>-13876.722889584606</v>
      </c>
      <c r="T103" s="57">
        <f t="shared" si="11"/>
        <v>0</v>
      </c>
      <c r="X103" s="6"/>
      <c r="Y103" s="6"/>
    </row>
    <row r="104" spans="1:25" x14ac:dyDescent="0.25">
      <c r="A104" s="76">
        <v>3.3080113711003098E+17</v>
      </c>
      <c r="B104" s="84" t="str">
        <f t="shared" si="6"/>
        <v>330801137110031000</v>
      </c>
      <c r="C104" s="3">
        <v>501110</v>
      </c>
      <c r="D104" s="3" t="s">
        <v>10</v>
      </c>
      <c r="E104" s="2" t="s">
        <v>95</v>
      </c>
      <c r="F104" s="4" t="s">
        <v>12</v>
      </c>
      <c r="G104" s="4" t="s">
        <v>13</v>
      </c>
      <c r="H104" s="18" t="s">
        <v>167</v>
      </c>
      <c r="I104" s="18">
        <f>IFERROR(_xlfn.XLOOKUP(C104,[2]Sheet1!$B:$B,[2]Sheet1!$G:$G),0)</f>
        <v>1</v>
      </c>
      <c r="J104" s="18">
        <f>IFERROR(_xlfn.XLOOKUP(C104,[2]Sheet1!$B:$B,[2]Sheet1!$K:$K),0)</f>
        <v>1</v>
      </c>
      <c r="K104" s="18" t="b">
        <f t="shared" si="7"/>
        <v>1</v>
      </c>
      <c r="L104" s="55">
        <v>201333.58964028483</v>
      </c>
      <c r="M104" s="55">
        <f t="shared" si="8"/>
        <v>95113.430411704263</v>
      </c>
      <c r="N104" s="56">
        <f>IFERROR(_xlfn.XLOOKUP(C104,'[3]ECL CC May 25'!$A:$A,'[3]ECL CC May 25'!$C:$C),0)</f>
        <v>106220.15922858057</v>
      </c>
      <c r="O104" s="56">
        <v>207832.7766772176</v>
      </c>
      <c r="P104" s="56">
        <f>IFERROR(_xlfn.XLOOKUP(C104,[2]Sheet1!$B:$B,[2]Sheet1!$L:$L),0)</f>
        <v>101160.47916078519</v>
      </c>
      <c r="Q104" s="56">
        <f>IFERROR(_xlfn.XLOOKUP(C104,[2]Sheet1!$B:$B,[2]Sheet1!$M:$M),0)</f>
        <v>106672.2975164324</v>
      </c>
      <c r="R104" s="57">
        <f t="shared" si="9"/>
        <v>-6499.1870369327662</v>
      </c>
      <c r="S104" s="57">
        <f t="shared" si="10"/>
        <v>-6047.0487490809319</v>
      </c>
      <c r="T104" s="57">
        <f t="shared" si="11"/>
        <v>-452.13828785183432</v>
      </c>
      <c r="X104" s="6"/>
      <c r="Y104" s="6"/>
    </row>
    <row r="105" spans="1:25" x14ac:dyDescent="0.25">
      <c r="A105" s="76">
        <v>3.3080113711004E+17</v>
      </c>
      <c r="B105" s="84" t="str">
        <f t="shared" si="6"/>
        <v>330801137110040000</v>
      </c>
      <c r="C105" s="3">
        <v>501224</v>
      </c>
      <c r="D105" s="3" t="s">
        <v>10</v>
      </c>
      <c r="E105" s="2" t="s">
        <v>95</v>
      </c>
      <c r="F105" s="4" t="s">
        <v>12</v>
      </c>
      <c r="G105" s="4" t="s">
        <v>13</v>
      </c>
      <c r="H105" s="18" t="s">
        <v>167</v>
      </c>
      <c r="I105" s="18">
        <f>IFERROR(_xlfn.XLOOKUP(C105,[2]Sheet1!$B:$B,[2]Sheet1!$G:$G),0)</f>
        <v>1</v>
      </c>
      <c r="J105" s="18">
        <f>IFERROR(_xlfn.XLOOKUP(C105,[2]Sheet1!$B:$B,[2]Sheet1!$K:$K),0)</f>
        <v>1</v>
      </c>
      <c r="K105" s="18" t="b">
        <f t="shared" si="7"/>
        <v>1</v>
      </c>
      <c r="L105" s="55">
        <v>317666.52929905721</v>
      </c>
      <c r="M105" s="55">
        <f t="shared" si="8"/>
        <v>174101.31362396086</v>
      </c>
      <c r="N105" s="56">
        <f>IFERROR(_xlfn.XLOOKUP(C105,'[3]ECL CC May 25'!$A:$A,'[3]ECL CC May 25'!$C:$C),0)</f>
        <v>143565.21567509635</v>
      </c>
      <c r="O105" s="56">
        <v>316827.55577815278</v>
      </c>
      <c r="P105" s="56">
        <f>IFERROR(_xlfn.XLOOKUP(C105,[2]Sheet1!$B:$B,[2]Sheet1!$L:$L),0)</f>
        <v>162000.77950227662</v>
      </c>
      <c r="Q105" s="56">
        <f>IFERROR(_xlfn.XLOOKUP(C105,[2]Sheet1!$B:$B,[2]Sheet1!$M:$M),0)</f>
        <v>154826.77627587615</v>
      </c>
      <c r="R105" s="57">
        <f t="shared" si="9"/>
        <v>838.97352090443019</v>
      </c>
      <c r="S105" s="57">
        <f t="shared" si="10"/>
        <v>12100.534121684235</v>
      </c>
      <c r="T105" s="57">
        <f t="shared" si="11"/>
        <v>-11261.560600779805</v>
      </c>
      <c r="X105" s="6"/>
      <c r="Y105" s="6"/>
    </row>
    <row r="106" spans="1:25" x14ac:dyDescent="0.25">
      <c r="A106" s="76">
        <v>3.3080113710703603E+17</v>
      </c>
      <c r="B106" s="84" t="str">
        <f t="shared" si="6"/>
        <v>330801137107036000</v>
      </c>
      <c r="C106" s="3">
        <v>501170</v>
      </c>
      <c r="D106" s="3" t="s">
        <v>10</v>
      </c>
      <c r="E106" s="2" t="s">
        <v>96</v>
      </c>
      <c r="F106" s="4" t="s">
        <v>12</v>
      </c>
      <c r="G106" s="4" t="s">
        <v>13</v>
      </c>
      <c r="H106" s="18" t="s">
        <v>167</v>
      </c>
      <c r="I106" s="18">
        <f>IFERROR(_xlfn.XLOOKUP(C106,[2]Sheet1!$B:$B,[2]Sheet1!$G:$G),0)</f>
        <v>1</v>
      </c>
      <c r="J106" s="18">
        <f>IFERROR(_xlfn.XLOOKUP(C106,[2]Sheet1!$B:$B,[2]Sheet1!$K:$K),0)</f>
        <v>1</v>
      </c>
      <c r="K106" s="18" t="b">
        <f t="shared" si="7"/>
        <v>1</v>
      </c>
      <c r="L106" s="55">
        <v>16078.46065808922</v>
      </c>
      <c r="M106" s="55">
        <f t="shared" si="8"/>
        <v>16078.46065808922</v>
      </c>
      <c r="N106" s="56">
        <f>IFERROR(_xlfn.XLOOKUP(C106,'[3]ECL CC May 25'!$A:$A,'[3]ECL CC May 25'!$C:$C),0)</f>
        <v>0</v>
      </c>
      <c r="O106" s="56">
        <v>16404.53587186493</v>
      </c>
      <c r="P106" s="56">
        <f>IFERROR(_xlfn.XLOOKUP(C106,[2]Sheet1!$B:$B,[2]Sheet1!$L:$L),0)</f>
        <v>16404.53587186493</v>
      </c>
      <c r="Q106" s="56">
        <f>IFERROR(_xlfn.XLOOKUP(C106,[2]Sheet1!$B:$B,[2]Sheet1!$M:$M),0)</f>
        <v>0</v>
      </c>
      <c r="R106" s="57">
        <f t="shared" si="9"/>
        <v>-326.07521377570993</v>
      </c>
      <c r="S106" s="57">
        <f t="shared" si="10"/>
        <v>-326.07521377570993</v>
      </c>
      <c r="T106" s="57">
        <f t="shared" si="11"/>
        <v>0</v>
      </c>
      <c r="X106" s="6"/>
      <c r="Y106" s="6"/>
    </row>
    <row r="107" spans="1:25" x14ac:dyDescent="0.25">
      <c r="A107" s="76">
        <v>3.3080113711003898E+17</v>
      </c>
      <c r="B107" s="84" t="str">
        <f t="shared" si="6"/>
        <v>330801137110039000</v>
      </c>
      <c r="C107" s="3">
        <v>501169</v>
      </c>
      <c r="D107" s="3" t="s">
        <v>10</v>
      </c>
      <c r="E107" s="2" t="s">
        <v>96</v>
      </c>
      <c r="F107" s="4" t="s">
        <v>12</v>
      </c>
      <c r="G107" s="4" t="s">
        <v>13</v>
      </c>
      <c r="H107" s="18" t="s">
        <v>167</v>
      </c>
      <c r="I107" s="18">
        <f>IFERROR(_xlfn.XLOOKUP(C107,[2]Sheet1!$B:$B,[2]Sheet1!$G:$G),0)</f>
        <v>1</v>
      </c>
      <c r="J107" s="18">
        <f>IFERROR(_xlfn.XLOOKUP(C107,[2]Sheet1!$B:$B,[2]Sheet1!$K:$K),0)</f>
        <v>1</v>
      </c>
      <c r="K107" s="18" t="b">
        <f t="shared" si="7"/>
        <v>1</v>
      </c>
      <c r="L107" s="55">
        <v>36809.097141986771</v>
      </c>
      <c r="M107" s="55">
        <f t="shared" si="8"/>
        <v>14273.463192945932</v>
      </c>
      <c r="N107" s="56">
        <f>IFERROR(_xlfn.XLOOKUP(C107,'[3]ECL CC May 25'!$A:$A,'[3]ECL CC May 25'!$C:$C),0)</f>
        <v>22535.633949040839</v>
      </c>
      <c r="O107" s="56">
        <v>36000.273963039057</v>
      </c>
      <c r="P107" s="56">
        <f>IFERROR(_xlfn.XLOOKUP(C107,[2]Sheet1!$B:$B,[2]Sheet1!$L:$L),0)</f>
        <v>11635.727233383852</v>
      </c>
      <c r="Q107" s="56">
        <f>IFERROR(_xlfn.XLOOKUP(C107,[2]Sheet1!$B:$B,[2]Sheet1!$M:$M),0)</f>
        <v>24364.546729655205</v>
      </c>
      <c r="R107" s="57">
        <f t="shared" si="9"/>
        <v>808.82317894771404</v>
      </c>
      <c r="S107" s="57">
        <f t="shared" si="10"/>
        <v>2637.7359595620801</v>
      </c>
      <c r="T107" s="57">
        <f t="shared" si="11"/>
        <v>-1828.9127806143661</v>
      </c>
      <c r="X107" s="6"/>
      <c r="Y107" s="6"/>
    </row>
    <row r="108" spans="1:25" x14ac:dyDescent="0.25">
      <c r="A108" s="76">
        <v>3.3080113711004E+17</v>
      </c>
      <c r="B108" s="84" t="str">
        <f t="shared" si="6"/>
        <v>330801137110040000</v>
      </c>
      <c r="C108" s="3">
        <v>501218</v>
      </c>
      <c r="D108" s="3" t="s">
        <v>10</v>
      </c>
      <c r="E108" s="2" t="s">
        <v>97</v>
      </c>
      <c r="F108" s="4" t="s">
        <v>12</v>
      </c>
      <c r="G108" s="4" t="s">
        <v>13</v>
      </c>
      <c r="H108" s="18" t="s">
        <v>167</v>
      </c>
      <c r="I108" s="18">
        <f>IFERROR(_xlfn.XLOOKUP(C108,[2]Sheet1!$B:$B,[2]Sheet1!$G:$G),0)</f>
        <v>1</v>
      </c>
      <c r="J108" s="18">
        <f>IFERROR(_xlfn.XLOOKUP(C108,[2]Sheet1!$B:$B,[2]Sheet1!$K:$K),0)</f>
        <v>1</v>
      </c>
      <c r="K108" s="18" t="b">
        <f t="shared" si="7"/>
        <v>1</v>
      </c>
      <c r="L108" s="55">
        <v>161620.56257799454</v>
      </c>
      <c r="M108" s="55">
        <f t="shared" si="8"/>
        <v>122808.03872286264</v>
      </c>
      <c r="N108" s="56">
        <f>IFERROR(_xlfn.XLOOKUP(C108,'[3]ECL CC May 25'!$A:$A,'[3]ECL CC May 25'!$C:$C),0)</f>
        <v>38812.523855131898</v>
      </c>
      <c r="O108" s="56">
        <v>151621.53697088367</v>
      </c>
      <c r="P108" s="56">
        <f>IFERROR(_xlfn.XLOOKUP(C108,[2]Sheet1!$B:$B,[2]Sheet1!$L:$L),0)</f>
        <v>109734.88481234686</v>
      </c>
      <c r="Q108" s="56">
        <f>IFERROR(_xlfn.XLOOKUP(C108,[2]Sheet1!$B:$B,[2]Sheet1!$M:$M),0)</f>
        <v>41886.652158536803</v>
      </c>
      <c r="R108" s="57">
        <f t="shared" si="9"/>
        <v>9999.0256071108743</v>
      </c>
      <c r="S108" s="57">
        <f t="shared" si="10"/>
        <v>13073.153910515772</v>
      </c>
      <c r="T108" s="57">
        <f t="shared" si="11"/>
        <v>-3074.1283034049047</v>
      </c>
      <c r="X108" s="6"/>
      <c r="Y108" s="6"/>
    </row>
    <row r="109" spans="1:25" x14ac:dyDescent="0.25">
      <c r="A109" s="76">
        <v>3.3080113710702003E+17</v>
      </c>
      <c r="B109" s="84" t="str">
        <f t="shared" si="6"/>
        <v>330801137107020000</v>
      </c>
      <c r="C109" s="3">
        <v>500941</v>
      </c>
      <c r="D109" s="3" t="s">
        <v>10</v>
      </c>
      <c r="E109" s="2" t="s">
        <v>98</v>
      </c>
      <c r="F109" s="4" t="s">
        <v>12</v>
      </c>
      <c r="G109" s="4" t="s">
        <v>22</v>
      </c>
      <c r="H109" s="18" t="s">
        <v>167</v>
      </c>
      <c r="I109" s="18">
        <f>IFERROR(_xlfn.XLOOKUP(C109,[2]Sheet1!$B:$B,[2]Sheet1!$G:$G),0)</f>
        <v>2</v>
      </c>
      <c r="J109" s="18">
        <f>IFERROR(_xlfn.XLOOKUP(C109,[2]Sheet1!$B:$B,[2]Sheet1!$K:$K),0)</f>
        <v>2</v>
      </c>
      <c r="K109" s="18" t="b">
        <f t="shared" si="7"/>
        <v>1</v>
      </c>
      <c r="L109" s="55">
        <v>85396.030191233571</v>
      </c>
      <c r="M109" s="55">
        <f t="shared" si="8"/>
        <v>85396.030191233571</v>
      </c>
      <c r="N109" s="56">
        <f>IFERROR(_xlfn.XLOOKUP(C109,'[3]ECL CC May 25'!$A:$A,'[3]ECL CC May 25'!$C:$C),0)</f>
        <v>0</v>
      </c>
      <c r="O109" s="56">
        <v>138860.46981681223</v>
      </c>
      <c r="P109" s="56">
        <f>IFERROR(_xlfn.XLOOKUP(C109,[2]Sheet1!$B:$B,[2]Sheet1!$L:$L),0)</f>
        <v>138860.46981681223</v>
      </c>
      <c r="Q109" s="56">
        <f>IFERROR(_xlfn.XLOOKUP(C109,[2]Sheet1!$B:$B,[2]Sheet1!$M:$M),0)</f>
        <v>0</v>
      </c>
      <c r="R109" s="57">
        <f t="shared" si="9"/>
        <v>-53464.439625578656</v>
      </c>
      <c r="S109" s="57">
        <f t="shared" si="10"/>
        <v>-53464.439625578656</v>
      </c>
      <c r="T109" s="57">
        <f t="shared" si="11"/>
        <v>0</v>
      </c>
      <c r="X109" s="6"/>
      <c r="Y109" s="6"/>
    </row>
    <row r="110" spans="1:25" x14ac:dyDescent="0.25">
      <c r="A110" s="76">
        <v>3.3080113710702003E+17</v>
      </c>
      <c r="B110" s="84" t="str">
        <f t="shared" si="6"/>
        <v>330801137107020000</v>
      </c>
      <c r="C110" s="3">
        <v>500943</v>
      </c>
      <c r="D110" s="3" t="s">
        <v>10</v>
      </c>
      <c r="E110" s="2" t="s">
        <v>98</v>
      </c>
      <c r="F110" s="4" t="s">
        <v>12</v>
      </c>
      <c r="G110" s="4" t="s">
        <v>22</v>
      </c>
      <c r="H110" s="18" t="s">
        <v>167</v>
      </c>
      <c r="I110" s="18">
        <f>IFERROR(_xlfn.XLOOKUP(C110,[2]Sheet1!$B:$B,[2]Sheet1!$G:$G),0)</f>
        <v>2</v>
      </c>
      <c r="J110" s="18">
        <f>IFERROR(_xlfn.XLOOKUP(C110,[2]Sheet1!$B:$B,[2]Sheet1!$K:$K),0)</f>
        <v>2</v>
      </c>
      <c r="K110" s="18" t="b">
        <f t="shared" si="7"/>
        <v>1</v>
      </c>
      <c r="L110" s="55">
        <v>3151508.81</v>
      </c>
      <c r="M110" s="55">
        <f t="shared" si="8"/>
        <v>2720204.708939306</v>
      </c>
      <c r="N110" s="56">
        <f>IFERROR(_xlfn.XLOOKUP(C110,'[3]ECL CC May 25'!$A:$A,'[3]ECL CC May 25'!$C:$C),0)</f>
        <v>431304.10106069391</v>
      </c>
      <c r="O110" s="56">
        <v>3183900.5882844338</v>
      </c>
      <c r="P110" s="56">
        <f>IFERROR(_xlfn.XLOOKUP(C110,[2]Sheet1!$B:$B,[2]Sheet1!$L:$L),0)</f>
        <v>2764311.9167424692</v>
      </c>
      <c r="Q110" s="56">
        <f>IFERROR(_xlfn.XLOOKUP(C110,[2]Sheet1!$B:$B,[2]Sheet1!$M:$M),0)</f>
        <v>419588.67154196458</v>
      </c>
      <c r="R110" s="57">
        <f t="shared" si="9"/>
        <v>-32391.778284433763</v>
      </c>
      <c r="S110" s="57">
        <f t="shared" si="10"/>
        <v>-44107.207803163212</v>
      </c>
      <c r="T110" s="57">
        <f t="shared" si="11"/>
        <v>11715.429518729332</v>
      </c>
      <c r="X110" s="6"/>
      <c r="Y110" s="6"/>
    </row>
    <row r="111" spans="1:25" x14ac:dyDescent="0.25">
      <c r="A111" s="76">
        <v>3.3080113710703098E+17</v>
      </c>
      <c r="B111" s="84" t="str">
        <f t="shared" si="6"/>
        <v>330801137107031000</v>
      </c>
      <c r="C111" s="3">
        <v>501118</v>
      </c>
      <c r="D111" s="3" t="s">
        <v>10</v>
      </c>
      <c r="E111" s="2" t="s">
        <v>99</v>
      </c>
      <c r="F111" s="4" t="s">
        <v>12</v>
      </c>
      <c r="G111" s="4" t="s">
        <v>13</v>
      </c>
      <c r="H111" s="18" t="s">
        <v>167</v>
      </c>
      <c r="I111" s="18">
        <f>IFERROR(_xlfn.XLOOKUP(C111,[2]Sheet1!$B:$B,[2]Sheet1!$G:$G),0)</f>
        <v>1</v>
      </c>
      <c r="J111" s="18">
        <f>IFERROR(_xlfn.XLOOKUP(C111,[2]Sheet1!$B:$B,[2]Sheet1!$K:$K),0)</f>
        <v>1</v>
      </c>
      <c r="K111" s="18" t="b">
        <f t="shared" si="7"/>
        <v>1</v>
      </c>
      <c r="L111" s="55">
        <v>141697.89857269789</v>
      </c>
      <c r="M111" s="55">
        <f t="shared" si="8"/>
        <v>141697.89857269789</v>
      </c>
      <c r="N111" s="56">
        <f>IFERROR(_xlfn.XLOOKUP(C111,'[3]ECL CC May 25'!$A:$A,'[3]ECL CC May 25'!$C:$C),0)</f>
        <v>0</v>
      </c>
      <c r="O111" s="56">
        <v>145268.17170220448</v>
      </c>
      <c r="P111" s="56">
        <f>IFERROR(_xlfn.XLOOKUP(C111,[2]Sheet1!$B:$B,[2]Sheet1!$L:$L),0)</f>
        <v>145268.17170220448</v>
      </c>
      <c r="Q111" s="56">
        <f>IFERROR(_xlfn.XLOOKUP(C111,[2]Sheet1!$B:$B,[2]Sheet1!$M:$M),0)</f>
        <v>0</v>
      </c>
      <c r="R111" s="57">
        <f t="shared" si="9"/>
        <v>-3570.2731295065896</v>
      </c>
      <c r="S111" s="57">
        <f t="shared" si="10"/>
        <v>-3570.2731295065896</v>
      </c>
      <c r="T111" s="57">
        <f t="shared" si="11"/>
        <v>0</v>
      </c>
      <c r="X111" s="6"/>
      <c r="Y111" s="6"/>
    </row>
    <row r="112" spans="1:25" x14ac:dyDescent="0.25">
      <c r="A112" s="76">
        <v>3.308021072E+17</v>
      </c>
      <c r="B112" s="84" t="str">
        <f t="shared" si="6"/>
        <v>330802107200000000</v>
      </c>
      <c r="C112" s="3">
        <v>500400</v>
      </c>
      <c r="D112" s="3" t="s">
        <v>32</v>
      </c>
      <c r="E112" s="2" t="s">
        <v>100</v>
      </c>
      <c r="F112" s="4" t="s">
        <v>31</v>
      </c>
      <c r="G112" s="4" t="s">
        <v>13</v>
      </c>
      <c r="H112" s="18" t="s">
        <v>167</v>
      </c>
      <c r="I112" s="18">
        <f>IFERROR(_xlfn.XLOOKUP(C112,[2]Sheet1!$B:$B,[2]Sheet1!$G:$G),0)</f>
        <v>1</v>
      </c>
      <c r="J112" s="18">
        <f>IFERROR(_xlfn.XLOOKUP(C112,[2]Sheet1!$B:$B,[2]Sheet1!$K:$K),0)</f>
        <v>1</v>
      </c>
      <c r="K112" s="18" t="b">
        <f t="shared" si="7"/>
        <v>1</v>
      </c>
      <c r="L112" s="55">
        <v>45465.966055331119</v>
      </c>
      <c r="M112" s="55">
        <f t="shared" si="8"/>
        <v>45465.966055331119</v>
      </c>
      <c r="N112" s="56">
        <f>IFERROR(_xlfn.XLOOKUP(C112,'[3]ECL CC May 25'!$A:$A,'[3]ECL CC May 25'!$C:$C),0)</f>
        <v>0</v>
      </c>
      <c r="O112" s="56">
        <v>45962.847280548303</v>
      </c>
      <c r="P112" s="56">
        <f>IFERROR(_xlfn.XLOOKUP(C112,[2]Sheet1!$B:$B,[2]Sheet1!$L:$L),0)</f>
        <v>45962.847280548303</v>
      </c>
      <c r="Q112" s="56">
        <f>IFERROR(_xlfn.XLOOKUP(C112,[2]Sheet1!$B:$B,[2]Sheet1!$M:$M),0)</f>
        <v>0</v>
      </c>
      <c r="R112" s="57">
        <f t="shared" si="9"/>
        <v>-496.88122521718469</v>
      </c>
      <c r="S112" s="57">
        <f t="shared" si="10"/>
        <v>-496.88122521718469</v>
      </c>
      <c r="T112" s="57">
        <f t="shared" si="11"/>
        <v>0</v>
      </c>
      <c r="X112" s="6"/>
      <c r="Y112" s="6"/>
    </row>
    <row r="113" spans="1:25" x14ac:dyDescent="0.25">
      <c r="A113" s="76">
        <v>3.3080220320000198E+17</v>
      </c>
      <c r="B113" s="84" t="str">
        <f t="shared" si="6"/>
        <v>330802203200002000</v>
      </c>
      <c r="C113" s="3">
        <v>500401</v>
      </c>
      <c r="D113" s="3" t="s">
        <v>32</v>
      </c>
      <c r="E113" s="2" t="s">
        <v>101</v>
      </c>
      <c r="F113" s="4" t="s">
        <v>31</v>
      </c>
      <c r="G113" s="4" t="s">
        <v>22</v>
      </c>
      <c r="H113" s="18" t="s">
        <v>167</v>
      </c>
      <c r="I113" s="18">
        <f>IFERROR(_xlfn.XLOOKUP(C113,[2]Sheet1!$B:$B,[2]Sheet1!$G:$G),0)</f>
        <v>2</v>
      </c>
      <c r="J113" s="18">
        <f>IFERROR(_xlfn.XLOOKUP(C113,[2]Sheet1!$B:$B,[2]Sheet1!$K:$K),0)</f>
        <v>2</v>
      </c>
      <c r="K113" s="18" t="b">
        <f t="shared" si="7"/>
        <v>1</v>
      </c>
      <c r="L113" s="55">
        <v>83963.900851198196</v>
      </c>
      <c r="M113" s="55">
        <f t="shared" si="8"/>
        <v>83963.900851198196</v>
      </c>
      <c r="N113" s="56">
        <f>IFERROR(_xlfn.XLOOKUP(C113,'[3]ECL CC May 25'!$A:$A,'[3]ECL CC May 25'!$C:$C),0)</f>
        <v>0</v>
      </c>
      <c r="O113" s="56">
        <v>86910.504478372619</v>
      </c>
      <c r="P113" s="56">
        <f>IFERROR(_xlfn.XLOOKUP(C113,[2]Sheet1!$B:$B,[2]Sheet1!$L:$L),0)</f>
        <v>86910.504478372619</v>
      </c>
      <c r="Q113" s="56">
        <f>IFERROR(_xlfn.XLOOKUP(C113,[2]Sheet1!$B:$B,[2]Sheet1!$M:$M),0)</f>
        <v>0</v>
      </c>
      <c r="R113" s="57">
        <f t="shared" si="9"/>
        <v>-2946.6036271744233</v>
      </c>
      <c r="S113" s="57">
        <f t="shared" si="10"/>
        <v>-2946.6036271744233</v>
      </c>
      <c r="T113" s="57">
        <f t="shared" si="11"/>
        <v>0</v>
      </c>
      <c r="X113" s="6"/>
      <c r="Y113" s="6"/>
    </row>
    <row r="114" spans="1:25" x14ac:dyDescent="0.25">
      <c r="A114" s="76">
        <v>3.3080113710703802E+17</v>
      </c>
      <c r="B114" s="84" t="str">
        <f t="shared" si="6"/>
        <v>330801137107038000</v>
      </c>
      <c r="C114" s="3">
        <v>501203</v>
      </c>
      <c r="D114" s="3" t="s">
        <v>10</v>
      </c>
      <c r="E114" s="2" t="s">
        <v>102</v>
      </c>
      <c r="F114" s="4" t="s">
        <v>12</v>
      </c>
      <c r="G114" s="4" t="s">
        <v>13</v>
      </c>
      <c r="H114" s="18" t="s">
        <v>167</v>
      </c>
      <c r="I114" s="18">
        <f>IFERROR(_xlfn.XLOOKUP(C114,[2]Sheet1!$B:$B,[2]Sheet1!$G:$G),0)</f>
        <v>1</v>
      </c>
      <c r="J114" s="18">
        <f>IFERROR(_xlfn.XLOOKUP(C114,[2]Sheet1!$B:$B,[2]Sheet1!$K:$K),0)</f>
        <v>1</v>
      </c>
      <c r="K114" s="18" t="b">
        <f t="shared" si="7"/>
        <v>1</v>
      </c>
      <c r="L114" s="55">
        <v>5130.9624386547393</v>
      </c>
      <c r="M114" s="55">
        <f t="shared" si="8"/>
        <v>5082.7398049690992</v>
      </c>
      <c r="N114" s="56">
        <f>IFERROR(_xlfn.XLOOKUP(C114,'[3]ECL CC May 25'!$A:$A,'[3]ECL CC May 25'!$C:$C),0)</f>
        <v>48.222633685639877</v>
      </c>
      <c r="O114" s="56">
        <v>5363.6682101997812</v>
      </c>
      <c r="P114" s="56">
        <f>IFERROR(_xlfn.XLOOKUP(C114,[2]Sheet1!$B:$B,[2]Sheet1!$L:$L),0)</f>
        <v>5316.0525569732545</v>
      </c>
      <c r="Q114" s="56">
        <f>IFERROR(_xlfn.XLOOKUP(C114,[2]Sheet1!$B:$B,[2]Sheet1!$M:$M),0)</f>
        <v>47.615653226526746</v>
      </c>
      <c r="R114" s="57">
        <f t="shared" si="9"/>
        <v>-232.7057715450419</v>
      </c>
      <c r="S114" s="57">
        <f t="shared" si="10"/>
        <v>-233.3127520041553</v>
      </c>
      <c r="T114" s="57">
        <f t="shared" si="11"/>
        <v>0.60698045911313159</v>
      </c>
      <c r="X114" s="6"/>
      <c r="Y114" s="6"/>
    </row>
    <row r="115" spans="1:25" x14ac:dyDescent="0.25">
      <c r="A115" s="76">
        <v>3.3080113712103802E+17</v>
      </c>
      <c r="B115" s="84" t="str">
        <f t="shared" si="6"/>
        <v>330801137121038000</v>
      </c>
      <c r="C115" s="3">
        <v>501206</v>
      </c>
      <c r="D115" s="3" t="s">
        <v>10</v>
      </c>
      <c r="E115" s="2" t="s">
        <v>102</v>
      </c>
      <c r="F115" s="4" t="s">
        <v>12</v>
      </c>
      <c r="G115" s="4" t="s">
        <v>13</v>
      </c>
      <c r="H115" s="18" t="s">
        <v>167</v>
      </c>
      <c r="I115" s="18">
        <f>IFERROR(_xlfn.XLOOKUP(C115,[2]Sheet1!$B:$B,[2]Sheet1!$G:$G),0)</f>
        <v>1</v>
      </c>
      <c r="J115" s="18">
        <f>IFERROR(_xlfn.XLOOKUP(C115,[2]Sheet1!$B:$B,[2]Sheet1!$K:$K),0)</f>
        <v>1</v>
      </c>
      <c r="K115" s="18" t="b">
        <f t="shared" si="7"/>
        <v>1</v>
      </c>
      <c r="L115" s="55">
        <v>2764.1836506201321</v>
      </c>
      <c r="M115" s="55">
        <f t="shared" si="8"/>
        <v>2764.1836506201321</v>
      </c>
      <c r="N115" s="56">
        <f>IFERROR(_xlfn.XLOOKUP(C115,'[3]ECL CC May 25'!$A:$A,'[3]ECL CC May 25'!$C:$C),0)</f>
        <v>0</v>
      </c>
      <c r="O115" s="56">
        <v>297.79299942316965</v>
      </c>
      <c r="P115" s="56">
        <f>IFERROR(_xlfn.XLOOKUP(C115,[2]Sheet1!$B:$B,[2]Sheet1!$L:$L),0)</f>
        <v>297.48491079217536</v>
      </c>
      <c r="Q115" s="56">
        <f>IFERROR(_xlfn.XLOOKUP(C115,[2]Sheet1!$B:$B,[2]Sheet1!$M:$M),0)</f>
        <v>0.30808863099428246</v>
      </c>
      <c r="R115" s="57">
        <f t="shared" si="9"/>
        <v>2466.3906511969626</v>
      </c>
      <c r="S115" s="57">
        <f t="shared" si="10"/>
        <v>2466.6987398279566</v>
      </c>
      <c r="T115" s="57">
        <f t="shared" si="11"/>
        <v>-0.30808863099428246</v>
      </c>
      <c r="X115" s="6"/>
      <c r="Y115" s="6"/>
    </row>
    <row r="116" spans="1:25" x14ac:dyDescent="0.25">
      <c r="A116" s="76">
        <v>3.3080313710702701E+17</v>
      </c>
      <c r="B116" s="84" t="str">
        <f t="shared" si="6"/>
        <v>330803137107027000</v>
      </c>
      <c r="C116" s="3">
        <v>501066</v>
      </c>
      <c r="D116" s="3" t="s">
        <v>10</v>
      </c>
      <c r="E116" s="2" t="s">
        <v>103</v>
      </c>
      <c r="F116" s="4" t="s">
        <v>19</v>
      </c>
      <c r="G116" s="4" t="s">
        <v>13</v>
      </c>
      <c r="H116" s="18" t="s">
        <v>167</v>
      </c>
      <c r="I116" s="18">
        <f>IFERROR(_xlfn.XLOOKUP(C116,[2]Sheet1!$B:$B,[2]Sheet1!$G:$G),0)</f>
        <v>1</v>
      </c>
      <c r="J116" s="18">
        <f>IFERROR(_xlfn.XLOOKUP(C116,[2]Sheet1!$B:$B,[2]Sheet1!$K:$K),0)</f>
        <v>1</v>
      </c>
      <c r="K116" s="18" t="b">
        <f t="shared" si="7"/>
        <v>1</v>
      </c>
      <c r="L116" s="55">
        <v>3070733.78</v>
      </c>
      <c r="M116" s="55">
        <f t="shared" si="8"/>
        <v>3070733.78</v>
      </c>
      <c r="N116" s="56">
        <f>IFERROR(_xlfn.XLOOKUP(C116,'[3]ECL CC May 25'!$A:$A,'[3]ECL CC May 25'!$C:$C),0)</f>
        <v>0</v>
      </c>
      <c r="O116" s="56">
        <v>3682653.2222493552</v>
      </c>
      <c r="P116" s="56">
        <f>IFERROR(_xlfn.XLOOKUP(C116,[2]Sheet1!$B:$B,[2]Sheet1!$L:$L),0)</f>
        <v>3682653.2222493552</v>
      </c>
      <c r="Q116" s="56">
        <f>IFERROR(_xlfn.XLOOKUP(C116,[2]Sheet1!$B:$B,[2]Sheet1!$M:$M),0)</f>
        <v>0</v>
      </c>
      <c r="R116" s="57">
        <f t="shared" si="9"/>
        <v>-611919.44224935537</v>
      </c>
      <c r="S116" s="57">
        <f t="shared" si="10"/>
        <v>-611919.44224935537</v>
      </c>
      <c r="T116" s="57">
        <f t="shared" si="11"/>
        <v>0</v>
      </c>
      <c r="X116" s="6"/>
      <c r="Y116" s="6"/>
    </row>
    <row r="117" spans="1:25" x14ac:dyDescent="0.25">
      <c r="A117" s="76">
        <v>3.3080113711003898E+17</v>
      </c>
      <c r="B117" s="84" t="str">
        <f t="shared" si="6"/>
        <v>330801137110039000</v>
      </c>
      <c r="C117" s="3">
        <v>501196</v>
      </c>
      <c r="D117" s="3" t="s">
        <v>10</v>
      </c>
      <c r="E117" s="2" t="s">
        <v>104</v>
      </c>
      <c r="F117" s="4" t="s">
        <v>12</v>
      </c>
      <c r="G117" s="4" t="s">
        <v>13</v>
      </c>
      <c r="H117" s="18" t="s">
        <v>167</v>
      </c>
      <c r="I117" s="18">
        <f>IFERROR(_xlfn.XLOOKUP(C117,[2]Sheet1!$B:$B,[2]Sheet1!$G:$G),0)</f>
        <v>1</v>
      </c>
      <c r="J117" s="18">
        <f>IFERROR(_xlfn.XLOOKUP(C117,[2]Sheet1!$B:$B,[2]Sheet1!$K:$K),0)</f>
        <v>1</v>
      </c>
      <c r="K117" s="18" t="b">
        <f t="shared" si="7"/>
        <v>1</v>
      </c>
      <c r="L117" s="55">
        <v>19493.132898782515</v>
      </c>
      <c r="M117" s="55">
        <f t="shared" si="8"/>
        <v>12175.666180506714</v>
      </c>
      <c r="N117" s="56">
        <f>IFERROR(_xlfn.XLOOKUP(C117,'[3]ECL CC May 25'!$A:$A,'[3]ECL CC May 25'!$C:$C),0)</f>
        <v>7317.4667182758003</v>
      </c>
      <c r="O117" s="56">
        <v>19250.995585672114</v>
      </c>
      <c r="P117" s="56">
        <f>IFERROR(_xlfn.XLOOKUP(C117,[2]Sheet1!$B:$B,[2]Sheet1!$L:$L),0)</f>
        <v>11461.938667845265</v>
      </c>
      <c r="Q117" s="56">
        <f>IFERROR(_xlfn.XLOOKUP(C117,[2]Sheet1!$B:$B,[2]Sheet1!$M:$M),0)</f>
        <v>7789.0569178268497</v>
      </c>
      <c r="R117" s="57">
        <f t="shared" si="9"/>
        <v>242.13731311040101</v>
      </c>
      <c r="S117" s="57">
        <f t="shared" si="10"/>
        <v>713.72751266144951</v>
      </c>
      <c r="T117" s="57">
        <f t="shared" si="11"/>
        <v>-471.59019955104941</v>
      </c>
      <c r="X117" s="6"/>
      <c r="Y117" s="6"/>
    </row>
    <row r="118" spans="1:25" x14ac:dyDescent="0.25">
      <c r="A118" s="76">
        <v>3.3080213720003002E+17</v>
      </c>
      <c r="B118" s="84" t="str">
        <f t="shared" si="6"/>
        <v>330802137200030000</v>
      </c>
      <c r="C118" s="3">
        <v>501098</v>
      </c>
      <c r="D118" s="3" t="s">
        <v>32</v>
      </c>
      <c r="E118" s="2" t="s">
        <v>105</v>
      </c>
      <c r="F118" s="4" t="s">
        <v>31</v>
      </c>
      <c r="G118" s="4" t="s">
        <v>13</v>
      </c>
      <c r="H118" s="18" t="s">
        <v>167</v>
      </c>
      <c r="I118" s="18">
        <f>IFERROR(_xlfn.XLOOKUP(C118,[2]Sheet1!$B:$B,[2]Sheet1!$G:$G),0)</f>
        <v>1</v>
      </c>
      <c r="J118" s="18">
        <f>IFERROR(_xlfn.XLOOKUP(C118,[2]Sheet1!$B:$B,[2]Sheet1!$K:$K),0)</f>
        <v>1</v>
      </c>
      <c r="K118" s="18" t="b">
        <f t="shared" si="7"/>
        <v>1</v>
      </c>
      <c r="L118" s="55">
        <v>2452368.8976506409</v>
      </c>
      <c r="M118" s="55">
        <f t="shared" si="8"/>
        <v>2452368.8976506409</v>
      </c>
      <c r="N118" s="56">
        <f>IFERROR(_xlfn.XLOOKUP(C118,'[3]ECL CC May 25'!$A:$A,'[3]ECL CC May 25'!$C:$C),0)</f>
        <v>0</v>
      </c>
      <c r="O118" s="56">
        <v>2475244.6799200866</v>
      </c>
      <c r="P118" s="56">
        <f>IFERROR(_xlfn.XLOOKUP(C118,[2]Sheet1!$B:$B,[2]Sheet1!$L:$L),0)</f>
        <v>2475244.6799200866</v>
      </c>
      <c r="Q118" s="56">
        <f>IFERROR(_xlfn.XLOOKUP(C118,[2]Sheet1!$B:$B,[2]Sheet1!$M:$M),0)</f>
        <v>0</v>
      </c>
      <c r="R118" s="57">
        <f t="shared" si="9"/>
        <v>-22875.782269445714</v>
      </c>
      <c r="S118" s="57">
        <f t="shared" si="10"/>
        <v>-22875.782269445714</v>
      </c>
      <c r="T118" s="57">
        <f t="shared" si="11"/>
        <v>0</v>
      </c>
      <c r="X118" s="6"/>
      <c r="Y118" s="6"/>
    </row>
    <row r="119" spans="1:25" x14ac:dyDescent="0.25">
      <c r="A119" s="76">
        <v>3.3080220520102797E+17</v>
      </c>
      <c r="B119" s="84" t="str">
        <f t="shared" si="6"/>
        <v>330802205201028000</v>
      </c>
      <c r="C119" s="3">
        <v>501075</v>
      </c>
      <c r="D119" s="3" t="s">
        <v>32</v>
      </c>
      <c r="E119" s="2" t="s">
        <v>106</v>
      </c>
      <c r="F119" s="4" t="s">
        <v>31</v>
      </c>
      <c r="G119" s="4" t="s">
        <v>13</v>
      </c>
      <c r="H119" s="18" t="s">
        <v>167</v>
      </c>
      <c r="I119" s="18">
        <f>IFERROR(_xlfn.XLOOKUP(C119,[2]Sheet1!$B:$B,[2]Sheet1!$G:$G),0)</f>
        <v>1</v>
      </c>
      <c r="J119" s="18">
        <f>IFERROR(_xlfn.XLOOKUP(C119,[2]Sheet1!$B:$B,[2]Sheet1!$K:$K),0)</f>
        <v>1</v>
      </c>
      <c r="K119" s="18" t="b">
        <f t="shared" si="7"/>
        <v>1</v>
      </c>
      <c r="L119" s="55">
        <v>1277755.384338188</v>
      </c>
      <c r="M119" s="55">
        <f t="shared" si="8"/>
        <v>1277755.384338188</v>
      </c>
      <c r="N119" s="56">
        <f>IFERROR(_xlfn.XLOOKUP(C119,'[3]ECL CC May 25'!$A:$A,'[3]ECL CC May 25'!$C:$C),0)</f>
        <v>0</v>
      </c>
      <c r="O119" s="56">
        <v>1289885.590221484</v>
      </c>
      <c r="P119" s="56">
        <f>IFERROR(_xlfn.XLOOKUP(C119,[2]Sheet1!$B:$B,[2]Sheet1!$L:$L),0)</f>
        <v>1289885.590221484</v>
      </c>
      <c r="Q119" s="56">
        <f>IFERROR(_xlfn.XLOOKUP(C119,[2]Sheet1!$B:$B,[2]Sheet1!$M:$M),0)</f>
        <v>0</v>
      </c>
      <c r="R119" s="57">
        <f t="shared" si="9"/>
        <v>-12130.205883295974</v>
      </c>
      <c r="S119" s="57">
        <f t="shared" si="10"/>
        <v>-12130.205883295974</v>
      </c>
      <c r="T119" s="57">
        <f t="shared" si="11"/>
        <v>0</v>
      </c>
      <c r="X119" s="6"/>
      <c r="Y119" s="6"/>
    </row>
    <row r="120" spans="1:25" x14ac:dyDescent="0.25">
      <c r="A120" s="76">
        <v>3.3080220520102797E+17</v>
      </c>
      <c r="B120" s="84" t="str">
        <f t="shared" si="6"/>
        <v>330802205201028000</v>
      </c>
      <c r="C120" s="3">
        <v>501077</v>
      </c>
      <c r="D120" s="3" t="s">
        <v>32</v>
      </c>
      <c r="E120" s="2" t="s">
        <v>107</v>
      </c>
      <c r="F120" s="4" t="s">
        <v>31</v>
      </c>
      <c r="G120" s="4" t="s">
        <v>13</v>
      </c>
      <c r="H120" s="18" t="s">
        <v>167</v>
      </c>
      <c r="I120" s="18">
        <f>IFERROR(_xlfn.XLOOKUP(C120,[2]Sheet1!$B:$B,[2]Sheet1!$G:$G),0)</f>
        <v>1</v>
      </c>
      <c r="J120" s="18">
        <f>IFERROR(_xlfn.XLOOKUP(C120,[2]Sheet1!$B:$B,[2]Sheet1!$K:$K),0)</f>
        <v>1</v>
      </c>
      <c r="K120" s="18" t="b">
        <f t="shared" si="7"/>
        <v>1</v>
      </c>
      <c r="L120" s="55">
        <v>1306959.4505327709</v>
      </c>
      <c r="M120" s="55">
        <f t="shared" si="8"/>
        <v>1306959.4505327709</v>
      </c>
      <c r="N120" s="56">
        <f>IFERROR(_xlfn.XLOOKUP(C120,'[3]ECL CC May 25'!$A:$A,'[3]ECL CC May 25'!$C:$C),0)</f>
        <v>0</v>
      </c>
      <c r="O120" s="56">
        <v>1319363.3211689549</v>
      </c>
      <c r="P120" s="56">
        <f>IFERROR(_xlfn.XLOOKUP(C120,[2]Sheet1!$B:$B,[2]Sheet1!$L:$L),0)</f>
        <v>1319363.3211689549</v>
      </c>
      <c r="Q120" s="56">
        <f>IFERROR(_xlfn.XLOOKUP(C120,[2]Sheet1!$B:$B,[2]Sheet1!$M:$M),0)</f>
        <v>0</v>
      </c>
      <c r="R120" s="57">
        <f t="shared" si="9"/>
        <v>-12403.870636184001</v>
      </c>
      <c r="S120" s="57">
        <f t="shared" si="10"/>
        <v>-12403.870636184001</v>
      </c>
      <c r="T120" s="57">
        <f t="shared" si="11"/>
        <v>0</v>
      </c>
      <c r="X120" s="6"/>
      <c r="Y120" s="6"/>
    </row>
    <row r="121" spans="1:25" x14ac:dyDescent="0.25">
      <c r="A121" s="76">
        <v>3.3080220520102797E+17</v>
      </c>
      <c r="B121" s="84" t="str">
        <f t="shared" si="6"/>
        <v>330802205201028000</v>
      </c>
      <c r="C121" s="3">
        <v>501076</v>
      </c>
      <c r="D121" s="3" t="s">
        <v>32</v>
      </c>
      <c r="E121" s="2" t="s">
        <v>108</v>
      </c>
      <c r="F121" s="4" t="s">
        <v>31</v>
      </c>
      <c r="G121" s="4" t="s">
        <v>13</v>
      </c>
      <c r="H121" s="18" t="s">
        <v>167</v>
      </c>
      <c r="I121" s="18">
        <f>IFERROR(_xlfn.XLOOKUP(C121,[2]Sheet1!$B:$B,[2]Sheet1!$G:$G),0)</f>
        <v>1</v>
      </c>
      <c r="J121" s="18">
        <f>IFERROR(_xlfn.XLOOKUP(C121,[2]Sheet1!$B:$B,[2]Sheet1!$K:$K),0)</f>
        <v>1</v>
      </c>
      <c r="K121" s="18" t="b">
        <f t="shared" si="7"/>
        <v>1</v>
      </c>
      <c r="L121" s="55">
        <v>1275970.786277564</v>
      </c>
      <c r="M121" s="55">
        <f t="shared" si="8"/>
        <v>1275970.786277564</v>
      </c>
      <c r="N121" s="56">
        <f>IFERROR(_xlfn.XLOOKUP(C121,'[3]ECL CC May 25'!$A:$A,'[3]ECL CC May 25'!$C:$C),0)</f>
        <v>0</v>
      </c>
      <c r="O121" s="56">
        <v>1288083.2132493742</v>
      </c>
      <c r="P121" s="56">
        <f>IFERROR(_xlfn.XLOOKUP(C121,[2]Sheet1!$B:$B,[2]Sheet1!$L:$L),0)</f>
        <v>1288083.2132493742</v>
      </c>
      <c r="Q121" s="56">
        <f>IFERROR(_xlfn.XLOOKUP(C121,[2]Sheet1!$B:$B,[2]Sheet1!$M:$M),0)</f>
        <v>0</v>
      </c>
      <c r="R121" s="57">
        <f t="shared" si="9"/>
        <v>-12112.426971810171</v>
      </c>
      <c r="S121" s="57">
        <f t="shared" si="10"/>
        <v>-12112.426971810171</v>
      </c>
      <c r="T121" s="57">
        <f t="shared" si="11"/>
        <v>0</v>
      </c>
      <c r="X121" s="6"/>
      <c r="Y121" s="6"/>
    </row>
    <row r="122" spans="1:25" x14ac:dyDescent="0.25">
      <c r="A122" s="76">
        <v>3.3080220520102797E+17</v>
      </c>
      <c r="B122" s="84" t="str">
        <f t="shared" si="6"/>
        <v>330802205201028000</v>
      </c>
      <c r="C122" s="3">
        <v>501078</v>
      </c>
      <c r="D122" s="3" t="s">
        <v>32</v>
      </c>
      <c r="E122" s="2" t="s">
        <v>109</v>
      </c>
      <c r="F122" s="4" t="s">
        <v>31</v>
      </c>
      <c r="G122" s="4" t="s">
        <v>13</v>
      </c>
      <c r="H122" s="18" t="s">
        <v>167</v>
      </c>
      <c r="I122" s="18">
        <f>IFERROR(_xlfn.XLOOKUP(C122,[2]Sheet1!$B:$B,[2]Sheet1!$G:$G),0)</f>
        <v>1</v>
      </c>
      <c r="J122" s="18">
        <f>IFERROR(_xlfn.XLOOKUP(C122,[2]Sheet1!$B:$B,[2]Sheet1!$K:$K),0)</f>
        <v>1</v>
      </c>
      <c r="K122" s="18" t="b">
        <f t="shared" si="7"/>
        <v>1</v>
      </c>
      <c r="L122" s="55">
        <v>1275970.786277564</v>
      </c>
      <c r="M122" s="55">
        <f t="shared" si="8"/>
        <v>1275970.786277564</v>
      </c>
      <c r="N122" s="56">
        <f>IFERROR(_xlfn.XLOOKUP(C122,'[3]ECL CC May 25'!$A:$A,'[3]ECL CC May 25'!$C:$C),0)</f>
        <v>0</v>
      </c>
      <c r="O122" s="56">
        <v>1288083.2132493742</v>
      </c>
      <c r="P122" s="56">
        <f>IFERROR(_xlfn.XLOOKUP(C122,[2]Sheet1!$B:$B,[2]Sheet1!$L:$L),0)</f>
        <v>1288083.2132493742</v>
      </c>
      <c r="Q122" s="56">
        <f>IFERROR(_xlfn.XLOOKUP(C122,[2]Sheet1!$B:$B,[2]Sheet1!$M:$M),0)</f>
        <v>0</v>
      </c>
      <c r="R122" s="57">
        <f t="shared" si="9"/>
        <v>-12112.426971810171</v>
      </c>
      <c r="S122" s="57">
        <f t="shared" si="10"/>
        <v>-12112.426971810171</v>
      </c>
      <c r="T122" s="57">
        <f t="shared" si="11"/>
        <v>0</v>
      </c>
      <c r="X122" s="6"/>
      <c r="Y122" s="6"/>
    </row>
    <row r="123" spans="1:25" x14ac:dyDescent="0.25">
      <c r="A123" s="76">
        <v>3.3080220520102797E+17</v>
      </c>
      <c r="B123" s="84" t="str">
        <f t="shared" si="6"/>
        <v>330802205201028000</v>
      </c>
      <c r="C123" s="3">
        <v>501072</v>
      </c>
      <c r="D123" s="3" t="s">
        <v>32</v>
      </c>
      <c r="E123" s="2" t="s">
        <v>110</v>
      </c>
      <c r="F123" s="4" t="s">
        <v>31</v>
      </c>
      <c r="G123" s="4" t="s">
        <v>13</v>
      </c>
      <c r="H123" s="18" t="s">
        <v>167</v>
      </c>
      <c r="I123" s="18">
        <f>IFERROR(_xlfn.XLOOKUP(C123,[2]Sheet1!$B:$B,[2]Sheet1!$G:$G),0)</f>
        <v>1</v>
      </c>
      <c r="J123" s="18">
        <f>IFERROR(_xlfn.XLOOKUP(C123,[2]Sheet1!$B:$B,[2]Sheet1!$K:$K),0)</f>
        <v>1</v>
      </c>
      <c r="K123" s="18" t="b">
        <f t="shared" si="7"/>
        <v>1</v>
      </c>
      <c r="L123" s="55">
        <v>1265771.0988500039</v>
      </c>
      <c r="M123" s="55">
        <f t="shared" si="8"/>
        <v>1265771.0988500039</v>
      </c>
      <c r="N123" s="56">
        <f>IFERROR(_xlfn.XLOOKUP(C123,'[3]ECL CC May 25'!$A:$A,'[3]ECL CC May 25'!$C:$C),0)</f>
        <v>0</v>
      </c>
      <c r="O123" s="56">
        <v>1339067.9902627</v>
      </c>
      <c r="P123" s="56">
        <f>IFERROR(_xlfn.XLOOKUP(C123,[2]Sheet1!$B:$B,[2]Sheet1!$L:$L),0)</f>
        <v>1339067.9902627</v>
      </c>
      <c r="Q123" s="56">
        <f>IFERROR(_xlfn.XLOOKUP(C123,[2]Sheet1!$B:$B,[2]Sheet1!$M:$M),0)</f>
        <v>0</v>
      </c>
      <c r="R123" s="57">
        <f t="shared" si="9"/>
        <v>-73296.891412696103</v>
      </c>
      <c r="S123" s="57">
        <f t="shared" si="10"/>
        <v>-73296.891412696103</v>
      </c>
      <c r="T123" s="57">
        <f t="shared" si="11"/>
        <v>0</v>
      </c>
      <c r="X123" s="6"/>
      <c r="Y123" s="6"/>
    </row>
    <row r="124" spans="1:25" x14ac:dyDescent="0.25">
      <c r="A124" s="76">
        <v>3.3080220520102797E+17</v>
      </c>
      <c r="B124" s="84" t="str">
        <f t="shared" si="6"/>
        <v>330802205201028000</v>
      </c>
      <c r="C124" s="3">
        <v>501073</v>
      </c>
      <c r="D124" s="3" t="s">
        <v>32</v>
      </c>
      <c r="E124" s="2" t="s">
        <v>111</v>
      </c>
      <c r="F124" s="4" t="s">
        <v>31</v>
      </c>
      <c r="G124" s="4" t="s">
        <v>13</v>
      </c>
      <c r="H124" s="18" t="s">
        <v>167</v>
      </c>
      <c r="I124" s="18">
        <f>IFERROR(_xlfn.XLOOKUP(C124,[2]Sheet1!$B:$B,[2]Sheet1!$G:$G),0)</f>
        <v>1</v>
      </c>
      <c r="J124" s="18">
        <f>IFERROR(_xlfn.XLOOKUP(C124,[2]Sheet1!$B:$B,[2]Sheet1!$K:$K),0)</f>
        <v>1</v>
      </c>
      <c r="K124" s="18" t="b">
        <f t="shared" si="7"/>
        <v>1</v>
      </c>
      <c r="L124" s="55">
        <v>1266159.2528177591</v>
      </c>
      <c r="M124" s="55">
        <f t="shared" si="8"/>
        <v>1266159.2528177591</v>
      </c>
      <c r="N124" s="56">
        <f>IFERROR(_xlfn.XLOOKUP(C124,'[3]ECL CC May 25'!$A:$A,'[3]ECL CC May 25'!$C:$C),0)</f>
        <v>0</v>
      </c>
      <c r="O124" s="56">
        <v>1339434.5135581468</v>
      </c>
      <c r="P124" s="56">
        <f>IFERROR(_xlfn.XLOOKUP(C124,[2]Sheet1!$B:$B,[2]Sheet1!$L:$L),0)</f>
        <v>1339434.5135581468</v>
      </c>
      <c r="Q124" s="56">
        <f>IFERROR(_xlfn.XLOOKUP(C124,[2]Sheet1!$B:$B,[2]Sheet1!$M:$M),0)</f>
        <v>0</v>
      </c>
      <c r="R124" s="57">
        <f t="shared" si="9"/>
        <v>-73275.260740387719</v>
      </c>
      <c r="S124" s="57">
        <f t="shared" si="10"/>
        <v>-73275.260740387719</v>
      </c>
      <c r="T124" s="57">
        <f t="shared" si="11"/>
        <v>0</v>
      </c>
      <c r="X124" s="6"/>
      <c r="Y124" s="6"/>
    </row>
    <row r="125" spans="1:25" x14ac:dyDescent="0.25">
      <c r="A125" s="76">
        <v>3.3080113711003398E+17</v>
      </c>
      <c r="B125" s="84" t="str">
        <f t="shared" si="6"/>
        <v>330801137110034000</v>
      </c>
      <c r="C125" s="3">
        <v>501124</v>
      </c>
      <c r="D125" s="3" t="s">
        <v>10</v>
      </c>
      <c r="E125" s="2" t="s">
        <v>112</v>
      </c>
      <c r="F125" s="4" t="s">
        <v>12</v>
      </c>
      <c r="G125" s="4" t="s">
        <v>13</v>
      </c>
      <c r="H125" s="18" t="s">
        <v>167</v>
      </c>
      <c r="I125" s="18">
        <f>IFERROR(_xlfn.XLOOKUP(C125,[2]Sheet1!$B:$B,[2]Sheet1!$G:$G),0)</f>
        <v>1</v>
      </c>
      <c r="J125" s="18">
        <f>IFERROR(_xlfn.XLOOKUP(C125,[2]Sheet1!$B:$B,[2]Sheet1!$K:$K),0)</f>
        <v>1</v>
      </c>
      <c r="K125" s="18" t="b">
        <f t="shared" si="7"/>
        <v>1</v>
      </c>
      <c r="L125" s="55">
        <v>215585.98413293337</v>
      </c>
      <c r="M125" s="55">
        <f t="shared" si="8"/>
        <v>136619.23254893144</v>
      </c>
      <c r="N125" s="56">
        <f>IFERROR(_xlfn.XLOOKUP(C125,'[3]ECL CC May 25'!$A:$A,'[3]ECL CC May 25'!$C:$C),0)</f>
        <v>78966.751584001933</v>
      </c>
      <c r="O125" s="56">
        <v>260752.87516769257</v>
      </c>
      <c r="P125" s="56">
        <f>IFERROR(_xlfn.XLOOKUP(C125,[2]Sheet1!$B:$B,[2]Sheet1!$L:$L),0)</f>
        <v>127203.66081931532</v>
      </c>
      <c r="Q125" s="56">
        <f>IFERROR(_xlfn.XLOOKUP(C125,[2]Sheet1!$B:$B,[2]Sheet1!$M:$M),0)</f>
        <v>133549.21434837725</v>
      </c>
      <c r="R125" s="57">
        <f t="shared" si="9"/>
        <v>-45166.891034759203</v>
      </c>
      <c r="S125" s="57">
        <f t="shared" si="10"/>
        <v>9415.5717296161165</v>
      </c>
      <c r="T125" s="57">
        <f t="shared" si="11"/>
        <v>-54582.462764375319</v>
      </c>
      <c r="X125" s="6"/>
      <c r="Y125" s="6"/>
    </row>
    <row r="126" spans="1:25" x14ac:dyDescent="0.25">
      <c r="A126" s="76">
        <v>3.30801137107032E+17</v>
      </c>
      <c r="B126" s="84" t="str">
        <f t="shared" si="6"/>
        <v>330801137107032000</v>
      </c>
      <c r="C126" s="3">
        <v>501127</v>
      </c>
      <c r="D126" s="3" t="s">
        <v>10</v>
      </c>
      <c r="E126" s="2" t="s">
        <v>112</v>
      </c>
      <c r="F126" s="4" t="s">
        <v>12</v>
      </c>
      <c r="G126" s="4" t="s">
        <v>13</v>
      </c>
      <c r="H126" s="18" t="s">
        <v>167</v>
      </c>
      <c r="I126" s="18">
        <f>IFERROR(_xlfn.XLOOKUP(C126,[2]Sheet1!$B:$B,[2]Sheet1!$G:$G),0)</f>
        <v>1</v>
      </c>
      <c r="J126" s="18">
        <f>IFERROR(_xlfn.XLOOKUP(C126,[2]Sheet1!$B:$B,[2]Sheet1!$K:$K),0)</f>
        <v>1</v>
      </c>
      <c r="K126" s="18" t="b">
        <f t="shared" si="7"/>
        <v>1</v>
      </c>
      <c r="L126" s="55">
        <v>71181.823209182883</v>
      </c>
      <c r="M126" s="55">
        <f t="shared" si="8"/>
        <v>70981.514044697265</v>
      </c>
      <c r="N126" s="56">
        <f>IFERROR(_xlfn.XLOOKUP(C126,'[3]ECL CC May 25'!$A:$A,'[3]ECL CC May 25'!$C:$C),0)</f>
        <v>200.30916448561661</v>
      </c>
      <c r="O126" s="56">
        <v>72804.803629224363</v>
      </c>
      <c r="P126" s="56">
        <f>IFERROR(_xlfn.XLOOKUP(C126,[2]Sheet1!$B:$B,[2]Sheet1!$L:$L),0)</f>
        <v>72804.803629224363</v>
      </c>
      <c r="Q126" s="56">
        <f>IFERROR(_xlfn.XLOOKUP(C126,[2]Sheet1!$B:$B,[2]Sheet1!$M:$M),0)</f>
        <v>0</v>
      </c>
      <c r="R126" s="57">
        <f t="shared" si="9"/>
        <v>-1622.9804200414801</v>
      </c>
      <c r="S126" s="57">
        <f t="shared" si="10"/>
        <v>-1823.2895845270978</v>
      </c>
      <c r="T126" s="57">
        <f t="shared" si="11"/>
        <v>200.30916448561661</v>
      </c>
      <c r="X126" s="6"/>
      <c r="Y126" s="6"/>
    </row>
    <row r="127" spans="1:25" x14ac:dyDescent="0.25">
      <c r="A127" s="76">
        <v>3.3080213710703398E+17</v>
      </c>
      <c r="B127" s="84" t="str">
        <f t="shared" si="6"/>
        <v>330802137107034000</v>
      </c>
      <c r="C127" s="3">
        <v>501155</v>
      </c>
      <c r="D127" s="3" t="s">
        <v>10</v>
      </c>
      <c r="E127" s="2" t="s">
        <v>113</v>
      </c>
      <c r="F127" s="4" t="s">
        <v>31</v>
      </c>
      <c r="G127" s="4" t="s">
        <v>13</v>
      </c>
      <c r="H127" s="18" t="s">
        <v>167</v>
      </c>
      <c r="I127" s="18">
        <f>IFERROR(_xlfn.XLOOKUP(C127,[2]Sheet1!$B:$B,[2]Sheet1!$G:$G),0)</f>
        <v>1</v>
      </c>
      <c r="J127" s="18">
        <f>IFERROR(_xlfn.XLOOKUP(C127,[2]Sheet1!$B:$B,[2]Sheet1!$K:$K),0)</f>
        <v>1</v>
      </c>
      <c r="K127" s="18" t="b">
        <f t="shared" si="7"/>
        <v>1</v>
      </c>
      <c r="L127" s="55">
        <v>42329.110541539652</v>
      </c>
      <c r="M127" s="55">
        <f t="shared" si="8"/>
        <v>27578.309265615324</v>
      </c>
      <c r="N127" s="56">
        <f>IFERROR(_xlfn.XLOOKUP(C127,'[3]ECL CC May 25'!$A:$A,'[3]ECL CC May 25'!$C:$C),0)</f>
        <v>14750.80127592433</v>
      </c>
      <c r="O127" s="56">
        <v>142261.86974032756</v>
      </c>
      <c r="P127" s="56">
        <f>IFERROR(_xlfn.XLOOKUP(C127,[2]Sheet1!$B:$B,[2]Sheet1!$L:$L),0)</f>
        <v>127863.10117713356</v>
      </c>
      <c r="Q127" s="56">
        <f>IFERROR(_xlfn.XLOOKUP(C127,[2]Sheet1!$B:$B,[2]Sheet1!$M:$M),0)</f>
        <v>14398.768563193993</v>
      </c>
      <c r="R127" s="57">
        <f t="shared" si="9"/>
        <v>-99932.759198787913</v>
      </c>
      <c r="S127" s="57">
        <f t="shared" si="10"/>
        <v>-100284.79191151823</v>
      </c>
      <c r="T127" s="57">
        <f t="shared" si="11"/>
        <v>352.03271273033715</v>
      </c>
      <c r="X127" s="6"/>
      <c r="Y127" s="6"/>
    </row>
    <row r="128" spans="1:25" x14ac:dyDescent="0.25">
      <c r="A128" s="76">
        <v>3.3080213710402803E+17</v>
      </c>
      <c r="B128" s="84" t="str">
        <f t="shared" si="6"/>
        <v>330802137104028000</v>
      </c>
      <c r="C128" s="3">
        <v>501079</v>
      </c>
      <c r="D128" s="3" t="s">
        <v>10</v>
      </c>
      <c r="E128" s="2" t="s">
        <v>114</v>
      </c>
      <c r="F128" s="4" t="s">
        <v>31</v>
      </c>
      <c r="G128" s="4" t="s">
        <v>13</v>
      </c>
      <c r="H128" s="18" t="s">
        <v>167</v>
      </c>
      <c r="I128" s="18">
        <f>IFERROR(_xlfn.XLOOKUP(C128,[2]Sheet1!$B:$B,[2]Sheet1!$G:$G),0)</f>
        <v>1</v>
      </c>
      <c r="J128" s="18">
        <f>IFERROR(_xlfn.XLOOKUP(C128,[2]Sheet1!$B:$B,[2]Sheet1!$K:$K),0)</f>
        <v>1</v>
      </c>
      <c r="K128" s="18" t="b">
        <f t="shared" si="7"/>
        <v>1</v>
      </c>
      <c r="L128" s="55">
        <v>512895.66587572137</v>
      </c>
      <c r="M128" s="55">
        <f t="shared" si="8"/>
        <v>508271.30864019314</v>
      </c>
      <c r="N128" s="56">
        <f>IFERROR(_xlfn.XLOOKUP(C128,'[3]ECL CC May 25'!$A:$A,'[3]ECL CC May 25'!$C:$C),0)</f>
        <v>4624.3572355282513</v>
      </c>
      <c r="O128" s="56">
        <v>616261.77100647753</v>
      </c>
      <c r="P128" s="56">
        <f>IFERROR(_xlfn.XLOOKUP(C128,[2]Sheet1!$B:$B,[2]Sheet1!$L:$L),0)</f>
        <v>616261.77100647753</v>
      </c>
      <c r="Q128" s="56">
        <f>IFERROR(_xlfn.XLOOKUP(C128,[2]Sheet1!$B:$B,[2]Sheet1!$M:$M),0)</f>
        <v>0</v>
      </c>
      <c r="R128" s="57">
        <f t="shared" si="9"/>
        <v>-103366.10513075616</v>
      </c>
      <c r="S128" s="57">
        <f t="shared" si="10"/>
        <v>-107990.4623662844</v>
      </c>
      <c r="T128" s="57">
        <f t="shared" si="11"/>
        <v>4624.3572355282513</v>
      </c>
      <c r="X128" s="6"/>
      <c r="Y128" s="6"/>
    </row>
    <row r="129" spans="1:25" x14ac:dyDescent="0.25">
      <c r="A129" s="76">
        <v>3.3080113710702797E+17</v>
      </c>
      <c r="B129" s="84" t="str">
        <f t="shared" si="6"/>
        <v>330801137107028000</v>
      </c>
      <c r="C129" s="3">
        <v>501070</v>
      </c>
      <c r="D129" s="3" t="s">
        <v>10</v>
      </c>
      <c r="E129" s="2" t="s">
        <v>114</v>
      </c>
      <c r="F129" s="4" t="s">
        <v>12</v>
      </c>
      <c r="G129" s="4" t="s">
        <v>13</v>
      </c>
      <c r="H129" s="18" t="s">
        <v>167</v>
      </c>
      <c r="I129" s="18">
        <f>IFERROR(_xlfn.XLOOKUP(C129,[2]Sheet1!$B:$B,[2]Sheet1!$G:$G),0)</f>
        <v>1</v>
      </c>
      <c r="J129" s="18">
        <f>IFERROR(_xlfn.XLOOKUP(C129,[2]Sheet1!$B:$B,[2]Sheet1!$K:$K),0)</f>
        <v>1</v>
      </c>
      <c r="K129" s="18" t="b">
        <f t="shared" si="7"/>
        <v>1</v>
      </c>
      <c r="L129" s="55">
        <v>280648.19649102428</v>
      </c>
      <c r="M129" s="55">
        <f t="shared" si="8"/>
        <v>265793.32846906927</v>
      </c>
      <c r="N129" s="56">
        <f>IFERROR(_xlfn.XLOOKUP(C129,'[3]ECL CC May 25'!$A:$A,'[3]ECL CC May 25'!$C:$C),0)</f>
        <v>14854.868021955017</v>
      </c>
      <c r="O129" s="56">
        <v>206128.19914543722</v>
      </c>
      <c r="P129" s="56">
        <f>IFERROR(_xlfn.XLOOKUP(C129,[2]Sheet1!$B:$B,[2]Sheet1!$L:$L),0)</f>
        <v>206128.19914543722</v>
      </c>
      <c r="Q129" s="56">
        <f>IFERROR(_xlfn.XLOOKUP(C129,[2]Sheet1!$B:$B,[2]Sheet1!$M:$M),0)</f>
        <v>0</v>
      </c>
      <c r="R129" s="57">
        <f t="shared" si="9"/>
        <v>74519.997345587064</v>
      </c>
      <c r="S129" s="57">
        <f t="shared" si="10"/>
        <v>59665.129323632049</v>
      </c>
      <c r="T129" s="57">
        <f t="shared" si="11"/>
        <v>14854.868021955017</v>
      </c>
      <c r="X129" s="6"/>
      <c r="Y129" s="6"/>
    </row>
    <row r="130" spans="1:25" x14ac:dyDescent="0.25">
      <c r="A130" s="76">
        <v>3.3080213721600397E+17</v>
      </c>
      <c r="B130" s="84" t="str">
        <f t="shared" si="6"/>
        <v>330802137216004000</v>
      </c>
      <c r="C130" s="3" t="s">
        <v>115</v>
      </c>
      <c r="D130" s="3" t="s">
        <v>32</v>
      </c>
      <c r="E130" s="2" t="s">
        <v>116</v>
      </c>
      <c r="F130" s="4" t="s">
        <v>31</v>
      </c>
      <c r="G130" s="4" t="s">
        <v>13</v>
      </c>
      <c r="H130" s="18" t="s">
        <v>168</v>
      </c>
      <c r="I130" s="18">
        <f>IFERROR(_xlfn.XLOOKUP(C130,[2]Sheet1!$B:$B,[2]Sheet1!$G:$G),0)</f>
        <v>1</v>
      </c>
      <c r="J130" s="18">
        <f>IFERROR(_xlfn.XLOOKUP(C130,[2]Sheet1!$B:$B,[2]Sheet1!$K:$K),0)</f>
        <v>1</v>
      </c>
      <c r="K130" s="18" t="b">
        <f t="shared" si="7"/>
        <v>1</v>
      </c>
      <c r="L130" s="58">
        <v>95024.643788583824</v>
      </c>
      <c r="M130" s="55">
        <f t="shared" si="8"/>
        <v>0</v>
      </c>
      <c r="N130" s="56">
        <f>IFERROR(_xlfn.XLOOKUP(C130,'[3]ECL CC May 25'!$A:$A,'[3]ECL CC May 25'!$C:$C),0)</f>
        <v>95024.643788583824</v>
      </c>
      <c r="O130" s="56">
        <v>104525.20395026894</v>
      </c>
      <c r="P130" s="56">
        <f>IFERROR(_xlfn.XLOOKUP(C130,[2]Sheet1!$B:$B,[2]Sheet1!$L:$L),0)</f>
        <v>0</v>
      </c>
      <c r="Q130" s="56">
        <f>IFERROR(_xlfn.XLOOKUP(C130,[2]Sheet1!$B:$B,[2]Sheet1!$M:$M),0)</f>
        <v>104525.20395026894</v>
      </c>
      <c r="R130" s="57">
        <f t="shared" si="9"/>
        <v>-9500.56016168512</v>
      </c>
      <c r="S130" s="57">
        <f t="shared" si="10"/>
        <v>0</v>
      </c>
      <c r="T130" s="57">
        <f t="shared" si="11"/>
        <v>-9500.56016168512</v>
      </c>
      <c r="X130" s="6"/>
      <c r="Y130" s="6"/>
    </row>
    <row r="131" spans="1:25" x14ac:dyDescent="0.25">
      <c r="A131" s="76">
        <v>3.3080213721600397E+17</v>
      </c>
      <c r="B131" s="84" t="str">
        <f t="shared" si="6"/>
        <v>330802137216004000</v>
      </c>
      <c r="C131" s="3" t="s">
        <v>117</v>
      </c>
      <c r="D131" s="3" t="s">
        <v>32</v>
      </c>
      <c r="E131" s="2" t="s">
        <v>118</v>
      </c>
      <c r="F131" s="4" t="s">
        <v>31</v>
      </c>
      <c r="G131" s="4" t="s">
        <v>13</v>
      </c>
      <c r="H131" s="18" t="s">
        <v>168</v>
      </c>
      <c r="I131" s="18">
        <f>IFERROR(_xlfn.XLOOKUP(C131,[2]Sheet1!$B:$B,[2]Sheet1!$G:$G),0)</f>
        <v>1</v>
      </c>
      <c r="J131" s="18">
        <f>IFERROR(_xlfn.XLOOKUP(C131,[2]Sheet1!$B:$B,[2]Sheet1!$K:$K),0)</f>
        <v>1</v>
      </c>
      <c r="K131" s="18" t="b">
        <f t="shared" si="7"/>
        <v>1</v>
      </c>
      <c r="L131" s="58">
        <v>65036.541597044612</v>
      </c>
      <c r="M131" s="55">
        <f t="shared" si="8"/>
        <v>0</v>
      </c>
      <c r="N131" s="56">
        <f>IFERROR(_xlfn.XLOOKUP(C131,'[3]ECL CC May 25'!$A:$A,'[3]ECL CC May 25'!$C:$C),0)</f>
        <v>65036.541597044612</v>
      </c>
      <c r="O131" s="56">
        <v>71538.892476942288</v>
      </c>
      <c r="P131" s="56">
        <f>IFERROR(_xlfn.XLOOKUP(C131,[2]Sheet1!$B:$B,[2]Sheet1!$L:$L),0)</f>
        <v>0</v>
      </c>
      <c r="Q131" s="56">
        <f>IFERROR(_xlfn.XLOOKUP(C131,[2]Sheet1!$B:$B,[2]Sheet1!$M:$M),0)</f>
        <v>71538.892476942288</v>
      </c>
      <c r="R131" s="57">
        <f t="shared" si="9"/>
        <v>-6502.3508798976764</v>
      </c>
      <c r="S131" s="57">
        <f t="shared" si="10"/>
        <v>0</v>
      </c>
      <c r="T131" s="57">
        <f t="shared" si="11"/>
        <v>-6502.3508798976764</v>
      </c>
      <c r="X131" s="6"/>
      <c r="Y131" s="6"/>
    </row>
    <row r="132" spans="1:25" x14ac:dyDescent="0.25">
      <c r="A132" s="76">
        <v>3.3080213721600397E+17</v>
      </c>
      <c r="B132" s="84" t="str">
        <f t="shared" ref="B132:B165" si="12">TEXT(A132,"0")</f>
        <v>330802137216004000</v>
      </c>
      <c r="C132" s="3" t="s">
        <v>119</v>
      </c>
      <c r="D132" s="3" t="s">
        <v>32</v>
      </c>
      <c r="E132" s="2" t="s">
        <v>120</v>
      </c>
      <c r="F132" s="4" t="s">
        <v>31</v>
      </c>
      <c r="G132" s="4" t="s">
        <v>13</v>
      </c>
      <c r="H132" s="18" t="s">
        <v>168</v>
      </c>
      <c r="I132" s="18">
        <f>IFERROR(_xlfn.XLOOKUP(C132,[2]Sheet1!$B:$B,[2]Sheet1!$G:$G),0)</f>
        <v>1</v>
      </c>
      <c r="J132" s="18">
        <f>IFERROR(_xlfn.XLOOKUP(C132,[2]Sheet1!$B:$B,[2]Sheet1!$K:$K),0)</f>
        <v>1</v>
      </c>
      <c r="K132" s="18" t="b">
        <f t="shared" ref="K132:K165" si="13">I132=J132</f>
        <v>1</v>
      </c>
      <c r="L132" s="58">
        <v>4064.7838498152882</v>
      </c>
      <c r="M132" s="55">
        <f t="shared" ref="M132:M165" si="14">L132-N132</f>
        <v>0</v>
      </c>
      <c r="N132" s="56">
        <f>IFERROR(_xlfn.XLOOKUP(C132,'[3]ECL CC May 25'!$A:$A,'[3]ECL CC May 25'!$C:$C),0)</f>
        <v>4064.7838498152882</v>
      </c>
      <c r="O132" s="56">
        <v>4471.180779808893</v>
      </c>
      <c r="P132" s="56">
        <f>IFERROR(_xlfn.XLOOKUP(C132,[2]Sheet1!$B:$B,[2]Sheet1!$L:$L),0)</f>
        <v>0</v>
      </c>
      <c r="Q132" s="56">
        <f>IFERROR(_xlfn.XLOOKUP(C132,[2]Sheet1!$B:$B,[2]Sheet1!$M:$M),0)</f>
        <v>4471.180779808893</v>
      </c>
      <c r="R132" s="57">
        <f t="shared" ref="R132:R165" si="15">L132-O132</f>
        <v>-406.39692999360477</v>
      </c>
      <c r="S132" s="57">
        <f t="shared" ref="S132:S165" si="16">M132-P132</f>
        <v>0</v>
      </c>
      <c r="T132" s="57">
        <f t="shared" ref="T132:T165" si="17">N132-Q132</f>
        <v>-406.39692999360477</v>
      </c>
      <c r="X132" s="6"/>
      <c r="Y132" s="6"/>
    </row>
    <row r="133" spans="1:25" x14ac:dyDescent="0.25">
      <c r="A133" s="76">
        <v>3.3080213721600397E+17</v>
      </c>
      <c r="B133" s="84" t="str">
        <f t="shared" si="12"/>
        <v>330802137216004000</v>
      </c>
      <c r="C133" s="3" t="s">
        <v>121</v>
      </c>
      <c r="D133" s="3" t="s">
        <v>32</v>
      </c>
      <c r="E133" s="2" t="s">
        <v>122</v>
      </c>
      <c r="F133" s="4" t="s">
        <v>31</v>
      </c>
      <c r="G133" s="4" t="s">
        <v>13</v>
      </c>
      <c r="H133" s="18" t="s">
        <v>168</v>
      </c>
      <c r="I133" s="18">
        <f>IFERROR(_xlfn.XLOOKUP(C133,[2]Sheet1!$B:$B,[2]Sheet1!$G:$G),0)</f>
        <v>1</v>
      </c>
      <c r="J133" s="18">
        <f>IFERROR(_xlfn.XLOOKUP(C133,[2]Sheet1!$B:$B,[2]Sheet1!$K:$K),0)</f>
        <v>1</v>
      </c>
      <c r="K133" s="18" t="b">
        <f t="shared" si="13"/>
        <v>1</v>
      </c>
      <c r="L133" s="58">
        <v>4064.7838498152882</v>
      </c>
      <c r="M133" s="55">
        <f t="shared" si="14"/>
        <v>0</v>
      </c>
      <c r="N133" s="56">
        <f>IFERROR(_xlfn.XLOOKUP(C133,'[3]ECL CC May 25'!$A:$A,'[3]ECL CC May 25'!$C:$C),0)</f>
        <v>4064.7838498152882</v>
      </c>
      <c r="O133" s="56">
        <v>4471.180779808893</v>
      </c>
      <c r="P133" s="56">
        <f>IFERROR(_xlfn.XLOOKUP(C133,[2]Sheet1!$B:$B,[2]Sheet1!$L:$L),0)</f>
        <v>0</v>
      </c>
      <c r="Q133" s="56">
        <f>IFERROR(_xlfn.XLOOKUP(C133,[2]Sheet1!$B:$B,[2]Sheet1!$M:$M),0)</f>
        <v>4471.180779808893</v>
      </c>
      <c r="R133" s="57">
        <f t="shared" si="15"/>
        <v>-406.39692999360477</v>
      </c>
      <c r="S133" s="57">
        <f t="shared" si="16"/>
        <v>0</v>
      </c>
      <c r="T133" s="57">
        <f t="shared" si="17"/>
        <v>-406.39692999360477</v>
      </c>
      <c r="X133" s="6"/>
      <c r="Y133" s="6"/>
    </row>
    <row r="134" spans="1:25" x14ac:dyDescent="0.25">
      <c r="A134" s="76">
        <v>3.3080213721600397E+17</v>
      </c>
      <c r="B134" s="84" t="str">
        <f t="shared" si="12"/>
        <v>330802137216004000</v>
      </c>
      <c r="C134" s="3" t="s">
        <v>147</v>
      </c>
      <c r="D134" s="3" t="s">
        <v>32</v>
      </c>
      <c r="E134" s="2" t="s">
        <v>123</v>
      </c>
      <c r="F134" s="4" t="s">
        <v>31</v>
      </c>
      <c r="G134" s="4" t="s">
        <v>13</v>
      </c>
      <c r="H134" s="18" t="s">
        <v>168</v>
      </c>
      <c r="I134" s="18">
        <f>IFERROR(_xlfn.XLOOKUP(C134,[2]Sheet1!$B:$B,[2]Sheet1!$G:$G),0)</f>
        <v>1</v>
      </c>
      <c r="J134" s="18">
        <f>IFERROR(_xlfn.XLOOKUP(C134,[2]Sheet1!$B:$B,[2]Sheet1!$K:$K),0)</f>
        <v>1</v>
      </c>
      <c r="K134" s="18" t="b">
        <f t="shared" si="13"/>
        <v>1</v>
      </c>
      <c r="L134" s="58">
        <v>42978.357929741374</v>
      </c>
      <c r="M134" s="55">
        <f t="shared" si="14"/>
        <v>42978.357929741374</v>
      </c>
      <c r="N134" s="56">
        <f>IFERROR(_xlfn.XLOOKUP(C134,'[3]ECL CC May 25'!$A:$A,'[3]ECL CC May 25'!$C:$C),0)</f>
        <v>0</v>
      </c>
      <c r="O134" s="56">
        <v>47275.332471107686</v>
      </c>
      <c r="P134" s="56">
        <f>IFERROR(_xlfn.XLOOKUP(C134,[2]Sheet1!$B:$B,[2]Sheet1!$L:$L),0)</f>
        <v>0</v>
      </c>
      <c r="Q134" s="56">
        <f>IFERROR(_xlfn.XLOOKUP(C134,[2]Sheet1!$B:$B,[2]Sheet1!$M:$M),0)</f>
        <v>47275.332471107686</v>
      </c>
      <c r="R134" s="57">
        <f t="shared" si="15"/>
        <v>-4296.9745413663113</v>
      </c>
      <c r="S134" s="57">
        <f t="shared" si="16"/>
        <v>42978.357929741374</v>
      </c>
      <c r="T134" s="57">
        <f t="shared" si="17"/>
        <v>-47275.332471107686</v>
      </c>
      <c r="X134" s="6"/>
      <c r="Y134" s="6"/>
    </row>
    <row r="135" spans="1:25" x14ac:dyDescent="0.25">
      <c r="A135" s="76">
        <v>3.3080213721600397E+17</v>
      </c>
      <c r="B135" s="84" t="str">
        <f t="shared" si="12"/>
        <v>330802137216004000</v>
      </c>
      <c r="C135" s="3">
        <v>501006</v>
      </c>
      <c r="D135" s="3" t="s">
        <v>10</v>
      </c>
      <c r="E135" s="2" t="s">
        <v>124</v>
      </c>
      <c r="F135" s="4" t="s">
        <v>31</v>
      </c>
      <c r="G135" s="4" t="s">
        <v>13</v>
      </c>
      <c r="H135" s="18" t="s">
        <v>167</v>
      </c>
      <c r="I135" s="18">
        <f>IFERROR(_xlfn.XLOOKUP(C135,[2]Sheet1!$B:$B,[2]Sheet1!$G:$G),0)</f>
        <v>1</v>
      </c>
      <c r="J135" s="18">
        <f>IFERROR(_xlfn.XLOOKUP(C135,[2]Sheet1!$B:$B,[2]Sheet1!$K:$K),0)</f>
        <v>1</v>
      </c>
      <c r="K135" s="18" t="b">
        <f t="shared" si="13"/>
        <v>1</v>
      </c>
      <c r="L135" s="58">
        <v>28657.248048475118</v>
      </c>
      <c r="M135" s="55">
        <f t="shared" si="14"/>
        <v>28657.248048475118</v>
      </c>
      <c r="N135" s="56">
        <f>IFERROR(_xlfn.XLOOKUP(C135,'[3]ECL CC May 25'!$A:$A,'[3]ECL CC May 25'!$C:$C),0)</f>
        <v>0</v>
      </c>
      <c r="O135" s="56">
        <v>40135.272584982675</v>
      </c>
      <c r="P135" s="56">
        <f>IFERROR(_xlfn.XLOOKUP(C135,[2]Sheet1!$B:$B,[2]Sheet1!$L:$L),0)</f>
        <v>40135.272584982675</v>
      </c>
      <c r="Q135" s="56">
        <f>IFERROR(_xlfn.XLOOKUP(C135,[2]Sheet1!$B:$B,[2]Sheet1!$M:$M),0)</f>
        <v>0</v>
      </c>
      <c r="R135" s="57">
        <f t="shared" si="15"/>
        <v>-11478.024536507557</v>
      </c>
      <c r="S135" s="57">
        <f t="shared" si="16"/>
        <v>-11478.024536507557</v>
      </c>
      <c r="T135" s="57">
        <f t="shared" si="17"/>
        <v>0</v>
      </c>
      <c r="X135" s="6"/>
      <c r="Y135" s="6"/>
    </row>
    <row r="136" spans="1:25" x14ac:dyDescent="0.25">
      <c r="A136" s="76">
        <v>3.3080113711003501E+17</v>
      </c>
      <c r="B136" s="84" t="str">
        <f t="shared" si="12"/>
        <v>330801137110035000</v>
      </c>
      <c r="C136" s="3">
        <v>501148</v>
      </c>
      <c r="D136" s="3" t="s">
        <v>10</v>
      </c>
      <c r="E136" s="2" t="s">
        <v>125</v>
      </c>
      <c r="F136" s="4" t="s">
        <v>12</v>
      </c>
      <c r="G136" s="4" t="s">
        <v>13</v>
      </c>
      <c r="H136" s="18" t="s">
        <v>167</v>
      </c>
      <c r="I136" s="18">
        <f>IFERROR(_xlfn.XLOOKUP(C136,[2]Sheet1!$B:$B,[2]Sheet1!$G:$G),0)</f>
        <v>1</v>
      </c>
      <c r="J136" s="18">
        <f>IFERROR(_xlfn.XLOOKUP(C136,[2]Sheet1!$B:$B,[2]Sheet1!$K:$K),0)</f>
        <v>1</v>
      </c>
      <c r="K136" s="18" t="b">
        <f t="shared" si="13"/>
        <v>1</v>
      </c>
      <c r="L136" s="55">
        <v>82645.283874350687</v>
      </c>
      <c r="M136" s="55">
        <f t="shared" si="14"/>
        <v>48957.41320366603</v>
      </c>
      <c r="N136" s="56">
        <f>IFERROR(_xlfn.XLOOKUP(C136,'[3]ECL CC May 25'!$A:$A,'[3]ECL CC May 25'!$C:$C),0)</f>
        <v>33687.870670684657</v>
      </c>
      <c r="O136" s="56">
        <v>82414.217935765933</v>
      </c>
      <c r="P136" s="56">
        <f>IFERROR(_xlfn.XLOOKUP(C136,[2]Sheet1!$B:$B,[2]Sheet1!$L:$L),0)</f>
        <v>46006.217164206391</v>
      </c>
      <c r="Q136" s="56">
        <f>IFERROR(_xlfn.XLOOKUP(C136,[2]Sheet1!$B:$B,[2]Sheet1!$M:$M),0)</f>
        <v>36408.000771559542</v>
      </c>
      <c r="R136" s="57">
        <f t="shared" si="15"/>
        <v>231.06593858475389</v>
      </c>
      <c r="S136" s="57">
        <f t="shared" si="16"/>
        <v>2951.196039459639</v>
      </c>
      <c r="T136" s="57">
        <f t="shared" si="17"/>
        <v>-2720.1301008748851</v>
      </c>
      <c r="X136" s="6"/>
      <c r="Y136" s="6"/>
    </row>
    <row r="137" spans="1:25" x14ac:dyDescent="0.25">
      <c r="A137" s="76">
        <v>3.3080113710702899E+17</v>
      </c>
      <c r="B137" s="84" t="str">
        <f t="shared" si="12"/>
        <v>330801137107029000</v>
      </c>
      <c r="C137" s="3">
        <v>501090</v>
      </c>
      <c r="D137" s="3" t="s">
        <v>10</v>
      </c>
      <c r="E137" s="2" t="s">
        <v>126</v>
      </c>
      <c r="F137" s="4" t="s">
        <v>12</v>
      </c>
      <c r="G137" s="4" t="s">
        <v>22</v>
      </c>
      <c r="H137" s="18" t="s">
        <v>167</v>
      </c>
      <c r="I137" s="18">
        <f>IFERROR(_xlfn.XLOOKUP(C137,[2]Sheet1!$B:$B,[2]Sheet1!$G:$G),0)</f>
        <v>2</v>
      </c>
      <c r="J137" s="18">
        <f>IFERROR(_xlfn.XLOOKUP(C137,[2]Sheet1!$B:$B,[2]Sheet1!$K:$K),0)</f>
        <v>2</v>
      </c>
      <c r="K137" s="18" t="b">
        <f t="shared" si="13"/>
        <v>1</v>
      </c>
      <c r="L137" s="55">
        <v>1206.8087488532774</v>
      </c>
      <c r="M137" s="55">
        <f t="shared" si="14"/>
        <v>1206.8087488532774</v>
      </c>
      <c r="N137" s="56">
        <f>IFERROR(_xlfn.XLOOKUP(C137,'[3]ECL CC May 25'!$A:$A,'[3]ECL CC May 25'!$C:$C),0)</f>
        <v>0</v>
      </c>
      <c r="O137" s="56">
        <v>1206.7356934097697</v>
      </c>
      <c r="P137" s="56">
        <f>IFERROR(_xlfn.XLOOKUP(C137,[2]Sheet1!$B:$B,[2]Sheet1!$L:$L),0)</f>
        <v>1206.7356934097697</v>
      </c>
      <c r="Q137" s="56">
        <f>IFERROR(_xlfn.XLOOKUP(C137,[2]Sheet1!$B:$B,[2]Sheet1!$M:$M),0)</f>
        <v>0</v>
      </c>
      <c r="R137" s="57">
        <f t="shared" si="15"/>
        <v>7.3055443507655582E-2</v>
      </c>
      <c r="S137" s="57">
        <f t="shared" si="16"/>
        <v>7.3055443507655582E-2</v>
      </c>
      <c r="T137" s="57">
        <f t="shared" si="17"/>
        <v>0</v>
      </c>
      <c r="X137" s="6"/>
      <c r="Y137" s="6"/>
    </row>
    <row r="138" spans="1:25" x14ac:dyDescent="0.25">
      <c r="A138" s="76">
        <v>3.3080113711002899E+17</v>
      </c>
      <c r="B138" s="84" t="str">
        <f t="shared" si="12"/>
        <v>330801137110029000</v>
      </c>
      <c r="C138" s="3">
        <v>501080</v>
      </c>
      <c r="D138" s="3" t="s">
        <v>10</v>
      </c>
      <c r="E138" s="2" t="s">
        <v>126</v>
      </c>
      <c r="F138" s="4" t="s">
        <v>12</v>
      </c>
      <c r="G138" s="4" t="s">
        <v>22</v>
      </c>
      <c r="H138" s="18" t="s">
        <v>167</v>
      </c>
      <c r="I138" s="18">
        <f>IFERROR(_xlfn.XLOOKUP(C138,[2]Sheet1!$B:$B,[2]Sheet1!$G:$G),0)</f>
        <v>2</v>
      </c>
      <c r="J138" s="18">
        <f>IFERROR(_xlfn.XLOOKUP(C138,[2]Sheet1!$B:$B,[2]Sheet1!$K:$K),0)</f>
        <v>2</v>
      </c>
      <c r="K138" s="18" t="b">
        <f t="shared" si="13"/>
        <v>1</v>
      </c>
      <c r="L138" s="55">
        <v>1757.3297163766613</v>
      </c>
      <c r="M138" s="55">
        <f t="shared" si="14"/>
        <v>1753.7438501372283</v>
      </c>
      <c r="N138" s="56">
        <f>IFERROR(_xlfn.XLOOKUP(C138,'[3]ECL CC May 25'!$A:$A,'[3]ECL CC May 25'!$C:$C),0)</f>
        <v>3.5858662394329621</v>
      </c>
      <c r="O138" s="56">
        <v>1732.2388269180074</v>
      </c>
      <c r="P138" s="56">
        <f>IFERROR(_xlfn.XLOOKUP(C138,[2]Sheet1!$B:$B,[2]Sheet1!$L:$L),0)</f>
        <v>1728.3665142871801</v>
      </c>
      <c r="Q138" s="56">
        <f>IFERROR(_xlfn.XLOOKUP(C138,[2]Sheet1!$B:$B,[2]Sheet1!$M:$M),0)</f>
        <v>3.8723126308273237</v>
      </c>
      <c r="R138" s="57">
        <f t="shared" si="15"/>
        <v>25.090889458653919</v>
      </c>
      <c r="S138" s="57">
        <f t="shared" si="16"/>
        <v>25.377335850048212</v>
      </c>
      <c r="T138" s="57">
        <f t="shared" si="17"/>
        <v>-0.28644639139436157</v>
      </c>
      <c r="X138" s="6"/>
      <c r="Y138" s="6"/>
    </row>
    <row r="139" spans="1:25" x14ac:dyDescent="0.25">
      <c r="A139" s="76">
        <v>3.3080513710703398E+17</v>
      </c>
      <c r="B139" s="84" t="str">
        <f t="shared" si="12"/>
        <v>330805137107034000</v>
      </c>
      <c r="C139" s="3">
        <v>501158</v>
      </c>
      <c r="D139" s="3" t="s">
        <v>10</v>
      </c>
      <c r="E139" s="2" t="s">
        <v>127</v>
      </c>
      <c r="F139" s="4" t="s">
        <v>57</v>
      </c>
      <c r="G139" s="4" t="s">
        <v>13</v>
      </c>
      <c r="H139" s="18" t="s">
        <v>167</v>
      </c>
      <c r="I139" s="18">
        <f>IFERROR(_xlfn.XLOOKUP(C139,[2]Sheet1!$B:$B,[2]Sheet1!$G:$G),0)</f>
        <v>1</v>
      </c>
      <c r="J139" s="18">
        <f>IFERROR(_xlfn.XLOOKUP(C139,[2]Sheet1!$B:$B,[2]Sheet1!$K:$K),0)</f>
        <v>1</v>
      </c>
      <c r="K139" s="18" t="b">
        <f t="shared" si="13"/>
        <v>1</v>
      </c>
      <c r="L139" s="55">
        <v>48496.536261435773</v>
      </c>
      <c r="M139" s="55">
        <f t="shared" si="14"/>
        <v>48496.536261435773</v>
      </c>
      <c r="N139" s="56">
        <f>IFERROR(_xlfn.XLOOKUP(C139,'[3]ECL CC May 25'!$A:$A,'[3]ECL CC May 25'!$C:$C),0)</f>
        <v>0</v>
      </c>
      <c r="O139" s="56">
        <v>50019.638446629731</v>
      </c>
      <c r="P139" s="56">
        <f>IFERROR(_xlfn.XLOOKUP(C139,[2]Sheet1!$B:$B,[2]Sheet1!$L:$L),0)</f>
        <v>50019.638446629731</v>
      </c>
      <c r="Q139" s="56">
        <f>IFERROR(_xlfn.XLOOKUP(C139,[2]Sheet1!$B:$B,[2]Sheet1!$M:$M),0)</f>
        <v>0</v>
      </c>
      <c r="R139" s="57">
        <f t="shared" si="15"/>
        <v>-1523.1021851939586</v>
      </c>
      <c r="S139" s="57">
        <f t="shared" si="16"/>
        <v>-1523.1021851939586</v>
      </c>
      <c r="T139" s="57">
        <f t="shared" si="17"/>
        <v>0</v>
      </c>
      <c r="X139" s="6"/>
      <c r="Y139" s="6"/>
    </row>
    <row r="140" spans="1:25" x14ac:dyDescent="0.25">
      <c r="A140" s="76">
        <v>3.3080113710702701E+17</v>
      </c>
      <c r="B140" s="84" t="str">
        <f t="shared" si="12"/>
        <v>330801137107027000</v>
      </c>
      <c r="C140" s="3">
        <v>501058</v>
      </c>
      <c r="D140" s="3" t="s">
        <v>10</v>
      </c>
      <c r="E140" s="2" t="s">
        <v>128</v>
      </c>
      <c r="F140" s="4" t="s">
        <v>12</v>
      </c>
      <c r="G140" s="4" t="s">
        <v>22</v>
      </c>
      <c r="H140" s="18" t="s">
        <v>167</v>
      </c>
      <c r="I140" s="18">
        <f>IFERROR(_xlfn.XLOOKUP(C140,[2]Sheet1!$B:$B,[2]Sheet1!$G:$G),0)</f>
        <v>2</v>
      </c>
      <c r="J140" s="18">
        <f>IFERROR(_xlfn.XLOOKUP(C140,[2]Sheet1!$B:$B,[2]Sheet1!$K:$K),0)</f>
        <v>1</v>
      </c>
      <c r="K140" s="24" t="b">
        <f t="shared" si="13"/>
        <v>0</v>
      </c>
      <c r="L140" s="55">
        <v>405.40950894185642</v>
      </c>
      <c r="M140" s="55">
        <f t="shared" si="14"/>
        <v>405.40950894185642</v>
      </c>
      <c r="N140" s="56">
        <f>IFERROR(_xlfn.XLOOKUP(C140,'[3]ECL CC May 25'!$A:$A,'[3]ECL CC May 25'!$C:$C),0)</f>
        <v>0</v>
      </c>
      <c r="O140" s="56">
        <v>258.24361714871407</v>
      </c>
      <c r="P140" s="56">
        <f>IFERROR(_xlfn.XLOOKUP(C140,[2]Sheet1!$B:$B,[2]Sheet1!$L:$L),0)</f>
        <v>258.24361714871407</v>
      </c>
      <c r="Q140" s="56">
        <f>IFERROR(_xlfn.XLOOKUP(C140,[2]Sheet1!$B:$B,[2]Sheet1!$M:$M),0)</f>
        <v>0</v>
      </c>
      <c r="R140" s="57">
        <f t="shared" si="15"/>
        <v>147.16589179314235</v>
      </c>
      <c r="S140" s="57">
        <f t="shared" si="16"/>
        <v>147.16589179314235</v>
      </c>
      <c r="T140" s="57">
        <f t="shared" si="17"/>
        <v>0</v>
      </c>
      <c r="X140" s="6"/>
      <c r="Y140" s="6"/>
    </row>
    <row r="141" spans="1:25" x14ac:dyDescent="0.25">
      <c r="A141" s="76">
        <v>3.3080113710702701E+17</v>
      </c>
      <c r="B141" s="84" t="str">
        <f t="shared" si="12"/>
        <v>330801137107027000</v>
      </c>
      <c r="C141" s="3">
        <v>501056</v>
      </c>
      <c r="D141" s="3" t="s">
        <v>10</v>
      </c>
      <c r="E141" s="2" t="s">
        <v>128</v>
      </c>
      <c r="F141" s="4" t="s">
        <v>12</v>
      </c>
      <c r="G141" s="4" t="s">
        <v>22</v>
      </c>
      <c r="H141" s="18" t="s">
        <v>167</v>
      </c>
      <c r="I141" s="18">
        <f>IFERROR(_xlfn.XLOOKUP(C141,[2]Sheet1!$B:$B,[2]Sheet1!$G:$G),0)</f>
        <v>2</v>
      </c>
      <c r="J141" s="18">
        <f>IFERROR(_xlfn.XLOOKUP(C141,[2]Sheet1!$B:$B,[2]Sheet1!$K:$K),0)</f>
        <v>1</v>
      </c>
      <c r="K141" s="24" t="b">
        <f t="shared" si="13"/>
        <v>0</v>
      </c>
      <c r="L141" s="55">
        <v>531.42368860422027</v>
      </c>
      <c r="M141" s="55">
        <f t="shared" si="14"/>
        <v>531.42368860422027</v>
      </c>
      <c r="N141" s="56">
        <f>IFERROR(_xlfn.XLOOKUP(C141,'[3]ECL CC May 25'!$A:$A,'[3]ECL CC May 25'!$C:$C),0)</f>
        <v>0</v>
      </c>
      <c r="O141" s="56">
        <v>338.51361459145767</v>
      </c>
      <c r="P141" s="56">
        <f>IFERROR(_xlfn.XLOOKUP(C141,[2]Sheet1!$B:$B,[2]Sheet1!$L:$L),0)</f>
        <v>338.51361459145767</v>
      </c>
      <c r="Q141" s="56">
        <f>IFERROR(_xlfn.XLOOKUP(C141,[2]Sheet1!$B:$B,[2]Sheet1!$M:$M),0)</f>
        <v>0</v>
      </c>
      <c r="R141" s="57">
        <f t="shared" si="15"/>
        <v>192.91007401276261</v>
      </c>
      <c r="S141" s="57">
        <f t="shared" si="16"/>
        <v>192.91007401276261</v>
      </c>
      <c r="T141" s="57">
        <f t="shared" si="17"/>
        <v>0</v>
      </c>
      <c r="X141" s="6"/>
      <c r="Y141" s="6"/>
    </row>
    <row r="142" spans="1:25" x14ac:dyDescent="0.25">
      <c r="A142" s="76">
        <v>3.3080113710702701E+17</v>
      </c>
      <c r="B142" s="84" t="str">
        <f t="shared" si="12"/>
        <v>330801137107027000</v>
      </c>
      <c r="C142" s="3">
        <v>501071</v>
      </c>
      <c r="D142" s="3" t="s">
        <v>10</v>
      </c>
      <c r="E142" s="2" t="s">
        <v>128</v>
      </c>
      <c r="F142" s="4" t="s">
        <v>12</v>
      </c>
      <c r="G142" s="4" t="s">
        <v>22</v>
      </c>
      <c r="H142" s="18" t="s">
        <v>167</v>
      </c>
      <c r="I142" s="18">
        <f>IFERROR(_xlfn.XLOOKUP(C142,[2]Sheet1!$B:$B,[2]Sheet1!$G:$G),0)</f>
        <v>2</v>
      </c>
      <c r="J142" s="18">
        <f>IFERROR(_xlfn.XLOOKUP(C142,[2]Sheet1!$B:$B,[2]Sheet1!$K:$K),0)</f>
        <v>1</v>
      </c>
      <c r="K142" s="24" t="b">
        <f t="shared" si="13"/>
        <v>0</v>
      </c>
      <c r="L142" s="55">
        <v>517.07278222774289</v>
      </c>
      <c r="M142" s="55">
        <f t="shared" si="14"/>
        <v>517.07278222774289</v>
      </c>
      <c r="N142" s="56">
        <f>IFERROR(_xlfn.XLOOKUP(C142,'[3]ECL CC May 25'!$A:$A,'[3]ECL CC May 25'!$C:$C),0)</f>
        <v>0</v>
      </c>
      <c r="O142" s="56">
        <v>316.34697361571182</v>
      </c>
      <c r="P142" s="56">
        <f>IFERROR(_xlfn.XLOOKUP(C142,[2]Sheet1!$B:$B,[2]Sheet1!$L:$L),0)</f>
        <v>316.34697361571182</v>
      </c>
      <c r="Q142" s="56">
        <f>IFERROR(_xlfn.XLOOKUP(C142,[2]Sheet1!$B:$B,[2]Sheet1!$M:$M),0)</f>
        <v>0</v>
      </c>
      <c r="R142" s="57">
        <f t="shared" si="15"/>
        <v>200.72580861203107</v>
      </c>
      <c r="S142" s="57">
        <f t="shared" si="16"/>
        <v>200.72580861203107</v>
      </c>
      <c r="T142" s="57">
        <f t="shared" si="17"/>
        <v>0</v>
      </c>
      <c r="X142" s="6"/>
      <c r="Y142" s="6"/>
    </row>
    <row r="143" spans="1:25" x14ac:dyDescent="0.25">
      <c r="A143" s="76">
        <v>3.3080113710702701E+17</v>
      </c>
      <c r="B143" s="84" t="str">
        <f t="shared" si="12"/>
        <v>330801137107027000</v>
      </c>
      <c r="C143" s="3">
        <v>501057</v>
      </c>
      <c r="D143" s="3" t="s">
        <v>10</v>
      </c>
      <c r="E143" s="2" t="s">
        <v>128</v>
      </c>
      <c r="F143" s="4" t="s">
        <v>12</v>
      </c>
      <c r="G143" s="4" t="s">
        <v>22</v>
      </c>
      <c r="H143" s="18" t="s">
        <v>167</v>
      </c>
      <c r="I143" s="18">
        <f>IFERROR(_xlfn.XLOOKUP(C143,[2]Sheet1!$B:$B,[2]Sheet1!$G:$G),0)</f>
        <v>2</v>
      </c>
      <c r="J143" s="18">
        <f>IFERROR(_xlfn.XLOOKUP(C143,[2]Sheet1!$B:$B,[2]Sheet1!$K:$K),0)</f>
        <v>1</v>
      </c>
      <c r="K143" s="24" t="b">
        <f t="shared" si="13"/>
        <v>0</v>
      </c>
      <c r="L143" s="55">
        <v>662.29580607503067</v>
      </c>
      <c r="M143" s="55">
        <f t="shared" si="14"/>
        <v>662.29580607503067</v>
      </c>
      <c r="N143" s="56">
        <f>IFERROR(_xlfn.XLOOKUP(C143,'[3]ECL CC May 25'!$A:$A,'[3]ECL CC May 25'!$C:$C),0)</f>
        <v>0</v>
      </c>
      <c r="O143" s="56">
        <v>421.87852322641555</v>
      </c>
      <c r="P143" s="56">
        <f>IFERROR(_xlfn.XLOOKUP(C143,[2]Sheet1!$B:$B,[2]Sheet1!$L:$L),0)</f>
        <v>421.87852322641555</v>
      </c>
      <c r="Q143" s="56">
        <f>IFERROR(_xlfn.XLOOKUP(C143,[2]Sheet1!$B:$B,[2]Sheet1!$M:$M),0)</f>
        <v>0</v>
      </c>
      <c r="R143" s="57">
        <f t="shared" si="15"/>
        <v>240.41728284861512</v>
      </c>
      <c r="S143" s="57">
        <f t="shared" si="16"/>
        <v>240.41728284861512</v>
      </c>
      <c r="T143" s="57">
        <f t="shared" si="17"/>
        <v>0</v>
      </c>
      <c r="X143" s="6"/>
      <c r="Y143" s="6"/>
    </row>
    <row r="144" spans="1:25" x14ac:dyDescent="0.25">
      <c r="A144" s="76">
        <v>3.3080113710702701E+17</v>
      </c>
      <c r="B144" s="84" t="str">
        <f t="shared" si="12"/>
        <v>330801137107027000</v>
      </c>
      <c r="C144" s="3">
        <v>501217</v>
      </c>
      <c r="D144" s="3" t="s">
        <v>10</v>
      </c>
      <c r="E144" s="2" t="s">
        <v>128</v>
      </c>
      <c r="F144" s="4" t="s">
        <v>12</v>
      </c>
      <c r="G144" s="4" t="s">
        <v>22</v>
      </c>
      <c r="H144" s="18" t="s">
        <v>167</v>
      </c>
      <c r="I144" s="18">
        <f>IFERROR(_xlfn.XLOOKUP(C144,[2]Sheet1!$B:$B,[2]Sheet1!$G:$G),0)</f>
        <v>2</v>
      </c>
      <c r="J144" s="18">
        <f>IFERROR(_xlfn.XLOOKUP(C144,[2]Sheet1!$B:$B,[2]Sheet1!$K:$K),0)</f>
        <v>1</v>
      </c>
      <c r="K144" s="24" t="b">
        <f t="shared" si="13"/>
        <v>0</v>
      </c>
      <c r="L144" s="55">
        <v>1144.673758752999</v>
      </c>
      <c r="M144" s="55">
        <f t="shared" si="14"/>
        <v>1144.673758752999</v>
      </c>
      <c r="N144" s="56">
        <f>IFERROR(_xlfn.XLOOKUP(C144,'[3]ECL CC May 25'!$A:$A,'[3]ECL CC May 25'!$C:$C),0)</f>
        <v>0</v>
      </c>
      <c r="O144" s="56">
        <v>664.20035223597949</v>
      </c>
      <c r="P144" s="56">
        <f>IFERROR(_xlfn.XLOOKUP(C144,[2]Sheet1!$B:$B,[2]Sheet1!$L:$L),0)</f>
        <v>664.20035223597949</v>
      </c>
      <c r="Q144" s="56">
        <f>IFERROR(_xlfn.XLOOKUP(C144,[2]Sheet1!$B:$B,[2]Sheet1!$M:$M),0)</f>
        <v>0</v>
      </c>
      <c r="R144" s="57">
        <f t="shared" si="15"/>
        <v>480.4734065170195</v>
      </c>
      <c r="S144" s="57">
        <f t="shared" si="16"/>
        <v>480.4734065170195</v>
      </c>
      <c r="T144" s="57">
        <f t="shared" si="17"/>
        <v>0</v>
      </c>
      <c r="X144" s="6"/>
      <c r="Y144" s="6"/>
    </row>
    <row r="145" spans="1:25" x14ac:dyDescent="0.25">
      <c r="A145" s="76">
        <v>3.3080113710703302E+17</v>
      </c>
      <c r="B145" s="84" t="str">
        <f t="shared" si="12"/>
        <v>330801137107033000</v>
      </c>
      <c r="C145" s="3">
        <v>501136</v>
      </c>
      <c r="D145" s="3" t="s">
        <v>10</v>
      </c>
      <c r="E145" s="2" t="s">
        <v>129</v>
      </c>
      <c r="F145" s="4" t="s">
        <v>12</v>
      </c>
      <c r="G145" s="4" t="s">
        <v>13</v>
      </c>
      <c r="H145" s="18" t="s">
        <v>167</v>
      </c>
      <c r="I145" s="18">
        <f>IFERROR(_xlfn.XLOOKUP(C145,[2]Sheet1!$B:$B,[2]Sheet1!$G:$G),0)</f>
        <v>2</v>
      </c>
      <c r="J145" s="18">
        <f>IFERROR(_xlfn.XLOOKUP(C145,[2]Sheet1!$B:$B,[2]Sheet1!$K:$K),0)</f>
        <v>2</v>
      </c>
      <c r="K145" s="18" t="b">
        <f t="shared" si="13"/>
        <v>1</v>
      </c>
      <c r="L145" s="55">
        <v>2304.25</v>
      </c>
      <c r="M145" s="55">
        <f t="shared" si="14"/>
        <v>2298.45080578343</v>
      </c>
      <c r="N145" s="56">
        <f>IFERROR(_xlfn.XLOOKUP(C145,'[3]ECL CC May 25'!$A:$A,'[3]ECL CC May 25'!$C:$C),0)</f>
        <v>5.79919421656985</v>
      </c>
      <c r="O145" s="56">
        <v>2306.8774537698314</v>
      </c>
      <c r="P145" s="56">
        <f>IFERROR(_xlfn.XLOOKUP(C145,[2]Sheet1!$B:$B,[2]Sheet1!$L:$L),0)</f>
        <v>2301.1853280782611</v>
      </c>
      <c r="Q145" s="56">
        <f>IFERROR(_xlfn.XLOOKUP(C145,[2]Sheet1!$B:$B,[2]Sheet1!$M:$M),0)</f>
        <v>5.6921256915704745</v>
      </c>
      <c r="R145" s="57">
        <f t="shared" si="15"/>
        <v>-2.6274537698313907</v>
      </c>
      <c r="S145" s="57">
        <f t="shared" si="16"/>
        <v>-2.7345222948310948</v>
      </c>
      <c r="T145" s="57">
        <f t="shared" si="17"/>
        <v>0.10706852499937547</v>
      </c>
      <c r="X145" s="6"/>
      <c r="Y145" s="6"/>
    </row>
    <row r="146" spans="1:25" x14ac:dyDescent="0.25">
      <c r="A146" s="76">
        <v>3.3080122410703699E+17</v>
      </c>
      <c r="B146" s="84" t="str">
        <f t="shared" si="12"/>
        <v>330801224107037000</v>
      </c>
      <c r="C146" s="3">
        <v>501182</v>
      </c>
      <c r="D146" s="3" t="s">
        <v>10</v>
      </c>
      <c r="E146" s="2" t="s">
        <v>130</v>
      </c>
      <c r="F146" s="4" t="s">
        <v>12</v>
      </c>
      <c r="G146" s="4" t="s">
        <v>13</v>
      </c>
      <c r="H146" s="18" t="s">
        <v>167</v>
      </c>
      <c r="I146" s="18">
        <f>IFERROR(_xlfn.XLOOKUP(C146,[2]Sheet1!$B:$B,[2]Sheet1!$G:$G),0)</f>
        <v>1</v>
      </c>
      <c r="J146" s="18">
        <f>IFERROR(_xlfn.XLOOKUP(C146,[2]Sheet1!$B:$B,[2]Sheet1!$K:$K),0)</f>
        <v>1</v>
      </c>
      <c r="K146" s="18" t="b">
        <f t="shared" si="13"/>
        <v>1</v>
      </c>
      <c r="L146" s="55">
        <v>121651.5393600079</v>
      </c>
      <c r="M146" s="55">
        <f t="shared" si="14"/>
        <v>121651.5393600079</v>
      </c>
      <c r="N146" s="56">
        <f>IFERROR(_xlfn.XLOOKUP(C146,'[3]ECL CC May 25'!$A:$A,'[3]ECL CC May 25'!$C:$C),0)</f>
        <v>0</v>
      </c>
      <c r="O146" s="56">
        <v>123882.03649715545</v>
      </c>
      <c r="P146" s="56">
        <f>IFERROR(_xlfn.XLOOKUP(C146,[2]Sheet1!$B:$B,[2]Sheet1!$L:$L),0)</f>
        <v>123882.03649715545</v>
      </c>
      <c r="Q146" s="56">
        <f>IFERROR(_xlfn.XLOOKUP(C146,[2]Sheet1!$B:$B,[2]Sheet1!$M:$M),0)</f>
        <v>0</v>
      </c>
      <c r="R146" s="57">
        <f t="shared" si="15"/>
        <v>-2230.4971371475549</v>
      </c>
      <c r="S146" s="57">
        <f t="shared" si="16"/>
        <v>-2230.4971371475549</v>
      </c>
      <c r="T146" s="57">
        <f t="shared" si="17"/>
        <v>0</v>
      </c>
      <c r="X146" s="6"/>
      <c r="Y146" s="6"/>
    </row>
    <row r="147" spans="1:25" x14ac:dyDescent="0.25">
      <c r="A147" s="76">
        <v>3.3080212320502003E+17</v>
      </c>
      <c r="B147" s="84" t="str">
        <f t="shared" si="12"/>
        <v>330802123205020000</v>
      </c>
      <c r="C147" s="3">
        <v>500937</v>
      </c>
      <c r="D147" s="3" t="s">
        <v>32</v>
      </c>
      <c r="E147" s="2" t="s">
        <v>131</v>
      </c>
      <c r="F147" s="4" t="s">
        <v>31</v>
      </c>
      <c r="G147" s="4" t="s">
        <v>13</v>
      </c>
      <c r="H147" s="18" t="s">
        <v>167</v>
      </c>
      <c r="I147" s="18">
        <f>IFERROR(_xlfn.XLOOKUP(C147,[2]Sheet1!$B:$B,[2]Sheet1!$G:$G),0)</f>
        <v>1</v>
      </c>
      <c r="J147" s="18">
        <f>IFERROR(_xlfn.XLOOKUP(C147,[2]Sheet1!$B:$B,[2]Sheet1!$K:$K),0)</f>
        <v>1</v>
      </c>
      <c r="K147" s="18" t="b">
        <f t="shared" si="13"/>
        <v>1</v>
      </c>
      <c r="L147" s="55">
        <v>24035296.301973142</v>
      </c>
      <c r="M147" s="55">
        <f t="shared" si="14"/>
        <v>24035296.301973142</v>
      </c>
      <c r="N147" s="56">
        <f>IFERROR(_xlfn.XLOOKUP(C147,'[3]ECL CC May 25'!$A:$A,'[3]ECL CC May 25'!$C:$C),0)</f>
        <v>0</v>
      </c>
      <c r="O147" s="56">
        <v>26006840.891987074</v>
      </c>
      <c r="P147" s="56">
        <f>IFERROR(_xlfn.XLOOKUP(C147,[2]Sheet1!$B:$B,[2]Sheet1!$L:$L),0)</f>
        <v>26006840.891987074</v>
      </c>
      <c r="Q147" s="56">
        <f>IFERROR(_xlfn.XLOOKUP(C147,[2]Sheet1!$B:$B,[2]Sheet1!$M:$M),0)</f>
        <v>0</v>
      </c>
      <c r="R147" s="57">
        <f t="shared" si="15"/>
        <v>-1971544.5900139324</v>
      </c>
      <c r="S147" s="57">
        <f t="shared" si="16"/>
        <v>-1971544.5900139324</v>
      </c>
      <c r="T147" s="57">
        <f t="shared" si="17"/>
        <v>0</v>
      </c>
      <c r="X147" s="6"/>
      <c r="Y147" s="6"/>
    </row>
    <row r="148" spans="1:25" x14ac:dyDescent="0.25">
      <c r="A148" s="76">
        <v>3.3080113710703002E+17</v>
      </c>
      <c r="B148" s="84" t="str">
        <f t="shared" si="12"/>
        <v>330801137107030000</v>
      </c>
      <c r="C148" s="3">
        <v>501097</v>
      </c>
      <c r="D148" s="3" t="s">
        <v>10</v>
      </c>
      <c r="E148" s="2" t="s">
        <v>132</v>
      </c>
      <c r="F148" s="4" t="s">
        <v>12</v>
      </c>
      <c r="G148" s="4" t="s">
        <v>13</v>
      </c>
      <c r="H148" s="18" t="s">
        <v>167</v>
      </c>
      <c r="I148" s="18">
        <f>IFERROR(_xlfn.XLOOKUP(C148,[2]Sheet1!$B:$B,[2]Sheet1!$G:$G),0)</f>
        <v>1</v>
      </c>
      <c r="J148" s="18">
        <f>IFERROR(_xlfn.XLOOKUP(C148,[2]Sheet1!$B:$B,[2]Sheet1!$K:$K),0)</f>
        <v>1</v>
      </c>
      <c r="K148" s="18" t="b">
        <f t="shared" si="13"/>
        <v>1</v>
      </c>
      <c r="L148" s="55">
        <v>76662.073939829235</v>
      </c>
      <c r="M148" s="55">
        <f t="shared" si="14"/>
        <v>76662.073939829235</v>
      </c>
      <c r="N148" s="56">
        <f>IFERROR(_xlfn.XLOOKUP(C148,'[3]ECL CC May 25'!$A:$A,'[3]ECL CC May 25'!$C:$C),0)</f>
        <v>0</v>
      </c>
      <c r="O148" s="56">
        <v>77652.577215229336</v>
      </c>
      <c r="P148" s="56">
        <f>IFERROR(_xlfn.XLOOKUP(C148,[2]Sheet1!$B:$B,[2]Sheet1!$L:$L),0)</f>
        <v>77652.577215229336</v>
      </c>
      <c r="Q148" s="56">
        <f>IFERROR(_xlfn.XLOOKUP(C148,[2]Sheet1!$B:$B,[2]Sheet1!$M:$M),0)</f>
        <v>0</v>
      </c>
      <c r="R148" s="57">
        <f t="shared" si="15"/>
        <v>-990.50327540010039</v>
      </c>
      <c r="S148" s="57">
        <f t="shared" si="16"/>
        <v>-990.50327540010039</v>
      </c>
      <c r="T148" s="57">
        <f t="shared" si="17"/>
        <v>0</v>
      </c>
      <c r="X148" s="6"/>
      <c r="Y148" s="6"/>
    </row>
    <row r="149" spans="1:25" x14ac:dyDescent="0.25">
      <c r="A149" s="76">
        <v>3.3080113710703002E+17</v>
      </c>
      <c r="B149" s="84" t="str">
        <f t="shared" si="12"/>
        <v>330801137107030000</v>
      </c>
      <c r="C149" s="3">
        <v>501193</v>
      </c>
      <c r="D149" s="3" t="s">
        <v>10</v>
      </c>
      <c r="E149" s="2" t="s">
        <v>132</v>
      </c>
      <c r="F149" s="4" t="s">
        <v>12</v>
      </c>
      <c r="G149" s="4" t="s">
        <v>13</v>
      </c>
      <c r="H149" s="18" t="s">
        <v>167</v>
      </c>
      <c r="I149" s="18">
        <f>IFERROR(_xlfn.XLOOKUP(C149,[2]Sheet1!$B:$B,[2]Sheet1!$G:$G),0)</f>
        <v>1</v>
      </c>
      <c r="J149" s="18">
        <f>IFERROR(_xlfn.XLOOKUP(C149,[2]Sheet1!$B:$B,[2]Sheet1!$K:$K),0)</f>
        <v>1</v>
      </c>
      <c r="K149" s="18" t="b">
        <f t="shared" si="13"/>
        <v>1</v>
      </c>
      <c r="L149" s="55">
        <v>242025.70371233451</v>
      </c>
      <c r="M149" s="55">
        <f t="shared" si="14"/>
        <v>240251.87944703613</v>
      </c>
      <c r="N149" s="56">
        <f>IFERROR(_xlfn.XLOOKUP(C149,'[3]ECL CC May 25'!$A:$A,'[3]ECL CC May 25'!$C:$C),0)</f>
        <v>1773.8242652983608</v>
      </c>
      <c r="O149" s="56">
        <v>223178.61992694787</v>
      </c>
      <c r="P149" s="56">
        <f>IFERROR(_xlfn.XLOOKUP(C149,[2]Sheet1!$B:$B,[2]Sheet1!$L:$L),0)</f>
        <v>221422.14133304355</v>
      </c>
      <c r="Q149" s="56">
        <f>IFERROR(_xlfn.XLOOKUP(C149,[2]Sheet1!$B:$B,[2]Sheet1!$M:$M),0)</f>
        <v>1756.4785939043079</v>
      </c>
      <c r="R149" s="57">
        <f t="shared" si="15"/>
        <v>18847.08378538664</v>
      </c>
      <c r="S149" s="57">
        <f t="shared" si="16"/>
        <v>18829.738113992586</v>
      </c>
      <c r="T149" s="57">
        <f t="shared" si="17"/>
        <v>17.345671394052943</v>
      </c>
      <c r="X149" s="6"/>
      <c r="Y149" s="6"/>
    </row>
    <row r="150" spans="1:25" x14ac:dyDescent="0.25">
      <c r="A150" s="76">
        <v>3.3080113711003398E+17</v>
      </c>
      <c r="B150" s="84" t="str">
        <f t="shared" si="12"/>
        <v>330801137110034000</v>
      </c>
      <c r="C150" s="3">
        <v>501119</v>
      </c>
      <c r="D150" s="3" t="s">
        <v>10</v>
      </c>
      <c r="E150" s="2" t="s">
        <v>133</v>
      </c>
      <c r="F150" s="4" t="s">
        <v>12</v>
      </c>
      <c r="G150" s="4" t="s">
        <v>13</v>
      </c>
      <c r="H150" s="18" t="s">
        <v>167</v>
      </c>
      <c r="I150" s="18">
        <f>IFERROR(_xlfn.XLOOKUP(C150,[2]Sheet1!$B:$B,[2]Sheet1!$G:$G),0)</f>
        <v>1</v>
      </c>
      <c r="J150" s="18">
        <f>IFERROR(_xlfn.XLOOKUP(C150,[2]Sheet1!$B:$B,[2]Sheet1!$K:$K),0)</f>
        <v>1</v>
      </c>
      <c r="K150" s="18" t="b">
        <f t="shared" si="13"/>
        <v>1</v>
      </c>
      <c r="L150" s="55">
        <v>52541.238580108111</v>
      </c>
      <c r="M150" s="55">
        <f t="shared" si="14"/>
        <v>4081.205290666272</v>
      </c>
      <c r="N150" s="56">
        <f>IFERROR(_xlfn.XLOOKUP(C150,'[3]ECL CC May 25'!$A:$A,'[3]ECL CC May 25'!$C:$C),0)</f>
        <v>48460.033289441839</v>
      </c>
      <c r="O150" s="56">
        <v>52534.373323478343</v>
      </c>
      <c r="P150" s="56">
        <f>IFERROR(_xlfn.XLOOKUP(C150,[2]Sheet1!$B:$B,[2]Sheet1!$L:$L),0)</f>
        <v>0</v>
      </c>
      <c r="Q150" s="56">
        <f>IFERROR(_xlfn.XLOOKUP(C150,[2]Sheet1!$B:$B,[2]Sheet1!$M:$M),0)</f>
        <v>52534.373323478343</v>
      </c>
      <c r="R150" s="57">
        <f t="shared" si="15"/>
        <v>6.8652566297678277</v>
      </c>
      <c r="S150" s="57">
        <f t="shared" si="16"/>
        <v>4081.205290666272</v>
      </c>
      <c r="T150" s="57">
        <f t="shared" si="17"/>
        <v>-4074.3400340365042</v>
      </c>
      <c r="X150" s="6"/>
      <c r="Y150" s="6"/>
    </row>
    <row r="151" spans="1:25" x14ac:dyDescent="0.25">
      <c r="A151" s="76">
        <v>3.3080113711003398E+17</v>
      </c>
      <c r="B151" s="84" t="str">
        <f t="shared" si="12"/>
        <v>330801137110034000</v>
      </c>
      <c r="C151" s="3">
        <v>501134</v>
      </c>
      <c r="D151" s="3" t="s">
        <v>10</v>
      </c>
      <c r="E151" s="2" t="s">
        <v>134</v>
      </c>
      <c r="F151" s="4" t="s">
        <v>12</v>
      </c>
      <c r="G151" s="4" t="s">
        <v>13</v>
      </c>
      <c r="H151" s="18" t="s">
        <v>167</v>
      </c>
      <c r="I151" s="18">
        <f>IFERROR(_xlfn.XLOOKUP(C151,[2]Sheet1!$B:$B,[2]Sheet1!$G:$G),0)</f>
        <v>1</v>
      </c>
      <c r="J151" s="18">
        <f>IFERROR(_xlfn.XLOOKUP(C151,[2]Sheet1!$B:$B,[2]Sheet1!$K:$K),0)</f>
        <v>1</v>
      </c>
      <c r="K151" s="18" t="b">
        <f t="shared" si="13"/>
        <v>1</v>
      </c>
      <c r="L151" s="55">
        <v>75637.783281428099</v>
      </c>
      <c r="M151" s="55">
        <f t="shared" si="14"/>
        <v>74269.976595296364</v>
      </c>
      <c r="N151" s="56">
        <f>IFERROR(_xlfn.XLOOKUP(C151,'[3]ECL CC May 25'!$A:$A,'[3]ECL CC May 25'!$C:$C),0)</f>
        <v>1367.8066861317375</v>
      </c>
      <c r="O151" s="56">
        <v>74711.511103593657</v>
      </c>
      <c r="P151" s="56">
        <f>IFERROR(_xlfn.XLOOKUP(C151,[2]Sheet1!$B:$B,[2]Sheet1!$L:$L),0)</f>
        <v>73235.638949433589</v>
      </c>
      <c r="Q151" s="56">
        <f>IFERROR(_xlfn.XLOOKUP(C151,[2]Sheet1!$B:$B,[2]Sheet1!$M:$M),0)</f>
        <v>1475.8721541600748</v>
      </c>
      <c r="R151" s="57">
        <f t="shared" si="15"/>
        <v>926.27217783444212</v>
      </c>
      <c r="S151" s="57">
        <f t="shared" si="16"/>
        <v>1034.3376458627754</v>
      </c>
      <c r="T151" s="57">
        <f t="shared" si="17"/>
        <v>-108.06546802833736</v>
      </c>
      <c r="X151" s="6"/>
      <c r="Y151" s="6"/>
    </row>
    <row r="152" spans="1:25" x14ac:dyDescent="0.25">
      <c r="A152" s="76">
        <v>3.3080113710703098E+17</v>
      </c>
      <c r="B152" s="84" t="str">
        <f t="shared" si="12"/>
        <v>330801137107031000</v>
      </c>
      <c r="C152" s="3">
        <v>501121</v>
      </c>
      <c r="D152" s="3" t="s">
        <v>10</v>
      </c>
      <c r="E152" s="2" t="s">
        <v>135</v>
      </c>
      <c r="F152" s="4" t="s">
        <v>12</v>
      </c>
      <c r="G152" s="4" t="s">
        <v>13</v>
      </c>
      <c r="H152" s="18" t="s">
        <v>167</v>
      </c>
      <c r="I152" s="18">
        <f>IFERROR(_xlfn.XLOOKUP(C152,[2]Sheet1!$B:$B,[2]Sheet1!$G:$G),0)</f>
        <v>1</v>
      </c>
      <c r="J152" s="18">
        <f>IFERROR(_xlfn.XLOOKUP(C152,[2]Sheet1!$B:$B,[2]Sheet1!$K:$K),0)</f>
        <v>1</v>
      </c>
      <c r="K152" s="18" t="b">
        <f t="shared" si="13"/>
        <v>1</v>
      </c>
      <c r="L152" s="55">
        <v>281237.69</v>
      </c>
      <c r="M152" s="55">
        <f t="shared" si="14"/>
        <v>281172.21385853837</v>
      </c>
      <c r="N152" s="56">
        <f>IFERROR(_xlfn.XLOOKUP(C152,'[3]ECL CC May 25'!$A:$A,'[3]ECL CC May 25'!$C:$C),0)</f>
        <v>65.476141461619676</v>
      </c>
      <c r="O152" s="56">
        <v>314693.32514999277</v>
      </c>
      <c r="P152" s="56">
        <f>IFERROR(_xlfn.XLOOKUP(C152,[2]Sheet1!$B:$B,[2]Sheet1!$L:$L),0)</f>
        <v>314693.32514999277</v>
      </c>
      <c r="Q152" s="56">
        <f>IFERROR(_xlfn.XLOOKUP(C152,[2]Sheet1!$B:$B,[2]Sheet1!$M:$M),0)</f>
        <v>0</v>
      </c>
      <c r="R152" s="57">
        <f t="shared" si="15"/>
        <v>-33455.63514999277</v>
      </c>
      <c r="S152" s="57">
        <f t="shared" si="16"/>
        <v>-33521.111291454406</v>
      </c>
      <c r="T152" s="57">
        <f t="shared" si="17"/>
        <v>65.476141461619676</v>
      </c>
      <c r="X152" s="6"/>
      <c r="Y152" s="6"/>
    </row>
    <row r="153" spans="1:25" x14ac:dyDescent="0.25">
      <c r="A153" s="76">
        <v>3.3080113710703098E+17</v>
      </c>
      <c r="B153" s="84" t="str">
        <f t="shared" si="12"/>
        <v>330801137107031000</v>
      </c>
      <c r="C153" s="3">
        <v>501122</v>
      </c>
      <c r="D153" s="3" t="s">
        <v>10</v>
      </c>
      <c r="E153" s="2" t="s">
        <v>135</v>
      </c>
      <c r="F153" s="4" t="s">
        <v>12</v>
      </c>
      <c r="G153" s="4" t="s">
        <v>13</v>
      </c>
      <c r="H153" s="18" t="s">
        <v>167</v>
      </c>
      <c r="I153" s="18">
        <f>IFERROR(_xlfn.XLOOKUP(C153,[2]Sheet1!$B:$B,[2]Sheet1!$G:$G),0)</f>
        <v>1</v>
      </c>
      <c r="J153" s="18">
        <f>IFERROR(_xlfn.XLOOKUP(C153,[2]Sheet1!$B:$B,[2]Sheet1!$K:$K),0)</f>
        <v>1</v>
      </c>
      <c r="K153" s="18" t="b">
        <f t="shared" si="13"/>
        <v>1</v>
      </c>
      <c r="L153" s="55">
        <v>489609.14</v>
      </c>
      <c r="M153" s="55">
        <f t="shared" si="14"/>
        <v>489609.14</v>
      </c>
      <c r="N153" s="56">
        <f>IFERROR(_xlfn.XLOOKUP(C153,'[3]ECL CC May 25'!$A:$A,'[3]ECL CC May 25'!$C:$C),0)</f>
        <v>0</v>
      </c>
      <c r="O153" s="56">
        <v>503062.39375481638</v>
      </c>
      <c r="P153" s="56">
        <f>IFERROR(_xlfn.XLOOKUP(C153,[2]Sheet1!$B:$B,[2]Sheet1!$L:$L),0)</f>
        <v>503062.39375481638</v>
      </c>
      <c r="Q153" s="56">
        <f>IFERROR(_xlfn.XLOOKUP(C153,[2]Sheet1!$B:$B,[2]Sheet1!$M:$M),0)</f>
        <v>0</v>
      </c>
      <c r="R153" s="57">
        <f t="shared" si="15"/>
        <v>-13453.253754816367</v>
      </c>
      <c r="S153" s="57">
        <f t="shared" si="16"/>
        <v>-13453.253754816367</v>
      </c>
      <c r="T153" s="57">
        <f t="shared" si="17"/>
        <v>0</v>
      </c>
      <c r="X153" s="6"/>
      <c r="Y153" s="6"/>
    </row>
    <row r="154" spans="1:25" x14ac:dyDescent="0.25">
      <c r="A154" s="76">
        <v>3.30801137107032E+17</v>
      </c>
      <c r="B154" s="84" t="str">
        <f t="shared" si="12"/>
        <v>330801137107032000</v>
      </c>
      <c r="C154" s="3">
        <v>501126</v>
      </c>
      <c r="D154" s="3" t="s">
        <v>10</v>
      </c>
      <c r="E154" s="2" t="s">
        <v>135</v>
      </c>
      <c r="F154" s="4" t="s">
        <v>12</v>
      </c>
      <c r="G154" s="4" t="s">
        <v>13</v>
      </c>
      <c r="H154" s="18" t="s">
        <v>167</v>
      </c>
      <c r="I154" s="18">
        <f>IFERROR(_xlfn.XLOOKUP(C154,[2]Sheet1!$B:$B,[2]Sheet1!$G:$G),0)</f>
        <v>1</v>
      </c>
      <c r="J154" s="18">
        <f>IFERROR(_xlfn.XLOOKUP(C154,[2]Sheet1!$B:$B,[2]Sheet1!$K:$K),0)</f>
        <v>1</v>
      </c>
      <c r="K154" s="18" t="b">
        <f t="shared" si="13"/>
        <v>1</v>
      </c>
      <c r="L154" s="55">
        <v>252790.33</v>
      </c>
      <c r="M154" s="55">
        <f t="shared" si="14"/>
        <v>252790.33</v>
      </c>
      <c r="N154" s="56">
        <f>IFERROR(_xlfn.XLOOKUP(C154,'[3]ECL CC May 25'!$A:$A,'[3]ECL CC May 25'!$C:$C),0)</f>
        <v>0</v>
      </c>
      <c r="O154" s="56">
        <v>259413.12759407389</v>
      </c>
      <c r="P154" s="56">
        <f>IFERROR(_xlfn.XLOOKUP(C154,[2]Sheet1!$B:$B,[2]Sheet1!$L:$L),0)</f>
        <v>259413.12759407389</v>
      </c>
      <c r="Q154" s="56">
        <f>IFERROR(_xlfn.XLOOKUP(C154,[2]Sheet1!$B:$B,[2]Sheet1!$M:$M),0)</f>
        <v>0</v>
      </c>
      <c r="R154" s="57">
        <f t="shared" si="15"/>
        <v>-6622.7975940738979</v>
      </c>
      <c r="S154" s="57">
        <f t="shared" si="16"/>
        <v>-6622.7975940738979</v>
      </c>
      <c r="T154" s="57">
        <f t="shared" si="17"/>
        <v>0</v>
      </c>
      <c r="X154" s="6"/>
      <c r="Y154" s="6"/>
    </row>
    <row r="155" spans="1:25" x14ac:dyDescent="0.25">
      <c r="A155" s="76">
        <v>3.3080113711004E+17</v>
      </c>
      <c r="B155" s="84" t="str">
        <f t="shared" si="12"/>
        <v>330801137110040000</v>
      </c>
      <c r="C155" s="3">
        <v>501123</v>
      </c>
      <c r="D155" s="3" t="s">
        <v>10</v>
      </c>
      <c r="E155" s="2" t="s">
        <v>136</v>
      </c>
      <c r="F155" s="4" t="s">
        <v>12</v>
      </c>
      <c r="G155" s="4" t="s">
        <v>13</v>
      </c>
      <c r="H155" s="18" t="s">
        <v>167</v>
      </c>
      <c r="I155" s="18">
        <f>IFERROR(_xlfn.XLOOKUP(C155,[2]Sheet1!$B:$B,[2]Sheet1!$G:$G),0)</f>
        <v>1</v>
      </c>
      <c r="J155" s="18">
        <f>IFERROR(_xlfn.XLOOKUP(C155,[2]Sheet1!$B:$B,[2]Sheet1!$K:$K),0)</f>
        <v>1</v>
      </c>
      <c r="K155" s="18" t="b">
        <f t="shared" si="13"/>
        <v>1</v>
      </c>
      <c r="L155" s="55">
        <v>173024.66341414952</v>
      </c>
      <c r="M155" s="55">
        <f t="shared" si="14"/>
        <v>140421.63810892621</v>
      </c>
      <c r="N155" s="56">
        <f>IFERROR(_xlfn.XLOOKUP(C155,'[3]ECL CC May 25'!$A:$A,'[3]ECL CC May 25'!$C:$C),0)</f>
        <v>32603.025305223298</v>
      </c>
      <c r="O155" s="56">
        <v>159331.32732367373</v>
      </c>
      <c r="P155" s="56">
        <f>IFERROR(_xlfn.XLOOKUP(C155,[2]Sheet1!$B:$B,[2]Sheet1!$L:$L),0)</f>
        <v>124095.7678526892</v>
      </c>
      <c r="Q155" s="56">
        <f>IFERROR(_xlfn.XLOOKUP(C155,[2]Sheet1!$B:$B,[2]Sheet1!$M:$M),0)</f>
        <v>35235.559470984539</v>
      </c>
      <c r="R155" s="57">
        <f t="shared" si="15"/>
        <v>13693.336090475786</v>
      </c>
      <c r="S155" s="57">
        <f t="shared" si="16"/>
        <v>16325.870256237016</v>
      </c>
      <c r="T155" s="57">
        <f t="shared" si="17"/>
        <v>-2632.5341657612407</v>
      </c>
      <c r="X155" s="6"/>
      <c r="Y155" s="6"/>
    </row>
    <row r="156" spans="1:25" x14ac:dyDescent="0.25">
      <c r="A156" s="76">
        <v>3.3080213711003501E+17</v>
      </c>
      <c r="B156" s="84" t="str">
        <f t="shared" si="12"/>
        <v>330802137110035000</v>
      </c>
      <c r="C156" s="3">
        <v>501157</v>
      </c>
      <c r="D156" s="3" t="s">
        <v>10</v>
      </c>
      <c r="E156" s="2" t="s">
        <v>137</v>
      </c>
      <c r="F156" s="4" t="s">
        <v>31</v>
      </c>
      <c r="G156" s="4" t="s">
        <v>13</v>
      </c>
      <c r="H156" s="18" t="s">
        <v>167</v>
      </c>
      <c r="I156" s="18">
        <f>IFERROR(_xlfn.XLOOKUP(C156,[2]Sheet1!$B:$B,[2]Sheet1!$G:$G),0)</f>
        <v>1</v>
      </c>
      <c r="J156" s="18">
        <f>IFERROR(_xlfn.XLOOKUP(C156,[2]Sheet1!$B:$B,[2]Sheet1!$K:$K),0)</f>
        <v>1</v>
      </c>
      <c r="K156" s="18" t="b">
        <f t="shared" si="13"/>
        <v>1</v>
      </c>
      <c r="L156" s="55">
        <v>1121100.9455172163</v>
      </c>
      <c r="M156" s="55">
        <f t="shared" si="14"/>
        <v>1054962.8465410396</v>
      </c>
      <c r="N156" s="56">
        <f>IFERROR(_xlfn.XLOOKUP(C156,'[3]ECL CC May 25'!$A:$A,'[3]ECL CC May 25'!$C:$C),0)</f>
        <v>66138.098976176654</v>
      </c>
      <c r="O156" s="56">
        <v>1241497.9269469744</v>
      </c>
      <c r="P156" s="56">
        <f>IFERROR(_xlfn.XLOOKUP(C156,[2]Sheet1!$B:$B,[2]Sheet1!$L:$L),0)</f>
        <v>1169027.6558433292</v>
      </c>
      <c r="Q156" s="56">
        <f>IFERROR(_xlfn.XLOOKUP(C156,[2]Sheet1!$B:$B,[2]Sheet1!$M:$M),0)</f>
        <v>72470.271103645166</v>
      </c>
      <c r="R156" s="57">
        <f t="shared" si="15"/>
        <v>-120396.98142975802</v>
      </c>
      <c r="S156" s="57">
        <f t="shared" si="16"/>
        <v>-114064.8093022895</v>
      </c>
      <c r="T156" s="57">
        <f t="shared" si="17"/>
        <v>-6332.1721274685115</v>
      </c>
      <c r="X156" s="6"/>
      <c r="Y156" s="6"/>
    </row>
    <row r="157" spans="1:25" x14ac:dyDescent="0.25">
      <c r="A157" s="76">
        <v>3.3080213711000198E+17</v>
      </c>
      <c r="B157" s="84" t="str">
        <f t="shared" si="12"/>
        <v>330802137110002000</v>
      </c>
      <c r="C157" s="3">
        <v>500605</v>
      </c>
      <c r="D157" s="3" t="s">
        <v>10</v>
      </c>
      <c r="E157" s="2" t="s">
        <v>137</v>
      </c>
      <c r="F157" s="4" t="s">
        <v>31</v>
      </c>
      <c r="G157" s="4" t="s">
        <v>13</v>
      </c>
      <c r="H157" s="18" t="s">
        <v>167</v>
      </c>
      <c r="I157" s="18">
        <f>IFERROR(_xlfn.XLOOKUP(C157,[2]Sheet1!$B:$B,[2]Sheet1!$G:$G),0)</f>
        <v>1</v>
      </c>
      <c r="J157" s="18">
        <f>IFERROR(_xlfn.XLOOKUP(C157,[2]Sheet1!$B:$B,[2]Sheet1!$K:$K),0)</f>
        <v>1</v>
      </c>
      <c r="K157" s="18" t="b">
        <f t="shared" si="13"/>
        <v>1</v>
      </c>
      <c r="L157" s="55">
        <v>1001428.8066494204</v>
      </c>
      <c r="M157" s="55">
        <f t="shared" si="14"/>
        <v>960917.69078566704</v>
      </c>
      <c r="N157" s="56">
        <f>IFERROR(_xlfn.XLOOKUP(C157,'[3]ECL CC May 25'!$A:$A,'[3]ECL CC May 25'!$C:$C),0)</f>
        <v>40511.115863753352</v>
      </c>
      <c r="O157" s="56">
        <v>1109274.0373858041</v>
      </c>
      <c r="P157" s="56">
        <f>IFERROR(_xlfn.XLOOKUP(C157,[2]Sheet1!$B:$B,[2]Sheet1!$L:$L),0)</f>
        <v>1064878.1485031759</v>
      </c>
      <c r="Q157" s="56">
        <f>IFERROR(_xlfn.XLOOKUP(C157,[2]Sheet1!$B:$B,[2]Sheet1!$M:$M),0)</f>
        <v>44395.888882628169</v>
      </c>
      <c r="R157" s="57">
        <f t="shared" si="15"/>
        <v>-107845.2307363837</v>
      </c>
      <c r="S157" s="57">
        <f t="shared" si="16"/>
        <v>-103960.45771750889</v>
      </c>
      <c r="T157" s="57">
        <f t="shared" si="17"/>
        <v>-3884.7730188748174</v>
      </c>
      <c r="X157" s="6"/>
      <c r="Y157" s="6"/>
    </row>
    <row r="158" spans="1:25" x14ac:dyDescent="0.25">
      <c r="A158" s="76">
        <v>3.3080213711003501E+17</v>
      </c>
      <c r="B158" s="84" t="str">
        <f t="shared" si="12"/>
        <v>330802137110035000</v>
      </c>
      <c r="C158" s="3">
        <v>501167</v>
      </c>
      <c r="D158" s="3" t="s">
        <v>10</v>
      </c>
      <c r="E158" s="2" t="s">
        <v>137</v>
      </c>
      <c r="F158" s="4" t="s">
        <v>31</v>
      </c>
      <c r="G158" s="4" t="s">
        <v>13</v>
      </c>
      <c r="H158" s="18" t="s">
        <v>167</v>
      </c>
      <c r="I158" s="18">
        <f>IFERROR(_xlfn.XLOOKUP(C158,[2]Sheet1!$B:$B,[2]Sheet1!$G:$G),0)</f>
        <v>1</v>
      </c>
      <c r="J158" s="18">
        <f>IFERROR(_xlfn.XLOOKUP(C158,[2]Sheet1!$B:$B,[2]Sheet1!$K:$K),0)</f>
        <v>1</v>
      </c>
      <c r="K158" s="18" t="b">
        <f t="shared" si="13"/>
        <v>1</v>
      </c>
      <c r="L158" s="55">
        <v>297611.61491371715</v>
      </c>
      <c r="M158" s="55">
        <f t="shared" si="14"/>
        <v>296981.09488204616</v>
      </c>
      <c r="N158" s="56">
        <f>IFERROR(_xlfn.XLOOKUP(C158,'[3]ECL CC May 25'!$A:$A,'[3]ECL CC May 25'!$C:$C),0)</f>
        <v>630.52003167096586</v>
      </c>
      <c r="O158" s="56">
        <v>329979.89287664078</v>
      </c>
      <c r="P158" s="56">
        <f>IFERROR(_xlfn.XLOOKUP(C158,[2]Sheet1!$B:$B,[2]Sheet1!$L:$L),0)</f>
        <v>329288.40384728531</v>
      </c>
      <c r="Q158" s="56">
        <f>IFERROR(_xlfn.XLOOKUP(C158,[2]Sheet1!$B:$B,[2]Sheet1!$M:$M),0)</f>
        <v>691.48902935545175</v>
      </c>
      <c r="R158" s="57">
        <f t="shared" si="15"/>
        <v>-32368.277962923632</v>
      </c>
      <c r="S158" s="57">
        <f t="shared" si="16"/>
        <v>-32307.30896523915</v>
      </c>
      <c r="T158" s="57">
        <f t="shared" si="17"/>
        <v>-60.968997684485885</v>
      </c>
      <c r="X158" s="6"/>
      <c r="Y158" s="6"/>
    </row>
    <row r="159" spans="1:25" x14ac:dyDescent="0.25">
      <c r="A159" s="76">
        <v>3.3080213710102701E+17</v>
      </c>
      <c r="B159" s="84" t="str">
        <f t="shared" si="12"/>
        <v>330802137101027000</v>
      </c>
      <c r="C159" s="3">
        <v>501049</v>
      </c>
      <c r="D159" s="3" t="s">
        <v>10</v>
      </c>
      <c r="E159" s="2" t="s">
        <v>137</v>
      </c>
      <c r="F159" s="4" t="s">
        <v>31</v>
      </c>
      <c r="G159" s="4" t="s">
        <v>13</v>
      </c>
      <c r="H159" s="18" t="s">
        <v>167</v>
      </c>
      <c r="I159" s="18">
        <f>IFERROR(_xlfn.XLOOKUP(C159,[2]Sheet1!$B:$B,[2]Sheet1!$G:$G),0)</f>
        <v>1</v>
      </c>
      <c r="J159" s="18">
        <f>IFERROR(_xlfn.XLOOKUP(C159,[2]Sheet1!$B:$B,[2]Sheet1!$K:$K),0)</f>
        <v>1</v>
      </c>
      <c r="K159" s="18" t="b">
        <f t="shared" si="13"/>
        <v>1</v>
      </c>
      <c r="L159" s="55">
        <v>1858715.7900642739</v>
      </c>
      <c r="M159" s="55">
        <f t="shared" si="14"/>
        <v>1858640.6835043891</v>
      </c>
      <c r="N159" s="56">
        <f>IFERROR(_xlfn.XLOOKUP(C159,'[3]ECL CC May 25'!$A:$A,'[3]ECL CC May 25'!$C:$C),0)</f>
        <v>75.106559884721321</v>
      </c>
      <c r="O159" s="56">
        <v>1887755.6092701671</v>
      </c>
      <c r="P159" s="56">
        <f>IFERROR(_xlfn.XLOOKUP(C159,[2]Sheet1!$B:$B,[2]Sheet1!$L:$L),0)</f>
        <v>1887755.6092701671</v>
      </c>
      <c r="Q159" s="56">
        <f>IFERROR(_xlfn.XLOOKUP(C159,[2]Sheet1!$B:$B,[2]Sheet1!$M:$M),0)</f>
        <v>0</v>
      </c>
      <c r="R159" s="57">
        <f t="shared" si="15"/>
        <v>-29039.819205893204</v>
      </c>
      <c r="S159" s="57">
        <f t="shared" si="16"/>
        <v>-29114.925765777938</v>
      </c>
      <c r="T159" s="57">
        <f t="shared" si="17"/>
        <v>75.106559884721321</v>
      </c>
      <c r="X159" s="6"/>
      <c r="Y159" s="6"/>
    </row>
    <row r="160" spans="1:25" x14ac:dyDescent="0.25">
      <c r="A160" s="76">
        <v>3.3080213712002899E+17</v>
      </c>
      <c r="B160" s="84" t="str">
        <f t="shared" si="12"/>
        <v>330802137120029000</v>
      </c>
      <c r="C160" s="3">
        <v>501092</v>
      </c>
      <c r="D160" s="3" t="s">
        <v>10</v>
      </c>
      <c r="E160" s="2" t="s">
        <v>138</v>
      </c>
      <c r="F160" s="4" t="s">
        <v>31</v>
      </c>
      <c r="G160" s="4" t="s">
        <v>13</v>
      </c>
      <c r="H160" s="18" t="s">
        <v>167</v>
      </c>
      <c r="I160" s="18">
        <f>IFERROR(_xlfn.XLOOKUP(C160,[2]Sheet1!$B:$B,[2]Sheet1!$G:$G),0)</f>
        <v>1</v>
      </c>
      <c r="J160" s="18">
        <f>IFERROR(_xlfn.XLOOKUP(C160,[2]Sheet1!$B:$B,[2]Sheet1!$K:$K),0)</f>
        <v>1</v>
      </c>
      <c r="K160" s="18" t="b">
        <f t="shared" si="13"/>
        <v>1</v>
      </c>
      <c r="L160" s="55">
        <v>5780.9160747907736</v>
      </c>
      <c r="M160" s="55">
        <f t="shared" si="14"/>
        <v>-52831.542531960586</v>
      </c>
      <c r="N160" s="56">
        <f>IFERROR(_xlfn.XLOOKUP(C160,'[3]ECL CC May 25'!$A:$A,'[3]ECL CC May 25'!$C:$C),0)</f>
        <v>58612.458606751359</v>
      </c>
      <c r="O160" s="56">
        <v>72660.92500767528</v>
      </c>
      <c r="P160" s="56">
        <f>IFERROR(_xlfn.XLOOKUP(C160,[2]Sheet1!$B:$B,[2]Sheet1!$L:$L),0)</f>
        <v>8199.2951254634681</v>
      </c>
      <c r="Q160" s="56">
        <f>IFERROR(_xlfn.XLOOKUP(C160,[2]Sheet1!$B:$B,[2]Sheet1!$M:$M),0)</f>
        <v>64461.629882211811</v>
      </c>
      <c r="R160" s="57">
        <f t="shared" si="15"/>
        <v>-66880.008932884506</v>
      </c>
      <c r="S160" s="57">
        <f t="shared" si="16"/>
        <v>-61030.837657424054</v>
      </c>
      <c r="T160" s="57">
        <f t="shared" si="17"/>
        <v>-5849.1712754604523</v>
      </c>
      <c r="X160" s="6"/>
      <c r="Y160" s="6"/>
    </row>
    <row r="161" spans="1:25" x14ac:dyDescent="0.25">
      <c r="A161" s="76">
        <v>3.3080213712202899E+17</v>
      </c>
      <c r="B161" s="84" t="str">
        <f t="shared" si="12"/>
        <v>330802137122029000</v>
      </c>
      <c r="C161" s="3">
        <v>501085</v>
      </c>
      <c r="D161" s="3" t="s">
        <v>10</v>
      </c>
      <c r="E161" s="2" t="s">
        <v>138</v>
      </c>
      <c r="F161" s="4" t="s">
        <v>31</v>
      </c>
      <c r="G161" s="4" t="s">
        <v>13</v>
      </c>
      <c r="H161" s="18" t="s">
        <v>167</v>
      </c>
      <c r="I161" s="18">
        <f>IFERROR(_xlfn.XLOOKUP(C161,[2]Sheet1!$B:$B,[2]Sheet1!$G:$G),0)</f>
        <v>1</v>
      </c>
      <c r="J161" s="18">
        <f>IFERROR(_xlfn.XLOOKUP(C161,[2]Sheet1!$B:$B,[2]Sheet1!$K:$K),0)</f>
        <v>1</v>
      </c>
      <c r="K161" s="18" t="b">
        <f t="shared" si="13"/>
        <v>1</v>
      </c>
      <c r="L161" s="55">
        <v>79577.456836441139</v>
      </c>
      <c r="M161" s="55">
        <f t="shared" si="14"/>
        <v>79577.456836441139</v>
      </c>
      <c r="N161" s="56">
        <f>IFERROR(_xlfn.XLOOKUP(C161,'[3]ECL CC May 25'!$A:$A,'[3]ECL CC May 25'!$C:$C),0)</f>
        <v>0</v>
      </c>
      <c r="O161" s="56">
        <v>11967.865096825484</v>
      </c>
      <c r="P161" s="56">
        <f>IFERROR(_xlfn.XLOOKUP(C161,[2]Sheet1!$B:$B,[2]Sheet1!$L:$L),0)</f>
        <v>11967.865096825484</v>
      </c>
      <c r="Q161" s="56">
        <f>IFERROR(_xlfn.XLOOKUP(C161,[2]Sheet1!$B:$B,[2]Sheet1!$M:$M),0)</f>
        <v>0</v>
      </c>
      <c r="R161" s="57">
        <f t="shared" si="15"/>
        <v>67609.591739615658</v>
      </c>
      <c r="S161" s="57">
        <f t="shared" si="16"/>
        <v>67609.591739615658</v>
      </c>
      <c r="T161" s="57">
        <f t="shared" si="17"/>
        <v>0</v>
      </c>
      <c r="X161" s="6"/>
      <c r="Y161" s="6"/>
    </row>
    <row r="162" spans="1:25" x14ac:dyDescent="0.25">
      <c r="A162" s="76">
        <v>3.3080113710703802E+17</v>
      </c>
      <c r="B162" s="84" t="str">
        <f t="shared" si="12"/>
        <v>330801137107038000</v>
      </c>
      <c r="C162" s="3">
        <v>501198</v>
      </c>
      <c r="D162" s="3" t="s">
        <v>10</v>
      </c>
      <c r="E162" s="2" t="s">
        <v>139</v>
      </c>
      <c r="F162" s="4" t="s">
        <v>12</v>
      </c>
      <c r="G162" s="4" t="s">
        <v>13</v>
      </c>
      <c r="H162" s="18" t="s">
        <v>167</v>
      </c>
      <c r="I162" s="18">
        <f>IFERROR(_xlfn.XLOOKUP(C162,[2]Sheet1!$B:$B,[2]Sheet1!$G:$G),0)</f>
        <v>1</v>
      </c>
      <c r="J162" s="18">
        <f>IFERROR(_xlfn.XLOOKUP(C162,[2]Sheet1!$B:$B,[2]Sheet1!$K:$K),0)</f>
        <v>1</v>
      </c>
      <c r="K162" s="18" t="b">
        <f t="shared" si="13"/>
        <v>1</v>
      </c>
      <c r="L162" s="55">
        <v>34924.195482730371</v>
      </c>
      <c r="M162" s="55">
        <f t="shared" si="14"/>
        <v>34924.195482730371</v>
      </c>
      <c r="N162" s="56">
        <f>IFERROR(_xlfn.XLOOKUP(C162,'[3]ECL CC May 25'!$A:$A,'[3]ECL CC May 25'!$C:$C),0)</f>
        <v>0</v>
      </c>
      <c r="O162" s="56">
        <v>36276.829078811359</v>
      </c>
      <c r="P162" s="56">
        <f>IFERROR(_xlfn.XLOOKUP(C162,[2]Sheet1!$B:$B,[2]Sheet1!$L:$L),0)</f>
        <v>36276.829078811359</v>
      </c>
      <c r="Q162" s="56">
        <f>IFERROR(_xlfn.XLOOKUP(C162,[2]Sheet1!$B:$B,[2]Sheet1!$M:$M),0)</f>
        <v>0</v>
      </c>
      <c r="R162" s="57">
        <f t="shared" si="15"/>
        <v>-1352.6335960809884</v>
      </c>
      <c r="S162" s="57">
        <f t="shared" si="16"/>
        <v>-1352.6335960809884</v>
      </c>
      <c r="T162" s="57">
        <f t="shared" si="17"/>
        <v>0</v>
      </c>
      <c r="X162" s="6"/>
      <c r="Y162" s="6"/>
    </row>
    <row r="163" spans="1:25" x14ac:dyDescent="0.25">
      <c r="A163" s="76">
        <v>3.3080113711003802E+17</v>
      </c>
      <c r="B163" s="84" t="str">
        <f t="shared" si="12"/>
        <v>330801137110038000</v>
      </c>
      <c r="C163" s="3">
        <v>501197</v>
      </c>
      <c r="D163" s="3" t="s">
        <v>10</v>
      </c>
      <c r="E163" s="2" t="s">
        <v>139</v>
      </c>
      <c r="F163" s="4" t="s">
        <v>12</v>
      </c>
      <c r="G163" s="4" t="s">
        <v>13</v>
      </c>
      <c r="H163" s="18" t="s">
        <v>167</v>
      </c>
      <c r="I163" s="18">
        <f>IFERROR(_xlfn.XLOOKUP(C163,[2]Sheet1!$B:$B,[2]Sheet1!$G:$G),0)</f>
        <v>1</v>
      </c>
      <c r="J163" s="18">
        <f>IFERROR(_xlfn.XLOOKUP(C163,[2]Sheet1!$B:$B,[2]Sheet1!$K:$K),0)</f>
        <v>1</v>
      </c>
      <c r="K163" s="18" t="b">
        <f t="shared" si="13"/>
        <v>1</v>
      </c>
      <c r="L163" s="55">
        <v>228851.79940306547</v>
      </c>
      <c r="M163" s="55">
        <f t="shared" si="14"/>
        <v>228846.5282869894</v>
      </c>
      <c r="N163" s="56">
        <f>IFERROR(_xlfn.XLOOKUP(C163,'[3]ECL CC May 25'!$A:$A,'[3]ECL CC May 25'!$C:$C),0)</f>
        <v>5.2711160760772815</v>
      </c>
      <c r="O163" s="56">
        <v>227759.96141715068</v>
      </c>
      <c r="P163" s="56">
        <f>IFERROR(_xlfn.XLOOKUP(C163,[2]Sheet1!$B:$B,[2]Sheet1!$L:$L),0)</f>
        <v>227754.26769623702</v>
      </c>
      <c r="Q163" s="56">
        <f>IFERROR(_xlfn.XLOOKUP(C163,[2]Sheet1!$B:$B,[2]Sheet1!$M:$M),0)</f>
        <v>5.6937209136647482</v>
      </c>
      <c r="R163" s="57">
        <f t="shared" si="15"/>
        <v>1091.8379859147826</v>
      </c>
      <c r="S163" s="57">
        <f t="shared" si="16"/>
        <v>1092.260590752383</v>
      </c>
      <c r="T163" s="57">
        <f t="shared" si="17"/>
        <v>-0.4226048375874667</v>
      </c>
      <c r="X163" s="6"/>
      <c r="Y163" s="6"/>
    </row>
    <row r="164" spans="1:25" x14ac:dyDescent="0.25">
      <c r="A164" s="76">
        <v>3.3080220510102502E+17</v>
      </c>
      <c r="B164" s="84" t="str">
        <f t="shared" si="12"/>
        <v>330802205101025000</v>
      </c>
      <c r="C164" s="3">
        <v>501017</v>
      </c>
      <c r="D164" s="3" t="s">
        <v>10</v>
      </c>
      <c r="E164" s="2" t="s">
        <v>140</v>
      </c>
      <c r="F164" s="4" t="s">
        <v>31</v>
      </c>
      <c r="G164" s="4" t="s">
        <v>13</v>
      </c>
      <c r="H164" s="18" t="s">
        <v>167</v>
      </c>
      <c r="I164" s="18">
        <f>IFERROR(_xlfn.XLOOKUP(C164,[2]Sheet1!$B:$B,[2]Sheet1!$G:$G),0)</f>
        <v>1</v>
      </c>
      <c r="J164" s="18">
        <f>IFERROR(_xlfn.XLOOKUP(C164,[2]Sheet1!$B:$B,[2]Sheet1!$K:$K),0)</f>
        <v>1</v>
      </c>
      <c r="K164" s="18" t="b">
        <f t="shared" si="13"/>
        <v>1</v>
      </c>
      <c r="L164" s="55">
        <v>412732.02525443397</v>
      </c>
      <c r="M164" s="55">
        <f t="shared" si="14"/>
        <v>412732.02525443397</v>
      </c>
      <c r="N164" s="56">
        <f>IFERROR(_xlfn.XLOOKUP(C164,'[3]ECL CC May 25'!$A:$A,'[3]ECL CC May 25'!$C:$C),0)</f>
        <v>0</v>
      </c>
      <c r="O164" s="56">
        <v>474406.53448777169</v>
      </c>
      <c r="P164" s="56">
        <f>IFERROR(_xlfn.XLOOKUP(C164,[2]Sheet1!$B:$B,[2]Sheet1!$L:$L),0)</f>
        <v>474406.53448777169</v>
      </c>
      <c r="Q164" s="56">
        <f>IFERROR(_xlfn.XLOOKUP(C164,[2]Sheet1!$B:$B,[2]Sheet1!$M:$M),0)</f>
        <v>0</v>
      </c>
      <c r="R164" s="57">
        <f t="shared" si="15"/>
        <v>-61674.509233337711</v>
      </c>
      <c r="S164" s="57">
        <f t="shared" si="16"/>
        <v>-61674.509233337711</v>
      </c>
      <c r="T164" s="57">
        <f t="shared" si="17"/>
        <v>0</v>
      </c>
      <c r="X164" s="6"/>
      <c r="Y164" s="6"/>
    </row>
    <row r="165" spans="1:25" x14ac:dyDescent="0.25">
      <c r="A165" s="76">
        <v>3.3080113712102797E+17</v>
      </c>
      <c r="B165" s="84" t="str">
        <f t="shared" si="12"/>
        <v>330801137121028000</v>
      </c>
      <c r="C165" s="3">
        <v>500995</v>
      </c>
      <c r="D165" s="3" t="s">
        <v>10</v>
      </c>
      <c r="E165" s="2" t="s">
        <v>141</v>
      </c>
      <c r="F165" s="4" t="s">
        <v>12</v>
      </c>
      <c r="G165" s="4" t="s">
        <v>13</v>
      </c>
      <c r="H165" s="18" t="s">
        <v>167</v>
      </c>
      <c r="I165" s="18">
        <f>IFERROR(_xlfn.XLOOKUP(C165,[2]Sheet1!$B:$B,[2]Sheet1!$G:$G),0)</f>
        <v>1</v>
      </c>
      <c r="J165" s="18">
        <f>IFERROR(_xlfn.XLOOKUP(C165,[2]Sheet1!$B:$B,[2]Sheet1!$K:$K),0)</f>
        <v>1</v>
      </c>
      <c r="K165" s="18" t="b">
        <f t="shared" si="13"/>
        <v>1</v>
      </c>
      <c r="L165" s="55">
        <v>322495.24516279547</v>
      </c>
      <c r="M165" s="55">
        <f t="shared" si="14"/>
        <v>322495.24516279547</v>
      </c>
      <c r="N165" s="56">
        <f>IFERROR(_xlfn.XLOOKUP(C165,'[3]ECL CC May 25'!$A:$A,'[3]ECL CC May 25'!$C:$C),0)</f>
        <v>0</v>
      </c>
      <c r="O165" s="56">
        <v>307931.11000190751</v>
      </c>
      <c r="P165" s="56">
        <f>IFERROR(_xlfn.XLOOKUP(C165,[2]Sheet1!$B:$B,[2]Sheet1!$L:$L),0)</f>
        <v>307931.11000190751</v>
      </c>
      <c r="Q165" s="56">
        <f>IFERROR(_xlfn.XLOOKUP(C165,[2]Sheet1!$B:$B,[2]Sheet1!$M:$M),0)</f>
        <v>0</v>
      </c>
      <c r="R165" s="57">
        <f t="shared" si="15"/>
        <v>14564.135160887963</v>
      </c>
      <c r="S165" s="57">
        <f t="shared" si="16"/>
        <v>14564.135160887963</v>
      </c>
      <c r="T165" s="57">
        <f t="shared" si="17"/>
        <v>0</v>
      </c>
      <c r="X165" s="6"/>
      <c r="Y165" s="6"/>
    </row>
    <row r="166" spans="1:25" x14ac:dyDescent="0.25">
      <c r="C166" s="7"/>
      <c r="D166" s="7"/>
      <c r="L166" s="14"/>
      <c r="M166" s="14"/>
      <c r="N166" s="15"/>
      <c r="O166" s="14"/>
      <c r="P166" s="14"/>
      <c r="Q166" s="14"/>
      <c r="R166" s="14"/>
      <c r="S166" s="5"/>
      <c r="T166" s="5"/>
    </row>
    <row r="167" spans="1:25" x14ac:dyDescent="0.25">
      <c r="C167" s="7"/>
      <c r="D167" s="7"/>
      <c r="I167" s="11" t="s">
        <v>142</v>
      </c>
      <c r="J167" s="11"/>
      <c r="K167" s="11"/>
      <c r="L167" s="10">
        <f t="shared" ref="L167:T167" si="18">SUM(L3:L165)</f>
        <v>154867064.15099165</v>
      </c>
      <c r="M167" s="10">
        <f t="shared" si="18"/>
        <v>136915987.46040919</v>
      </c>
      <c r="N167" s="10">
        <f t="shared" si="18"/>
        <v>17951076.690582488</v>
      </c>
      <c r="O167" s="10">
        <f t="shared" si="18"/>
        <v>158460626.19513592</v>
      </c>
      <c r="P167" s="10">
        <f t="shared" si="18"/>
        <v>137630275.09319729</v>
      </c>
      <c r="Q167" s="10">
        <f t="shared" si="18"/>
        <v>20830351.101938661</v>
      </c>
      <c r="R167" s="10">
        <f t="shared" si="18"/>
        <v>-3593562.0441442267</v>
      </c>
      <c r="S167" s="10">
        <f t="shared" si="18"/>
        <v>-714287.63278806629</v>
      </c>
      <c r="T167" s="10">
        <f t="shared" si="18"/>
        <v>-2879274.4113561627</v>
      </c>
    </row>
    <row r="168" spans="1:25" x14ac:dyDescent="0.25">
      <c r="C168" s="7"/>
      <c r="D168" s="7"/>
      <c r="I168" s="59"/>
      <c r="J168" s="59"/>
      <c r="K168" s="59"/>
      <c r="L168" s="60"/>
      <c r="M168" s="60"/>
      <c r="N168" s="60"/>
      <c r="O168" s="60"/>
      <c r="P168" s="60"/>
      <c r="Q168" s="60"/>
      <c r="R168" s="60"/>
      <c r="S168" s="60"/>
      <c r="T168" s="60"/>
    </row>
    <row r="169" spans="1:25" x14ac:dyDescent="0.25">
      <c r="C169" s="7"/>
      <c r="D169" s="7"/>
      <c r="P169" s="6"/>
      <c r="Q169" s="6"/>
      <c r="R169" s="6"/>
    </row>
    <row r="170" spans="1:25" x14ac:dyDescent="0.25">
      <c r="C170" s="7"/>
      <c r="D170" s="7"/>
      <c r="L170" s="81">
        <v>45778</v>
      </c>
      <c r="M170" s="81"/>
      <c r="N170" s="81"/>
      <c r="O170" s="82">
        <v>45748</v>
      </c>
      <c r="P170" s="82"/>
      <c r="Q170" s="82"/>
      <c r="R170" s="82" t="s">
        <v>9</v>
      </c>
      <c r="S170" s="82"/>
      <c r="T170" s="82"/>
    </row>
    <row r="171" spans="1:25" x14ac:dyDescent="0.25">
      <c r="I171" s="10" t="s">
        <v>143</v>
      </c>
      <c r="J171" s="4">
        <v>1</v>
      </c>
      <c r="K171" s="10"/>
      <c r="L171" s="10">
        <f>SUMIF($I$3:$I$165,J171,$L$3:$L$165)</f>
        <v>135355269.15579939</v>
      </c>
      <c r="M171" s="10">
        <f>SUMIF($I$3:$I$165,J171,$M$3:$M$165)</f>
        <v>117899637.47369528</v>
      </c>
      <c r="N171" s="10">
        <f>SUMIF($I$3:$I$165,J171,$N$3:$N$165)</f>
        <v>17455631.682104204</v>
      </c>
      <c r="O171" s="10">
        <f>SUMIF($J$3:$J$165,J171,$O$3:$O$165)</f>
        <v>138828905.14085683</v>
      </c>
      <c r="P171" s="10">
        <f>SUMIF($J$3:$J$165,J171,$P$3:$P$165)</f>
        <v>118488421.00410694</v>
      </c>
      <c r="Q171" s="10">
        <f>SUMIF($J$3:$J$165,J171,$Q$3:$Q$165)</f>
        <v>20340484.136749879</v>
      </c>
      <c r="R171" s="15">
        <f>L171-O171</f>
        <v>-3473635.9850574434</v>
      </c>
      <c r="S171" s="15">
        <f>M171-P171</f>
        <v>-588783.53041166067</v>
      </c>
      <c r="T171" s="15">
        <f>N171-Q171</f>
        <v>-2884852.4546456747</v>
      </c>
    </row>
    <row r="172" spans="1:25" x14ac:dyDescent="0.25">
      <c r="I172" s="10" t="s">
        <v>144</v>
      </c>
      <c r="J172" s="4">
        <v>2</v>
      </c>
      <c r="K172" s="10"/>
      <c r="L172" s="10">
        <f>SUMIF($I$3:$I$165,J172,$L$3:$L$165)</f>
        <v>19511794.995192204</v>
      </c>
      <c r="M172" s="10">
        <f>SUMIF($I$3:$I$165,J172,$M$3:$M$165)</f>
        <v>19016349.986713916</v>
      </c>
      <c r="N172" s="10">
        <f>SUMIF($I$3:$I$165,J172,$N$3:$N$165)</f>
        <v>495445.00847828679</v>
      </c>
      <c r="O172" s="10">
        <f>SUMIF($J$3:$J$165,J172,$O$3:$O$165)</f>
        <v>19631721.0542791</v>
      </c>
      <c r="P172" s="10">
        <f>SUMIF($J$3:$J$165,J172,$P$3:$P$165)</f>
        <v>19141854.089090317</v>
      </c>
      <c r="Q172" s="10">
        <f>SUMIF($J$3:$J$165,J172,$Q$3:$Q$165)</f>
        <v>489866.96518878156</v>
      </c>
      <c r="R172" s="9">
        <f>L172-O172</f>
        <v>-119926.05908689648</v>
      </c>
      <c r="S172" s="9">
        <f t="shared" ref="S172:T172" si="19">M172-P172</f>
        <v>-125504.10237640142</v>
      </c>
      <c r="T172" s="9">
        <f t="shared" si="19"/>
        <v>5578.0432895052363</v>
      </c>
    </row>
    <row r="173" spans="1:25" x14ac:dyDescent="0.25">
      <c r="I173" s="11" t="s">
        <v>145</v>
      </c>
      <c r="J173" s="11"/>
      <c r="K173" s="11"/>
      <c r="L173" s="10">
        <f t="shared" ref="L173:T173" si="20">SUM(L171:L172)</f>
        <v>154867064.15099159</v>
      </c>
      <c r="M173" s="10">
        <f t="shared" si="20"/>
        <v>136915987.46040919</v>
      </c>
      <c r="N173" s="10">
        <f t="shared" si="20"/>
        <v>17951076.690582491</v>
      </c>
      <c r="O173" s="10">
        <f t="shared" si="20"/>
        <v>158460626.19513592</v>
      </c>
      <c r="P173" s="10">
        <f t="shared" si="20"/>
        <v>137630275.09319726</v>
      </c>
      <c r="Q173" s="10">
        <f t="shared" si="20"/>
        <v>20830351.101938661</v>
      </c>
      <c r="R173" s="10">
        <f t="shared" si="20"/>
        <v>-3593562.0441443399</v>
      </c>
      <c r="S173" s="10">
        <f t="shared" si="20"/>
        <v>-714287.6327880621</v>
      </c>
      <c r="T173" s="10">
        <f t="shared" si="20"/>
        <v>-2879274.4113561693</v>
      </c>
    </row>
    <row r="174" spans="1:25" x14ac:dyDescent="0.25">
      <c r="L174" s="12" t="b">
        <f t="shared" ref="L174:Q174" si="21">L167=L173</f>
        <v>1</v>
      </c>
      <c r="M174" s="12" t="b">
        <f t="shared" si="21"/>
        <v>1</v>
      </c>
      <c r="N174" s="12" t="b">
        <f t="shared" si="21"/>
        <v>1</v>
      </c>
      <c r="O174" s="12" t="b">
        <f t="shared" si="21"/>
        <v>1</v>
      </c>
      <c r="P174" s="12" t="b">
        <f t="shared" si="21"/>
        <v>1</v>
      </c>
      <c r="Q174" s="12" t="b">
        <f t="shared" si="21"/>
        <v>1</v>
      </c>
      <c r="R174" s="12">
        <f>ROUND(R167-R173,0)</f>
        <v>0</v>
      </c>
      <c r="S174" s="12">
        <f t="shared" ref="S174:T174" si="22">ROUND(S167-S173,0)</f>
        <v>0</v>
      </c>
      <c r="T174" s="12">
        <f t="shared" si="22"/>
        <v>0</v>
      </c>
    </row>
    <row r="175" spans="1:25" x14ac:dyDescent="0.25">
      <c r="L175" s="13"/>
      <c r="M175" s="13"/>
    </row>
    <row r="176" spans="1:25" x14ac:dyDescent="0.25">
      <c r="J176"/>
      <c r="K176"/>
    </row>
    <row r="178" spans="9:26" x14ac:dyDescent="0.25">
      <c r="J178" s="47" t="s">
        <v>161</v>
      </c>
      <c r="K178" t="s">
        <v>181</v>
      </c>
      <c r="L178" t="s">
        <v>182</v>
      </c>
      <c r="M178" t="s">
        <v>183</v>
      </c>
      <c r="N178"/>
      <c r="O178" s="47" t="s">
        <v>161</v>
      </c>
      <c r="P178" t="s">
        <v>184</v>
      </c>
      <c r="Q178" t="s">
        <v>185</v>
      </c>
      <c r="R178" t="s">
        <v>186</v>
      </c>
      <c r="T178" s="47" t="s">
        <v>161</v>
      </c>
      <c r="U178" t="s">
        <v>163</v>
      </c>
      <c r="V178" t="s">
        <v>164</v>
      </c>
      <c r="W178" t="s">
        <v>165</v>
      </c>
      <c r="Y178" s="1" t="s">
        <v>913</v>
      </c>
      <c r="Z178" s="1" t="s">
        <v>914</v>
      </c>
    </row>
    <row r="179" spans="9:26" x14ac:dyDescent="0.25">
      <c r="J179" s="48">
        <v>1</v>
      </c>
      <c r="K179" s="49">
        <v>135355269.15579951</v>
      </c>
      <c r="L179" s="49">
        <v>117899637.47369526</v>
      </c>
      <c r="M179" s="49">
        <v>17455631.682104204</v>
      </c>
      <c r="N179"/>
      <c r="O179" s="48">
        <v>1</v>
      </c>
      <c r="P179" s="67">
        <v>138828905.1408568</v>
      </c>
      <c r="Q179" s="67">
        <v>118488421.00410695</v>
      </c>
      <c r="R179" s="67">
        <v>20340484.136749882</v>
      </c>
      <c r="T179" s="48" t="s">
        <v>32</v>
      </c>
      <c r="U179" s="67">
        <v>-3022162.4587203893</v>
      </c>
      <c r="V179" s="67">
        <v>-2894929.1029031896</v>
      </c>
      <c r="W179" s="67">
        <v>-127233.35581720015</v>
      </c>
    </row>
    <row r="180" spans="9:26" x14ac:dyDescent="0.25">
      <c r="J180" s="51" t="s">
        <v>32</v>
      </c>
      <c r="K180" s="49">
        <v>65947443.027847119</v>
      </c>
      <c r="L180" s="49">
        <v>65020790.24698595</v>
      </c>
      <c r="M180" s="49">
        <v>926652.78086117108</v>
      </c>
      <c r="N180"/>
      <c r="O180" s="51" t="s">
        <v>32</v>
      </c>
      <c r="P180" s="67">
        <v>68966658.882940337</v>
      </c>
      <c r="Q180" s="67">
        <v>67912772.746261969</v>
      </c>
      <c r="R180" s="67">
        <v>1053886.1366783711</v>
      </c>
      <c r="T180" s="51">
        <v>1</v>
      </c>
      <c r="U180" s="67">
        <v>-3019215.8550932147</v>
      </c>
      <c r="V180" s="67">
        <v>-2891982.499276015</v>
      </c>
      <c r="W180" s="67">
        <v>-127233.35581720015</v>
      </c>
      <c r="Y180" s="1">
        <f>GETPIVOTDATA("Sum of Total ECL MYR (LAF)",$J$178,"Type of Financing","Conventional","MFRS staging ",1)-GETPIVOTDATA("Sum of Total ECL MYR (LAF)2",$O$178,"Type of Financing","Conventional","MFRS staging 2",1)</f>
        <v>-2891982.4992760196</v>
      </c>
    </row>
    <row r="181" spans="9:26" x14ac:dyDescent="0.25">
      <c r="J181" s="51" t="s">
        <v>10</v>
      </c>
      <c r="K181" s="49">
        <v>69407826.127952382</v>
      </c>
      <c r="L181" s="49">
        <v>52878847.226709314</v>
      </c>
      <c r="M181" s="49">
        <v>16528978.901243031</v>
      </c>
      <c r="N181"/>
      <c r="O181" s="51" t="s">
        <v>10</v>
      </c>
      <c r="P181" s="67">
        <v>69862246.257916465</v>
      </c>
      <c r="Q181" s="67">
        <v>50575648.257844985</v>
      </c>
      <c r="R181" s="67">
        <v>19286598.000071511</v>
      </c>
      <c r="T181" s="51">
        <v>2</v>
      </c>
      <c r="U181" s="67">
        <v>-2946.6036271744233</v>
      </c>
      <c r="V181" s="67">
        <v>-2946.6036271744233</v>
      </c>
      <c r="W181" s="67">
        <v>0</v>
      </c>
      <c r="Y181" s="1">
        <f>GETPIVOTDATA("Sum of Total ECL MYR (LAF)",$J$178,"Type of Financing","Islamic","MFRS staging ",1)-GETPIVOTDATA("Sum of Total ECL MYR (LAF)2",$O$178,"Type of Financing","Islamic","MFRS staging 2",1)</f>
        <v>2303198.9688643292</v>
      </c>
    </row>
    <row r="182" spans="9:26" x14ac:dyDescent="0.25">
      <c r="J182" s="48">
        <v>2</v>
      </c>
      <c r="K182" s="49">
        <v>19511794.995192204</v>
      </c>
      <c r="L182" s="49">
        <v>19016349.986713916</v>
      </c>
      <c r="M182" s="49">
        <v>495445.00847828679</v>
      </c>
      <c r="N182"/>
      <c r="O182" s="48">
        <v>2</v>
      </c>
      <c r="P182" s="67">
        <v>19631721.0542791</v>
      </c>
      <c r="Q182" s="67">
        <v>19141854.089090317</v>
      </c>
      <c r="R182" s="67">
        <v>489866.96518878156</v>
      </c>
      <c r="T182" s="48" t="s">
        <v>10</v>
      </c>
      <c r="U182" s="67">
        <v>-571399.58542383928</v>
      </c>
      <c r="V182" s="67">
        <v>2180641.4701151224</v>
      </c>
      <c r="W182" s="67">
        <v>-2752041.0555389626</v>
      </c>
      <c r="Y182" s="1">
        <f>SUM(Y180:Y181)</f>
        <v>-588783.53041169047</v>
      </c>
    </row>
    <row r="183" spans="9:26" x14ac:dyDescent="0.25">
      <c r="J183" s="51" t="s">
        <v>32</v>
      </c>
      <c r="K183" s="49">
        <v>83963.900851198196</v>
      </c>
      <c r="L183" s="49">
        <v>83963.900851198196</v>
      </c>
      <c r="M183" s="49">
        <v>0</v>
      </c>
      <c r="N183"/>
      <c r="O183" s="51" t="s">
        <v>32</v>
      </c>
      <c r="P183" s="67">
        <v>86910.504478372619</v>
      </c>
      <c r="Q183" s="67">
        <v>86910.504478372619</v>
      </c>
      <c r="R183" s="67">
        <v>0</v>
      </c>
      <c r="T183" s="51">
        <v>1</v>
      </c>
      <c r="U183" s="67">
        <v>-452420.94688329997</v>
      </c>
      <c r="V183" s="67">
        <v>2305198.1519451672</v>
      </c>
      <c r="W183" s="67">
        <v>-2757619.098828468</v>
      </c>
      <c r="Y183" s="1">
        <f>GETPIVOTDATA("Sum of Total ECL MYR (LAF)",$J$178,"Type of Financing","Conventional","MFRS staging ",2)-GETPIVOTDATA("Sum of Total ECL MYR (LAF)2",$O$178,"Type of Financing","Conventional","MFRS staging 2",2)</f>
        <v>-2946.6036271744233</v>
      </c>
    </row>
    <row r="184" spans="9:26" x14ac:dyDescent="0.25">
      <c r="J184" s="51" t="s">
        <v>10</v>
      </c>
      <c r="K184" s="49">
        <v>19427831.094341006</v>
      </c>
      <c r="L184" s="49">
        <v>18932386.085862719</v>
      </c>
      <c r="M184" s="49">
        <v>495445.00847828679</v>
      </c>
      <c r="N184"/>
      <c r="O184" s="51" t="s">
        <v>10</v>
      </c>
      <c r="P184" s="67">
        <v>19544810.549800728</v>
      </c>
      <c r="Q184" s="67">
        <v>19054943.584611945</v>
      </c>
      <c r="R184" s="67">
        <v>489866.96518878156</v>
      </c>
      <c r="T184" s="51">
        <v>2</v>
      </c>
      <c r="U184" s="67">
        <v>-118978.63854053931</v>
      </c>
      <c r="V184" s="67">
        <v>-124556.68183004468</v>
      </c>
      <c r="W184" s="67">
        <v>5578.0432895051927</v>
      </c>
      <c r="Y184" s="1">
        <f>GETPIVOTDATA("Sum of Total ECL MYR (LAF)",$J$178,"Type of Financing","Islamic","MFRS staging ",2)-GETPIVOTDATA("Sum of Total ECL MYR (LAF)2",$O$178,"Type of Financing","Islamic","MFRS staging 2",2)</f>
        <v>-122557.49874922633</v>
      </c>
    </row>
    <row r="185" spans="9:26" x14ac:dyDescent="0.25">
      <c r="J185" s="48" t="s">
        <v>162</v>
      </c>
      <c r="K185" s="49">
        <v>154867064.15099171</v>
      </c>
      <c r="L185" s="49">
        <v>136915987.46040919</v>
      </c>
      <c r="M185" s="49">
        <v>17951076.690582491</v>
      </c>
      <c r="N185"/>
      <c r="O185" s="48" t="s">
        <v>162</v>
      </c>
      <c r="P185" s="67">
        <v>158460626.19513589</v>
      </c>
      <c r="Q185" s="67">
        <v>137630275.09319726</v>
      </c>
      <c r="R185" s="67">
        <v>20830351.101938665</v>
      </c>
      <c r="T185" s="48" t="s">
        <v>162</v>
      </c>
      <c r="U185" s="67">
        <v>-3593562.0441442286</v>
      </c>
      <c r="V185" s="67">
        <v>-714287.6327880671</v>
      </c>
      <c r="W185" s="67">
        <v>-2879274.4113561627</v>
      </c>
      <c r="Y185" s="1">
        <f>SUM(Y183:Y184)</f>
        <v>-125504.10237640076</v>
      </c>
    </row>
    <row r="186" spans="9:26" x14ac:dyDescent="0.25">
      <c r="J186" s="48"/>
      <c r="K186" s="49"/>
      <c r="L186" s="49"/>
      <c r="M186" s="49"/>
      <c r="N186"/>
      <c r="O186" s="48"/>
      <c r="P186" s="67"/>
      <c r="Q186" s="67"/>
      <c r="R186" s="67"/>
      <c r="T186" s="48"/>
      <c r="U186" s="67"/>
      <c r="V186" s="67"/>
      <c r="W186" s="67"/>
    </row>
    <row r="187" spans="9:26" x14ac:dyDescent="0.25">
      <c r="J187"/>
      <c r="K187" s="61" t="s">
        <v>908</v>
      </c>
      <c r="L187" s="61" t="s">
        <v>909</v>
      </c>
      <c r="M187" s="66" t="s">
        <v>907</v>
      </c>
      <c r="R187" s="61" t="s">
        <v>911</v>
      </c>
      <c r="S187" s="70" t="s">
        <v>907</v>
      </c>
      <c r="V187"/>
      <c r="W187"/>
      <c r="X187"/>
    </row>
    <row r="188" spans="9:26" x14ac:dyDescent="0.25">
      <c r="I188" t="s">
        <v>187</v>
      </c>
      <c r="J188" t="s">
        <v>188</v>
      </c>
      <c r="K188" s="63">
        <v>210603</v>
      </c>
      <c r="L188" s="62">
        <f>-IFERROR(_xlfn.XLOOKUP(K188,'EXIM_EXIB TB MAY25'!E:E,'EXIM_EXIB TB MAY25'!K:K),0)</f>
        <v>65020790.25</v>
      </c>
      <c r="M188" s="74">
        <f>L188-GETPIVOTDATA("Sum of Total ECL MYR (LAF)",$J$178,"Type of Financing","Conventional","MFRS staging ",1)</f>
        <v>3.0140504240989685E-3</v>
      </c>
      <c r="N188" s="65"/>
      <c r="O188" t="s">
        <v>187</v>
      </c>
      <c r="P188" t="s">
        <v>188</v>
      </c>
      <c r="Q188" s="63">
        <v>210603</v>
      </c>
      <c r="R188" s="68">
        <f>-IFERROR(_xlfn.XLOOKUP(K188,'EXIM_EXIB TB MAY25'!E:E,'EXIM_EXIB TB MAY25'!M:M),0)</f>
        <v>67912772.730000004</v>
      </c>
      <c r="S188" s="69">
        <f>R188-GETPIVOTDATA("Sum of Total ECL MYR (LAF)2",$O$178,"Type of Financing","Conventional","MFRS staging 2",1)</f>
        <v>-1.6261965036392212E-2</v>
      </c>
      <c r="V188"/>
      <c r="W188"/>
      <c r="X188"/>
    </row>
    <row r="189" spans="9:26" x14ac:dyDescent="0.25">
      <c r="I189" t="s">
        <v>10</v>
      </c>
      <c r="J189" t="s">
        <v>188</v>
      </c>
      <c r="K189" s="63">
        <v>2210603</v>
      </c>
      <c r="L189" s="62">
        <f>-IFERROR(_xlfn.XLOOKUP(K189,'EXIM_EXIB TB MAY25'!E:E,'EXIM_EXIB TB MAY25'!K:K),0)</f>
        <v>52878847.229999997</v>
      </c>
      <c r="M189" s="74">
        <f>L189-GETPIVOTDATA("Sum of Total ECL MYR (LAF)",$J$178,"Type of Financing","Islamic","MFRS staging ",1)</f>
        <v>3.2906830310821533E-3</v>
      </c>
      <c r="N189" s="65"/>
      <c r="O189" t="s">
        <v>10</v>
      </c>
      <c r="P189" t="s">
        <v>188</v>
      </c>
      <c r="Q189" s="63">
        <v>2210603</v>
      </c>
      <c r="R189" s="68">
        <f>-IFERROR(_xlfn.XLOOKUP(K189,'EXIM_EXIB TB MAY25'!E:E,'EXIM_EXIB TB MAY25'!M:M),0)</f>
        <v>50575648.219999999</v>
      </c>
      <c r="S189" s="69">
        <f>R189-GETPIVOTDATA("Sum of Total ECL MYR (LAF)2",$O$178,"Type of Financing","Islamic","MFRS staging 2",1)</f>
        <v>-3.7844985723495483E-2</v>
      </c>
      <c r="V189"/>
      <c r="W189"/>
      <c r="X189"/>
    </row>
    <row r="190" spans="9:26" x14ac:dyDescent="0.25">
      <c r="I190" t="s">
        <v>187</v>
      </c>
      <c r="J190" t="s">
        <v>189</v>
      </c>
      <c r="K190" s="63">
        <v>210604</v>
      </c>
      <c r="L190" s="62">
        <f>-IFERROR(_xlfn.XLOOKUP(K190,'EXIM_EXIB TB MAY25'!E:E,'EXIM_EXIB TB MAY25'!K:K),0)</f>
        <v>83963.91</v>
      </c>
      <c r="M190" s="74">
        <f>L190-GETPIVOTDATA("Sum of Total ECL MYR (LAF)",$J$178,"Type of Financing","Conventional","MFRS staging ",2)</f>
        <v>9.1488018078962341E-3</v>
      </c>
      <c r="N190" s="65"/>
      <c r="O190" t="s">
        <v>187</v>
      </c>
      <c r="P190" t="s">
        <v>189</v>
      </c>
      <c r="Q190" s="63">
        <v>210604</v>
      </c>
      <c r="R190" s="68">
        <f>-IFERROR(_xlfn.XLOOKUP(K190,'EXIM_EXIB TB MAY25'!E:E,'EXIM_EXIB TB MAY25'!M:M),0)</f>
        <v>86910.53</v>
      </c>
      <c r="S190" s="69">
        <f>R190-GETPIVOTDATA("Sum of Total ECL MYR (LAF)2",$O$178,"Type of Financing","Conventional","MFRS staging 2",2)</f>
        <v>2.5521627379930578E-2</v>
      </c>
      <c r="V190"/>
      <c r="W190"/>
      <c r="X190"/>
    </row>
    <row r="191" spans="9:26" x14ac:dyDescent="0.25">
      <c r="I191" t="s">
        <v>10</v>
      </c>
      <c r="J191" t="s">
        <v>189</v>
      </c>
      <c r="K191" s="63">
        <v>2210604</v>
      </c>
      <c r="L191" s="62">
        <f>-IFERROR(_xlfn.XLOOKUP(K191,'EXIM_EXIB TB MAY25'!E:E,'EXIM_EXIB TB MAY25'!K:K),0)</f>
        <v>18932386.059999999</v>
      </c>
      <c r="M191" s="74">
        <f>L191-GETPIVOTDATA("Sum of Total ECL MYR (LAF)",$J$178,"Type of Financing","Islamic","MFRS staging ",2)</f>
        <v>-2.5862719863653183E-2</v>
      </c>
      <c r="N191" s="65"/>
      <c r="O191" t="s">
        <v>10</v>
      </c>
      <c r="P191" t="s">
        <v>189</v>
      </c>
      <c r="Q191" s="63">
        <v>2210604</v>
      </c>
      <c r="R191" s="68">
        <f>-IFERROR(_xlfn.XLOOKUP(K191,'EXIM_EXIB TB MAY25'!E:E,'EXIM_EXIB TB MAY25'!M:M),0)</f>
        <v>19054943.600000001</v>
      </c>
      <c r="S191" s="69">
        <f>R191-GETPIVOTDATA("Sum of Total ECL MYR (LAF)2",$O$178,"Type of Financing","Islamic","MFRS staging 2",2)</f>
        <v>1.5388056635856628E-2</v>
      </c>
      <c r="V191"/>
      <c r="W191"/>
      <c r="X191"/>
    </row>
    <row r="192" spans="9:26" x14ac:dyDescent="0.25">
      <c r="I192" t="s">
        <v>187</v>
      </c>
      <c r="J192" t="s">
        <v>188</v>
      </c>
      <c r="K192" s="63">
        <v>210806</v>
      </c>
      <c r="L192" s="62">
        <f>-IFERROR(_xlfn.XLOOKUP(K192,'EXIM_EXIB TB MAY25'!E:E,'EXIM_EXIB TB MAY25'!K:K),0)</f>
        <v>926652.8</v>
      </c>
      <c r="M192" s="75">
        <f>L192-GETPIVOTDATA("Sum of Total ECL MYR (C&amp;C)",$J$178,"Type of Financing","Conventional","MFRS staging ",1)</f>
        <v>1.9138828967697918E-2</v>
      </c>
      <c r="N192" s="65"/>
      <c r="O192" t="s">
        <v>187</v>
      </c>
      <c r="P192" t="s">
        <v>188</v>
      </c>
      <c r="Q192" s="63">
        <v>210806</v>
      </c>
      <c r="R192" s="68">
        <f>-IFERROR(_xlfn.XLOOKUP(K192,'EXIM_EXIB TB MAY25'!E:E,'EXIM_EXIB TB MAY25'!M:M),0)</f>
        <v>1053886.1499999999</v>
      </c>
      <c r="S192" s="69">
        <f>R192-GETPIVOTDATA("Sum of Total ECL MYR (C&amp;C)2",$O$178,"Type of Financing","Conventional","MFRS staging 2",1)</f>
        <v>1.3321628794074059E-2</v>
      </c>
      <c r="V192"/>
      <c r="W192"/>
      <c r="X192"/>
    </row>
    <row r="193" spans="9:24" x14ac:dyDescent="0.25">
      <c r="I193" t="s">
        <v>10</v>
      </c>
      <c r="J193" t="s">
        <v>188</v>
      </c>
      <c r="K193" s="63">
        <v>2210806</v>
      </c>
      <c r="L193" s="62">
        <f>-IFERROR(_xlfn.XLOOKUP(K193,'EXIM_EXIB TB MAY25'!E:E,'EXIM_EXIB TB MAY25'!K:K),0)</f>
        <v>16528978.9</v>
      </c>
      <c r="M193" s="74">
        <f>L193-GETPIVOTDATA("Sum of Total ECL MYR (C&amp;C)",$J$178,"Type of Financing","Islamic","MFRS staging ",1)</f>
        <v>-1.2430306524038315E-3</v>
      </c>
      <c r="N193" s="65"/>
      <c r="O193" t="s">
        <v>10</v>
      </c>
      <c r="P193" t="s">
        <v>188</v>
      </c>
      <c r="Q193" s="63">
        <v>2210806</v>
      </c>
      <c r="R193" s="68">
        <f>-IFERROR(_xlfn.XLOOKUP(K193,'EXIM_EXIB TB MAY25'!E:E,'EXIM_EXIB TB MAY25'!M:M),0)</f>
        <v>19286598</v>
      </c>
      <c r="S193" s="69">
        <f>R193-GETPIVOTDATA("Sum of Total ECL MYR (C&amp;C)2",$O$178,"Type of Financing","Islamic","MFRS staging 2",1)</f>
        <v>-7.1510672569274902E-5</v>
      </c>
      <c r="V193"/>
      <c r="W193"/>
      <c r="X193"/>
    </row>
    <row r="194" spans="9:24" x14ac:dyDescent="0.25">
      <c r="I194" t="s">
        <v>187</v>
      </c>
      <c r="J194" t="s">
        <v>189</v>
      </c>
      <c r="K194" s="63">
        <v>210807</v>
      </c>
      <c r="L194" s="62">
        <f>-IFERROR(_xlfn.XLOOKUP(K194,'EXIM_EXIB TB MAY25'!E:E,'EXIM_EXIB TB MAY25'!K:K),0)</f>
        <v>0</v>
      </c>
      <c r="M194" s="74">
        <f>L194-GETPIVOTDATA("Sum of Total ECL MYR (C&amp;C)",$J$178,"Type of Financing","Conventional","MFRS staging ",2)</f>
        <v>0</v>
      </c>
      <c r="N194" s="65"/>
      <c r="O194" t="s">
        <v>187</v>
      </c>
      <c r="P194" t="s">
        <v>189</v>
      </c>
      <c r="Q194" s="63">
        <v>210807</v>
      </c>
      <c r="R194" s="68">
        <f>-IFERROR(_xlfn.XLOOKUP(K194,'EXIM_EXIB TB MAY25'!E:E,'EXIM_EXIB TB MAY25'!M:M),0)</f>
        <v>0</v>
      </c>
      <c r="S194" s="69">
        <f>R194-GETPIVOTDATA("Sum of Total ECL MYR (C&amp;C)2",$O$178,"Type of Financing","Conventional","MFRS staging 2",2)</f>
        <v>0</v>
      </c>
      <c r="V194"/>
      <c r="W194"/>
      <c r="X194"/>
    </row>
    <row r="195" spans="9:24" x14ac:dyDescent="0.25">
      <c r="I195" t="s">
        <v>10</v>
      </c>
      <c r="J195" t="s">
        <v>189</v>
      </c>
      <c r="K195" s="63">
        <v>2210807</v>
      </c>
      <c r="L195" s="62">
        <f>-IFERROR(_xlfn.XLOOKUP(K195,'EXIM_EXIB TB MAY25'!E:E,'EXIM_EXIB TB MAY25'!K:K),0)</f>
        <v>495445.01</v>
      </c>
      <c r="M195" s="74">
        <f>L195-GETPIVOTDATA("Sum of Total ECL MYR (C&amp;C)",$J$178,"Type of Financing","Islamic","MFRS staging ",2)</f>
        <v>1.5217132167890668E-3</v>
      </c>
      <c r="N195" s="65"/>
      <c r="O195" t="s">
        <v>10</v>
      </c>
      <c r="P195" t="s">
        <v>189</v>
      </c>
      <c r="Q195" s="63">
        <v>2210807</v>
      </c>
      <c r="R195" s="68">
        <f>-IFERROR(_xlfn.XLOOKUP(K195,'EXIM_EXIB TB MAY25'!E:E,'EXIM_EXIB TB MAY25'!M:M),0)</f>
        <v>489866.96</v>
      </c>
      <c r="S195" s="69">
        <f>R195-GETPIVOTDATA("Sum of Total ECL MYR (C&amp;C)2",$O$178,"Type of Financing","Islamic","MFRS staging 2",2)</f>
        <v>-5.1887815352529287E-3</v>
      </c>
      <c r="V195"/>
      <c r="W195"/>
      <c r="X195"/>
    </row>
    <row r="196" spans="9:24" x14ac:dyDescent="0.25">
      <c r="I196"/>
      <c r="J196"/>
      <c r="K196"/>
      <c r="M196" s="1"/>
      <c r="O196" s="64"/>
      <c r="V196"/>
      <c r="W196"/>
      <c r="X196"/>
    </row>
    <row r="197" spans="9:24" x14ac:dyDescent="0.25">
      <c r="I197"/>
      <c r="J197"/>
      <c r="K197"/>
    </row>
    <row r="198" spans="9:24" x14ac:dyDescent="0.25">
      <c r="J198"/>
      <c r="K198"/>
      <c r="L198"/>
    </row>
    <row r="199" spans="9:24" x14ac:dyDescent="0.25">
      <c r="J199" s="47" t="s">
        <v>183</v>
      </c>
      <c r="K199" s="47" t="s">
        <v>910</v>
      </c>
      <c r="L199"/>
      <c r="M199"/>
      <c r="N199"/>
      <c r="O199" s="47" t="s">
        <v>186</v>
      </c>
      <c r="P199" s="47" t="s">
        <v>910</v>
      </c>
      <c r="Q199"/>
      <c r="R199"/>
      <c r="S199"/>
      <c r="T199" s="47" t="s">
        <v>165</v>
      </c>
      <c r="U199" s="47" t="s">
        <v>910</v>
      </c>
      <c r="V199"/>
      <c r="W199"/>
    </row>
    <row r="200" spans="9:24" x14ac:dyDescent="0.25">
      <c r="J200" s="47" t="s">
        <v>161</v>
      </c>
      <c r="K200" t="s">
        <v>168</v>
      </c>
      <c r="L200" t="s">
        <v>167</v>
      </c>
      <c r="M200" t="s">
        <v>162</v>
      </c>
      <c r="N200"/>
      <c r="O200" s="47" t="s">
        <v>161</v>
      </c>
      <c r="P200" t="s">
        <v>168</v>
      </c>
      <c r="Q200" t="s">
        <v>167</v>
      </c>
      <c r="R200" t="s">
        <v>162</v>
      </c>
      <c r="S200"/>
      <c r="T200" s="47" t="s">
        <v>161</v>
      </c>
      <c r="U200" t="s">
        <v>168</v>
      </c>
      <c r="V200" t="s">
        <v>167</v>
      </c>
      <c r="W200" t="s">
        <v>162</v>
      </c>
    </row>
    <row r="201" spans="9:24" x14ac:dyDescent="0.25">
      <c r="J201" s="48">
        <v>1</v>
      </c>
      <c r="K201" s="49">
        <v>1604093.4970050696</v>
      </c>
      <c r="L201" s="49">
        <v>15851538.185099132</v>
      </c>
      <c r="M201" s="49">
        <v>17455631.682104204</v>
      </c>
      <c r="N201"/>
      <c r="O201" s="48">
        <v>1</v>
      </c>
      <c r="P201" s="67">
        <v>1787791.1047312021</v>
      </c>
      <c r="Q201" s="67">
        <v>18552693.032018676</v>
      </c>
      <c r="R201" s="67">
        <v>20340484.136749879</v>
      </c>
      <c r="S201"/>
      <c r="T201" s="48" t="s">
        <v>32</v>
      </c>
      <c r="U201" s="67">
        <v>-124640.52429683646</v>
      </c>
      <c r="V201" s="67">
        <v>-2592.8315203636957</v>
      </c>
      <c r="W201" s="67">
        <v>-127233.35581720015</v>
      </c>
    </row>
    <row r="202" spans="9:24" x14ac:dyDescent="0.25">
      <c r="J202" s="51" t="s">
        <v>32</v>
      </c>
      <c r="K202" s="49">
        <v>894326.21479056205</v>
      </c>
      <c r="L202" s="49">
        <v>32326.566070609064</v>
      </c>
      <c r="M202" s="49">
        <v>926652.78086117108</v>
      </c>
      <c r="N202"/>
      <c r="O202" s="51" t="s">
        <v>32</v>
      </c>
      <c r="P202" s="67">
        <v>1018966.7390873984</v>
      </c>
      <c r="Q202" s="67">
        <v>34919.39759097276</v>
      </c>
      <c r="R202" s="67">
        <v>1053886.1366783711</v>
      </c>
      <c r="S202"/>
      <c r="T202" s="51">
        <v>1</v>
      </c>
      <c r="U202" s="67">
        <v>-124640.52429683646</v>
      </c>
      <c r="V202" s="67">
        <v>-2592.8315203636957</v>
      </c>
      <c r="W202" s="67">
        <v>-127233.35581720015</v>
      </c>
    </row>
    <row r="203" spans="9:24" x14ac:dyDescent="0.25">
      <c r="J203" s="51" t="s">
        <v>10</v>
      </c>
      <c r="K203" s="49">
        <v>709767.28221450758</v>
      </c>
      <c r="L203" s="49">
        <v>15819211.619028524</v>
      </c>
      <c r="M203" s="49">
        <v>16528978.901243031</v>
      </c>
      <c r="N203"/>
      <c r="O203" s="51" t="s">
        <v>10</v>
      </c>
      <c r="P203" s="67">
        <v>768824.36564380373</v>
      </c>
      <c r="Q203" s="67">
        <v>18517773.634427704</v>
      </c>
      <c r="R203" s="67">
        <v>19286598.000071507</v>
      </c>
      <c r="S203"/>
      <c r="T203" s="51">
        <v>2</v>
      </c>
      <c r="U203" s="67"/>
      <c r="V203" s="67">
        <v>0</v>
      </c>
      <c r="W203" s="67">
        <v>0</v>
      </c>
    </row>
    <row r="204" spans="9:24" x14ac:dyDescent="0.25">
      <c r="J204" s="48">
        <v>2</v>
      </c>
      <c r="K204" s="49">
        <v>863.5700845820337</v>
      </c>
      <c r="L204" s="49">
        <v>494581.43839370477</v>
      </c>
      <c r="M204" s="49">
        <v>495445.00847828679</v>
      </c>
      <c r="N204"/>
      <c r="O204" s="48">
        <v>2</v>
      </c>
      <c r="P204" s="67">
        <v>935.42452449518851</v>
      </c>
      <c r="Q204" s="67">
        <v>488931.54066428641</v>
      </c>
      <c r="R204" s="67">
        <v>489866.96518878161</v>
      </c>
      <c r="S204"/>
      <c r="T204" s="48" t="s">
        <v>10</v>
      </c>
      <c r="U204" s="67">
        <v>-59128.937869209309</v>
      </c>
      <c r="V204" s="67">
        <v>-2692912.1176697533</v>
      </c>
      <c r="W204" s="67">
        <v>-2752041.0555389621</v>
      </c>
    </row>
    <row r="205" spans="9:24" x14ac:dyDescent="0.25">
      <c r="J205" s="51" t="s">
        <v>32</v>
      </c>
      <c r="K205" s="49"/>
      <c r="L205" s="49">
        <v>0</v>
      </c>
      <c r="M205" s="49">
        <v>0</v>
      </c>
      <c r="N205"/>
      <c r="O205" s="51" t="s">
        <v>32</v>
      </c>
      <c r="P205" s="67"/>
      <c r="Q205" s="67">
        <v>0</v>
      </c>
      <c r="R205" s="67">
        <v>0</v>
      </c>
      <c r="S205"/>
      <c r="T205" s="51">
        <v>1</v>
      </c>
      <c r="U205" s="67">
        <v>-59057.083429296152</v>
      </c>
      <c r="V205" s="67">
        <v>-2698562.0153991715</v>
      </c>
      <c r="W205" s="67">
        <v>-2757619.0988284675</v>
      </c>
    </row>
    <row r="206" spans="9:24" x14ac:dyDescent="0.25">
      <c r="J206" s="51" t="s">
        <v>10</v>
      </c>
      <c r="K206" s="49">
        <v>863.5700845820337</v>
      </c>
      <c r="L206" s="49">
        <v>494581.43839370477</v>
      </c>
      <c r="M206" s="49">
        <v>495445.00847828679</v>
      </c>
      <c r="N206"/>
      <c r="O206" s="51" t="s">
        <v>10</v>
      </c>
      <c r="P206" s="67">
        <v>935.42452449518851</v>
      </c>
      <c r="Q206" s="67">
        <v>488931.54066428641</v>
      </c>
      <c r="R206" s="67">
        <v>489866.96518878161</v>
      </c>
      <c r="S206"/>
      <c r="T206" s="51">
        <v>2</v>
      </c>
      <c r="U206" s="67">
        <v>-71.854439913154806</v>
      </c>
      <c r="V206" s="67">
        <v>5649.8977294183478</v>
      </c>
      <c r="W206" s="67">
        <v>5578.0432895051927</v>
      </c>
    </row>
    <row r="207" spans="9:24" x14ac:dyDescent="0.25">
      <c r="J207" s="48" t="s">
        <v>162</v>
      </c>
      <c r="K207" s="49">
        <v>1604957.0670896517</v>
      </c>
      <c r="L207" s="49">
        <v>16346119.623492837</v>
      </c>
      <c r="M207" s="49">
        <v>17951076.690582491</v>
      </c>
      <c r="N207"/>
      <c r="O207" s="48" t="s">
        <v>162</v>
      </c>
      <c r="P207" s="67">
        <v>1788726.5292556973</v>
      </c>
      <c r="Q207" s="67">
        <v>19041624.572682962</v>
      </c>
      <c r="R207" s="67">
        <v>20830351.101938661</v>
      </c>
      <c r="S207"/>
      <c r="T207" s="48" t="s">
        <v>162</v>
      </c>
      <c r="U207" s="67">
        <v>-183769.46216604576</v>
      </c>
      <c r="V207" s="67">
        <v>-2695504.949190117</v>
      </c>
      <c r="W207" s="67">
        <v>-2879274.4113561623</v>
      </c>
    </row>
    <row r="208" spans="9:24" x14ac:dyDescent="0.25">
      <c r="J208"/>
      <c r="K208"/>
      <c r="L208"/>
      <c r="M208"/>
      <c r="N208"/>
      <c r="O208"/>
      <c r="P208"/>
      <c r="Q208"/>
      <c r="R208"/>
      <c r="S208"/>
    </row>
    <row r="209" spans="10:17" x14ac:dyDescent="0.25">
      <c r="J209"/>
      <c r="K209"/>
      <c r="L209"/>
      <c r="M209"/>
      <c r="O209"/>
      <c r="P209"/>
      <c r="Q209"/>
    </row>
    <row r="210" spans="10:17" x14ac:dyDescent="0.25">
      <c r="J210"/>
      <c r="K210"/>
      <c r="L210"/>
      <c r="M210"/>
      <c r="O210"/>
      <c r="P210"/>
      <c r="Q210"/>
    </row>
    <row r="211" spans="10:17" x14ac:dyDescent="0.25">
      <c r="J211"/>
      <c r="K211"/>
      <c r="L211"/>
      <c r="M211"/>
      <c r="O211"/>
      <c r="P211"/>
      <c r="Q211"/>
    </row>
    <row r="212" spans="10:17" x14ac:dyDescent="0.25">
      <c r="J212"/>
      <c r="K212"/>
      <c r="L212"/>
      <c r="M212"/>
      <c r="O212"/>
      <c r="P212"/>
      <c r="Q212"/>
    </row>
    <row r="213" spans="10:17" x14ac:dyDescent="0.25">
      <c r="J213"/>
      <c r="K213"/>
      <c r="L213"/>
      <c r="M213"/>
      <c r="O213"/>
      <c r="P213"/>
      <c r="Q213"/>
    </row>
    <row r="214" spans="10:17" x14ac:dyDescent="0.25">
      <c r="J214"/>
      <c r="K214"/>
      <c r="L214"/>
      <c r="O214"/>
      <c r="P214"/>
      <c r="Q214"/>
    </row>
    <row r="215" spans="10:17" x14ac:dyDescent="0.25">
      <c r="J215"/>
      <c r="K215"/>
      <c r="L215"/>
      <c r="O215"/>
      <c r="P215"/>
      <c r="Q215"/>
    </row>
    <row r="216" spans="10:17" x14ac:dyDescent="0.25">
      <c r="J216"/>
      <c r="K216"/>
      <c r="L216"/>
      <c r="O216"/>
      <c r="P216"/>
      <c r="Q216"/>
    </row>
  </sheetData>
  <autoFilter ref="A2:T165" xr:uid="{D29B3954-D0D4-4F59-8EF4-1C8BA78E4D93}"/>
  <mergeCells count="6">
    <mergeCell ref="R1:T1"/>
    <mergeCell ref="O1:Q1"/>
    <mergeCell ref="L1:N1"/>
    <mergeCell ref="L170:N170"/>
    <mergeCell ref="O170:Q170"/>
    <mergeCell ref="R170:T17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12D81-C6BB-46D3-9A2C-F1B0D3CB54C0}">
  <dimension ref="A1:R962"/>
  <sheetViews>
    <sheetView workbookViewId="0">
      <selection activeCell="G9" sqref="G9"/>
    </sheetView>
  </sheetViews>
  <sheetFormatPr defaultRowHeight="15" x14ac:dyDescent="0.25"/>
  <sheetData>
    <row r="1" spans="1:18" x14ac:dyDescent="0.25">
      <c r="A1" t="s">
        <v>917</v>
      </c>
    </row>
    <row r="2" spans="1:18" x14ac:dyDescent="0.25">
      <c r="A2" t="s">
        <v>190</v>
      </c>
    </row>
    <row r="4" spans="1:18" x14ac:dyDescent="0.25">
      <c r="A4" t="s">
        <v>191</v>
      </c>
      <c r="F4" t="s">
        <v>192</v>
      </c>
      <c r="G4" t="s">
        <v>193</v>
      </c>
      <c r="I4" t="s">
        <v>194</v>
      </c>
      <c r="N4" t="s">
        <v>195</v>
      </c>
      <c r="P4" t="s">
        <v>12</v>
      </c>
    </row>
    <row r="6" spans="1:18" x14ac:dyDescent="0.25">
      <c r="B6" t="s">
        <v>196</v>
      </c>
      <c r="C6" t="s">
        <v>197</v>
      </c>
      <c r="D6" t="s">
        <v>198</v>
      </c>
      <c r="E6" t="s">
        <v>199</v>
      </c>
      <c r="J6" t="s">
        <v>200</v>
      </c>
      <c r="L6" t="s">
        <v>201</v>
      </c>
      <c r="O6" t="s">
        <v>202</v>
      </c>
      <c r="Q6" t="s">
        <v>203</v>
      </c>
      <c r="R6" t="s">
        <v>204</v>
      </c>
    </row>
    <row r="7" spans="1:18" x14ac:dyDescent="0.25">
      <c r="B7" t="s">
        <v>205</v>
      </c>
      <c r="C7" t="s">
        <v>206</v>
      </c>
      <c r="D7" t="s">
        <v>207</v>
      </c>
      <c r="J7" t="s">
        <v>208</v>
      </c>
      <c r="L7" t="s">
        <v>209</v>
      </c>
      <c r="O7" t="s">
        <v>210</v>
      </c>
      <c r="Q7" t="s">
        <v>211</v>
      </c>
      <c r="R7" t="s">
        <v>212</v>
      </c>
    </row>
    <row r="9" spans="1:18" x14ac:dyDescent="0.25">
      <c r="E9" t="s">
        <v>213</v>
      </c>
    </row>
    <row r="10" spans="1:18" x14ac:dyDescent="0.25">
      <c r="E10" t="s">
        <v>214</v>
      </c>
    </row>
    <row r="11" spans="1:18" x14ac:dyDescent="0.25">
      <c r="E11" t="s">
        <v>215</v>
      </c>
    </row>
    <row r="12" spans="1:18" x14ac:dyDescent="0.25">
      <c r="C12" t="s">
        <v>192</v>
      </c>
      <c r="D12" t="s">
        <v>194</v>
      </c>
      <c r="E12">
        <v>1133272</v>
      </c>
      <c r="H12" t="s">
        <v>216</v>
      </c>
      <c r="K12" s="50">
        <v>-5010742.22</v>
      </c>
      <c r="M12" s="50">
        <v>-5010742.22</v>
      </c>
      <c r="O12">
        <v>0</v>
      </c>
    </row>
    <row r="13" spans="1:18" x14ac:dyDescent="0.25">
      <c r="C13" t="s">
        <v>192</v>
      </c>
      <c r="D13" t="s">
        <v>194</v>
      </c>
      <c r="E13">
        <v>1140201</v>
      </c>
      <c r="H13" t="s">
        <v>217</v>
      </c>
      <c r="K13" s="50">
        <v>9565962.4199999999</v>
      </c>
      <c r="M13" s="50">
        <v>9565962.4199999999</v>
      </c>
      <c r="O13">
        <v>0</v>
      </c>
    </row>
    <row r="14" spans="1:18" x14ac:dyDescent="0.25">
      <c r="E14" t="s">
        <v>218</v>
      </c>
      <c r="K14" s="50">
        <v>4555220.2</v>
      </c>
      <c r="M14" s="50">
        <v>4555220.2</v>
      </c>
      <c r="O14">
        <v>0</v>
      </c>
      <c r="R14" t="s">
        <v>219</v>
      </c>
    </row>
    <row r="15" spans="1:18" x14ac:dyDescent="0.25">
      <c r="E15" t="s">
        <v>220</v>
      </c>
    </row>
    <row r="16" spans="1:18" x14ac:dyDescent="0.25">
      <c r="C16" t="s">
        <v>192</v>
      </c>
      <c r="D16" t="s">
        <v>194</v>
      </c>
      <c r="E16">
        <v>1133257</v>
      </c>
      <c r="H16" t="s">
        <v>221</v>
      </c>
      <c r="K16" s="50">
        <v>19004539.280000001</v>
      </c>
      <c r="M16" s="50">
        <v>17963936.77</v>
      </c>
      <c r="O16" s="50">
        <v>1040602.51</v>
      </c>
      <c r="Q16">
        <v>5.8</v>
      </c>
    </row>
    <row r="17" spans="3:18" x14ac:dyDescent="0.25">
      <c r="C17" t="s">
        <v>192</v>
      </c>
      <c r="D17" t="s">
        <v>194</v>
      </c>
      <c r="E17">
        <v>1133258</v>
      </c>
      <c r="H17" t="s">
        <v>222</v>
      </c>
      <c r="K17" s="50">
        <v>31340.46</v>
      </c>
      <c r="M17" s="50">
        <v>25594.62</v>
      </c>
      <c r="O17" s="50">
        <v>5745.84</v>
      </c>
      <c r="Q17">
        <v>22.4</v>
      </c>
    </row>
    <row r="18" spans="3:18" x14ac:dyDescent="0.25">
      <c r="K18" s="50">
        <v>19035879.739999998</v>
      </c>
      <c r="M18" s="50">
        <v>17989531.390000001</v>
      </c>
      <c r="O18" s="50">
        <v>1046348.35</v>
      </c>
      <c r="Q18">
        <v>5.8</v>
      </c>
      <c r="R18" t="s">
        <v>223</v>
      </c>
    </row>
    <row r="19" spans="3:18" x14ac:dyDescent="0.25">
      <c r="C19" t="s">
        <v>192</v>
      </c>
      <c r="D19" t="s">
        <v>194</v>
      </c>
      <c r="E19">
        <v>1130510</v>
      </c>
      <c r="H19" t="s">
        <v>224</v>
      </c>
      <c r="K19" s="50">
        <v>2260123245.21</v>
      </c>
      <c r="M19" s="50">
        <v>2177631960.71</v>
      </c>
      <c r="O19" s="50">
        <v>82491284.5</v>
      </c>
      <c r="Q19">
        <v>3.8</v>
      </c>
    </row>
    <row r="20" spans="3:18" x14ac:dyDescent="0.25">
      <c r="C20" t="s">
        <v>192</v>
      </c>
      <c r="D20" t="s">
        <v>194</v>
      </c>
      <c r="E20">
        <v>1130511</v>
      </c>
      <c r="H20" t="s">
        <v>225</v>
      </c>
      <c r="K20" s="50">
        <v>215487176.24000001</v>
      </c>
      <c r="M20" s="50">
        <v>240147258.96000001</v>
      </c>
      <c r="O20" s="50">
        <v>-24660082.719999999</v>
      </c>
      <c r="Q20">
        <v>-10.3</v>
      </c>
    </row>
    <row r="21" spans="3:18" x14ac:dyDescent="0.25">
      <c r="C21" t="s">
        <v>192</v>
      </c>
      <c r="D21" t="s">
        <v>194</v>
      </c>
      <c r="E21">
        <v>1130512</v>
      </c>
      <c r="H21" t="s">
        <v>226</v>
      </c>
      <c r="K21" s="50">
        <v>-322310108.87</v>
      </c>
      <c r="M21" s="50">
        <v>-312700474.17000002</v>
      </c>
      <c r="O21" s="50">
        <v>-9609634.6999999993</v>
      </c>
      <c r="Q21">
        <v>-3.1</v>
      </c>
    </row>
    <row r="22" spans="3:18" x14ac:dyDescent="0.25">
      <c r="C22" t="s">
        <v>192</v>
      </c>
      <c r="D22" t="s">
        <v>194</v>
      </c>
      <c r="E22">
        <v>1130513</v>
      </c>
      <c r="H22" t="s">
        <v>227</v>
      </c>
      <c r="K22" s="50">
        <v>6857549.9699999997</v>
      </c>
      <c r="M22" s="50">
        <v>7189547.3899999997</v>
      </c>
      <c r="O22" s="50">
        <v>-331997.42</v>
      </c>
      <c r="Q22">
        <v>-4.5999999999999996</v>
      </c>
    </row>
    <row r="23" spans="3:18" x14ac:dyDescent="0.25">
      <c r="C23" t="s">
        <v>192</v>
      </c>
      <c r="D23" t="s">
        <v>194</v>
      </c>
      <c r="E23">
        <v>1130610</v>
      </c>
      <c r="H23" t="s">
        <v>228</v>
      </c>
      <c r="K23" s="50">
        <v>6458699.7999999998</v>
      </c>
      <c r="M23" s="50">
        <v>6305742.7800000003</v>
      </c>
      <c r="O23" s="50">
        <v>152957.01999999999</v>
      </c>
      <c r="Q23">
        <v>2.4</v>
      </c>
    </row>
    <row r="24" spans="3:18" x14ac:dyDescent="0.25">
      <c r="C24" t="s">
        <v>192</v>
      </c>
      <c r="D24" t="s">
        <v>194</v>
      </c>
      <c r="E24">
        <v>1130611</v>
      </c>
      <c r="H24" t="s">
        <v>229</v>
      </c>
      <c r="K24" s="50">
        <v>760835.36</v>
      </c>
      <c r="M24" s="50">
        <v>910523.39</v>
      </c>
      <c r="O24" s="50">
        <v>-149688.03</v>
      </c>
      <c r="Q24">
        <v>-16.399999999999999</v>
      </c>
    </row>
    <row r="25" spans="3:18" x14ac:dyDescent="0.25">
      <c r="C25" t="s">
        <v>192</v>
      </c>
      <c r="D25" t="s">
        <v>194</v>
      </c>
      <c r="E25">
        <v>1130612</v>
      </c>
      <c r="H25" t="s">
        <v>230</v>
      </c>
      <c r="K25" s="50">
        <v>56025915.770000003</v>
      </c>
      <c r="M25" s="50">
        <v>56025915.770000003</v>
      </c>
      <c r="O25">
        <v>0</v>
      </c>
    </row>
    <row r="26" spans="3:18" x14ac:dyDescent="0.25">
      <c r="C26" t="s">
        <v>192</v>
      </c>
      <c r="D26" t="s">
        <v>194</v>
      </c>
      <c r="E26">
        <v>2230002</v>
      </c>
      <c r="H26" t="s">
        <v>231</v>
      </c>
      <c r="K26" s="50">
        <v>197460052.12</v>
      </c>
      <c r="M26" s="50">
        <v>186449493.99000001</v>
      </c>
      <c r="O26" s="50">
        <v>11010558.130000001</v>
      </c>
      <c r="Q26">
        <v>5.9</v>
      </c>
    </row>
    <row r="27" spans="3:18" x14ac:dyDescent="0.25">
      <c r="C27" t="s">
        <v>192</v>
      </c>
      <c r="D27" t="s">
        <v>194</v>
      </c>
      <c r="E27">
        <v>2230003</v>
      </c>
      <c r="H27" t="s">
        <v>232</v>
      </c>
      <c r="K27" s="50">
        <v>-67225375.189999998</v>
      </c>
      <c r="M27" s="50">
        <v>-70195151.790000007</v>
      </c>
      <c r="O27" s="50">
        <v>2969776.6</v>
      </c>
      <c r="Q27">
        <v>4.2</v>
      </c>
    </row>
    <row r="28" spans="3:18" x14ac:dyDescent="0.25">
      <c r="C28" t="s">
        <v>192</v>
      </c>
      <c r="D28" t="s">
        <v>194</v>
      </c>
      <c r="E28">
        <v>2230005</v>
      </c>
      <c r="H28" t="s">
        <v>233</v>
      </c>
      <c r="K28" s="50">
        <v>-1271739.57</v>
      </c>
      <c r="M28" s="50">
        <v>-1300540.97</v>
      </c>
      <c r="O28" s="50">
        <v>28801.4</v>
      </c>
      <c r="Q28">
        <v>2.2000000000000002</v>
      </c>
    </row>
    <row r="29" spans="3:18" x14ac:dyDescent="0.25">
      <c r="C29" t="s">
        <v>192</v>
      </c>
      <c r="D29" t="s">
        <v>194</v>
      </c>
      <c r="E29">
        <v>2293102</v>
      </c>
      <c r="H29" t="s">
        <v>234</v>
      </c>
      <c r="K29" s="50">
        <v>14630471.710000001</v>
      </c>
      <c r="M29" s="50">
        <v>14630471.710000001</v>
      </c>
      <c r="O29">
        <v>0</v>
      </c>
    </row>
    <row r="30" spans="3:18" x14ac:dyDescent="0.25">
      <c r="C30" t="s">
        <v>192</v>
      </c>
      <c r="D30" t="s">
        <v>194</v>
      </c>
      <c r="E30">
        <v>2293103</v>
      </c>
      <c r="H30" t="s">
        <v>235</v>
      </c>
      <c r="K30" s="50">
        <v>-36569359.170000002</v>
      </c>
      <c r="M30" s="50">
        <v>-37703076.890000001</v>
      </c>
      <c r="O30" s="50">
        <v>1133717.72</v>
      </c>
      <c r="Q30">
        <v>3</v>
      </c>
    </row>
    <row r="31" spans="3:18" x14ac:dyDescent="0.25">
      <c r="K31" s="50">
        <v>2330427363.3800001</v>
      </c>
      <c r="M31" s="50">
        <v>2267391670.8800001</v>
      </c>
      <c r="O31" s="50">
        <v>63035692.5</v>
      </c>
      <c r="Q31">
        <v>2.8</v>
      </c>
      <c r="R31" t="s">
        <v>223</v>
      </c>
    </row>
    <row r="32" spans="3:18" x14ac:dyDescent="0.25">
      <c r="C32" t="s">
        <v>192</v>
      </c>
      <c r="D32" t="s">
        <v>194</v>
      </c>
      <c r="E32">
        <v>1130500</v>
      </c>
      <c r="H32" t="s">
        <v>236</v>
      </c>
      <c r="K32" s="50">
        <v>20201425.73</v>
      </c>
      <c r="M32" s="50">
        <v>18726512.579999998</v>
      </c>
      <c r="O32" s="50">
        <v>1474913.15</v>
      </c>
      <c r="Q32">
        <v>7.9</v>
      </c>
    </row>
    <row r="33" spans="3:18" x14ac:dyDescent="0.25">
      <c r="C33" t="s">
        <v>192</v>
      </c>
      <c r="D33" t="s">
        <v>194</v>
      </c>
      <c r="E33">
        <v>1131740</v>
      </c>
      <c r="H33" t="s">
        <v>237</v>
      </c>
      <c r="K33" s="50">
        <v>537403.92000000004</v>
      </c>
      <c r="M33" s="50">
        <v>544139.07999999996</v>
      </c>
      <c r="O33" s="50">
        <v>-6735.16</v>
      </c>
      <c r="Q33">
        <v>-1.2</v>
      </c>
    </row>
    <row r="34" spans="3:18" x14ac:dyDescent="0.25">
      <c r="C34" t="s">
        <v>192</v>
      </c>
      <c r="D34" t="s">
        <v>194</v>
      </c>
      <c r="E34">
        <v>1131760</v>
      </c>
      <c r="H34" t="s">
        <v>238</v>
      </c>
      <c r="K34" s="50">
        <v>8627.15</v>
      </c>
      <c r="M34" s="50">
        <v>8627.15</v>
      </c>
      <c r="O34">
        <v>0</v>
      </c>
    </row>
    <row r="35" spans="3:18" x14ac:dyDescent="0.25">
      <c r="E35" t="s">
        <v>239</v>
      </c>
      <c r="K35" s="50">
        <v>20747456.800000001</v>
      </c>
      <c r="M35" s="50">
        <v>19279278.809999999</v>
      </c>
      <c r="O35" s="50">
        <v>1468177.99</v>
      </c>
      <c r="Q35">
        <v>7.6</v>
      </c>
      <c r="R35" t="s">
        <v>223</v>
      </c>
    </row>
    <row r="36" spans="3:18" x14ac:dyDescent="0.25">
      <c r="C36" t="s">
        <v>192</v>
      </c>
      <c r="D36" t="s">
        <v>194</v>
      </c>
      <c r="E36">
        <v>1131500</v>
      </c>
      <c r="H36" t="s">
        <v>240</v>
      </c>
      <c r="K36" s="50">
        <v>3284837.03</v>
      </c>
      <c r="M36" s="50">
        <v>7010250.1100000003</v>
      </c>
      <c r="O36" s="50">
        <v>-3725413.08</v>
      </c>
      <c r="Q36">
        <v>-53.1</v>
      </c>
    </row>
    <row r="37" spans="3:18" x14ac:dyDescent="0.25">
      <c r="E37" t="s">
        <v>241</v>
      </c>
      <c r="K37" s="50">
        <v>3284837.03</v>
      </c>
      <c r="M37" s="50">
        <v>7010250.1100000003</v>
      </c>
      <c r="O37" s="50">
        <v>-3725413.08</v>
      </c>
      <c r="Q37">
        <v>-53.1</v>
      </c>
      <c r="R37" t="s">
        <v>223</v>
      </c>
    </row>
    <row r="38" spans="3:18" x14ac:dyDescent="0.25">
      <c r="C38" t="s">
        <v>192</v>
      </c>
      <c r="D38" t="s">
        <v>194</v>
      </c>
      <c r="E38">
        <v>1133005</v>
      </c>
      <c r="H38" t="s">
        <v>242</v>
      </c>
      <c r="K38" s="50">
        <v>231938568.16</v>
      </c>
      <c r="M38" s="50">
        <v>314079011.27999997</v>
      </c>
      <c r="O38" s="50">
        <v>-82140443.120000005</v>
      </c>
      <c r="Q38">
        <v>-26.2</v>
      </c>
    </row>
    <row r="39" spans="3:18" x14ac:dyDescent="0.25">
      <c r="C39" t="s">
        <v>192</v>
      </c>
      <c r="D39" t="s">
        <v>194</v>
      </c>
      <c r="E39">
        <v>1133014</v>
      </c>
      <c r="H39" t="s">
        <v>243</v>
      </c>
      <c r="K39" s="50">
        <v>749241.2</v>
      </c>
      <c r="M39" s="50">
        <v>414136.92</v>
      </c>
      <c r="O39" s="50">
        <v>335104.28000000003</v>
      </c>
      <c r="Q39">
        <v>80.900000000000006</v>
      </c>
    </row>
    <row r="40" spans="3:18" x14ac:dyDescent="0.25">
      <c r="E40" t="s">
        <v>244</v>
      </c>
      <c r="K40" s="50">
        <v>232687809.36000001</v>
      </c>
      <c r="M40" s="50">
        <v>314493148.19999999</v>
      </c>
      <c r="O40" s="50">
        <v>-81805338.840000004</v>
      </c>
      <c r="Q40">
        <v>-26</v>
      </c>
      <c r="R40" t="s">
        <v>223</v>
      </c>
    </row>
    <row r="41" spans="3:18" x14ac:dyDescent="0.25">
      <c r="C41" t="s">
        <v>192</v>
      </c>
      <c r="D41" t="s">
        <v>194</v>
      </c>
      <c r="E41">
        <v>1133011</v>
      </c>
      <c r="H41" t="s">
        <v>245</v>
      </c>
      <c r="K41" s="50">
        <v>220442428.38999999</v>
      </c>
      <c r="M41" s="50">
        <v>191780768.91999999</v>
      </c>
      <c r="O41" s="50">
        <v>28661659.469999999</v>
      </c>
      <c r="Q41">
        <v>14.9</v>
      </c>
    </row>
    <row r="42" spans="3:18" x14ac:dyDescent="0.25">
      <c r="C42" t="s">
        <v>192</v>
      </c>
      <c r="D42" t="s">
        <v>194</v>
      </c>
      <c r="E42">
        <v>1133016</v>
      </c>
      <c r="H42" t="s">
        <v>246</v>
      </c>
      <c r="K42" s="50">
        <v>455554.4</v>
      </c>
      <c r="M42" s="50">
        <v>708230.57</v>
      </c>
      <c r="O42" s="50">
        <v>-252676.17</v>
      </c>
      <c r="Q42">
        <v>-35.700000000000003</v>
      </c>
    </row>
    <row r="43" spans="3:18" x14ac:dyDescent="0.25">
      <c r="E43" t="s">
        <v>247</v>
      </c>
      <c r="K43" s="50">
        <v>220897982.78999999</v>
      </c>
      <c r="M43" s="50">
        <v>192488999.49000001</v>
      </c>
      <c r="O43" s="50">
        <v>28408983.300000001</v>
      </c>
      <c r="Q43">
        <v>14.8</v>
      </c>
      <c r="R43" t="s">
        <v>223</v>
      </c>
    </row>
    <row r="44" spans="3:18" x14ac:dyDescent="0.25">
      <c r="C44" t="s">
        <v>192</v>
      </c>
      <c r="D44" t="s">
        <v>194</v>
      </c>
      <c r="E44">
        <v>1133259</v>
      </c>
      <c r="H44" t="s">
        <v>248</v>
      </c>
      <c r="K44" s="50">
        <v>12031750</v>
      </c>
      <c r="M44" s="50">
        <v>12273750</v>
      </c>
      <c r="O44" s="50">
        <v>-242000</v>
      </c>
      <c r="Q44">
        <v>-2</v>
      </c>
    </row>
    <row r="45" spans="3:18" x14ac:dyDescent="0.25">
      <c r="C45" t="s">
        <v>192</v>
      </c>
      <c r="D45" t="s">
        <v>194</v>
      </c>
      <c r="E45">
        <v>1133260</v>
      </c>
      <c r="H45" t="s">
        <v>249</v>
      </c>
      <c r="K45" s="50">
        <v>57652.15</v>
      </c>
      <c r="M45" s="50">
        <v>32389.05</v>
      </c>
      <c r="O45" s="50">
        <v>25263.1</v>
      </c>
      <c r="Q45">
        <v>78</v>
      </c>
    </row>
    <row r="46" spans="3:18" x14ac:dyDescent="0.25">
      <c r="E46" t="s">
        <v>250</v>
      </c>
      <c r="K46" s="50">
        <v>12089402.15</v>
      </c>
      <c r="M46" s="50">
        <v>12306139.050000001</v>
      </c>
      <c r="O46" s="50">
        <v>-216736.9</v>
      </c>
      <c r="Q46">
        <v>-1.8</v>
      </c>
      <c r="R46" t="s">
        <v>223</v>
      </c>
    </row>
    <row r="47" spans="3:18" x14ac:dyDescent="0.25">
      <c r="C47" t="s">
        <v>192</v>
      </c>
      <c r="D47" t="s">
        <v>194</v>
      </c>
      <c r="E47">
        <v>1133261</v>
      </c>
      <c r="H47" t="s">
        <v>251</v>
      </c>
      <c r="K47" s="50">
        <v>14773844.029999999</v>
      </c>
      <c r="M47" s="50">
        <v>14851593.73</v>
      </c>
      <c r="O47" s="50">
        <v>-77749.7</v>
      </c>
      <c r="Q47">
        <v>-0.5</v>
      </c>
    </row>
    <row r="48" spans="3:18" x14ac:dyDescent="0.25">
      <c r="C48" t="s">
        <v>192</v>
      </c>
      <c r="D48" t="s">
        <v>194</v>
      </c>
      <c r="E48">
        <v>1133262</v>
      </c>
      <c r="H48" t="s">
        <v>252</v>
      </c>
      <c r="K48" s="50">
        <v>52583.02</v>
      </c>
      <c r="M48" s="50">
        <v>45383.77</v>
      </c>
      <c r="O48" s="50">
        <v>7199.25</v>
      </c>
      <c r="Q48">
        <v>15.9</v>
      </c>
    </row>
    <row r="49" spans="3:18" x14ac:dyDescent="0.25">
      <c r="K49" s="50">
        <v>14826427.050000001</v>
      </c>
      <c r="M49" s="50">
        <v>14896977.5</v>
      </c>
      <c r="O49" s="50">
        <v>-70550.45</v>
      </c>
      <c r="Q49">
        <v>-0.5</v>
      </c>
      <c r="R49" t="s">
        <v>223</v>
      </c>
    </row>
    <row r="50" spans="3:18" x14ac:dyDescent="0.25">
      <c r="C50" t="s">
        <v>192</v>
      </c>
      <c r="D50" t="s">
        <v>194</v>
      </c>
      <c r="E50">
        <v>1133254</v>
      </c>
      <c r="H50" t="s">
        <v>253</v>
      </c>
      <c r="K50" s="50">
        <v>475000000</v>
      </c>
      <c r="M50" s="50">
        <v>470000000</v>
      </c>
      <c r="O50" s="50">
        <v>5000000</v>
      </c>
      <c r="Q50">
        <v>1.1000000000000001</v>
      </c>
    </row>
    <row r="51" spans="3:18" x14ac:dyDescent="0.25">
      <c r="C51" t="s">
        <v>192</v>
      </c>
      <c r="D51" t="s">
        <v>194</v>
      </c>
      <c r="E51">
        <v>1133255</v>
      </c>
      <c r="H51" t="s">
        <v>254</v>
      </c>
      <c r="K51" s="50">
        <v>317558294.22000003</v>
      </c>
      <c r="M51" s="50">
        <v>322564507.32999998</v>
      </c>
      <c r="O51" s="50">
        <v>-5006213.1100000003</v>
      </c>
      <c r="Q51">
        <v>-1.6</v>
      </c>
    </row>
    <row r="52" spans="3:18" x14ac:dyDescent="0.25">
      <c r="C52" t="s">
        <v>192</v>
      </c>
      <c r="D52" t="s">
        <v>194</v>
      </c>
      <c r="E52">
        <v>1133256</v>
      </c>
      <c r="H52" t="s">
        <v>255</v>
      </c>
      <c r="K52" s="50">
        <v>140000000</v>
      </c>
      <c r="M52" s="50">
        <v>140000000</v>
      </c>
      <c r="O52">
        <v>0</v>
      </c>
    </row>
    <row r="53" spans="3:18" x14ac:dyDescent="0.25">
      <c r="E53" t="s">
        <v>256</v>
      </c>
      <c r="K53" s="50">
        <v>932558294.22000003</v>
      </c>
      <c r="M53" s="50">
        <v>932564507.33000004</v>
      </c>
      <c r="O53" s="50">
        <v>-6213.11</v>
      </c>
      <c r="R53" t="s">
        <v>223</v>
      </c>
    </row>
    <row r="54" spans="3:18" x14ac:dyDescent="0.25">
      <c r="C54" t="s">
        <v>192</v>
      </c>
      <c r="D54" t="s">
        <v>194</v>
      </c>
      <c r="E54">
        <v>1133270</v>
      </c>
      <c r="H54" t="s">
        <v>257</v>
      </c>
      <c r="K54" s="50">
        <v>8301300</v>
      </c>
      <c r="M54" s="50">
        <v>6528350</v>
      </c>
      <c r="O54" s="50">
        <v>1772950</v>
      </c>
      <c r="Q54">
        <v>27.2</v>
      </c>
    </row>
    <row r="55" spans="3:18" x14ac:dyDescent="0.25">
      <c r="K55" s="50">
        <v>8301300</v>
      </c>
      <c r="M55" s="50">
        <v>6528350</v>
      </c>
      <c r="O55" s="50">
        <v>1772950</v>
      </c>
      <c r="Q55">
        <v>27.2</v>
      </c>
      <c r="R55" t="s">
        <v>223</v>
      </c>
    </row>
    <row r="56" spans="3:18" x14ac:dyDescent="0.25">
      <c r="C56" t="s">
        <v>192</v>
      </c>
      <c r="D56" t="s">
        <v>194</v>
      </c>
      <c r="E56">
        <v>1138902</v>
      </c>
      <c r="H56" t="s">
        <v>258</v>
      </c>
      <c r="K56" s="50">
        <v>1498180.63</v>
      </c>
      <c r="M56" s="50">
        <v>1468199.48</v>
      </c>
      <c r="O56" s="50">
        <v>29981.15</v>
      </c>
      <c r="Q56">
        <v>2</v>
      </c>
    </row>
    <row r="57" spans="3:18" x14ac:dyDescent="0.25">
      <c r="E57" t="s">
        <v>259</v>
      </c>
      <c r="K57" s="50">
        <v>1498180.63</v>
      </c>
      <c r="M57" s="50">
        <v>1468199.48</v>
      </c>
      <c r="O57" s="50">
        <v>29981.15</v>
      </c>
      <c r="Q57">
        <v>2</v>
      </c>
      <c r="R57" t="s">
        <v>223</v>
      </c>
    </row>
    <row r="58" spans="3:18" x14ac:dyDescent="0.25">
      <c r="C58" t="s">
        <v>192</v>
      </c>
      <c r="D58" t="s">
        <v>194</v>
      </c>
      <c r="E58">
        <v>1136000</v>
      </c>
      <c r="H58" t="s">
        <v>260</v>
      </c>
      <c r="K58" s="50">
        <v>33522918.91</v>
      </c>
      <c r="M58" s="50">
        <v>33292719.09</v>
      </c>
      <c r="O58" s="50">
        <v>230199.82</v>
      </c>
      <c r="Q58">
        <v>0.7</v>
      </c>
    </row>
    <row r="59" spans="3:18" x14ac:dyDescent="0.25">
      <c r="C59" t="s">
        <v>192</v>
      </c>
      <c r="D59" t="s">
        <v>194</v>
      </c>
      <c r="E59">
        <v>1136002</v>
      </c>
      <c r="H59" t="s">
        <v>261</v>
      </c>
      <c r="K59" s="50">
        <v>40306641.759999998</v>
      </c>
      <c r="M59" s="50">
        <v>43795508.18</v>
      </c>
      <c r="O59" s="50">
        <v>-3488866.42</v>
      </c>
      <c r="Q59">
        <v>-8</v>
      </c>
    </row>
    <row r="60" spans="3:18" x14ac:dyDescent="0.25">
      <c r="K60" s="50">
        <v>73829560.670000002</v>
      </c>
      <c r="M60" s="50">
        <v>77088227.269999996</v>
      </c>
      <c r="O60" s="50">
        <v>-3258666.6</v>
      </c>
      <c r="Q60">
        <v>-4.2</v>
      </c>
      <c r="R60" t="s">
        <v>223</v>
      </c>
    </row>
    <row r="61" spans="3:18" x14ac:dyDescent="0.25">
      <c r="C61" t="s">
        <v>192</v>
      </c>
      <c r="D61" t="s">
        <v>194</v>
      </c>
      <c r="E61">
        <v>1134002</v>
      </c>
      <c r="H61" t="s">
        <v>262</v>
      </c>
      <c r="K61" s="50">
        <v>11145.33</v>
      </c>
      <c r="M61" s="50">
        <v>7840.89</v>
      </c>
      <c r="O61" s="50">
        <v>3304.44</v>
      </c>
      <c r="Q61">
        <v>42.1</v>
      </c>
    </row>
    <row r="62" spans="3:18" x14ac:dyDescent="0.25">
      <c r="K62" s="50">
        <v>11145.33</v>
      </c>
      <c r="M62" s="50">
        <v>7840.89</v>
      </c>
      <c r="O62" s="50">
        <v>3304.44</v>
      </c>
      <c r="Q62">
        <v>42.1</v>
      </c>
      <c r="R62" t="s">
        <v>223</v>
      </c>
    </row>
    <row r="63" spans="3:18" x14ac:dyDescent="0.25">
      <c r="C63" t="s">
        <v>192</v>
      </c>
      <c r="D63" t="s">
        <v>194</v>
      </c>
      <c r="E63">
        <v>1135012</v>
      </c>
      <c r="H63" t="s">
        <v>263</v>
      </c>
      <c r="K63" s="50">
        <v>4881743.5</v>
      </c>
      <c r="M63" s="50">
        <v>4208537.47</v>
      </c>
      <c r="O63" s="50">
        <v>673206.03</v>
      </c>
      <c r="Q63">
        <v>16</v>
      </c>
    </row>
    <row r="64" spans="3:18" x14ac:dyDescent="0.25">
      <c r="C64" t="s">
        <v>192</v>
      </c>
      <c r="D64" t="s">
        <v>194</v>
      </c>
      <c r="E64">
        <v>1135022</v>
      </c>
      <c r="H64" t="s">
        <v>264</v>
      </c>
      <c r="K64" s="50">
        <v>1215350.6100000001</v>
      </c>
      <c r="M64" s="50">
        <v>749254.43</v>
      </c>
      <c r="O64" s="50">
        <v>466096.18</v>
      </c>
      <c r="Q64">
        <v>62.2</v>
      </c>
    </row>
    <row r="65" spans="3:18" x14ac:dyDescent="0.25">
      <c r="C65" t="s">
        <v>192</v>
      </c>
      <c r="D65" t="s">
        <v>194</v>
      </c>
      <c r="E65">
        <v>1135600</v>
      </c>
      <c r="H65" t="s">
        <v>265</v>
      </c>
      <c r="K65" s="50">
        <v>2953035.13</v>
      </c>
      <c r="M65" s="50">
        <v>2909145.79</v>
      </c>
      <c r="O65" s="50">
        <v>43889.34</v>
      </c>
      <c r="Q65">
        <v>1.5</v>
      </c>
    </row>
    <row r="66" spans="3:18" x14ac:dyDescent="0.25">
      <c r="C66" t="s">
        <v>192</v>
      </c>
      <c r="D66" t="s">
        <v>194</v>
      </c>
      <c r="E66">
        <v>1135602</v>
      </c>
      <c r="H66" t="s">
        <v>266</v>
      </c>
      <c r="K66" s="50">
        <v>1072835.73</v>
      </c>
      <c r="M66" s="50">
        <v>1099264.8700000001</v>
      </c>
      <c r="O66" s="50">
        <v>-26429.14</v>
      </c>
      <c r="Q66">
        <v>-2.4</v>
      </c>
    </row>
    <row r="67" spans="3:18" x14ac:dyDescent="0.25">
      <c r="E67" t="s">
        <v>267</v>
      </c>
      <c r="K67" s="50">
        <v>10122964.970000001</v>
      </c>
      <c r="M67" s="50">
        <v>8966202.5600000005</v>
      </c>
      <c r="O67" s="50">
        <v>1156762.4099999999</v>
      </c>
      <c r="Q67">
        <v>12.9</v>
      </c>
      <c r="R67" t="s">
        <v>223</v>
      </c>
    </row>
    <row r="68" spans="3:18" x14ac:dyDescent="0.25">
      <c r="C68" t="s">
        <v>192</v>
      </c>
      <c r="D68" t="s">
        <v>194</v>
      </c>
      <c r="E68">
        <v>1138100</v>
      </c>
      <c r="H68" t="s">
        <v>268</v>
      </c>
      <c r="K68" s="50">
        <v>420950.85</v>
      </c>
      <c r="M68" s="50">
        <v>481086.68</v>
      </c>
      <c r="O68" s="50">
        <v>-60135.83</v>
      </c>
      <c r="Q68">
        <v>-12.5</v>
      </c>
    </row>
    <row r="69" spans="3:18" x14ac:dyDescent="0.25">
      <c r="C69" t="s">
        <v>192</v>
      </c>
      <c r="D69" t="s">
        <v>194</v>
      </c>
      <c r="E69">
        <v>1138216</v>
      </c>
      <c r="H69" t="s">
        <v>269</v>
      </c>
      <c r="K69" s="50">
        <v>-5262144.45</v>
      </c>
      <c r="M69" s="50">
        <v>-5641942.8799999999</v>
      </c>
      <c r="O69" s="50">
        <v>379798.43</v>
      </c>
      <c r="Q69">
        <v>6.7</v>
      </c>
    </row>
    <row r="70" spans="3:18" x14ac:dyDescent="0.25">
      <c r="C70" t="s">
        <v>192</v>
      </c>
      <c r="D70" t="s">
        <v>194</v>
      </c>
      <c r="E70">
        <v>1138800</v>
      </c>
      <c r="H70" t="s">
        <v>270</v>
      </c>
      <c r="K70" s="50">
        <v>294825.51</v>
      </c>
      <c r="M70" s="50">
        <v>295375.51</v>
      </c>
      <c r="O70">
        <v>-550</v>
      </c>
      <c r="Q70">
        <v>-0.2</v>
      </c>
    </row>
    <row r="71" spans="3:18" x14ac:dyDescent="0.25">
      <c r="C71" t="s">
        <v>192</v>
      </c>
      <c r="D71" t="s">
        <v>194</v>
      </c>
      <c r="E71">
        <v>1138810</v>
      </c>
      <c r="H71" t="s">
        <v>271</v>
      </c>
      <c r="K71" s="50">
        <v>537908.04</v>
      </c>
      <c r="M71" s="50">
        <v>397917.55</v>
      </c>
      <c r="O71" s="50">
        <v>139990.49</v>
      </c>
      <c r="Q71">
        <v>35.200000000000003</v>
      </c>
    </row>
    <row r="72" spans="3:18" x14ac:dyDescent="0.25">
      <c r="E72" t="s">
        <v>272</v>
      </c>
      <c r="K72" s="50">
        <v>-4008460.05</v>
      </c>
      <c r="M72" s="50">
        <v>-4467563.1399999997</v>
      </c>
      <c r="O72" s="50">
        <v>459103.09</v>
      </c>
      <c r="Q72">
        <v>10.3</v>
      </c>
      <c r="R72" t="s">
        <v>223</v>
      </c>
    </row>
    <row r="73" spans="3:18" x14ac:dyDescent="0.25">
      <c r="C73" t="s">
        <v>192</v>
      </c>
      <c r="D73" t="s">
        <v>194</v>
      </c>
      <c r="E73">
        <v>1138208</v>
      </c>
      <c r="H73" t="s">
        <v>273</v>
      </c>
      <c r="K73" s="50">
        <v>68300.570000000007</v>
      </c>
      <c r="M73" s="50">
        <v>68300.570000000007</v>
      </c>
      <c r="O73">
        <v>0</v>
      </c>
    </row>
    <row r="74" spans="3:18" x14ac:dyDescent="0.25">
      <c r="C74" t="s">
        <v>192</v>
      </c>
      <c r="D74" t="s">
        <v>194</v>
      </c>
      <c r="E74">
        <v>1138209</v>
      </c>
      <c r="H74" t="s">
        <v>274</v>
      </c>
      <c r="K74" s="50">
        <v>4766969.08</v>
      </c>
      <c r="M74" s="50">
        <v>4637601.51</v>
      </c>
      <c r="O74" s="50">
        <v>129367.57</v>
      </c>
      <c r="Q74">
        <v>2.8</v>
      </c>
    </row>
    <row r="75" spans="3:18" x14ac:dyDescent="0.25">
      <c r="C75" t="s">
        <v>192</v>
      </c>
      <c r="D75" t="s">
        <v>194</v>
      </c>
      <c r="E75">
        <v>1138210</v>
      </c>
      <c r="H75" t="s">
        <v>275</v>
      </c>
      <c r="K75" s="50">
        <v>-30979.040000000001</v>
      </c>
      <c r="M75" s="50">
        <v>18623.759999999998</v>
      </c>
      <c r="O75" s="50">
        <v>-49602.8</v>
      </c>
      <c r="Q75">
        <v>-266.3</v>
      </c>
    </row>
    <row r="76" spans="3:18" x14ac:dyDescent="0.25">
      <c r="C76" t="s">
        <v>192</v>
      </c>
      <c r="D76" t="s">
        <v>194</v>
      </c>
      <c r="E76">
        <v>1138212</v>
      </c>
      <c r="H76" t="s">
        <v>276</v>
      </c>
      <c r="K76">
        <v>56.19</v>
      </c>
      <c r="M76">
        <v>56.19</v>
      </c>
      <c r="O76">
        <v>0</v>
      </c>
    </row>
    <row r="77" spans="3:18" x14ac:dyDescent="0.25">
      <c r="E77" t="s">
        <v>277</v>
      </c>
      <c r="K77" s="50">
        <v>4804346.8</v>
      </c>
      <c r="M77" s="50">
        <v>4724582.03</v>
      </c>
      <c r="O77" s="50">
        <v>79764.77</v>
      </c>
      <c r="Q77">
        <v>1.7</v>
      </c>
      <c r="R77" t="s">
        <v>223</v>
      </c>
    </row>
    <row r="78" spans="3:18" x14ac:dyDescent="0.25">
      <c r="C78" t="s">
        <v>192</v>
      </c>
      <c r="D78" t="s">
        <v>194</v>
      </c>
      <c r="E78">
        <v>1138905</v>
      </c>
      <c r="H78" t="s">
        <v>278</v>
      </c>
      <c r="K78" s="50">
        <v>45969</v>
      </c>
      <c r="M78" s="50">
        <v>48719</v>
      </c>
      <c r="O78" s="50">
        <v>-2750</v>
      </c>
      <c r="Q78">
        <v>-5.6</v>
      </c>
    </row>
    <row r="79" spans="3:18" x14ac:dyDescent="0.25">
      <c r="E79" t="s">
        <v>279</v>
      </c>
      <c r="K79" s="50">
        <v>45969</v>
      </c>
      <c r="M79" s="50">
        <v>48719</v>
      </c>
      <c r="O79" s="50">
        <v>-2750</v>
      </c>
      <c r="Q79">
        <v>-5.6</v>
      </c>
      <c r="R79" t="s">
        <v>223</v>
      </c>
    </row>
    <row r="80" spans="3:18" x14ac:dyDescent="0.25">
      <c r="E80" t="s">
        <v>280</v>
      </c>
      <c r="K80" s="50">
        <v>3881160459.8699999</v>
      </c>
      <c r="M80" s="50">
        <v>3872785060.8499999</v>
      </c>
      <c r="O80" s="50">
        <v>8375399.0199999996</v>
      </c>
      <c r="Q80">
        <v>0.2</v>
      </c>
      <c r="R80" t="s">
        <v>219</v>
      </c>
    </row>
    <row r="81" spans="3:18" x14ac:dyDescent="0.25">
      <c r="E81" t="s">
        <v>281</v>
      </c>
    </row>
    <row r="82" spans="3:18" x14ac:dyDescent="0.25">
      <c r="C82" t="s">
        <v>192</v>
      </c>
      <c r="D82" t="s">
        <v>194</v>
      </c>
      <c r="E82">
        <v>2200444</v>
      </c>
      <c r="H82" t="s">
        <v>282</v>
      </c>
      <c r="K82" s="50">
        <v>-967748.06</v>
      </c>
      <c r="M82" s="50">
        <v>-967748.06</v>
      </c>
      <c r="O82">
        <v>0</v>
      </c>
    </row>
    <row r="83" spans="3:18" x14ac:dyDescent="0.25">
      <c r="K83" s="50">
        <v>-967748.06</v>
      </c>
      <c r="M83" s="50">
        <v>-967748.06</v>
      </c>
      <c r="O83">
        <v>0</v>
      </c>
      <c r="R83" t="s">
        <v>223</v>
      </c>
    </row>
    <row r="84" spans="3:18" x14ac:dyDescent="0.25">
      <c r="C84" t="s">
        <v>192</v>
      </c>
      <c r="D84" t="s">
        <v>194</v>
      </c>
      <c r="E84">
        <v>2200000</v>
      </c>
      <c r="H84" t="s">
        <v>283</v>
      </c>
      <c r="K84" s="50">
        <v>-3867</v>
      </c>
      <c r="M84" s="50">
        <v>-3867</v>
      </c>
      <c r="O84">
        <v>0</v>
      </c>
    </row>
    <row r="85" spans="3:18" x14ac:dyDescent="0.25">
      <c r="E85" t="s">
        <v>284</v>
      </c>
      <c r="K85" s="50">
        <v>-3867</v>
      </c>
      <c r="M85" s="50">
        <v>-3867</v>
      </c>
      <c r="O85">
        <v>0</v>
      </c>
      <c r="R85" t="s">
        <v>223</v>
      </c>
    </row>
    <row r="86" spans="3:18" x14ac:dyDescent="0.25">
      <c r="C86" t="s">
        <v>192</v>
      </c>
      <c r="D86" t="s">
        <v>194</v>
      </c>
      <c r="E86">
        <v>2200002</v>
      </c>
      <c r="H86" t="s">
        <v>285</v>
      </c>
      <c r="K86">
        <v>-550</v>
      </c>
      <c r="M86">
        <v>-550</v>
      </c>
      <c r="O86">
        <v>0</v>
      </c>
    </row>
    <row r="87" spans="3:18" x14ac:dyDescent="0.25">
      <c r="E87" t="s">
        <v>286</v>
      </c>
      <c r="K87">
        <v>-550</v>
      </c>
      <c r="M87">
        <v>-550</v>
      </c>
      <c r="O87">
        <v>0</v>
      </c>
      <c r="R87" t="s">
        <v>223</v>
      </c>
    </row>
    <row r="88" spans="3:18" x14ac:dyDescent="0.25">
      <c r="C88" t="s">
        <v>192</v>
      </c>
      <c r="D88" t="s">
        <v>194</v>
      </c>
      <c r="E88">
        <v>2200004</v>
      </c>
      <c r="H88" t="s">
        <v>287</v>
      </c>
      <c r="K88" s="50">
        <v>-12499003.27</v>
      </c>
      <c r="M88" s="50">
        <v>-13049660.390000001</v>
      </c>
      <c r="O88" s="50">
        <v>550657.12</v>
      </c>
      <c r="Q88">
        <v>4.2</v>
      </c>
    </row>
    <row r="89" spans="3:18" x14ac:dyDescent="0.25">
      <c r="C89" t="s">
        <v>192</v>
      </c>
      <c r="D89" t="s">
        <v>194</v>
      </c>
      <c r="E89">
        <v>2220903</v>
      </c>
      <c r="H89" t="s">
        <v>288</v>
      </c>
      <c r="K89" s="50">
        <v>179889.87</v>
      </c>
      <c r="M89" s="50">
        <v>168199.62</v>
      </c>
      <c r="O89" s="50">
        <v>11690.25</v>
      </c>
      <c r="Q89">
        <v>7</v>
      </c>
    </row>
    <row r="90" spans="3:18" x14ac:dyDescent="0.25">
      <c r="E90" t="s">
        <v>287</v>
      </c>
      <c r="K90" s="50">
        <v>-12319113.4</v>
      </c>
      <c r="M90" s="50">
        <v>-12881460.77</v>
      </c>
      <c r="O90" s="50">
        <v>562347.37</v>
      </c>
      <c r="Q90">
        <v>4.4000000000000004</v>
      </c>
      <c r="R90" t="s">
        <v>223</v>
      </c>
    </row>
    <row r="91" spans="3:18" x14ac:dyDescent="0.25">
      <c r="C91" t="s">
        <v>192</v>
      </c>
      <c r="D91" t="s">
        <v>194</v>
      </c>
      <c r="E91">
        <v>2201008</v>
      </c>
      <c r="H91" t="s">
        <v>289</v>
      </c>
      <c r="K91" s="50">
        <v>-503766.65</v>
      </c>
      <c r="M91" s="50">
        <v>-752117.32</v>
      </c>
      <c r="O91" s="50">
        <v>248350.67</v>
      </c>
      <c r="Q91">
        <v>33</v>
      </c>
    </row>
    <row r="92" spans="3:18" x14ac:dyDescent="0.25">
      <c r="C92" t="s">
        <v>192</v>
      </c>
      <c r="D92" t="s">
        <v>194</v>
      </c>
      <c r="E92">
        <v>2201015</v>
      </c>
      <c r="H92" t="s">
        <v>290</v>
      </c>
      <c r="K92" s="50">
        <v>-573466.65</v>
      </c>
      <c r="M92" s="50">
        <v>-308905.31</v>
      </c>
      <c r="O92" s="50">
        <v>-264561.34000000003</v>
      </c>
      <c r="Q92">
        <v>-85.6</v>
      </c>
    </row>
    <row r="93" spans="3:18" x14ac:dyDescent="0.25">
      <c r="C93" t="s">
        <v>192</v>
      </c>
      <c r="D93" t="s">
        <v>194</v>
      </c>
      <c r="E93">
        <v>2201018</v>
      </c>
      <c r="H93" t="s">
        <v>291</v>
      </c>
      <c r="K93" s="50">
        <v>-1618484.28</v>
      </c>
      <c r="M93" s="50">
        <v>-145058.75</v>
      </c>
      <c r="O93" s="50">
        <v>-1473425.53</v>
      </c>
      <c r="Q93">
        <v>-1015.7</v>
      </c>
    </row>
    <row r="94" spans="3:18" x14ac:dyDescent="0.25">
      <c r="C94" t="s">
        <v>192</v>
      </c>
      <c r="D94" t="s">
        <v>194</v>
      </c>
      <c r="E94">
        <v>2201021</v>
      </c>
      <c r="H94" t="s">
        <v>292</v>
      </c>
      <c r="K94" s="50">
        <v>-1043501.23</v>
      </c>
      <c r="M94" s="50">
        <v>-1015233.8</v>
      </c>
      <c r="O94" s="50">
        <v>-28267.43</v>
      </c>
      <c r="Q94">
        <v>-2.8</v>
      </c>
    </row>
    <row r="95" spans="3:18" x14ac:dyDescent="0.25">
      <c r="C95" t="s">
        <v>192</v>
      </c>
      <c r="D95" t="s">
        <v>194</v>
      </c>
      <c r="E95">
        <v>2201022</v>
      </c>
      <c r="H95" t="s">
        <v>293</v>
      </c>
      <c r="K95" s="50">
        <v>33916.959999999999</v>
      </c>
      <c r="M95" s="50">
        <v>34552.620000000003</v>
      </c>
      <c r="O95">
        <v>-635.66</v>
      </c>
      <c r="Q95">
        <v>-1.8</v>
      </c>
    </row>
    <row r="96" spans="3:18" x14ac:dyDescent="0.25">
      <c r="C96" t="s">
        <v>192</v>
      </c>
      <c r="D96" t="s">
        <v>194</v>
      </c>
      <c r="E96">
        <v>2201023</v>
      </c>
      <c r="H96" t="s">
        <v>294</v>
      </c>
      <c r="K96" s="50">
        <v>-110553.62</v>
      </c>
      <c r="M96" s="50">
        <v>-110957.95</v>
      </c>
      <c r="O96">
        <v>404.33</v>
      </c>
      <c r="Q96">
        <v>0.4</v>
      </c>
    </row>
    <row r="97" spans="3:18" x14ac:dyDescent="0.25">
      <c r="C97" t="s">
        <v>192</v>
      </c>
      <c r="D97" t="s">
        <v>194</v>
      </c>
      <c r="E97">
        <v>2202020</v>
      </c>
      <c r="H97" t="s">
        <v>295</v>
      </c>
      <c r="K97" s="50">
        <v>-350806.34</v>
      </c>
      <c r="M97" s="50">
        <v>-350149.81</v>
      </c>
      <c r="O97">
        <v>-656.53</v>
      </c>
      <c r="Q97">
        <v>-0.2</v>
      </c>
    </row>
    <row r="98" spans="3:18" x14ac:dyDescent="0.25">
      <c r="C98" t="s">
        <v>192</v>
      </c>
      <c r="D98" t="s">
        <v>194</v>
      </c>
      <c r="E98">
        <v>2202022</v>
      </c>
      <c r="H98" t="s">
        <v>296</v>
      </c>
      <c r="K98" s="50">
        <v>-823267.97</v>
      </c>
      <c r="M98" s="50">
        <v>-437421.28</v>
      </c>
      <c r="O98" s="50">
        <v>-385846.69</v>
      </c>
      <c r="Q98">
        <v>-88.2</v>
      </c>
    </row>
    <row r="99" spans="3:18" x14ac:dyDescent="0.25">
      <c r="C99" t="s">
        <v>192</v>
      </c>
      <c r="D99" t="s">
        <v>194</v>
      </c>
      <c r="E99">
        <v>2202024</v>
      </c>
      <c r="H99" t="s">
        <v>297</v>
      </c>
      <c r="K99" s="50">
        <v>-33597.24</v>
      </c>
      <c r="M99" s="50">
        <v>-25850.92</v>
      </c>
      <c r="O99" s="50">
        <v>-7746.32</v>
      </c>
      <c r="Q99">
        <v>-30</v>
      </c>
    </row>
    <row r="100" spans="3:18" x14ac:dyDescent="0.25">
      <c r="C100" t="s">
        <v>192</v>
      </c>
      <c r="D100" t="s">
        <v>194</v>
      </c>
      <c r="E100">
        <v>2202025</v>
      </c>
      <c r="H100" t="s">
        <v>298</v>
      </c>
      <c r="K100" s="50">
        <v>-7718.74</v>
      </c>
      <c r="M100" s="50">
        <v>-6155.62</v>
      </c>
      <c r="O100" s="50">
        <v>-1563.12</v>
      </c>
      <c r="Q100">
        <v>-25.4</v>
      </c>
    </row>
    <row r="101" spans="3:18" x14ac:dyDescent="0.25">
      <c r="C101" t="s">
        <v>192</v>
      </c>
      <c r="D101" t="s">
        <v>194</v>
      </c>
      <c r="E101">
        <v>2202030</v>
      </c>
      <c r="H101" t="s">
        <v>299</v>
      </c>
      <c r="K101" s="50">
        <v>-1378183.67</v>
      </c>
      <c r="M101" s="50">
        <v>-589962</v>
      </c>
      <c r="O101" s="50">
        <v>-788221.67</v>
      </c>
      <c r="Q101">
        <v>-133.6</v>
      </c>
    </row>
    <row r="102" spans="3:18" x14ac:dyDescent="0.25">
      <c r="C102" t="s">
        <v>192</v>
      </c>
      <c r="D102" t="s">
        <v>194</v>
      </c>
      <c r="E102">
        <v>2202032</v>
      </c>
      <c r="H102" t="s">
        <v>300</v>
      </c>
      <c r="K102" s="50">
        <v>-257741.13</v>
      </c>
      <c r="M102" s="50">
        <v>-237917.14</v>
      </c>
      <c r="O102" s="50">
        <v>-19823.990000000002</v>
      </c>
      <c r="Q102">
        <v>-8.3000000000000007</v>
      </c>
    </row>
    <row r="103" spans="3:18" x14ac:dyDescent="0.25">
      <c r="C103" t="s">
        <v>192</v>
      </c>
      <c r="D103" t="s">
        <v>194</v>
      </c>
      <c r="E103">
        <v>2204000</v>
      </c>
      <c r="H103" t="s">
        <v>301</v>
      </c>
      <c r="K103" s="50">
        <v>-206434.24</v>
      </c>
      <c r="M103" s="50">
        <v>-126027.41</v>
      </c>
      <c r="O103" s="50">
        <v>-80406.83</v>
      </c>
      <c r="Q103">
        <v>-63.8</v>
      </c>
    </row>
    <row r="104" spans="3:18" x14ac:dyDescent="0.25">
      <c r="C104" t="s">
        <v>192</v>
      </c>
      <c r="D104" t="s">
        <v>194</v>
      </c>
      <c r="E104">
        <v>2240003</v>
      </c>
      <c r="H104" t="s">
        <v>302</v>
      </c>
      <c r="K104">
        <v>0</v>
      </c>
      <c r="M104" s="50">
        <v>-1406244.88</v>
      </c>
      <c r="O104" s="50">
        <v>1406244.88</v>
      </c>
      <c r="Q104">
        <v>100</v>
      </c>
    </row>
    <row r="105" spans="3:18" x14ac:dyDescent="0.25">
      <c r="E105" t="s">
        <v>303</v>
      </c>
      <c r="K105" s="50">
        <v>-6873604.7999999998</v>
      </c>
      <c r="M105" s="50">
        <v>-5477449.5700000003</v>
      </c>
      <c r="O105" s="50">
        <v>-1396155.23</v>
      </c>
      <c r="Q105">
        <v>-25.5</v>
      </c>
      <c r="R105" t="s">
        <v>223</v>
      </c>
    </row>
    <row r="106" spans="3:18" x14ac:dyDescent="0.25">
      <c r="C106" t="s">
        <v>192</v>
      </c>
      <c r="D106" t="s">
        <v>194</v>
      </c>
      <c r="E106">
        <v>2210801</v>
      </c>
      <c r="H106" t="s">
        <v>304</v>
      </c>
      <c r="K106" s="50">
        <v>-257311020.25999999</v>
      </c>
      <c r="M106" s="50">
        <v>-261378956.27000001</v>
      </c>
      <c r="O106" s="50">
        <v>4067936.01</v>
      </c>
      <c r="Q106">
        <v>1.6</v>
      </c>
    </row>
    <row r="107" spans="3:18" x14ac:dyDescent="0.25">
      <c r="K107" s="50">
        <v>-257311020.25999999</v>
      </c>
      <c r="M107" s="50">
        <v>-261378956.27000001</v>
      </c>
      <c r="O107" s="50">
        <v>4067936.01</v>
      </c>
      <c r="Q107">
        <v>1.6</v>
      </c>
      <c r="R107" t="s">
        <v>223</v>
      </c>
    </row>
    <row r="108" spans="3:18" x14ac:dyDescent="0.25">
      <c r="C108" t="s">
        <v>192</v>
      </c>
      <c r="D108" t="s">
        <v>194</v>
      </c>
      <c r="E108">
        <v>2210806</v>
      </c>
      <c r="H108" t="s">
        <v>305</v>
      </c>
      <c r="K108" s="50">
        <v>-16528978.9</v>
      </c>
      <c r="M108" s="50">
        <v>-19286598</v>
      </c>
      <c r="O108" s="50">
        <v>2757619.1</v>
      </c>
      <c r="Q108">
        <v>14.3</v>
      </c>
    </row>
    <row r="109" spans="3:18" x14ac:dyDescent="0.25">
      <c r="C109" t="s">
        <v>192</v>
      </c>
      <c r="D109" t="s">
        <v>194</v>
      </c>
      <c r="E109">
        <v>2210807</v>
      </c>
      <c r="H109" t="s">
        <v>306</v>
      </c>
      <c r="K109" s="50">
        <v>-495445.01</v>
      </c>
      <c r="M109" s="50">
        <v>-489866.96</v>
      </c>
      <c r="O109" s="50">
        <v>-5578.05</v>
      </c>
      <c r="Q109">
        <v>-1.1000000000000001</v>
      </c>
    </row>
    <row r="110" spans="3:18" x14ac:dyDescent="0.25">
      <c r="E110" t="s">
        <v>307</v>
      </c>
      <c r="K110" s="50">
        <v>-17024423.91</v>
      </c>
      <c r="M110" s="50">
        <v>-19776464.960000001</v>
      </c>
      <c r="O110" s="50">
        <v>2752041.05</v>
      </c>
      <c r="Q110">
        <v>13.9</v>
      </c>
      <c r="R110" t="s">
        <v>223</v>
      </c>
    </row>
    <row r="111" spans="3:18" x14ac:dyDescent="0.25">
      <c r="C111" t="s">
        <v>192</v>
      </c>
      <c r="D111" t="s">
        <v>194</v>
      </c>
      <c r="E111">
        <v>2210603</v>
      </c>
      <c r="H111" t="s">
        <v>308</v>
      </c>
      <c r="K111" s="50">
        <v>-52878847.229999997</v>
      </c>
      <c r="M111" s="50">
        <v>-50575648.219999999</v>
      </c>
      <c r="O111" s="50">
        <v>-2303199.0099999998</v>
      </c>
      <c r="Q111">
        <v>-4.5999999999999996</v>
      </c>
    </row>
    <row r="112" spans="3:18" x14ac:dyDescent="0.25">
      <c r="C112" t="s">
        <v>192</v>
      </c>
      <c r="D112" t="s">
        <v>194</v>
      </c>
      <c r="E112">
        <v>2210604</v>
      </c>
      <c r="H112" t="s">
        <v>309</v>
      </c>
      <c r="K112" s="50">
        <v>-18932386.059999999</v>
      </c>
      <c r="M112" s="50">
        <v>-19054943.600000001</v>
      </c>
      <c r="O112" s="50">
        <v>122557.54</v>
      </c>
      <c r="Q112">
        <v>0.6</v>
      </c>
    </row>
    <row r="113" spans="3:18" x14ac:dyDescent="0.25">
      <c r="E113" t="s">
        <v>310</v>
      </c>
      <c r="K113" s="50">
        <v>-71811233.290000007</v>
      </c>
      <c r="M113" s="50">
        <v>-69630591.819999993</v>
      </c>
      <c r="O113" s="50">
        <v>-2180641.4700000002</v>
      </c>
      <c r="Q113">
        <v>-3.1</v>
      </c>
      <c r="R113" t="s">
        <v>223</v>
      </c>
    </row>
    <row r="114" spans="3:18" x14ac:dyDescent="0.25">
      <c r="C114" t="s">
        <v>192</v>
      </c>
      <c r="D114" t="s">
        <v>194</v>
      </c>
      <c r="E114">
        <v>2210410</v>
      </c>
      <c r="H114" t="s">
        <v>311</v>
      </c>
      <c r="K114" s="50">
        <v>-671000</v>
      </c>
      <c r="M114" s="50">
        <v>-671000</v>
      </c>
      <c r="O114">
        <v>0</v>
      </c>
    </row>
    <row r="115" spans="3:18" x14ac:dyDescent="0.25">
      <c r="E115" t="s">
        <v>312</v>
      </c>
      <c r="K115" s="50">
        <v>-671000</v>
      </c>
      <c r="M115" s="50">
        <v>-671000</v>
      </c>
      <c r="O115">
        <v>0</v>
      </c>
      <c r="R115" t="s">
        <v>223</v>
      </c>
    </row>
    <row r="116" spans="3:18" x14ac:dyDescent="0.25">
      <c r="C116" t="s">
        <v>192</v>
      </c>
      <c r="D116" t="s">
        <v>194</v>
      </c>
      <c r="E116">
        <v>2210811</v>
      </c>
      <c r="H116" t="s">
        <v>313</v>
      </c>
      <c r="K116" s="50">
        <v>-365842694.86000001</v>
      </c>
      <c r="M116" s="50">
        <v>-370033626.75999999</v>
      </c>
      <c r="O116" s="50">
        <v>4190931.9</v>
      </c>
      <c r="Q116">
        <v>1.1000000000000001</v>
      </c>
    </row>
    <row r="117" spans="3:18" x14ac:dyDescent="0.25">
      <c r="E117" t="s">
        <v>314</v>
      </c>
      <c r="K117" s="50">
        <v>-365842694.86000001</v>
      </c>
      <c r="M117" s="50">
        <v>-370033626.75999999</v>
      </c>
      <c r="O117" s="50">
        <v>4190931.9</v>
      </c>
      <c r="Q117">
        <v>1.1000000000000001</v>
      </c>
      <c r="R117" t="s">
        <v>223</v>
      </c>
    </row>
    <row r="118" spans="3:18" x14ac:dyDescent="0.25">
      <c r="C118" t="s">
        <v>192</v>
      </c>
      <c r="D118" t="s">
        <v>194</v>
      </c>
      <c r="E118">
        <v>2200185</v>
      </c>
      <c r="H118" t="s">
        <v>315</v>
      </c>
      <c r="K118" s="50">
        <v>-119449518.45999999</v>
      </c>
      <c r="M118" s="50">
        <v>-110290165.56</v>
      </c>
      <c r="O118" s="50">
        <v>-9159352.9000000004</v>
      </c>
      <c r="Q118">
        <v>-8.3000000000000007</v>
      </c>
    </row>
    <row r="119" spans="3:18" x14ac:dyDescent="0.25">
      <c r="C119" t="s">
        <v>192</v>
      </c>
      <c r="D119" t="s">
        <v>194</v>
      </c>
      <c r="E119">
        <v>2200203</v>
      </c>
      <c r="H119" t="s">
        <v>316</v>
      </c>
      <c r="K119" s="50">
        <v>-38969.279999999999</v>
      </c>
      <c r="M119" s="50">
        <v>-38969.279999999999</v>
      </c>
      <c r="O119">
        <v>0</v>
      </c>
    </row>
    <row r="120" spans="3:18" x14ac:dyDescent="0.25">
      <c r="C120" t="s">
        <v>192</v>
      </c>
      <c r="D120" t="s">
        <v>194</v>
      </c>
      <c r="E120">
        <v>2200206</v>
      </c>
      <c r="H120" t="s">
        <v>317</v>
      </c>
      <c r="K120" s="50">
        <v>-521729.11</v>
      </c>
      <c r="M120" s="50">
        <v>-601272.5</v>
      </c>
      <c r="O120" s="50">
        <v>79543.39</v>
      </c>
      <c r="Q120">
        <v>13.2</v>
      </c>
    </row>
    <row r="121" spans="3:18" x14ac:dyDescent="0.25">
      <c r="C121" t="s">
        <v>192</v>
      </c>
      <c r="D121" t="s">
        <v>194</v>
      </c>
      <c r="E121">
        <v>2200300</v>
      </c>
      <c r="H121" t="s">
        <v>318</v>
      </c>
      <c r="K121" s="50">
        <v>-129395.65</v>
      </c>
      <c r="M121" s="50">
        <v>-185568.39</v>
      </c>
      <c r="O121" s="50">
        <v>56172.74</v>
      </c>
      <c r="Q121">
        <v>30.3</v>
      </c>
    </row>
    <row r="122" spans="3:18" x14ac:dyDescent="0.25">
      <c r="C122" t="s">
        <v>192</v>
      </c>
      <c r="D122" t="s">
        <v>194</v>
      </c>
      <c r="E122">
        <v>2200302</v>
      </c>
      <c r="H122" t="s">
        <v>319</v>
      </c>
      <c r="K122" s="50">
        <v>-17351.18</v>
      </c>
      <c r="M122" s="50">
        <v>-51911.93</v>
      </c>
      <c r="O122" s="50">
        <v>34560.75</v>
      </c>
      <c r="Q122">
        <v>66.599999999999994</v>
      </c>
    </row>
    <row r="123" spans="3:18" x14ac:dyDescent="0.25">
      <c r="C123" t="s">
        <v>192</v>
      </c>
      <c r="D123" t="s">
        <v>194</v>
      </c>
      <c r="E123">
        <v>2200402</v>
      </c>
      <c r="H123" t="s">
        <v>320</v>
      </c>
      <c r="K123" s="50">
        <v>-10268796.789999999</v>
      </c>
      <c r="M123" s="50">
        <v>-10268796.789999999</v>
      </c>
      <c r="O123">
        <v>0</v>
      </c>
    </row>
    <row r="124" spans="3:18" x14ac:dyDescent="0.25">
      <c r="C124" t="s">
        <v>192</v>
      </c>
      <c r="D124" t="s">
        <v>194</v>
      </c>
      <c r="E124">
        <v>2200411</v>
      </c>
      <c r="H124" t="s">
        <v>321</v>
      </c>
      <c r="K124" s="50">
        <v>-337090.9</v>
      </c>
      <c r="M124" s="50">
        <v>-337090.9</v>
      </c>
      <c r="O124">
        <v>0</v>
      </c>
    </row>
    <row r="125" spans="3:18" x14ac:dyDescent="0.25">
      <c r="C125" t="s">
        <v>192</v>
      </c>
      <c r="D125" t="s">
        <v>194</v>
      </c>
      <c r="E125">
        <v>2200768</v>
      </c>
      <c r="H125" t="s">
        <v>322</v>
      </c>
      <c r="K125" s="50">
        <v>-1696.69</v>
      </c>
      <c r="M125">
        <v>0.01</v>
      </c>
      <c r="O125" s="50">
        <v>-1696.7</v>
      </c>
      <c r="Q125" t="s">
        <v>323</v>
      </c>
    </row>
    <row r="126" spans="3:18" x14ac:dyDescent="0.25">
      <c r="C126" t="s">
        <v>192</v>
      </c>
      <c r="D126" t="s">
        <v>194</v>
      </c>
      <c r="E126">
        <v>2231000</v>
      </c>
      <c r="H126" t="s">
        <v>324</v>
      </c>
      <c r="K126" s="50">
        <v>-160625.20000000001</v>
      </c>
      <c r="M126" s="50">
        <v>-160625.20000000001</v>
      </c>
      <c r="O126">
        <v>0</v>
      </c>
    </row>
    <row r="127" spans="3:18" x14ac:dyDescent="0.25">
      <c r="C127" t="s">
        <v>192</v>
      </c>
      <c r="D127" t="s">
        <v>194</v>
      </c>
      <c r="E127">
        <v>2231100</v>
      </c>
      <c r="H127" t="s">
        <v>325</v>
      </c>
      <c r="K127" s="50">
        <v>3086186.65</v>
      </c>
      <c r="M127" s="50">
        <v>3062402.11</v>
      </c>
      <c r="O127" s="50">
        <v>23784.54</v>
      </c>
      <c r="Q127">
        <v>0.8</v>
      </c>
    </row>
    <row r="128" spans="3:18" x14ac:dyDescent="0.25">
      <c r="C128" t="s">
        <v>192</v>
      </c>
      <c r="D128" t="s">
        <v>194</v>
      </c>
      <c r="E128">
        <v>2231101</v>
      </c>
      <c r="H128" t="s">
        <v>326</v>
      </c>
      <c r="K128" s="50">
        <v>-17645795.91</v>
      </c>
      <c r="M128" s="50">
        <v>-17923976.199999999</v>
      </c>
      <c r="O128" s="50">
        <v>278180.28999999998</v>
      </c>
      <c r="Q128">
        <v>1.6</v>
      </c>
    </row>
    <row r="129" spans="3:18" x14ac:dyDescent="0.25">
      <c r="C129" t="s">
        <v>192</v>
      </c>
      <c r="D129" t="s">
        <v>194</v>
      </c>
      <c r="E129">
        <v>2231103</v>
      </c>
      <c r="H129" t="s">
        <v>327</v>
      </c>
      <c r="K129" s="50">
        <v>-1546686.72</v>
      </c>
      <c r="M129" s="50">
        <v>-1564783.59</v>
      </c>
      <c r="O129" s="50">
        <v>18096.87</v>
      </c>
      <c r="Q129">
        <v>1.2</v>
      </c>
    </row>
    <row r="130" spans="3:18" x14ac:dyDescent="0.25">
      <c r="E130" t="s">
        <v>328</v>
      </c>
      <c r="K130" s="50">
        <v>-147031469.24000001</v>
      </c>
      <c r="M130" s="50">
        <v>-138360758.22</v>
      </c>
      <c r="O130" s="50">
        <v>-8670711.0199999996</v>
      </c>
      <c r="Q130">
        <v>-6.3</v>
      </c>
      <c r="R130" t="s">
        <v>223</v>
      </c>
    </row>
    <row r="131" spans="3:18" x14ac:dyDescent="0.25">
      <c r="C131" t="s">
        <v>192</v>
      </c>
      <c r="D131" t="s">
        <v>194</v>
      </c>
      <c r="E131">
        <v>2200170</v>
      </c>
      <c r="H131" t="s">
        <v>329</v>
      </c>
      <c r="K131" s="50">
        <v>-3902959.63</v>
      </c>
      <c r="M131" s="50">
        <v>-3935887.41</v>
      </c>
      <c r="O131" s="50">
        <v>32927.78</v>
      </c>
      <c r="Q131">
        <v>0.8</v>
      </c>
    </row>
    <row r="132" spans="3:18" x14ac:dyDescent="0.25">
      <c r="K132" s="50">
        <v>-3902959.63</v>
      </c>
      <c r="M132" s="50">
        <v>-3935887.41</v>
      </c>
      <c r="O132" s="50">
        <v>32927.78</v>
      </c>
      <c r="Q132">
        <v>0.8</v>
      </c>
      <c r="R132" t="s">
        <v>223</v>
      </c>
    </row>
    <row r="133" spans="3:18" x14ac:dyDescent="0.25">
      <c r="C133" t="s">
        <v>192</v>
      </c>
      <c r="D133" t="s">
        <v>194</v>
      </c>
      <c r="E133">
        <v>2200406</v>
      </c>
      <c r="H133" t="s">
        <v>330</v>
      </c>
      <c r="K133" s="50">
        <v>-943979.09</v>
      </c>
      <c r="M133" s="50">
        <v>-903737.39</v>
      </c>
      <c r="O133" s="50">
        <v>-40241.699999999997</v>
      </c>
      <c r="Q133">
        <v>-4.5</v>
      </c>
    </row>
    <row r="134" spans="3:18" x14ac:dyDescent="0.25">
      <c r="C134" t="s">
        <v>192</v>
      </c>
      <c r="D134" t="s">
        <v>194</v>
      </c>
      <c r="E134">
        <v>2200407</v>
      </c>
      <c r="H134" t="s">
        <v>331</v>
      </c>
      <c r="K134" s="50">
        <v>-15838549.27</v>
      </c>
      <c r="M134" s="50">
        <v>-15838549.27</v>
      </c>
      <c r="O134">
        <v>0</v>
      </c>
    </row>
    <row r="135" spans="3:18" x14ac:dyDescent="0.25">
      <c r="K135" s="50">
        <v>-16782528.359999999</v>
      </c>
      <c r="M135" s="50">
        <v>-16742286.66</v>
      </c>
      <c r="O135" s="50">
        <v>-40241.699999999997</v>
      </c>
      <c r="Q135">
        <v>-0.2</v>
      </c>
      <c r="R135" t="s">
        <v>223</v>
      </c>
    </row>
    <row r="136" spans="3:18" x14ac:dyDescent="0.25">
      <c r="C136" t="s">
        <v>192</v>
      </c>
      <c r="D136" t="s">
        <v>194</v>
      </c>
      <c r="E136">
        <v>2231501</v>
      </c>
      <c r="H136" t="s">
        <v>332</v>
      </c>
      <c r="K136" s="50">
        <v>-1321104.98</v>
      </c>
      <c r="M136" s="50">
        <v>-1346715.58</v>
      </c>
      <c r="O136" s="50">
        <v>25610.6</v>
      </c>
      <c r="Q136">
        <v>1.9</v>
      </c>
    </row>
    <row r="137" spans="3:18" x14ac:dyDescent="0.25">
      <c r="C137" t="s">
        <v>192</v>
      </c>
      <c r="D137" t="s">
        <v>194</v>
      </c>
      <c r="E137">
        <v>2231503</v>
      </c>
      <c r="H137" t="s">
        <v>333</v>
      </c>
      <c r="K137" s="50">
        <v>-398076.4</v>
      </c>
      <c r="M137" s="50">
        <v>-441524.4</v>
      </c>
      <c r="O137" s="50">
        <v>43448</v>
      </c>
      <c r="Q137">
        <v>9.8000000000000007</v>
      </c>
    </row>
    <row r="138" spans="3:18" x14ac:dyDescent="0.25">
      <c r="K138" s="50">
        <v>-1719181.38</v>
      </c>
      <c r="M138" s="50">
        <v>-1788239.98</v>
      </c>
      <c r="O138" s="50">
        <v>69058.600000000006</v>
      </c>
      <c r="Q138">
        <v>3.9</v>
      </c>
      <c r="R138" t="s">
        <v>223</v>
      </c>
    </row>
    <row r="139" spans="3:18" x14ac:dyDescent="0.25">
      <c r="C139" t="s">
        <v>192</v>
      </c>
      <c r="D139" t="s">
        <v>194</v>
      </c>
      <c r="E139">
        <v>2200912</v>
      </c>
      <c r="H139" t="s">
        <v>334</v>
      </c>
      <c r="K139" s="50">
        <v>-1435686.34</v>
      </c>
      <c r="M139" s="50">
        <v>-1513576.54</v>
      </c>
      <c r="O139" s="50">
        <v>77890.2</v>
      </c>
      <c r="Q139">
        <v>5.0999999999999996</v>
      </c>
    </row>
    <row r="140" spans="3:18" x14ac:dyDescent="0.25">
      <c r="C140" t="s">
        <v>192</v>
      </c>
      <c r="D140" t="s">
        <v>194</v>
      </c>
      <c r="E140">
        <v>2200919</v>
      </c>
      <c r="H140" t="s">
        <v>334</v>
      </c>
      <c r="K140" s="50">
        <v>-32087232.57</v>
      </c>
      <c r="M140" s="50">
        <v>-31779142.550000001</v>
      </c>
      <c r="O140" s="50">
        <v>-308090.02</v>
      </c>
      <c r="Q140">
        <v>-1</v>
      </c>
    </row>
    <row r="141" spans="3:18" x14ac:dyDescent="0.25">
      <c r="C141" t="s">
        <v>192</v>
      </c>
      <c r="D141" t="s">
        <v>194</v>
      </c>
      <c r="E141">
        <v>2200920</v>
      </c>
      <c r="H141" t="s">
        <v>335</v>
      </c>
      <c r="K141" s="50">
        <v>-40306641.759999998</v>
      </c>
      <c r="M141" s="50">
        <v>-43795508.18</v>
      </c>
      <c r="O141" s="50">
        <v>3488866.42</v>
      </c>
      <c r="Q141">
        <v>8</v>
      </c>
    </row>
    <row r="142" spans="3:18" x14ac:dyDescent="0.25">
      <c r="E142" t="s">
        <v>336</v>
      </c>
      <c r="K142" s="50">
        <v>-73829560.670000002</v>
      </c>
      <c r="M142" s="50">
        <v>-77088227.269999996</v>
      </c>
      <c r="O142" s="50">
        <v>3258666.6</v>
      </c>
      <c r="Q142">
        <v>4.2</v>
      </c>
      <c r="R142" t="s">
        <v>223</v>
      </c>
    </row>
    <row r="143" spans="3:18" x14ac:dyDescent="0.25">
      <c r="C143" t="s">
        <v>192</v>
      </c>
      <c r="D143" t="s">
        <v>194</v>
      </c>
      <c r="E143">
        <v>2200440</v>
      </c>
      <c r="H143" t="s">
        <v>337</v>
      </c>
      <c r="K143" s="50">
        <v>-519999494.35000002</v>
      </c>
      <c r="M143" s="50">
        <v>-517435120.56</v>
      </c>
      <c r="O143" s="50">
        <v>-2564373.79</v>
      </c>
      <c r="Q143">
        <v>-0.5</v>
      </c>
    </row>
    <row r="144" spans="3:18" x14ac:dyDescent="0.25">
      <c r="C144" t="s">
        <v>192</v>
      </c>
      <c r="D144" t="s">
        <v>194</v>
      </c>
      <c r="E144">
        <v>2200441</v>
      </c>
      <c r="H144" t="s">
        <v>338</v>
      </c>
      <c r="K144" s="50">
        <v>41216.5</v>
      </c>
      <c r="M144" s="50">
        <v>75414.5</v>
      </c>
      <c r="O144" s="50">
        <v>-34198</v>
      </c>
      <c r="Q144">
        <v>-45.3</v>
      </c>
    </row>
    <row r="145" spans="3:18" x14ac:dyDescent="0.25">
      <c r="C145" t="s">
        <v>192</v>
      </c>
      <c r="D145" t="s">
        <v>194</v>
      </c>
      <c r="E145">
        <v>2200445</v>
      </c>
      <c r="H145" t="s">
        <v>339</v>
      </c>
      <c r="K145" s="50">
        <v>143902783.34999999</v>
      </c>
      <c r="M145" s="50">
        <v>137660375.38999999</v>
      </c>
      <c r="O145" s="50">
        <v>6242407.96</v>
      </c>
      <c r="Q145">
        <v>4.5</v>
      </c>
    </row>
    <row r="146" spans="3:18" x14ac:dyDescent="0.25">
      <c r="C146" t="s">
        <v>192</v>
      </c>
      <c r="D146" t="s">
        <v>194</v>
      </c>
      <c r="E146">
        <v>2200446</v>
      </c>
      <c r="H146" t="s">
        <v>340</v>
      </c>
      <c r="K146" s="50">
        <v>-20989.5</v>
      </c>
      <c r="M146" s="50">
        <v>-21039.5</v>
      </c>
      <c r="O146">
        <v>50</v>
      </c>
      <c r="Q146">
        <v>0.2</v>
      </c>
    </row>
    <row r="147" spans="3:18" x14ac:dyDescent="0.25">
      <c r="K147" s="50">
        <v>-376076484</v>
      </c>
      <c r="M147" s="50">
        <v>-379720370.17000002</v>
      </c>
      <c r="O147" s="50">
        <v>3643886.17</v>
      </c>
      <c r="Q147">
        <v>1</v>
      </c>
      <c r="R147" t="s">
        <v>223</v>
      </c>
    </row>
    <row r="148" spans="3:18" x14ac:dyDescent="0.25">
      <c r="E148" t="s">
        <v>341</v>
      </c>
      <c r="K148" s="50">
        <v>-1352167438.8599999</v>
      </c>
      <c r="M148" s="50">
        <v>-1358457484.9200001</v>
      </c>
      <c r="O148" s="50">
        <v>6290046.0599999996</v>
      </c>
      <c r="Q148">
        <v>0.5</v>
      </c>
      <c r="R148" t="s">
        <v>219</v>
      </c>
    </row>
    <row r="149" spans="3:18" x14ac:dyDescent="0.25">
      <c r="E149" t="s">
        <v>342</v>
      </c>
      <c r="K149" s="50">
        <v>2528993021.0100002</v>
      </c>
      <c r="M149" s="50">
        <v>2514327575.9299998</v>
      </c>
      <c r="O149" s="50">
        <v>14665445.08</v>
      </c>
      <c r="Q149">
        <v>0.6</v>
      </c>
      <c r="R149" t="s">
        <v>343</v>
      </c>
    </row>
    <row r="151" spans="3:18" x14ac:dyDescent="0.25">
      <c r="E151" t="s">
        <v>344</v>
      </c>
      <c r="K151" s="50">
        <v>2533548241.21</v>
      </c>
      <c r="M151" s="50">
        <v>2518882796.1300001</v>
      </c>
      <c r="O151" s="50">
        <v>14665445.08</v>
      </c>
      <c r="Q151">
        <v>0.6</v>
      </c>
      <c r="R151" t="s">
        <v>345</v>
      </c>
    </row>
    <row r="153" spans="3:18" x14ac:dyDescent="0.25">
      <c r="E153" t="s">
        <v>346</v>
      </c>
    </row>
    <row r="154" spans="3:18" x14ac:dyDescent="0.25">
      <c r="C154" t="s">
        <v>192</v>
      </c>
      <c r="D154" t="s">
        <v>194</v>
      </c>
      <c r="E154">
        <v>2220300</v>
      </c>
      <c r="H154" t="s">
        <v>347</v>
      </c>
      <c r="K154" s="50">
        <v>-99491129.799999997</v>
      </c>
      <c r="M154" s="50">
        <v>-80000000</v>
      </c>
      <c r="O154" s="50">
        <v>-19491129.800000001</v>
      </c>
      <c r="Q154">
        <v>-24.4</v>
      </c>
    </row>
    <row r="155" spans="3:18" x14ac:dyDescent="0.25">
      <c r="K155" s="50">
        <v>-99491129.799999997</v>
      </c>
      <c r="M155" s="50">
        <v>-80000000</v>
      </c>
      <c r="O155" s="50">
        <v>-19491129.800000001</v>
      </c>
      <c r="Q155">
        <v>-24.4</v>
      </c>
      <c r="R155" t="s">
        <v>219</v>
      </c>
    </row>
    <row r="156" spans="3:18" x14ac:dyDescent="0.25">
      <c r="C156" t="s">
        <v>192</v>
      </c>
      <c r="D156" t="s">
        <v>194</v>
      </c>
      <c r="E156">
        <v>2200841</v>
      </c>
      <c r="H156" t="s">
        <v>348</v>
      </c>
      <c r="K156" s="50">
        <v>-78333.37</v>
      </c>
      <c r="M156" s="50">
        <v>-85359.92</v>
      </c>
      <c r="O156" s="50">
        <v>7026.55</v>
      </c>
      <c r="Q156">
        <v>8.1999999999999993</v>
      </c>
    </row>
    <row r="157" spans="3:18" x14ac:dyDescent="0.25">
      <c r="C157" t="s">
        <v>192</v>
      </c>
      <c r="D157" t="s">
        <v>194</v>
      </c>
      <c r="E157">
        <v>2200842</v>
      </c>
      <c r="H157" t="s">
        <v>349</v>
      </c>
      <c r="K157" s="50">
        <v>-16719814.82</v>
      </c>
      <c r="M157" s="50">
        <v>-15190763.91</v>
      </c>
      <c r="O157" s="50">
        <v>-1529050.91</v>
      </c>
      <c r="Q157">
        <v>-10.1</v>
      </c>
    </row>
    <row r="158" spans="3:18" x14ac:dyDescent="0.25">
      <c r="C158" t="s">
        <v>192</v>
      </c>
      <c r="D158" t="s">
        <v>194</v>
      </c>
      <c r="E158">
        <v>2200843</v>
      </c>
      <c r="H158" t="s">
        <v>350</v>
      </c>
      <c r="K158" s="50">
        <v>-5226824.0599999996</v>
      </c>
      <c r="M158" s="50">
        <v>-4942466.18</v>
      </c>
      <c r="O158" s="50">
        <v>-284357.88</v>
      </c>
      <c r="Q158">
        <v>-5.8</v>
      </c>
    </row>
    <row r="159" spans="3:18" x14ac:dyDescent="0.25">
      <c r="C159" t="s">
        <v>192</v>
      </c>
      <c r="D159" t="s">
        <v>194</v>
      </c>
      <c r="E159">
        <v>2200844</v>
      </c>
      <c r="H159" t="s">
        <v>351</v>
      </c>
      <c r="K159" s="50">
        <v>-64360</v>
      </c>
      <c r="M159" s="50">
        <v>-89200</v>
      </c>
      <c r="O159" s="50">
        <v>24840</v>
      </c>
      <c r="Q159">
        <v>27.8</v>
      </c>
    </row>
    <row r="160" spans="3:18" x14ac:dyDescent="0.25">
      <c r="K160" s="50">
        <v>-22089332.25</v>
      </c>
      <c r="M160" s="50">
        <v>-20307790.010000002</v>
      </c>
      <c r="O160" s="50">
        <v>-1781542.24</v>
      </c>
      <c r="Q160">
        <v>-8.8000000000000007</v>
      </c>
      <c r="R160" t="s">
        <v>219</v>
      </c>
    </row>
    <row r="161" spans="3:18" x14ac:dyDescent="0.25">
      <c r="C161" t="s">
        <v>192</v>
      </c>
      <c r="D161" t="s">
        <v>194</v>
      </c>
      <c r="E161">
        <v>2220170</v>
      </c>
      <c r="H161" t="s">
        <v>352</v>
      </c>
      <c r="K161" s="50">
        <v>-14177280</v>
      </c>
      <c r="M161" s="50">
        <v>-14343160</v>
      </c>
      <c r="O161" s="50">
        <v>165880</v>
      </c>
      <c r="Q161">
        <v>1.2</v>
      </c>
    </row>
    <row r="162" spans="3:18" x14ac:dyDescent="0.25">
      <c r="K162" s="50">
        <v>-14177280</v>
      </c>
      <c r="M162" s="50">
        <v>-14343160</v>
      </c>
      <c r="O162" s="50">
        <v>165880</v>
      </c>
      <c r="Q162">
        <v>1.2</v>
      </c>
      <c r="R162" t="s">
        <v>219</v>
      </c>
    </row>
    <row r="163" spans="3:18" x14ac:dyDescent="0.25">
      <c r="C163" t="s">
        <v>192</v>
      </c>
      <c r="D163" t="s">
        <v>194</v>
      </c>
      <c r="E163">
        <v>2240000</v>
      </c>
      <c r="H163" t="s">
        <v>353</v>
      </c>
      <c r="K163">
        <v>0</v>
      </c>
      <c r="M163" s="50">
        <v>-86340000</v>
      </c>
      <c r="O163" s="50">
        <v>86340000</v>
      </c>
      <c r="Q163">
        <v>100</v>
      </c>
    </row>
    <row r="164" spans="3:18" x14ac:dyDescent="0.25">
      <c r="C164" t="s">
        <v>192</v>
      </c>
      <c r="D164" t="s">
        <v>194</v>
      </c>
      <c r="E164">
        <v>2240002</v>
      </c>
      <c r="H164" t="s">
        <v>354</v>
      </c>
      <c r="K164">
        <v>0</v>
      </c>
      <c r="M164">
        <v>417.67</v>
      </c>
      <c r="O164">
        <v>-417.67</v>
      </c>
      <c r="Q164">
        <v>-100</v>
      </c>
    </row>
    <row r="165" spans="3:18" x14ac:dyDescent="0.25">
      <c r="K165">
        <v>0</v>
      </c>
      <c r="M165" s="50">
        <v>-86339582.329999998</v>
      </c>
      <c r="O165" s="50">
        <v>86339582.329999998</v>
      </c>
      <c r="Q165">
        <v>100</v>
      </c>
      <c r="R165" t="s">
        <v>219</v>
      </c>
    </row>
    <row r="166" spans="3:18" x14ac:dyDescent="0.25">
      <c r="C166" t="s">
        <v>192</v>
      </c>
      <c r="D166" t="s">
        <v>194</v>
      </c>
      <c r="E166">
        <v>2220165</v>
      </c>
      <c r="H166" t="s">
        <v>355</v>
      </c>
      <c r="K166" s="50">
        <v>-54400000</v>
      </c>
      <c r="M166" s="50">
        <v>-55257600</v>
      </c>
      <c r="O166" s="50">
        <v>857600</v>
      </c>
      <c r="Q166">
        <v>1.6</v>
      </c>
    </row>
    <row r="167" spans="3:18" x14ac:dyDescent="0.25">
      <c r="K167" s="50">
        <v>-54400000</v>
      </c>
      <c r="M167" s="50">
        <v>-55257600</v>
      </c>
      <c r="O167" s="50">
        <v>857600</v>
      </c>
      <c r="Q167">
        <v>1.6</v>
      </c>
      <c r="R167" t="s">
        <v>219</v>
      </c>
    </row>
    <row r="168" spans="3:18" x14ac:dyDescent="0.25">
      <c r="C168" t="s">
        <v>192</v>
      </c>
      <c r="D168" t="s">
        <v>194</v>
      </c>
      <c r="E168">
        <v>2220167</v>
      </c>
      <c r="H168" t="s">
        <v>356</v>
      </c>
      <c r="K168" s="50">
        <v>-85000000</v>
      </c>
      <c r="M168" s="50">
        <v>-86340000</v>
      </c>
      <c r="O168" s="50">
        <v>1340000</v>
      </c>
      <c r="Q168">
        <v>1.6</v>
      </c>
    </row>
    <row r="169" spans="3:18" x14ac:dyDescent="0.25">
      <c r="C169" t="s">
        <v>192</v>
      </c>
      <c r="D169" t="s">
        <v>194</v>
      </c>
      <c r="E169">
        <v>2220169</v>
      </c>
      <c r="H169" t="s">
        <v>357</v>
      </c>
      <c r="K169" s="50">
        <v>-58368480</v>
      </c>
      <c r="M169" s="50">
        <v>-58859100.170000002</v>
      </c>
      <c r="O169" s="50">
        <v>490620.17</v>
      </c>
      <c r="Q169">
        <v>0.8</v>
      </c>
    </row>
    <row r="170" spans="3:18" x14ac:dyDescent="0.25">
      <c r="K170" s="50">
        <v>-143368480</v>
      </c>
      <c r="M170" s="50">
        <v>-145199100.16999999</v>
      </c>
      <c r="O170" s="50">
        <v>1830620.17</v>
      </c>
      <c r="Q170">
        <v>1.3</v>
      </c>
      <c r="R170" t="s">
        <v>219</v>
      </c>
    </row>
    <row r="171" spans="3:18" x14ac:dyDescent="0.25">
      <c r="C171" t="s">
        <v>192</v>
      </c>
      <c r="D171" t="s">
        <v>194</v>
      </c>
      <c r="E171">
        <v>2220158</v>
      </c>
      <c r="H171" t="s">
        <v>358</v>
      </c>
      <c r="K171" s="50">
        <v>-153000000</v>
      </c>
      <c r="M171" s="50">
        <v>-69072000</v>
      </c>
      <c r="O171" s="50">
        <v>-83928000</v>
      </c>
      <c r="Q171">
        <v>-121.5</v>
      </c>
    </row>
    <row r="172" spans="3:18" x14ac:dyDescent="0.25">
      <c r="K172" s="50">
        <v>-153000000</v>
      </c>
      <c r="M172" s="50">
        <v>-69072000</v>
      </c>
      <c r="O172" s="50">
        <v>-83928000</v>
      </c>
      <c r="Q172">
        <v>-121.5</v>
      </c>
      <c r="R172" t="s">
        <v>219</v>
      </c>
    </row>
    <row r="173" spans="3:18" x14ac:dyDescent="0.25">
      <c r="C173" t="s">
        <v>192</v>
      </c>
      <c r="D173" t="s">
        <v>194</v>
      </c>
      <c r="E173">
        <v>2220175</v>
      </c>
      <c r="H173" t="s">
        <v>359</v>
      </c>
      <c r="K173" s="50">
        <v>-318750000</v>
      </c>
      <c r="M173" s="50">
        <v>-323775000</v>
      </c>
      <c r="O173" s="50">
        <v>5025000</v>
      </c>
      <c r="Q173">
        <v>1.6</v>
      </c>
    </row>
    <row r="174" spans="3:18" x14ac:dyDescent="0.25">
      <c r="C174" t="s">
        <v>192</v>
      </c>
      <c r="D174" t="s">
        <v>194</v>
      </c>
      <c r="E174">
        <v>2220179</v>
      </c>
      <c r="H174" t="s">
        <v>360</v>
      </c>
      <c r="K174" s="50">
        <v>-176800000</v>
      </c>
      <c r="M174" s="50">
        <v>-179587200</v>
      </c>
      <c r="O174" s="50">
        <v>2787200</v>
      </c>
      <c r="Q174">
        <v>1.6</v>
      </c>
    </row>
    <row r="175" spans="3:18" x14ac:dyDescent="0.25">
      <c r="C175" t="s">
        <v>192</v>
      </c>
      <c r="D175" t="s">
        <v>194</v>
      </c>
      <c r="E175">
        <v>2220180</v>
      </c>
      <c r="H175" t="s">
        <v>361</v>
      </c>
      <c r="K175" s="50">
        <v>-199139520</v>
      </c>
      <c r="M175" s="50">
        <v>-200813400</v>
      </c>
      <c r="O175" s="50">
        <v>1673880</v>
      </c>
      <c r="Q175">
        <v>0.8</v>
      </c>
    </row>
    <row r="176" spans="3:18" x14ac:dyDescent="0.25">
      <c r="C176" t="s">
        <v>192</v>
      </c>
      <c r="D176" t="s">
        <v>194</v>
      </c>
      <c r="E176">
        <v>2220500</v>
      </c>
      <c r="H176" t="s">
        <v>362</v>
      </c>
      <c r="K176" s="50">
        <v>-750915</v>
      </c>
      <c r="M176" s="50">
        <v>-527805</v>
      </c>
      <c r="O176" s="50">
        <v>-223110</v>
      </c>
      <c r="Q176">
        <v>-42.3</v>
      </c>
    </row>
    <row r="177" spans="3:18" x14ac:dyDescent="0.25">
      <c r="C177" t="s">
        <v>192</v>
      </c>
      <c r="D177" t="s">
        <v>194</v>
      </c>
      <c r="E177">
        <v>2220501</v>
      </c>
      <c r="H177" t="s">
        <v>363</v>
      </c>
      <c r="K177" s="50">
        <v>175873.45</v>
      </c>
      <c r="M177" s="50">
        <v>190309.15</v>
      </c>
      <c r="O177" s="50">
        <v>-14435.7</v>
      </c>
      <c r="Q177">
        <v>-7.6</v>
      </c>
    </row>
    <row r="178" spans="3:18" x14ac:dyDescent="0.25">
      <c r="E178" t="s">
        <v>364</v>
      </c>
      <c r="K178" s="50">
        <v>-695264561.54999995</v>
      </c>
      <c r="M178" s="50">
        <v>-704513095.85000002</v>
      </c>
      <c r="O178" s="50">
        <v>9248534.3000000007</v>
      </c>
      <c r="Q178">
        <v>1.3</v>
      </c>
      <c r="R178" t="s">
        <v>219</v>
      </c>
    </row>
    <row r="179" spans="3:18" x14ac:dyDescent="0.25">
      <c r="E179" t="s">
        <v>365</v>
      </c>
      <c r="K179" s="50">
        <v>-1181790783.5999999</v>
      </c>
      <c r="M179" s="50">
        <v>-1175032328.3599999</v>
      </c>
      <c r="O179" s="50">
        <v>-6758455.2400000002</v>
      </c>
      <c r="Q179">
        <v>-0.6</v>
      </c>
      <c r="R179" t="s">
        <v>343</v>
      </c>
    </row>
    <row r="181" spans="3:18" x14ac:dyDescent="0.25">
      <c r="E181" t="s">
        <v>366</v>
      </c>
    </row>
    <row r="182" spans="3:18" x14ac:dyDescent="0.25">
      <c r="E182" t="s">
        <v>367</v>
      </c>
    </row>
    <row r="183" spans="3:18" x14ac:dyDescent="0.25">
      <c r="C183" t="s">
        <v>192</v>
      </c>
      <c r="D183" t="s">
        <v>194</v>
      </c>
      <c r="E183">
        <v>2200840</v>
      </c>
      <c r="H183" t="s">
        <v>368</v>
      </c>
      <c r="K183" s="50">
        <v>-1324197500.3499999</v>
      </c>
      <c r="M183" s="50">
        <v>-1324197500.3499999</v>
      </c>
      <c r="O183">
        <v>0</v>
      </c>
    </row>
    <row r="184" spans="3:18" x14ac:dyDescent="0.25">
      <c r="E184" t="s">
        <v>367</v>
      </c>
      <c r="K184" s="50">
        <v>-1324197500.3499999</v>
      </c>
      <c r="M184" s="50">
        <v>-1324197500.3499999</v>
      </c>
      <c r="O184">
        <v>0</v>
      </c>
      <c r="R184" t="s">
        <v>219</v>
      </c>
    </row>
    <row r="185" spans="3:18" x14ac:dyDescent="0.25">
      <c r="C185" t="s">
        <v>192</v>
      </c>
      <c r="D185" t="s">
        <v>194</v>
      </c>
      <c r="E185">
        <v>3380000</v>
      </c>
      <c r="H185" t="s">
        <v>369</v>
      </c>
      <c r="K185" s="50">
        <v>-8301300</v>
      </c>
      <c r="M185" s="50">
        <v>-6528350</v>
      </c>
      <c r="O185" s="50">
        <v>-1772950</v>
      </c>
      <c r="Q185">
        <v>-27.2</v>
      </c>
    </row>
    <row r="186" spans="3:18" x14ac:dyDescent="0.25">
      <c r="C186" t="s">
        <v>192</v>
      </c>
      <c r="D186" t="s">
        <v>194</v>
      </c>
      <c r="E186">
        <v>3380002</v>
      </c>
      <c r="H186" t="s">
        <v>370</v>
      </c>
      <c r="K186" s="50">
        <v>22259633.629999999</v>
      </c>
      <c r="M186" s="50">
        <v>22259633.629999999</v>
      </c>
      <c r="O186">
        <v>0</v>
      </c>
    </row>
    <row r="187" spans="3:18" x14ac:dyDescent="0.25">
      <c r="K187" s="50">
        <v>13958333.630000001</v>
      </c>
      <c r="M187" s="50">
        <v>15731283.630000001</v>
      </c>
      <c r="O187" s="50">
        <v>-1772950</v>
      </c>
      <c r="Q187">
        <v>-11.3</v>
      </c>
      <c r="R187" t="s">
        <v>219</v>
      </c>
    </row>
    <row r="188" spans="3:18" x14ac:dyDescent="0.25">
      <c r="C188" t="s">
        <v>192</v>
      </c>
      <c r="D188" t="s">
        <v>194</v>
      </c>
      <c r="E188">
        <v>399999</v>
      </c>
      <c r="H188" t="s">
        <v>371</v>
      </c>
      <c r="K188" s="50">
        <v>50731560.310000002</v>
      </c>
      <c r="M188" s="50">
        <v>50731560.310000002</v>
      </c>
      <c r="O188">
        <v>0</v>
      </c>
    </row>
    <row r="189" spans="3:18" x14ac:dyDescent="0.25">
      <c r="E189" t="s">
        <v>372</v>
      </c>
      <c r="K189" s="50">
        <v>50731560.310000002</v>
      </c>
      <c r="M189" s="50">
        <v>50731560.310000002</v>
      </c>
      <c r="O189">
        <v>0</v>
      </c>
      <c r="R189" t="s">
        <v>219</v>
      </c>
    </row>
    <row r="190" spans="3:18" x14ac:dyDescent="0.25">
      <c r="E190" t="s">
        <v>373</v>
      </c>
      <c r="K190" s="50">
        <v>-92249851.200000003</v>
      </c>
      <c r="M190" s="50">
        <v>-86115811.359999999</v>
      </c>
      <c r="O190" s="50">
        <v>-6134039.8399999999</v>
      </c>
      <c r="Q190">
        <v>-7.1</v>
      </c>
      <c r="R190" t="s">
        <v>219</v>
      </c>
    </row>
    <row r="191" spans="3:18" x14ac:dyDescent="0.25">
      <c r="E191" t="s">
        <v>374</v>
      </c>
      <c r="K191" s="50">
        <v>-1351757457.6099999</v>
      </c>
      <c r="M191" s="50">
        <v>-1343850467.77</v>
      </c>
      <c r="O191" s="50">
        <v>-7906989.8399999999</v>
      </c>
      <c r="Q191">
        <v>-0.6</v>
      </c>
      <c r="R191" t="s">
        <v>343</v>
      </c>
    </row>
    <row r="193" spans="1:18" x14ac:dyDescent="0.25">
      <c r="E193" t="s">
        <v>375</v>
      </c>
      <c r="K193" s="50">
        <v>-2533548241.21</v>
      </c>
      <c r="M193" s="50">
        <v>-2518882796.1300001</v>
      </c>
      <c r="O193" s="50">
        <v>-14665445.08</v>
      </c>
      <c r="Q193">
        <v>-0.6</v>
      </c>
      <c r="R193" t="s">
        <v>345</v>
      </c>
    </row>
    <row r="196" spans="1:18" x14ac:dyDescent="0.25">
      <c r="A196" t="s">
        <v>917</v>
      </c>
    </row>
    <row r="197" spans="1:18" x14ac:dyDescent="0.25">
      <c r="A197" t="s">
        <v>376</v>
      </c>
    </row>
    <row r="199" spans="1:18" x14ac:dyDescent="0.25">
      <c r="A199" t="s">
        <v>191</v>
      </c>
      <c r="F199" t="s">
        <v>192</v>
      </c>
      <c r="G199" t="s">
        <v>193</v>
      </c>
      <c r="I199" t="s">
        <v>194</v>
      </c>
      <c r="N199" t="s">
        <v>195</v>
      </c>
      <c r="P199" t="s">
        <v>12</v>
      </c>
    </row>
    <row r="201" spans="1:18" x14ac:dyDescent="0.25">
      <c r="B201" t="s">
        <v>196</v>
      </c>
      <c r="C201" t="s">
        <v>197</v>
      </c>
      <c r="D201" t="s">
        <v>198</v>
      </c>
      <c r="E201" t="s">
        <v>199</v>
      </c>
      <c r="J201" t="s">
        <v>200</v>
      </c>
      <c r="L201" t="s">
        <v>201</v>
      </c>
      <c r="O201" t="s">
        <v>202</v>
      </c>
      <c r="Q201" t="s">
        <v>203</v>
      </c>
      <c r="R201" t="s">
        <v>204</v>
      </c>
    </row>
    <row r="202" spans="1:18" x14ac:dyDescent="0.25">
      <c r="B202" t="s">
        <v>205</v>
      </c>
      <c r="C202" t="s">
        <v>206</v>
      </c>
      <c r="D202" t="s">
        <v>207</v>
      </c>
      <c r="J202" t="s">
        <v>208</v>
      </c>
      <c r="L202" t="s">
        <v>209</v>
      </c>
      <c r="O202" t="s">
        <v>210</v>
      </c>
      <c r="Q202" t="s">
        <v>211</v>
      </c>
      <c r="R202" t="s">
        <v>212</v>
      </c>
    </row>
    <row r="204" spans="1:18" x14ac:dyDescent="0.25">
      <c r="E204" t="s">
        <v>377</v>
      </c>
    </row>
    <row r="205" spans="1:18" x14ac:dyDescent="0.25">
      <c r="E205" t="s">
        <v>378</v>
      </c>
    </row>
    <row r="206" spans="1:18" x14ac:dyDescent="0.25">
      <c r="E206" t="s">
        <v>379</v>
      </c>
    </row>
    <row r="207" spans="1:18" x14ac:dyDescent="0.25">
      <c r="E207" t="s">
        <v>380</v>
      </c>
    </row>
    <row r="208" spans="1:18" x14ac:dyDescent="0.25">
      <c r="C208" t="s">
        <v>192</v>
      </c>
      <c r="D208" t="s">
        <v>194</v>
      </c>
      <c r="E208">
        <v>4400112</v>
      </c>
      <c r="H208" t="s">
        <v>381</v>
      </c>
      <c r="K208" s="50">
        <v>-53502.92</v>
      </c>
      <c r="M208" s="50">
        <v>-43519.62</v>
      </c>
      <c r="O208" s="50">
        <v>-9983.2999999999993</v>
      </c>
      <c r="Q208">
        <v>-22.9</v>
      </c>
    </row>
    <row r="209" spans="3:18" x14ac:dyDescent="0.25">
      <c r="K209" s="50">
        <v>-53502.92</v>
      </c>
      <c r="M209" s="50">
        <v>-43519.62</v>
      </c>
      <c r="O209" s="50">
        <v>-9983.2999999999993</v>
      </c>
      <c r="Q209">
        <v>-22.9</v>
      </c>
      <c r="R209" t="s">
        <v>382</v>
      </c>
    </row>
    <row r="210" spans="3:18" x14ac:dyDescent="0.25">
      <c r="E210" t="s">
        <v>383</v>
      </c>
    </row>
    <row r="211" spans="3:18" x14ac:dyDescent="0.25">
      <c r="C211" t="s">
        <v>192</v>
      </c>
      <c r="D211" t="s">
        <v>194</v>
      </c>
      <c r="E211">
        <v>4400100</v>
      </c>
      <c r="H211" t="s">
        <v>384</v>
      </c>
      <c r="K211" s="50">
        <v>-31717799.649999999</v>
      </c>
      <c r="M211" s="50">
        <v>-25426672.100000001</v>
      </c>
      <c r="O211" s="50">
        <v>-6291127.5499999998</v>
      </c>
      <c r="Q211">
        <v>-24.7</v>
      </c>
    </row>
    <row r="212" spans="3:18" x14ac:dyDescent="0.25">
      <c r="C212" t="s">
        <v>192</v>
      </c>
      <c r="D212" t="s">
        <v>194</v>
      </c>
      <c r="E212">
        <v>4400110</v>
      </c>
      <c r="H212" t="s">
        <v>385</v>
      </c>
      <c r="K212" s="50">
        <v>-8581728.6400000006</v>
      </c>
      <c r="M212" s="50">
        <v>-6760018.9000000004</v>
      </c>
      <c r="O212" s="50">
        <v>-1821709.74</v>
      </c>
      <c r="Q212">
        <v>-26.9</v>
      </c>
    </row>
    <row r="213" spans="3:18" x14ac:dyDescent="0.25">
      <c r="C213" t="s">
        <v>192</v>
      </c>
      <c r="D213" t="s">
        <v>194</v>
      </c>
      <c r="E213">
        <v>4400115</v>
      </c>
      <c r="H213" t="s">
        <v>386</v>
      </c>
      <c r="K213" s="50">
        <v>-1174881.6299999999</v>
      </c>
      <c r="M213" s="50">
        <v>-1142873</v>
      </c>
      <c r="O213" s="50">
        <v>-32008.63</v>
      </c>
      <c r="Q213">
        <v>-2.8</v>
      </c>
    </row>
    <row r="214" spans="3:18" x14ac:dyDescent="0.25">
      <c r="C214" t="s">
        <v>192</v>
      </c>
      <c r="D214" t="s">
        <v>194</v>
      </c>
      <c r="E214">
        <v>4400117</v>
      </c>
      <c r="H214" t="s">
        <v>387</v>
      </c>
      <c r="K214" s="50">
        <v>-55620.7</v>
      </c>
      <c r="M214" s="50">
        <v>-58147.32</v>
      </c>
      <c r="O214" s="50">
        <v>2526.62</v>
      </c>
      <c r="Q214">
        <v>4.3</v>
      </c>
    </row>
    <row r="215" spans="3:18" x14ac:dyDescent="0.25">
      <c r="E215" t="s">
        <v>383</v>
      </c>
      <c r="K215" s="50">
        <v>-41530030.619999997</v>
      </c>
      <c r="M215" s="50">
        <v>-33387711.32</v>
      </c>
      <c r="O215" s="50">
        <v>-8142319.2999999998</v>
      </c>
      <c r="Q215">
        <v>-24.4</v>
      </c>
      <c r="R215" t="s">
        <v>382</v>
      </c>
    </row>
    <row r="216" spans="3:18" x14ac:dyDescent="0.25">
      <c r="C216" t="s">
        <v>192</v>
      </c>
      <c r="D216" t="s">
        <v>194</v>
      </c>
      <c r="E216">
        <v>4400103</v>
      </c>
      <c r="H216" t="s">
        <v>388</v>
      </c>
      <c r="K216" s="50">
        <v>-5715324.2400000002</v>
      </c>
      <c r="M216" s="50">
        <v>-4454849.7</v>
      </c>
      <c r="O216" s="50">
        <v>-1260474.54</v>
      </c>
      <c r="Q216">
        <v>-28.3</v>
      </c>
    </row>
    <row r="217" spans="3:18" x14ac:dyDescent="0.25">
      <c r="C217" t="s">
        <v>192</v>
      </c>
      <c r="D217" t="s">
        <v>194</v>
      </c>
      <c r="E217">
        <v>4400113</v>
      </c>
      <c r="H217" t="s">
        <v>389</v>
      </c>
      <c r="K217" s="50">
        <v>-8630197.8699999992</v>
      </c>
      <c r="M217" s="50">
        <v>-6680454.4500000002</v>
      </c>
      <c r="O217" s="50">
        <v>-1949743.42</v>
      </c>
      <c r="Q217">
        <v>-29.2</v>
      </c>
    </row>
    <row r="218" spans="3:18" x14ac:dyDescent="0.25">
      <c r="K218" s="50">
        <v>-14345522.109999999</v>
      </c>
      <c r="M218" s="50">
        <v>-11135304.15</v>
      </c>
      <c r="O218" s="50">
        <v>-3210217.96</v>
      </c>
      <c r="Q218">
        <v>-28.8</v>
      </c>
      <c r="R218" t="s">
        <v>382</v>
      </c>
    </row>
    <row r="219" spans="3:18" x14ac:dyDescent="0.25">
      <c r="C219" t="s">
        <v>192</v>
      </c>
      <c r="D219" t="s">
        <v>194</v>
      </c>
      <c r="E219">
        <v>4400201</v>
      </c>
      <c r="H219" t="s">
        <v>390</v>
      </c>
      <c r="K219" s="50">
        <v>-414346.1</v>
      </c>
      <c r="M219" s="50">
        <v>-334802.71000000002</v>
      </c>
      <c r="O219" s="50">
        <v>-79543.39</v>
      </c>
      <c r="Q219">
        <v>-23.8</v>
      </c>
    </row>
    <row r="220" spans="3:18" x14ac:dyDescent="0.25">
      <c r="E220" t="s">
        <v>391</v>
      </c>
      <c r="K220" s="50">
        <v>-414346.1</v>
      </c>
      <c r="M220" s="50">
        <v>-334802.71000000002</v>
      </c>
      <c r="O220" s="50">
        <v>-79543.39</v>
      </c>
      <c r="Q220">
        <v>-23.8</v>
      </c>
      <c r="R220" t="s">
        <v>382</v>
      </c>
    </row>
    <row r="221" spans="3:18" x14ac:dyDescent="0.25">
      <c r="E221" t="s">
        <v>392</v>
      </c>
      <c r="K221" s="50">
        <v>-56343401.75</v>
      </c>
      <c r="M221" s="50">
        <v>-44901337.799999997</v>
      </c>
      <c r="O221" s="50">
        <v>-11442063.949999999</v>
      </c>
      <c r="Q221">
        <v>-25.5</v>
      </c>
      <c r="R221" t="s">
        <v>393</v>
      </c>
    </row>
    <row r="222" spans="3:18" x14ac:dyDescent="0.25">
      <c r="C222" t="s">
        <v>192</v>
      </c>
      <c r="D222" t="s">
        <v>194</v>
      </c>
      <c r="E222">
        <v>4400301</v>
      </c>
      <c r="H222" t="s">
        <v>394</v>
      </c>
      <c r="K222" s="50">
        <v>-185203.22</v>
      </c>
      <c r="M222" s="50">
        <v>-160818.89000000001</v>
      </c>
      <c r="O222" s="50">
        <v>-24384.33</v>
      </c>
      <c r="Q222">
        <v>-15.2</v>
      </c>
    </row>
    <row r="223" spans="3:18" x14ac:dyDescent="0.25">
      <c r="C223" t="s">
        <v>192</v>
      </c>
      <c r="D223" t="s">
        <v>194</v>
      </c>
      <c r="E223">
        <v>4400302</v>
      </c>
      <c r="H223" t="s">
        <v>395</v>
      </c>
      <c r="K223" s="50">
        <v>-18014.689999999999</v>
      </c>
      <c r="M223" s="50">
        <v>-12417.87</v>
      </c>
      <c r="O223" s="50">
        <v>-5596.82</v>
      </c>
      <c r="Q223">
        <v>-45.1</v>
      </c>
    </row>
    <row r="224" spans="3:18" x14ac:dyDescent="0.25">
      <c r="K224" s="50">
        <v>-203217.91</v>
      </c>
      <c r="M224" s="50">
        <v>-173236.76</v>
      </c>
      <c r="O224" s="50">
        <v>-29981.15</v>
      </c>
      <c r="Q224">
        <v>-17.3</v>
      </c>
      <c r="R224" t="s">
        <v>382</v>
      </c>
    </row>
    <row r="225" spans="3:18" x14ac:dyDescent="0.25">
      <c r="E225" t="s">
        <v>396</v>
      </c>
      <c r="K225" s="50">
        <v>-203217.91</v>
      </c>
      <c r="M225" s="50">
        <v>-173236.76</v>
      </c>
      <c r="O225" s="50">
        <v>-29981.15</v>
      </c>
      <c r="Q225">
        <v>-17.3</v>
      </c>
      <c r="R225" t="s">
        <v>393</v>
      </c>
    </row>
    <row r="226" spans="3:18" x14ac:dyDescent="0.25">
      <c r="E226" t="s">
        <v>397</v>
      </c>
    </row>
    <row r="227" spans="3:18" x14ac:dyDescent="0.25">
      <c r="C227" t="s">
        <v>192</v>
      </c>
      <c r="D227" t="s">
        <v>194</v>
      </c>
      <c r="E227">
        <v>4410104</v>
      </c>
      <c r="H227" t="s">
        <v>398</v>
      </c>
      <c r="K227" s="50">
        <v>-3447188.79</v>
      </c>
      <c r="M227" s="50">
        <v>-3441290.96</v>
      </c>
      <c r="O227" s="50">
        <v>-5897.83</v>
      </c>
      <c r="Q227">
        <v>-0.2</v>
      </c>
    </row>
    <row r="228" spans="3:18" x14ac:dyDescent="0.25">
      <c r="K228" s="50">
        <v>-3447188.79</v>
      </c>
      <c r="M228" s="50">
        <v>-3441290.96</v>
      </c>
      <c r="O228" s="50">
        <v>-5897.83</v>
      </c>
      <c r="Q228">
        <v>-0.2</v>
      </c>
      <c r="R228" t="s">
        <v>382</v>
      </c>
    </row>
    <row r="229" spans="3:18" x14ac:dyDescent="0.25">
      <c r="C229" t="s">
        <v>192</v>
      </c>
      <c r="D229" t="s">
        <v>194</v>
      </c>
      <c r="E229">
        <v>4410101</v>
      </c>
      <c r="H229" t="s">
        <v>399</v>
      </c>
      <c r="K229" s="50">
        <v>-1306725.1599999999</v>
      </c>
      <c r="M229" s="50">
        <v>-1177168.01</v>
      </c>
      <c r="O229" s="50">
        <v>-129557.15</v>
      </c>
      <c r="Q229">
        <v>-11</v>
      </c>
    </row>
    <row r="230" spans="3:18" x14ac:dyDescent="0.25">
      <c r="C230" t="s">
        <v>192</v>
      </c>
      <c r="D230" t="s">
        <v>194</v>
      </c>
      <c r="E230">
        <v>4410106</v>
      </c>
      <c r="H230" t="s">
        <v>400</v>
      </c>
      <c r="K230" s="50">
        <v>-479056.06</v>
      </c>
      <c r="M230" s="50">
        <v>-246465.53</v>
      </c>
      <c r="O230" s="50">
        <v>-232590.53</v>
      </c>
      <c r="Q230">
        <v>-94.4</v>
      </c>
    </row>
    <row r="231" spans="3:18" x14ac:dyDescent="0.25">
      <c r="C231" t="s">
        <v>192</v>
      </c>
      <c r="D231" t="s">
        <v>194</v>
      </c>
      <c r="E231">
        <v>4410107</v>
      </c>
      <c r="H231" t="s">
        <v>401</v>
      </c>
      <c r="K231" s="50">
        <v>-60474.22</v>
      </c>
      <c r="M231" s="50">
        <v>-48721.3</v>
      </c>
      <c r="O231" s="50">
        <v>-11752.92</v>
      </c>
      <c r="Q231">
        <v>-24.1</v>
      </c>
    </row>
    <row r="232" spans="3:18" x14ac:dyDescent="0.25">
      <c r="E232" t="s">
        <v>402</v>
      </c>
      <c r="K232" s="50">
        <v>-1846255.44</v>
      </c>
      <c r="M232" s="50">
        <v>-1472354.84</v>
      </c>
      <c r="O232" s="50">
        <v>-373900.6</v>
      </c>
      <c r="Q232">
        <v>-25.4</v>
      </c>
      <c r="R232" t="s">
        <v>382</v>
      </c>
    </row>
    <row r="233" spans="3:18" x14ac:dyDescent="0.25">
      <c r="C233" t="s">
        <v>192</v>
      </c>
      <c r="D233" t="s">
        <v>194</v>
      </c>
      <c r="E233">
        <v>4410702</v>
      </c>
      <c r="H233" t="s">
        <v>403</v>
      </c>
      <c r="K233" s="50">
        <v>-2041883.45</v>
      </c>
      <c r="M233" s="50">
        <v>-1892721.12</v>
      </c>
      <c r="O233" s="50">
        <v>-149162.32999999999</v>
      </c>
      <c r="Q233">
        <v>-7.9</v>
      </c>
    </row>
    <row r="234" spans="3:18" x14ac:dyDescent="0.25">
      <c r="E234" t="s">
        <v>404</v>
      </c>
      <c r="K234" s="50">
        <v>-2041883.45</v>
      </c>
      <c r="M234" s="50">
        <v>-1892721.12</v>
      </c>
      <c r="O234" s="50">
        <v>-149162.32999999999</v>
      </c>
      <c r="Q234">
        <v>-7.9</v>
      </c>
      <c r="R234" t="s">
        <v>382</v>
      </c>
    </row>
    <row r="235" spans="3:18" x14ac:dyDescent="0.25">
      <c r="C235" t="s">
        <v>192</v>
      </c>
      <c r="D235" t="s">
        <v>194</v>
      </c>
      <c r="E235">
        <v>4410200</v>
      </c>
      <c r="H235" t="s">
        <v>405</v>
      </c>
      <c r="K235" s="50">
        <v>-23100</v>
      </c>
      <c r="M235" s="50">
        <v>-20750</v>
      </c>
      <c r="O235" s="50">
        <v>-2350</v>
      </c>
      <c r="Q235">
        <v>-11.3</v>
      </c>
    </row>
    <row r="236" spans="3:18" x14ac:dyDescent="0.25">
      <c r="C236" t="s">
        <v>192</v>
      </c>
      <c r="D236" t="s">
        <v>194</v>
      </c>
      <c r="E236">
        <v>4410201</v>
      </c>
      <c r="H236" t="s">
        <v>406</v>
      </c>
      <c r="K236">
        <v>-700</v>
      </c>
      <c r="M236">
        <v>-700</v>
      </c>
      <c r="O236">
        <v>0</v>
      </c>
    </row>
    <row r="237" spans="3:18" x14ac:dyDescent="0.25">
      <c r="E237" t="s">
        <v>407</v>
      </c>
      <c r="K237" s="50">
        <v>-23800</v>
      </c>
      <c r="M237" s="50">
        <v>-21450</v>
      </c>
      <c r="O237" s="50">
        <v>-2350</v>
      </c>
      <c r="Q237">
        <v>-11</v>
      </c>
      <c r="R237" t="s">
        <v>382</v>
      </c>
    </row>
    <row r="238" spans="3:18" x14ac:dyDescent="0.25">
      <c r="C238" t="s">
        <v>192</v>
      </c>
      <c r="D238" t="s">
        <v>194</v>
      </c>
      <c r="E238">
        <v>4410300</v>
      </c>
      <c r="H238" t="s">
        <v>408</v>
      </c>
      <c r="K238" s="50">
        <v>-14900</v>
      </c>
      <c r="M238" s="50">
        <v>-10750</v>
      </c>
      <c r="O238" s="50">
        <v>-4150</v>
      </c>
      <c r="Q238">
        <v>-38.6</v>
      </c>
    </row>
    <row r="239" spans="3:18" x14ac:dyDescent="0.25">
      <c r="E239" t="s">
        <v>409</v>
      </c>
      <c r="K239" s="50">
        <v>-14900</v>
      </c>
      <c r="M239" s="50">
        <v>-10750</v>
      </c>
      <c r="O239" s="50">
        <v>-4150</v>
      </c>
      <c r="Q239">
        <v>-38.6</v>
      </c>
      <c r="R239" t="s">
        <v>382</v>
      </c>
    </row>
    <row r="240" spans="3:18" x14ac:dyDescent="0.25">
      <c r="E240" t="s">
        <v>410</v>
      </c>
      <c r="K240" s="50">
        <v>-7374027.6799999997</v>
      </c>
      <c r="M240" s="50">
        <v>-6838566.9199999999</v>
      </c>
      <c r="O240" s="50">
        <v>-535460.76</v>
      </c>
      <c r="Q240">
        <v>-7.8</v>
      </c>
      <c r="R240" t="s">
        <v>393</v>
      </c>
    </row>
    <row r="241" spans="3:18" x14ac:dyDescent="0.25">
      <c r="E241" t="s">
        <v>411</v>
      </c>
    </row>
    <row r="242" spans="3:18" x14ac:dyDescent="0.25">
      <c r="C242" t="s">
        <v>192</v>
      </c>
      <c r="D242" t="s">
        <v>194</v>
      </c>
      <c r="E242">
        <v>4420700</v>
      </c>
      <c r="H242" t="s">
        <v>412</v>
      </c>
      <c r="K242" s="50">
        <v>-5763837.6900000004</v>
      </c>
      <c r="M242" s="50">
        <v>-4970389.38</v>
      </c>
      <c r="O242" s="50">
        <v>-793448.31</v>
      </c>
      <c r="Q242">
        <v>-16</v>
      </c>
    </row>
    <row r="243" spans="3:18" x14ac:dyDescent="0.25">
      <c r="E243" t="s">
        <v>413</v>
      </c>
      <c r="K243" s="50">
        <v>-5763837.6900000004</v>
      </c>
      <c r="M243" s="50">
        <v>-4970389.38</v>
      </c>
      <c r="O243" s="50">
        <v>-793448.31</v>
      </c>
      <c r="Q243">
        <v>-16</v>
      </c>
      <c r="R243" t="s">
        <v>382</v>
      </c>
    </row>
    <row r="244" spans="3:18" x14ac:dyDescent="0.25">
      <c r="E244" t="s">
        <v>414</v>
      </c>
      <c r="K244" s="50">
        <v>-5763837.6900000004</v>
      </c>
      <c r="M244" s="50">
        <v>-4970389.38</v>
      </c>
      <c r="O244" s="50">
        <v>-793448.31</v>
      </c>
      <c r="Q244">
        <v>-16</v>
      </c>
      <c r="R244" t="s">
        <v>393</v>
      </c>
    </row>
    <row r="245" spans="3:18" x14ac:dyDescent="0.25">
      <c r="E245" t="s">
        <v>415</v>
      </c>
      <c r="K245" s="50">
        <v>-69684485.030000001</v>
      </c>
      <c r="M245" s="50">
        <v>-56883530.859999999</v>
      </c>
      <c r="O245" s="50">
        <v>-12800954.17</v>
      </c>
      <c r="Q245">
        <v>-22.5</v>
      </c>
      <c r="R245" t="s">
        <v>223</v>
      </c>
    </row>
    <row r="246" spans="3:18" x14ac:dyDescent="0.25">
      <c r="E246" t="s">
        <v>416</v>
      </c>
      <c r="K246" s="50">
        <v>-69684485.030000001</v>
      </c>
      <c r="M246" s="50">
        <v>-56883530.859999999</v>
      </c>
      <c r="O246" s="50">
        <v>-12800954.17</v>
      </c>
      <c r="Q246">
        <v>-22.5</v>
      </c>
      <c r="R246" t="s">
        <v>219</v>
      </c>
    </row>
    <row r="247" spans="3:18" x14ac:dyDescent="0.25">
      <c r="E247" t="s">
        <v>417</v>
      </c>
    </row>
    <row r="248" spans="3:18" x14ac:dyDescent="0.25">
      <c r="C248" t="s">
        <v>192</v>
      </c>
      <c r="D248" t="s">
        <v>194</v>
      </c>
      <c r="E248">
        <v>4420208</v>
      </c>
      <c r="H248" t="s">
        <v>418</v>
      </c>
      <c r="K248" s="50">
        <v>-6324847.9900000002</v>
      </c>
      <c r="M248" s="50">
        <v>-4929721.41</v>
      </c>
      <c r="O248" s="50">
        <v>-1395126.58</v>
      </c>
      <c r="Q248">
        <v>-28.3</v>
      </c>
    </row>
    <row r="249" spans="3:18" x14ac:dyDescent="0.25">
      <c r="C249" t="s">
        <v>192</v>
      </c>
      <c r="D249" t="s">
        <v>194</v>
      </c>
      <c r="E249">
        <v>4420214</v>
      </c>
      <c r="H249" t="s">
        <v>419</v>
      </c>
      <c r="K249" s="50">
        <v>-47533.94</v>
      </c>
      <c r="M249" s="50">
        <v>-47533.94</v>
      </c>
      <c r="O249">
        <v>0</v>
      </c>
    </row>
    <row r="250" spans="3:18" x14ac:dyDescent="0.25">
      <c r="C250" t="s">
        <v>192</v>
      </c>
      <c r="D250" t="s">
        <v>194</v>
      </c>
      <c r="E250">
        <v>4420215</v>
      </c>
      <c r="H250" t="s">
        <v>420</v>
      </c>
      <c r="K250" s="50">
        <v>-43177.52</v>
      </c>
      <c r="M250" s="50">
        <v>-43177.52</v>
      </c>
      <c r="O250">
        <v>0</v>
      </c>
    </row>
    <row r="251" spans="3:18" x14ac:dyDescent="0.25">
      <c r="C251" t="s">
        <v>192</v>
      </c>
      <c r="D251" t="s">
        <v>194</v>
      </c>
      <c r="E251">
        <v>4420217</v>
      </c>
      <c r="H251" t="s">
        <v>421</v>
      </c>
      <c r="K251" s="50">
        <v>-284949.31</v>
      </c>
      <c r="M251" s="50">
        <v>-284949.31</v>
      </c>
      <c r="O251">
        <v>0</v>
      </c>
    </row>
    <row r="252" spans="3:18" x14ac:dyDescent="0.25">
      <c r="C252" t="s">
        <v>192</v>
      </c>
      <c r="D252" t="s">
        <v>194</v>
      </c>
      <c r="E252">
        <v>4420218</v>
      </c>
      <c r="H252" t="s">
        <v>422</v>
      </c>
      <c r="K252" s="50">
        <v>-18627.400000000001</v>
      </c>
      <c r="M252" s="50">
        <v>-18627.400000000001</v>
      </c>
      <c r="O252">
        <v>0</v>
      </c>
    </row>
    <row r="253" spans="3:18" x14ac:dyDescent="0.25">
      <c r="C253" t="s">
        <v>192</v>
      </c>
      <c r="D253" t="s">
        <v>194</v>
      </c>
      <c r="E253">
        <v>4420221</v>
      </c>
      <c r="H253" t="s">
        <v>423</v>
      </c>
      <c r="K253" s="50">
        <v>-2063240.56</v>
      </c>
      <c r="M253" s="50">
        <v>-1623573.52</v>
      </c>
      <c r="O253" s="50">
        <v>-439667.04</v>
      </c>
      <c r="Q253">
        <v>-27.1</v>
      </c>
    </row>
    <row r="254" spans="3:18" x14ac:dyDescent="0.25">
      <c r="C254" t="s">
        <v>192</v>
      </c>
      <c r="D254" t="s">
        <v>194</v>
      </c>
      <c r="E254">
        <v>4420222</v>
      </c>
      <c r="H254" t="s">
        <v>424</v>
      </c>
      <c r="K254" s="50">
        <v>-203575.41</v>
      </c>
      <c r="M254" s="50">
        <v>-143338.23999999999</v>
      </c>
      <c r="O254" s="50">
        <v>-60237.17</v>
      </c>
      <c r="Q254">
        <v>-42</v>
      </c>
    </row>
    <row r="255" spans="3:18" x14ac:dyDescent="0.25">
      <c r="C255" t="s">
        <v>192</v>
      </c>
      <c r="D255" t="s">
        <v>194</v>
      </c>
      <c r="E255">
        <v>4420223</v>
      </c>
      <c r="H255" t="s">
        <v>425</v>
      </c>
      <c r="K255" s="50">
        <v>-83269.39</v>
      </c>
      <c r="M255" s="50">
        <v>-57335.4</v>
      </c>
      <c r="O255" s="50">
        <v>-25933.99</v>
      </c>
      <c r="Q255">
        <v>-45.2</v>
      </c>
    </row>
    <row r="256" spans="3:18" x14ac:dyDescent="0.25">
      <c r="C256" t="s">
        <v>192</v>
      </c>
      <c r="D256" t="s">
        <v>194</v>
      </c>
      <c r="E256">
        <v>4420224</v>
      </c>
      <c r="H256" t="s">
        <v>426</v>
      </c>
      <c r="K256" s="50">
        <v>-138560.23000000001</v>
      </c>
      <c r="M256" s="50">
        <v>-85114</v>
      </c>
      <c r="O256" s="50">
        <v>-53446.23</v>
      </c>
      <c r="Q256">
        <v>-62.8</v>
      </c>
    </row>
    <row r="257" spans="3:18" x14ac:dyDescent="0.25">
      <c r="C257" t="s">
        <v>192</v>
      </c>
      <c r="D257" t="s">
        <v>194</v>
      </c>
      <c r="E257">
        <v>4420402</v>
      </c>
      <c r="H257" t="s">
        <v>427</v>
      </c>
      <c r="K257" s="50">
        <v>303825.21000000002</v>
      </c>
      <c r="M257" s="50">
        <v>239214.55</v>
      </c>
      <c r="O257" s="50">
        <v>64610.66</v>
      </c>
      <c r="Q257">
        <v>27</v>
      </c>
    </row>
    <row r="258" spans="3:18" x14ac:dyDescent="0.25">
      <c r="C258" t="s">
        <v>192</v>
      </c>
      <c r="D258" t="s">
        <v>194</v>
      </c>
      <c r="E258">
        <v>4420706</v>
      </c>
      <c r="H258" t="s">
        <v>428</v>
      </c>
      <c r="K258" s="50">
        <v>-6428.28</v>
      </c>
      <c r="M258" s="50">
        <v>-4799.3900000000003</v>
      </c>
      <c r="O258" s="50">
        <v>-1628.89</v>
      </c>
      <c r="Q258">
        <v>-33.9</v>
      </c>
    </row>
    <row r="259" spans="3:18" x14ac:dyDescent="0.25">
      <c r="E259" t="s">
        <v>256</v>
      </c>
      <c r="K259" s="50">
        <v>-8910384.8200000003</v>
      </c>
      <c r="M259" s="50">
        <v>-6998955.5800000001</v>
      </c>
      <c r="O259" s="50">
        <v>-1911429.24</v>
      </c>
      <c r="Q259">
        <v>-27.3</v>
      </c>
      <c r="R259" t="s">
        <v>223</v>
      </c>
    </row>
    <row r="260" spans="3:18" x14ac:dyDescent="0.25">
      <c r="C260" t="s">
        <v>192</v>
      </c>
      <c r="D260" t="s">
        <v>194</v>
      </c>
      <c r="E260">
        <v>4420600</v>
      </c>
      <c r="H260" t="s">
        <v>429</v>
      </c>
      <c r="K260" s="50">
        <v>455522.02</v>
      </c>
      <c r="M260" s="50">
        <v>455522.02</v>
      </c>
      <c r="O260">
        <v>0</v>
      </c>
    </row>
    <row r="261" spans="3:18" x14ac:dyDescent="0.25">
      <c r="E261" t="s">
        <v>430</v>
      </c>
      <c r="K261" s="50">
        <v>455522.02</v>
      </c>
      <c r="M261" s="50">
        <v>455522.02</v>
      </c>
      <c r="O261">
        <v>0</v>
      </c>
      <c r="R261" t="s">
        <v>223</v>
      </c>
    </row>
    <row r="262" spans="3:18" x14ac:dyDescent="0.25">
      <c r="C262" t="s">
        <v>192</v>
      </c>
      <c r="D262" t="s">
        <v>194</v>
      </c>
      <c r="E262">
        <v>4420201</v>
      </c>
      <c r="H262" t="s">
        <v>431</v>
      </c>
      <c r="K262" s="50">
        <v>-5717828.7800000003</v>
      </c>
      <c r="M262" s="50">
        <v>-4849570.25</v>
      </c>
      <c r="O262" s="50">
        <v>-868258.53</v>
      </c>
      <c r="Q262">
        <v>-17.899999999999999</v>
      </c>
    </row>
    <row r="263" spans="3:18" x14ac:dyDescent="0.25">
      <c r="C263" t="s">
        <v>192</v>
      </c>
      <c r="D263" t="s">
        <v>194</v>
      </c>
      <c r="E263">
        <v>4420203</v>
      </c>
      <c r="H263" t="s">
        <v>432</v>
      </c>
      <c r="K263" s="50">
        <v>-3506505.96</v>
      </c>
      <c r="M263" s="50">
        <v>-2559198.37</v>
      </c>
      <c r="O263" s="50">
        <v>-947307.59</v>
      </c>
      <c r="Q263">
        <v>-37</v>
      </c>
    </row>
    <row r="264" spans="3:18" x14ac:dyDescent="0.25">
      <c r="E264" t="s">
        <v>433</v>
      </c>
      <c r="K264" s="50">
        <v>-9224334.7400000002</v>
      </c>
      <c r="M264" s="50">
        <v>-7408768.6200000001</v>
      </c>
      <c r="O264" s="50">
        <v>-1815566.12</v>
      </c>
      <c r="Q264">
        <v>-24.5</v>
      </c>
      <c r="R264" t="s">
        <v>223</v>
      </c>
    </row>
    <row r="265" spans="3:18" x14ac:dyDescent="0.25">
      <c r="C265" t="s">
        <v>192</v>
      </c>
      <c r="D265" t="s">
        <v>194</v>
      </c>
      <c r="E265">
        <v>5500112</v>
      </c>
      <c r="H265" t="s">
        <v>434</v>
      </c>
      <c r="K265" s="50">
        <v>5547348.6399999997</v>
      </c>
      <c r="M265" s="50">
        <v>4380334.05</v>
      </c>
      <c r="O265" s="50">
        <v>1167014.5900000001</v>
      </c>
      <c r="Q265">
        <v>26.6</v>
      </c>
    </row>
    <row r="266" spans="3:18" x14ac:dyDescent="0.25">
      <c r="E266" t="s">
        <v>435</v>
      </c>
      <c r="K266" s="50">
        <v>5547348.6399999997</v>
      </c>
      <c r="M266" s="50">
        <v>4380334.05</v>
      </c>
      <c r="O266" s="50">
        <v>1167014.5900000001</v>
      </c>
      <c r="Q266">
        <v>26.6</v>
      </c>
      <c r="R266" t="s">
        <v>223</v>
      </c>
    </row>
    <row r="267" spans="3:18" x14ac:dyDescent="0.25">
      <c r="E267" t="s">
        <v>436</v>
      </c>
      <c r="K267" s="50">
        <v>-12131848.9</v>
      </c>
      <c r="M267" s="50">
        <v>-9571868.1300000008</v>
      </c>
      <c r="O267" s="50">
        <v>-2559980.77</v>
      </c>
      <c r="Q267">
        <v>-26.7</v>
      </c>
      <c r="R267" t="s">
        <v>219</v>
      </c>
    </row>
    <row r="268" spans="3:18" x14ac:dyDescent="0.25">
      <c r="E268" t="s">
        <v>437</v>
      </c>
    </row>
    <row r="269" spans="3:18" x14ac:dyDescent="0.25">
      <c r="C269" t="s">
        <v>192</v>
      </c>
      <c r="D269" t="s">
        <v>194</v>
      </c>
      <c r="E269">
        <v>5510148</v>
      </c>
      <c r="H269" t="s">
        <v>438</v>
      </c>
      <c r="K269" s="50">
        <v>228000</v>
      </c>
      <c r="M269">
        <v>0</v>
      </c>
      <c r="O269" s="50">
        <v>228000</v>
      </c>
    </row>
    <row r="270" spans="3:18" x14ac:dyDescent="0.25">
      <c r="E270" t="s">
        <v>437</v>
      </c>
      <c r="K270" s="50">
        <v>228000</v>
      </c>
      <c r="M270">
        <v>0</v>
      </c>
      <c r="O270" s="50">
        <v>228000</v>
      </c>
      <c r="R270" t="s">
        <v>223</v>
      </c>
    </row>
    <row r="271" spans="3:18" x14ac:dyDescent="0.25">
      <c r="C271" t="s">
        <v>192</v>
      </c>
      <c r="D271" t="s">
        <v>194</v>
      </c>
      <c r="E271">
        <v>5510204</v>
      </c>
      <c r="H271" t="s">
        <v>439</v>
      </c>
      <c r="K271" s="50">
        <v>1107</v>
      </c>
      <c r="M271" s="50">
        <v>1107</v>
      </c>
      <c r="O271">
        <v>0</v>
      </c>
    </row>
    <row r="272" spans="3:18" x14ac:dyDescent="0.25">
      <c r="C272" t="s">
        <v>192</v>
      </c>
      <c r="D272" t="s">
        <v>194</v>
      </c>
      <c r="E272">
        <v>5510604</v>
      </c>
      <c r="H272" t="s">
        <v>440</v>
      </c>
      <c r="K272" s="50">
        <v>25581.41</v>
      </c>
      <c r="M272" s="50">
        <v>2676.02</v>
      </c>
      <c r="O272" s="50">
        <v>22905.39</v>
      </c>
      <c r="Q272">
        <v>855.9</v>
      </c>
    </row>
    <row r="273" spans="3:18" x14ac:dyDescent="0.25">
      <c r="C273" t="s">
        <v>192</v>
      </c>
      <c r="D273" t="s">
        <v>194</v>
      </c>
      <c r="E273">
        <v>5511200</v>
      </c>
      <c r="H273" t="s">
        <v>441</v>
      </c>
      <c r="K273" s="50">
        <v>20544.77</v>
      </c>
      <c r="M273" s="50">
        <v>20173.18</v>
      </c>
      <c r="O273">
        <v>371.59</v>
      </c>
      <c r="Q273">
        <v>1.8</v>
      </c>
    </row>
    <row r="274" spans="3:18" x14ac:dyDescent="0.25">
      <c r="E274" t="s">
        <v>442</v>
      </c>
      <c r="K274" s="50">
        <v>47233.18</v>
      </c>
      <c r="M274" s="50">
        <v>23956.2</v>
      </c>
      <c r="O274" s="50">
        <v>23276.98</v>
      </c>
      <c r="Q274">
        <v>97.2</v>
      </c>
      <c r="R274" t="s">
        <v>223</v>
      </c>
    </row>
    <row r="275" spans="3:18" x14ac:dyDescent="0.25">
      <c r="C275" t="s">
        <v>192</v>
      </c>
      <c r="D275" t="s">
        <v>194</v>
      </c>
      <c r="E275">
        <v>5510107</v>
      </c>
      <c r="H275" t="s">
        <v>443</v>
      </c>
      <c r="K275" s="50">
        <v>18892.34</v>
      </c>
      <c r="M275" s="50">
        <v>15354</v>
      </c>
      <c r="O275" s="50">
        <v>3538.34</v>
      </c>
      <c r="Q275">
        <v>23</v>
      </c>
    </row>
    <row r="276" spans="3:18" x14ac:dyDescent="0.25">
      <c r="C276" t="s">
        <v>192</v>
      </c>
      <c r="D276" t="s">
        <v>194</v>
      </c>
      <c r="E276">
        <v>5510110</v>
      </c>
      <c r="H276" t="s">
        <v>444</v>
      </c>
      <c r="K276" s="50">
        <v>3044</v>
      </c>
      <c r="M276" s="50">
        <v>3044</v>
      </c>
      <c r="O276">
        <v>0</v>
      </c>
    </row>
    <row r="277" spans="3:18" x14ac:dyDescent="0.25">
      <c r="C277" t="s">
        <v>192</v>
      </c>
      <c r="D277" t="s">
        <v>194</v>
      </c>
      <c r="E277">
        <v>5510119</v>
      </c>
      <c r="H277" t="s">
        <v>445</v>
      </c>
      <c r="K277" s="50">
        <v>193000</v>
      </c>
      <c r="M277" s="50">
        <v>157500</v>
      </c>
      <c r="O277" s="50">
        <v>35500</v>
      </c>
      <c r="Q277">
        <v>22.5</v>
      </c>
    </row>
    <row r="278" spans="3:18" x14ac:dyDescent="0.25">
      <c r="C278" t="s">
        <v>192</v>
      </c>
      <c r="D278" t="s">
        <v>194</v>
      </c>
      <c r="E278">
        <v>5510407</v>
      </c>
      <c r="H278" t="s">
        <v>446</v>
      </c>
      <c r="K278" s="50">
        <v>2894.87</v>
      </c>
      <c r="M278" s="50">
        <v>2273.6</v>
      </c>
      <c r="O278">
        <v>621.27</v>
      </c>
      <c r="Q278">
        <v>27.3</v>
      </c>
    </row>
    <row r="279" spans="3:18" x14ac:dyDescent="0.25">
      <c r="C279" t="s">
        <v>192</v>
      </c>
      <c r="D279" t="s">
        <v>194</v>
      </c>
      <c r="E279">
        <v>5510507</v>
      </c>
      <c r="H279" t="s">
        <v>447</v>
      </c>
      <c r="K279" s="50">
        <v>2130</v>
      </c>
      <c r="M279" s="50">
        <v>1570</v>
      </c>
      <c r="O279">
        <v>560</v>
      </c>
      <c r="Q279">
        <v>35.700000000000003</v>
      </c>
    </row>
    <row r="280" spans="3:18" x14ac:dyDescent="0.25">
      <c r="C280" t="s">
        <v>192</v>
      </c>
      <c r="D280" t="s">
        <v>194</v>
      </c>
      <c r="E280">
        <v>5510510</v>
      </c>
      <c r="H280" t="s">
        <v>448</v>
      </c>
      <c r="K280" s="50">
        <v>18647.900000000001</v>
      </c>
      <c r="M280" s="50">
        <v>14918.32</v>
      </c>
      <c r="O280" s="50">
        <v>3729.58</v>
      </c>
      <c r="Q280">
        <v>25</v>
      </c>
    </row>
    <row r="281" spans="3:18" x14ac:dyDescent="0.25">
      <c r="K281" s="50">
        <v>238609.11</v>
      </c>
      <c r="M281" s="50">
        <v>194659.92</v>
      </c>
      <c r="O281" s="50">
        <v>43949.19</v>
      </c>
      <c r="Q281">
        <v>22.6</v>
      </c>
      <c r="R281" t="s">
        <v>223</v>
      </c>
    </row>
    <row r="282" spans="3:18" x14ac:dyDescent="0.25">
      <c r="C282" t="s">
        <v>192</v>
      </c>
      <c r="D282" t="s">
        <v>194</v>
      </c>
      <c r="E282">
        <v>5500100</v>
      </c>
      <c r="H282" t="s">
        <v>449</v>
      </c>
      <c r="K282" s="50">
        <v>17226088.620000001</v>
      </c>
      <c r="M282" s="50">
        <v>13572743.84</v>
      </c>
      <c r="O282" s="50">
        <v>3653344.78</v>
      </c>
      <c r="Q282">
        <v>26.9</v>
      </c>
    </row>
    <row r="283" spans="3:18" x14ac:dyDescent="0.25">
      <c r="C283" t="s">
        <v>192</v>
      </c>
      <c r="D283" t="s">
        <v>194</v>
      </c>
      <c r="E283">
        <v>5500116</v>
      </c>
      <c r="H283" t="s">
        <v>450</v>
      </c>
      <c r="K283" s="50">
        <v>326877.68</v>
      </c>
      <c r="M283" s="50">
        <v>263943.44</v>
      </c>
      <c r="O283" s="50">
        <v>62934.239999999998</v>
      </c>
      <c r="Q283">
        <v>23.8</v>
      </c>
    </row>
    <row r="284" spans="3:18" x14ac:dyDescent="0.25">
      <c r="C284" t="s">
        <v>192</v>
      </c>
      <c r="D284" t="s">
        <v>194</v>
      </c>
      <c r="E284">
        <v>5500119</v>
      </c>
      <c r="H284" t="s">
        <v>451</v>
      </c>
      <c r="K284" s="50">
        <v>309274.42</v>
      </c>
      <c r="M284" s="50">
        <v>309274.42</v>
      </c>
      <c r="O284">
        <v>0</v>
      </c>
    </row>
    <row r="285" spans="3:18" x14ac:dyDescent="0.25">
      <c r="C285" t="s">
        <v>192</v>
      </c>
      <c r="D285" t="s">
        <v>194</v>
      </c>
      <c r="E285">
        <v>5500300</v>
      </c>
      <c r="H285" t="s">
        <v>452</v>
      </c>
      <c r="K285" s="50">
        <v>27269.4</v>
      </c>
      <c r="M285" s="50">
        <v>21171.61</v>
      </c>
      <c r="O285" s="50">
        <v>6097.79</v>
      </c>
      <c r="Q285">
        <v>28.8</v>
      </c>
    </row>
    <row r="286" spans="3:18" x14ac:dyDescent="0.25">
      <c r="C286" t="s">
        <v>192</v>
      </c>
      <c r="D286" t="s">
        <v>194</v>
      </c>
      <c r="E286">
        <v>5500301</v>
      </c>
      <c r="H286" t="s">
        <v>453</v>
      </c>
      <c r="K286" s="50">
        <v>146631.07</v>
      </c>
      <c r="M286" s="50">
        <v>118363.64</v>
      </c>
      <c r="O286" s="50">
        <v>28267.43</v>
      </c>
      <c r="Q286">
        <v>23.9</v>
      </c>
    </row>
    <row r="287" spans="3:18" x14ac:dyDescent="0.25">
      <c r="C287" t="s">
        <v>192</v>
      </c>
      <c r="D287" t="s">
        <v>194</v>
      </c>
      <c r="E287">
        <v>5500303</v>
      </c>
      <c r="H287" t="s">
        <v>454</v>
      </c>
      <c r="K287" s="50">
        <v>1148.81</v>
      </c>
      <c r="M287">
        <v>908.43</v>
      </c>
      <c r="O287">
        <v>240.38</v>
      </c>
      <c r="Q287">
        <v>26.5</v>
      </c>
    </row>
    <row r="288" spans="3:18" x14ac:dyDescent="0.25">
      <c r="C288" t="s">
        <v>192</v>
      </c>
      <c r="D288" t="s">
        <v>194</v>
      </c>
      <c r="E288">
        <v>5500304</v>
      </c>
      <c r="H288" t="s">
        <v>455</v>
      </c>
      <c r="K288" s="50">
        <v>2445.4299999999998</v>
      </c>
      <c r="M288" s="50">
        <v>1928.08</v>
      </c>
      <c r="O288">
        <v>517.35</v>
      </c>
      <c r="Q288">
        <v>26.8</v>
      </c>
    </row>
    <row r="289" spans="3:18" x14ac:dyDescent="0.25">
      <c r="C289" t="s">
        <v>192</v>
      </c>
      <c r="D289" t="s">
        <v>194</v>
      </c>
      <c r="E289">
        <v>5500305</v>
      </c>
      <c r="H289" t="s">
        <v>456</v>
      </c>
      <c r="K289" s="50">
        <v>122854.18</v>
      </c>
      <c r="M289" s="50">
        <v>81833.289999999994</v>
      </c>
      <c r="O289" s="50">
        <v>41020.89</v>
      </c>
      <c r="Q289">
        <v>50.1</v>
      </c>
    </row>
    <row r="290" spans="3:18" x14ac:dyDescent="0.25">
      <c r="C290" t="s">
        <v>192</v>
      </c>
      <c r="D290" t="s">
        <v>194</v>
      </c>
      <c r="E290">
        <v>5500307</v>
      </c>
      <c r="H290" t="s">
        <v>457</v>
      </c>
      <c r="K290" s="50">
        <v>8855.77</v>
      </c>
      <c r="M290" s="50">
        <v>6659.9</v>
      </c>
      <c r="O290" s="50">
        <v>2195.87</v>
      </c>
      <c r="Q290">
        <v>33</v>
      </c>
    </row>
    <row r="291" spans="3:18" x14ac:dyDescent="0.25">
      <c r="C291" t="s">
        <v>192</v>
      </c>
      <c r="D291" t="s">
        <v>194</v>
      </c>
      <c r="E291">
        <v>5500400</v>
      </c>
      <c r="H291" t="s">
        <v>458</v>
      </c>
      <c r="K291" s="50">
        <v>807626.02</v>
      </c>
      <c r="M291" s="50">
        <v>532534.26</v>
      </c>
      <c r="O291" s="50">
        <v>275091.76</v>
      </c>
      <c r="Q291">
        <v>51.7</v>
      </c>
    </row>
    <row r="292" spans="3:18" x14ac:dyDescent="0.25">
      <c r="C292" t="s">
        <v>192</v>
      </c>
      <c r="D292" t="s">
        <v>194</v>
      </c>
      <c r="E292">
        <v>5500501</v>
      </c>
      <c r="H292" t="s">
        <v>459</v>
      </c>
      <c r="K292" s="50">
        <v>55343.5</v>
      </c>
      <c r="M292" s="50">
        <v>44274.8</v>
      </c>
      <c r="O292" s="50">
        <v>11068.7</v>
      </c>
      <c r="Q292">
        <v>25</v>
      </c>
    </row>
    <row r="293" spans="3:18" x14ac:dyDescent="0.25">
      <c r="C293" t="s">
        <v>192</v>
      </c>
      <c r="D293" t="s">
        <v>194</v>
      </c>
      <c r="E293">
        <v>5510606</v>
      </c>
      <c r="H293" t="s">
        <v>460</v>
      </c>
      <c r="K293" s="50">
        <v>375688.18</v>
      </c>
      <c r="M293" s="50">
        <v>316491.3</v>
      </c>
      <c r="O293" s="50">
        <v>59196.88</v>
      </c>
      <c r="Q293">
        <v>18.7</v>
      </c>
    </row>
    <row r="294" spans="3:18" x14ac:dyDescent="0.25">
      <c r="C294" t="s">
        <v>192</v>
      </c>
      <c r="D294" t="s">
        <v>194</v>
      </c>
      <c r="E294">
        <v>5511201</v>
      </c>
      <c r="H294" t="s">
        <v>461</v>
      </c>
      <c r="K294" s="50">
        <v>10500</v>
      </c>
      <c r="M294" s="50">
        <v>10000</v>
      </c>
      <c r="O294">
        <v>500</v>
      </c>
      <c r="Q294">
        <v>5</v>
      </c>
    </row>
    <row r="295" spans="3:18" x14ac:dyDescent="0.25">
      <c r="C295" t="s">
        <v>192</v>
      </c>
      <c r="D295" t="s">
        <v>194</v>
      </c>
      <c r="E295">
        <v>5540000</v>
      </c>
      <c r="H295" t="s">
        <v>462</v>
      </c>
      <c r="K295" s="50">
        <v>10720.39</v>
      </c>
      <c r="M295" s="50">
        <v>10307.290000000001</v>
      </c>
      <c r="O295">
        <v>413.1</v>
      </c>
      <c r="Q295">
        <v>4</v>
      </c>
    </row>
    <row r="296" spans="3:18" x14ac:dyDescent="0.25">
      <c r="C296" t="s">
        <v>192</v>
      </c>
      <c r="D296" t="s">
        <v>194</v>
      </c>
      <c r="E296">
        <v>5540001</v>
      </c>
      <c r="H296" t="s">
        <v>463</v>
      </c>
      <c r="K296" s="50">
        <v>1025430.89</v>
      </c>
      <c r="M296" s="50">
        <v>985916.64</v>
      </c>
      <c r="O296" s="50">
        <v>39514.25</v>
      </c>
      <c r="Q296">
        <v>4</v>
      </c>
    </row>
    <row r="297" spans="3:18" x14ac:dyDescent="0.25">
      <c r="E297" t="s">
        <v>464</v>
      </c>
      <c r="K297" s="50">
        <v>20456754.359999999</v>
      </c>
      <c r="M297" s="50">
        <v>16276350.939999999</v>
      </c>
      <c r="O297" s="50">
        <v>4180403.42</v>
      </c>
      <c r="Q297">
        <v>25.7</v>
      </c>
      <c r="R297" t="s">
        <v>223</v>
      </c>
    </row>
    <row r="298" spans="3:18" x14ac:dyDescent="0.25">
      <c r="C298" t="s">
        <v>192</v>
      </c>
      <c r="D298" t="s">
        <v>194</v>
      </c>
      <c r="E298">
        <v>4420709</v>
      </c>
      <c r="H298" t="s">
        <v>465</v>
      </c>
      <c r="K298" s="50">
        <v>134557.85999999999</v>
      </c>
      <c r="M298" s="50">
        <v>14534970.42</v>
      </c>
      <c r="O298" s="50">
        <v>-14400412.560000001</v>
      </c>
      <c r="Q298">
        <v>-99.1</v>
      </c>
    </row>
    <row r="299" spans="3:18" x14ac:dyDescent="0.25">
      <c r="C299" t="s">
        <v>192</v>
      </c>
      <c r="D299" t="s">
        <v>194</v>
      </c>
      <c r="E299">
        <v>4420710</v>
      </c>
      <c r="H299" t="s">
        <v>466</v>
      </c>
      <c r="K299" s="50">
        <v>-4938419.93</v>
      </c>
      <c r="M299" s="50">
        <v>-5973922.5899999999</v>
      </c>
      <c r="O299" s="50">
        <v>1035502.66</v>
      </c>
      <c r="Q299">
        <v>17.3</v>
      </c>
    </row>
    <row r="300" spans="3:18" x14ac:dyDescent="0.25">
      <c r="C300" t="s">
        <v>192</v>
      </c>
      <c r="D300" t="s">
        <v>194</v>
      </c>
      <c r="E300">
        <v>5510505</v>
      </c>
      <c r="H300" t="s">
        <v>467</v>
      </c>
      <c r="K300" s="50">
        <v>43157.55</v>
      </c>
      <c r="M300">
        <v>0</v>
      </c>
      <c r="O300" s="50">
        <v>43157.55</v>
      </c>
    </row>
    <row r="301" spans="3:18" x14ac:dyDescent="0.25">
      <c r="E301" t="s">
        <v>468</v>
      </c>
      <c r="K301" s="50">
        <v>-4760704.5199999996</v>
      </c>
      <c r="M301" s="50">
        <v>8561047.8300000001</v>
      </c>
      <c r="O301" s="50">
        <v>-13321752.35</v>
      </c>
      <c r="Q301">
        <v>-155.6</v>
      </c>
      <c r="R301" t="s">
        <v>223</v>
      </c>
    </row>
    <row r="302" spans="3:18" x14ac:dyDescent="0.25">
      <c r="C302" t="s">
        <v>192</v>
      </c>
      <c r="D302" t="s">
        <v>194</v>
      </c>
      <c r="E302">
        <v>4420713</v>
      </c>
      <c r="H302" t="s">
        <v>469</v>
      </c>
      <c r="K302" s="50">
        <v>21046335.18</v>
      </c>
      <c r="M302" s="50">
        <v>2036197.41</v>
      </c>
      <c r="O302" s="50">
        <v>19010137.77</v>
      </c>
      <c r="Q302">
        <v>933.6</v>
      </c>
    </row>
    <row r="303" spans="3:18" x14ac:dyDescent="0.25">
      <c r="C303" t="s">
        <v>192</v>
      </c>
      <c r="D303" t="s">
        <v>194</v>
      </c>
      <c r="E303">
        <v>4420726</v>
      </c>
      <c r="H303" t="s">
        <v>470</v>
      </c>
      <c r="K303" s="50">
        <v>-3804843.42</v>
      </c>
      <c r="M303" s="50">
        <v>-3370527.4</v>
      </c>
      <c r="O303" s="50">
        <v>-434316.02</v>
      </c>
      <c r="Q303">
        <v>-12.9</v>
      </c>
    </row>
    <row r="304" spans="3:18" x14ac:dyDescent="0.25">
      <c r="E304" t="s">
        <v>471</v>
      </c>
      <c r="K304" s="50">
        <v>17241491.760000002</v>
      </c>
      <c r="M304" s="50">
        <v>-1334329.99</v>
      </c>
      <c r="O304" s="50">
        <v>18575821.75</v>
      </c>
      <c r="Q304">
        <v>1392.1</v>
      </c>
      <c r="R304" t="s">
        <v>223</v>
      </c>
    </row>
    <row r="305" spans="3:18" x14ac:dyDescent="0.25">
      <c r="E305" t="s">
        <v>472</v>
      </c>
      <c r="K305" s="50">
        <v>33451383.890000001</v>
      </c>
      <c r="M305" s="50">
        <v>23721684.899999999</v>
      </c>
      <c r="O305" s="50">
        <v>9729698.9900000002</v>
      </c>
      <c r="Q305">
        <v>41</v>
      </c>
      <c r="R305" t="s">
        <v>219</v>
      </c>
    </row>
    <row r="306" spans="3:18" x14ac:dyDescent="0.25">
      <c r="E306" t="s">
        <v>473</v>
      </c>
      <c r="K306" s="50">
        <v>-48364950.039999999</v>
      </c>
      <c r="M306" s="50">
        <v>-42733714.090000004</v>
      </c>
      <c r="O306" s="50">
        <v>-5631235.9500000002</v>
      </c>
      <c r="Q306">
        <v>-13.2</v>
      </c>
      <c r="R306" t="s">
        <v>343</v>
      </c>
    </row>
    <row r="308" spans="3:18" x14ac:dyDescent="0.25">
      <c r="E308" t="s">
        <v>474</v>
      </c>
    </row>
    <row r="309" spans="3:18" x14ac:dyDescent="0.25">
      <c r="C309" t="s">
        <v>192</v>
      </c>
      <c r="D309" t="s">
        <v>194</v>
      </c>
      <c r="E309">
        <v>5511424</v>
      </c>
      <c r="H309" t="s">
        <v>475</v>
      </c>
      <c r="K309" s="50">
        <v>-24612455.98</v>
      </c>
      <c r="M309" s="50">
        <v>-24681051.670000002</v>
      </c>
      <c r="O309" s="50">
        <v>68595.69</v>
      </c>
      <c r="Q309">
        <v>0.3</v>
      </c>
    </row>
    <row r="310" spans="3:18" x14ac:dyDescent="0.25">
      <c r="E310" t="s">
        <v>476</v>
      </c>
      <c r="K310" s="50">
        <v>-24612455.98</v>
      </c>
      <c r="M310" s="50">
        <v>-24681051.670000002</v>
      </c>
      <c r="O310" s="50">
        <v>68595.69</v>
      </c>
      <c r="Q310">
        <v>0.3</v>
      </c>
      <c r="R310" t="s">
        <v>219</v>
      </c>
    </row>
    <row r="311" spans="3:18" x14ac:dyDescent="0.25">
      <c r="C311" t="s">
        <v>192</v>
      </c>
      <c r="D311" t="s">
        <v>194</v>
      </c>
      <c r="E311">
        <v>5511425</v>
      </c>
      <c r="H311" t="s">
        <v>477</v>
      </c>
      <c r="K311" s="50">
        <v>832227.1</v>
      </c>
      <c r="M311" s="50">
        <v>3589846.2</v>
      </c>
      <c r="O311" s="50">
        <v>-2757619.1</v>
      </c>
      <c r="Q311">
        <v>-76.8</v>
      </c>
    </row>
    <row r="312" spans="3:18" x14ac:dyDescent="0.25">
      <c r="C312" t="s">
        <v>192</v>
      </c>
      <c r="D312" t="s">
        <v>194</v>
      </c>
      <c r="E312">
        <v>5511426</v>
      </c>
      <c r="H312" t="s">
        <v>306</v>
      </c>
      <c r="K312" s="50">
        <v>-57048.28</v>
      </c>
      <c r="M312" s="50">
        <v>-62626.33</v>
      </c>
      <c r="O312" s="50">
        <v>5578.05</v>
      </c>
      <c r="Q312">
        <v>8.9</v>
      </c>
    </row>
    <row r="313" spans="3:18" x14ac:dyDescent="0.25">
      <c r="E313" t="s">
        <v>478</v>
      </c>
      <c r="K313" s="50">
        <v>775178.82</v>
      </c>
      <c r="M313" s="50">
        <v>3527219.87</v>
      </c>
      <c r="O313" s="50">
        <v>-2752041.05</v>
      </c>
      <c r="Q313">
        <v>-78</v>
      </c>
      <c r="R313" t="s">
        <v>219</v>
      </c>
    </row>
    <row r="314" spans="3:18" x14ac:dyDescent="0.25">
      <c r="C314" t="s">
        <v>192</v>
      </c>
      <c r="D314" t="s">
        <v>194</v>
      </c>
      <c r="E314">
        <v>5511417</v>
      </c>
      <c r="H314" t="s">
        <v>479</v>
      </c>
      <c r="K314" s="50">
        <v>-10275044.27</v>
      </c>
      <c r="M314" s="50">
        <v>-12580242.42</v>
      </c>
      <c r="O314" s="50">
        <v>2305198.15</v>
      </c>
      <c r="Q314">
        <v>18.3</v>
      </c>
    </row>
    <row r="315" spans="3:18" x14ac:dyDescent="0.25">
      <c r="C315" t="s">
        <v>192</v>
      </c>
      <c r="D315" t="s">
        <v>194</v>
      </c>
      <c r="E315">
        <v>5511418</v>
      </c>
      <c r="H315" t="s">
        <v>480</v>
      </c>
      <c r="K315" s="50">
        <v>-9772579.7300000004</v>
      </c>
      <c r="M315" s="50">
        <v>-9648023.0500000007</v>
      </c>
      <c r="O315" s="50">
        <v>-124556.68</v>
      </c>
      <c r="Q315">
        <v>-1.3</v>
      </c>
    </row>
    <row r="316" spans="3:18" x14ac:dyDescent="0.25">
      <c r="E316" t="s">
        <v>481</v>
      </c>
      <c r="K316" s="50">
        <v>-20047624</v>
      </c>
      <c r="M316" s="50">
        <v>-22228265.469999999</v>
      </c>
      <c r="O316" s="50">
        <v>2180641.4700000002</v>
      </c>
      <c r="Q316">
        <v>9.8000000000000007</v>
      </c>
      <c r="R316" t="s">
        <v>219</v>
      </c>
    </row>
    <row r="317" spans="3:18" x14ac:dyDescent="0.25">
      <c r="E317" t="s">
        <v>482</v>
      </c>
      <c r="K317" s="50">
        <v>-43884901.159999996</v>
      </c>
      <c r="M317" s="50">
        <v>-43382097.270000003</v>
      </c>
      <c r="O317" s="50">
        <v>-502803.89</v>
      </c>
      <c r="Q317">
        <v>-1.2</v>
      </c>
      <c r="R317" t="s">
        <v>343</v>
      </c>
    </row>
    <row r="319" spans="3:18" x14ac:dyDescent="0.25">
      <c r="E319" t="s">
        <v>483</v>
      </c>
      <c r="K319" s="50">
        <v>-92249851.200000003</v>
      </c>
      <c r="M319" s="50">
        <v>-86115811.359999999</v>
      </c>
      <c r="O319" s="50">
        <v>-6134039.8399999999</v>
      </c>
      <c r="Q319">
        <v>-7.1</v>
      </c>
      <c r="R319" t="s">
        <v>345</v>
      </c>
    </row>
    <row r="321" spans="1:18" x14ac:dyDescent="0.25">
      <c r="E321" t="s">
        <v>484</v>
      </c>
      <c r="K321" s="50">
        <v>-92249851.200000003</v>
      </c>
      <c r="M321" s="50">
        <v>-86115811.359999999</v>
      </c>
      <c r="O321" s="50">
        <v>-6134039.8399999999</v>
      </c>
      <c r="Q321">
        <v>-7.1</v>
      </c>
      <c r="R321" t="s">
        <v>485</v>
      </c>
    </row>
    <row r="325" spans="1:18" x14ac:dyDescent="0.25">
      <c r="A325" t="s">
        <v>917</v>
      </c>
    </row>
    <row r="326" spans="1:18" x14ac:dyDescent="0.25">
      <c r="A326" t="s">
        <v>486</v>
      </c>
    </row>
    <row r="328" spans="1:18" x14ac:dyDescent="0.25">
      <c r="A328" t="s">
        <v>191</v>
      </c>
      <c r="F328" t="s">
        <v>192</v>
      </c>
      <c r="G328" t="s">
        <v>193</v>
      </c>
      <c r="I328" t="s">
        <v>194</v>
      </c>
      <c r="N328" t="s">
        <v>195</v>
      </c>
      <c r="P328" t="s">
        <v>12</v>
      </c>
    </row>
    <row r="330" spans="1:18" x14ac:dyDescent="0.25">
      <c r="B330" t="s">
        <v>196</v>
      </c>
      <c r="C330" t="s">
        <v>197</v>
      </c>
      <c r="D330" t="s">
        <v>198</v>
      </c>
      <c r="E330" t="s">
        <v>199</v>
      </c>
      <c r="J330" t="s">
        <v>200</v>
      </c>
      <c r="L330" t="s">
        <v>201</v>
      </c>
      <c r="O330" t="s">
        <v>202</v>
      </c>
      <c r="Q330" t="s">
        <v>203</v>
      </c>
      <c r="R330" t="s">
        <v>204</v>
      </c>
    </row>
    <row r="331" spans="1:18" x14ac:dyDescent="0.25">
      <c r="B331" t="s">
        <v>205</v>
      </c>
      <c r="C331" t="s">
        <v>206</v>
      </c>
      <c r="D331" t="s">
        <v>207</v>
      </c>
      <c r="J331" t="s">
        <v>208</v>
      </c>
      <c r="L331" t="s">
        <v>209</v>
      </c>
      <c r="O331" t="s">
        <v>210</v>
      </c>
      <c r="Q331" t="s">
        <v>211</v>
      </c>
      <c r="R331" t="s">
        <v>212</v>
      </c>
    </row>
    <row r="333" spans="1:18" x14ac:dyDescent="0.25">
      <c r="E333" t="s">
        <v>487</v>
      </c>
    </row>
    <row r="334" spans="1:18" x14ac:dyDescent="0.25">
      <c r="K334" s="50">
        <v>92249851.200000003</v>
      </c>
      <c r="M334" s="50">
        <v>86115811.359999999</v>
      </c>
      <c r="O334" s="50">
        <v>6134039.8399999999</v>
      </c>
      <c r="Q334">
        <v>7.1</v>
      </c>
      <c r="R334" t="s">
        <v>485</v>
      </c>
    </row>
    <row r="336" spans="1:18" x14ac:dyDescent="0.25">
      <c r="A336" t="s">
        <v>917</v>
      </c>
    </row>
    <row r="337" spans="1:18" x14ac:dyDescent="0.25">
      <c r="A337" t="s">
        <v>488</v>
      </c>
    </row>
    <row r="339" spans="1:18" x14ac:dyDescent="0.25">
      <c r="A339" t="s">
        <v>191</v>
      </c>
      <c r="F339" t="s">
        <v>192</v>
      </c>
      <c r="G339" t="s">
        <v>193</v>
      </c>
      <c r="I339" t="s">
        <v>194</v>
      </c>
      <c r="N339" t="s">
        <v>195</v>
      </c>
      <c r="P339" t="s">
        <v>12</v>
      </c>
    </row>
    <row r="341" spans="1:18" x14ac:dyDescent="0.25">
      <c r="B341" t="s">
        <v>196</v>
      </c>
      <c r="C341" t="s">
        <v>197</v>
      </c>
      <c r="D341" t="s">
        <v>198</v>
      </c>
      <c r="E341" t="s">
        <v>199</v>
      </c>
      <c r="J341" t="s">
        <v>200</v>
      </c>
      <c r="L341" t="s">
        <v>201</v>
      </c>
      <c r="O341" t="s">
        <v>202</v>
      </c>
      <c r="Q341" t="s">
        <v>203</v>
      </c>
      <c r="R341" t="s">
        <v>204</v>
      </c>
    </row>
    <row r="342" spans="1:18" x14ac:dyDescent="0.25">
      <c r="B342" t="s">
        <v>205</v>
      </c>
      <c r="C342" t="s">
        <v>206</v>
      </c>
      <c r="D342" t="s">
        <v>207</v>
      </c>
      <c r="J342" t="s">
        <v>208</v>
      </c>
      <c r="L342" t="s">
        <v>209</v>
      </c>
      <c r="O342" t="s">
        <v>210</v>
      </c>
      <c r="Q342" t="s">
        <v>211</v>
      </c>
      <c r="R342" t="s">
        <v>212</v>
      </c>
    </row>
    <row r="344" spans="1:18" x14ac:dyDescent="0.25">
      <c r="E344" t="s">
        <v>489</v>
      </c>
    </row>
    <row r="345" spans="1:18" x14ac:dyDescent="0.25">
      <c r="E345" t="s">
        <v>490</v>
      </c>
    </row>
    <row r="346" spans="1:18" x14ac:dyDescent="0.25">
      <c r="C346" t="s">
        <v>192</v>
      </c>
      <c r="D346" t="s">
        <v>194</v>
      </c>
      <c r="E346">
        <v>13830917</v>
      </c>
      <c r="H346" t="s">
        <v>491</v>
      </c>
      <c r="K346" s="50">
        <v>84930.77</v>
      </c>
      <c r="M346" s="50">
        <v>84930.77</v>
      </c>
      <c r="O346">
        <v>0</v>
      </c>
    </row>
    <row r="347" spans="1:18" x14ac:dyDescent="0.25">
      <c r="C347" t="s">
        <v>192</v>
      </c>
      <c r="D347" t="s">
        <v>194</v>
      </c>
      <c r="E347">
        <v>39999903</v>
      </c>
      <c r="H347" t="s">
        <v>492</v>
      </c>
      <c r="K347" s="50">
        <v>-79701075.930000007</v>
      </c>
      <c r="M347" s="50">
        <v>-79701075.930000007</v>
      </c>
      <c r="O347">
        <v>0</v>
      </c>
    </row>
    <row r="348" spans="1:18" x14ac:dyDescent="0.25">
      <c r="C348" t="s">
        <v>192</v>
      </c>
      <c r="D348" t="s">
        <v>194</v>
      </c>
      <c r="E348">
        <v>39999917</v>
      </c>
      <c r="H348" t="s">
        <v>493</v>
      </c>
      <c r="K348" s="50">
        <v>79541145.159999996</v>
      </c>
      <c r="M348" s="50">
        <v>79541145.159999996</v>
      </c>
      <c r="O348">
        <v>0</v>
      </c>
    </row>
    <row r="349" spans="1:18" x14ac:dyDescent="0.25">
      <c r="C349" t="s">
        <v>192</v>
      </c>
      <c r="D349" t="s">
        <v>194</v>
      </c>
      <c r="E349">
        <v>113821117</v>
      </c>
      <c r="H349" t="s">
        <v>494</v>
      </c>
      <c r="K349" s="50">
        <v>1798601.84</v>
      </c>
      <c r="M349" s="50">
        <v>1798601.84</v>
      </c>
      <c r="O349">
        <v>0</v>
      </c>
    </row>
    <row r="350" spans="1:18" x14ac:dyDescent="0.25">
      <c r="C350" t="s">
        <v>192</v>
      </c>
      <c r="D350" t="s">
        <v>194</v>
      </c>
      <c r="E350">
        <v>220040317</v>
      </c>
      <c r="H350" t="s">
        <v>495</v>
      </c>
      <c r="K350" s="50">
        <v>-1798601.84</v>
      </c>
      <c r="M350" s="50">
        <v>-1798601.84</v>
      </c>
      <c r="O350">
        <v>0</v>
      </c>
    </row>
    <row r="351" spans="1:18" x14ac:dyDescent="0.25">
      <c r="C351" t="s">
        <v>192</v>
      </c>
      <c r="D351" t="s">
        <v>194</v>
      </c>
      <c r="E351">
        <v>221041017</v>
      </c>
      <c r="H351" t="s">
        <v>311</v>
      </c>
      <c r="K351" s="50">
        <v>75000</v>
      </c>
      <c r="M351" s="50">
        <v>75000</v>
      </c>
      <c r="O351">
        <v>0</v>
      </c>
    </row>
    <row r="352" spans="1:18" x14ac:dyDescent="0.25">
      <c r="E352" t="s">
        <v>496</v>
      </c>
      <c r="K352">
        <v>0</v>
      </c>
      <c r="M352">
        <v>0</v>
      </c>
      <c r="O352">
        <v>0</v>
      </c>
      <c r="R352" t="s">
        <v>485</v>
      </c>
    </row>
    <row r="353" spans="1:18" x14ac:dyDescent="0.25">
      <c r="E353" t="s">
        <v>497</v>
      </c>
    </row>
    <row r="357" spans="1:18" x14ac:dyDescent="0.25">
      <c r="A357" t="s">
        <v>918</v>
      </c>
    </row>
    <row r="358" spans="1:18" x14ac:dyDescent="0.25">
      <c r="A358" t="s">
        <v>498</v>
      </c>
    </row>
    <row r="360" spans="1:18" x14ac:dyDescent="0.25">
      <c r="A360" t="s">
        <v>191</v>
      </c>
      <c r="F360" t="s">
        <v>499</v>
      </c>
      <c r="G360" t="s">
        <v>193</v>
      </c>
      <c r="I360" t="s">
        <v>194</v>
      </c>
      <c r="N360" t="s">
        <v>195</v>
      </c>
      <c r="P360" t="s">
        <v>12</v>
      </c>
    </row>
    <row r="362" spans="1:18" x14ac:dyDescent="0.25">
      <c r="B362" t="s">
        <v>196</v>
      </c>
      <c r="C362" t="s">
        <v>197</v>
      </c>
      <c r="D362" t="s">
        <v>198</v>
      </c>
      <c r="E362" t="s">
        <v>199</v>
      </c>
      <c r="J362" t="s">
        <v>200</v>
      </c>
      <c r="L362" t="s">
        <v>201</v>
      </c>
      <c r="O362" t="s">
        <v>202</v>
      </c>
      <c r="Q362" t="s">
        <v>203</v>
      </c>
      <c r="R362" t="s">
        <v>204</v>
      </c>
    </row>
    <row r="363" spans="1:18" x14ac:dyDescent="0.25">
      <c r="B363" t="s">
        <v>205</v>
      </c>
      <c r="C363" t="s">
        <v>206</v>
      </c>
      <c r="D363" t="s">
        <v>207</v>
      </c>
      <c r="J363" t="s">
        <v>208</v>
      </c>
      <c r="L363" t="s">
        <v>209</v>
      </c>
      <c r="O363" t="s">
        <v>210</v>
      </c>
      <c r="Q363" t="s">
        <v>211</v>
      </c>
      <c r="R363" t="s">
        <v>212</v>
      </c>
    </row>
    <row r="365" spans="1:18" x14ac:dyDescent="0.25">
      <c r="E365" t="s">
        <v>213</v>
      </c>
    </row>
    <row r="366" spans="1:18" x14ac:dyDescent="0.25">
      <c r="E366" t="s">
        <v>214</v>
      </c>
    </row>
    <row r="367" spans="1:18" x14ac:dyDescent="0.25">
      <c r="C367" t="s">
        <v>499</v>
      </c>
      <c r="D367" t="s">
        <v>194</v>
      </c>
      <c r="E367">
        <v>110300</v>
      </c>
      <c r="H367" t="s">
        <v>500</v>
      </c>
      <c r="K367" s="50">
        <v>128477.58</v>
      </c>
      <c r="M367" s="50">
        <v>148339.62</v>
      </c>
      <c r="O367" s="50">
        <v>-19862.04</v>
      </c>
      <c r="Q367">
        <v>-13.4</v>
      </c>
    </row>
    <row r="368" spans="1:18" x14ac:dyDescent="0.25">
      <c r="C368" t="s">
        <v>499</v>
      </c>
      <c r="D368" t="s">
        <v>194</v>
      </c>
      <c r="E368">
        <v>110301</v>
      </c>
      <c r="H368" t="s">
        <v>501</v>
      </c>
      <c r="K368" s="50">
        <v>896316.22</v>
      </c>
      <c r="M368" s="50">
        <v>887371.31</v>
      </c>
      <c r="O368" s="50">
        <v>8944.91</v>
      </c>
      <c r="Q368">
        <v>1</v>
      </c>
    </row>
    <row r="369" spans="3:18" x14ac:dyDescent="0.25">
      <c r="K369" s="50">
        <v>1024793.8</v>
      </c>
      <c r="M369" s="50">
        <v>1035710.93</v>
      </c>
      <c r="O369" s="50">
        <v>-10917.13</v>
      </c>
      <c r="Q369">
        <v>-1.1000000000000001</v>
      </c>
      <c r="R369" t="s">
        <v>343</v>
      </c>
    </row>
    <row r="370" spans="3:18" x14ac:dyDescent="0.25">
      <c r="C370" t="s">
        <v>499</v>
      </c>
      <c r="D370" t="s">
        <v>194</v>
      </c>
      <c r="E370">
        <v>110104</v>
      </c>
      <c r="H370" t="s">
        <v>502</v>
      </c>
      <c r="K370" s="50">
        <v>30275820.940000001</v>
      </c>
      <c r="M370" s="50">
        <v>30275820.940000001</v>
      </c>
      <c r="O370">
        <v>0</v>
      </c>
    </row>
    <row r="371" spans="3:18" x14ac:dyDescent="0.25">
      <c r="C371" t="s">
        <v>499</v>
      </c>
      <c r="D371" t="s">
        <v>194</v>
      </c>
      <c r="E371">
        <v>110105</v>
      </c>
      <c r="H371" t="s">
        <v>503</v>
      </c>
      <c r="K371" s="50">
        <v>1323136.1399999999</v>
      </c>
      <c r="M371" s="50">
        <v>1284978.1399999999</v>
      </c>
      <c r="O371" s="50">
        <v>38158</v>
      </c>
      <c r="Q371">
        <v>3</v>
      </c>
    </row>
    <row r="372" spans="3:18" x14ac:dyDescent="0.25">
      <c r="C372" t="s">
        <v>499</v>
      </c>
      <c r="D372" t="s">
        <v>194</v>
      </c>
      <c r="E372">
        <v>110106</v>
      </c>
      <c r="H372" t="s">
        <v>504</v>
      </c>
      <c r="K372" s="50">
        <v>1377440</v>
      </c>
      <c r="M372" s="50">
        <v>1377440</v>
      </c>
      <c r="O372">
        <v>0</v>
      </c>
    </row>
    <row r="373" spans="3:18" x14ac:dyDescent="0.25">
      <c r="C373" t="s">
        <v>499</v>
      </c>
      <c r="D373" t="s">
        <v>194</v>
      </c>
      <c r="E373">
        <v>110107</v>
      </c>
      <c r="H373" t="s">
        <v>505</v>
      </c>
      <c r="K373" s="50">
        <v>1929389.69</v>
      </c>
      <c r="M373" s="50">
        <v>1929389.69</v>
      </c>
      <c r="O373">
        <v>0</v>
      </c>
    </row>
    <row r="374" spans="3:18" x14ac:dyDescent="0.25">
      <c r="C374" t="s">
        <v>499</v>
      </c>
      <c r="D374" t="s">
        <v>194</v>
      </c>
      <c r="E374">
        <v>110108</v>
      </c>
      <c r="H374" t="s">
        <v>506</v>
      </c>
      <c r="K374" s="50">
        <v>26915399.629999999</v>
      </c>
      <c r="M374" s="50">
        <v>26915399.629999999</v>
      </c>
      <c r="O374">
        <v>0</v>
      </c>
    </row>
    <row r="375" spans="3:18" x14ac:dyDescent="0.25">
      <c r="C375" t="s">
        <v>499</v>
      </c>
      <c r="D375" t="s">
        <v>194</v>
      </c>
      <c r="E375">
        <v>110109</v>
      </c>
      <c r="H375" t="s">
        <v>507</v>
      </c>
      <c r="K375" s="50">
        <v>518878.38</v>
      </c>
      <c r="M375" s="50">
        <v>518878.38</v>
      </c>
      <c r="O375">
        <v>0</v>
      </c>
    </row>
    <row r="376" spans="3:18" x14ac:dyDescent="0.25">
      <c r="C376" t="s">
        <v>499</v>
      </c>
      <c r="D376" t="s">
        <v>194</v>
      </c>
      <c r="E376">
        <v>110110</v>
      </c>
      <c r="H376" t="s">
        <v>508</v>
      </c>
      <c r="K376" s="50">
        <v>1524653.62</v>
      </c>
      <c r="M376" s="50">
        <v>1524653.62</v>
      </c>
      <c r="O376">
        <v>0</v>
      </c>
    </row>
    <row r="377" spans="3:18" x14ac:dyDescent="0.25">
      <c r="C377" t="s">
        <v>499</v>
      </c>
      <c r="D377" t="s">
        <v>194</v>
      </c>
      <c r="E377">
        <v>110111</v>
      </c>
      <c r="H377" t="s">
        <v>509</v>
      </c>
      <c r="K377" s="50">
        <v>1161419.03</v>
      </c>
      <c r="M377" s="50">
        <v>1072805.03</v>
      </c>
      <c r="O377" s="50">
        <v>88614</v>
      </c>
      <c r="Q377">
        <v>8.3000000000000007</v>
      </c>
    </row>
    <row r="378" spans="3:18" x14ac:dyDescent="0.25">
      <c r="C378" t="s">
        <v>499</v>
      </c>
      <c r="D378" t="s">
        <v>194</v>
      </c>
      <c r="E378">
        <v>110112</v>
      </c>
      <c r="H378" t="s">
        <v>510</v>
      </c>
      <c r="K378" s="50">
        <v>9426</v>
      </c>
      <c r="M378" s="50">
        <v>9426</v>
      </c>
      <c r="O378">
        <v>0</v>
      </c>
    </row>
    <row r="379" spans="3:18" x14ac:dyDescent="0.25">
      <c r="C379" t="s">
        <v>499</v>
      </c>
      <c r="D379" t="s">
        <v>194</v>
      </c>
      <c r="E379">
        <v>110113</v>
      </c>
      <c r="H379" t="s">
        <v>511</v>
      </c>
      <c r="K379" s="50">
        <v>3240785.34</v>
      </c>
      <c r="M379" s="50">
        <v>3240785.34</v>
      </c>
      <c r="O379">
        <v>0</v>
      </c>
    </row>
    <row r="380" spans="3:18" x14ac:dyDescent="0.25">
      <c r="C380" t="s">
        <v>499</v>
      </c>
      <c r="D380" t="s">
        <v>194</v>
      </c>
      <c r="E380">
        <v>110115</v>
      </c>
      <c r="H380" t="s">
        <v>512</v>
      </c>
      <c r="K380" s="50">
        <v>6607144.6900000004</v>
      </c>
      <c r="M380" s="50">
        <v>6607144.6900000004</v>
      </c>
      <c r="O380">
        <v>0</v>
      </c>
    </row>
    <row r="381" spans="3:18" x14ac:dyDescent="0.25">
      <c r="C381" t="s">
        <v>499</v>
      </c>
      <c r="D381" t="s">
        <v>194</v>
      </c>
      <c r="E381">
        <v>110203</v>
      </c>
      <c r="H381" t="s">
        <v>513</v>
      </c>
      <c r="K381" s="50">
        <v>-28708512.370000001</v>
      </c>
      <c r="M381" s="50">
        <v>-28637106.960000001</v>
      </c>
      <c r="O381" s="50">
        <v>-71405.41</v>
      </c>
      <c r="Q381">
        <v>-0.2</v>
      </c>
    </row>
    <row r="382" spans="3:18" x14ac:dyDescent="0.25">
      <c r="C382" t="s">
        <v>499</v>
      </c>
      <c r="D382" t="s">
        <v>194</v>
      </c>
      <c r="E382">
        <v>110204</v>
      </c>
      <c r="H382" t="s">
        <v>514</v>
      </c>
      <c r="K382" s="50">
        <v>-1072871.94</v>
      </c>
      <c r="M382" s="50">
        <v>-1065157.8500000001</v>
      </c>
      <c r="O382" s="50">
        <v>-7714.09</v>
      </c>
      <c r="Q382">
        <v>-0.7</v>
      </c>
    </row>
    <row r="383" spans="3:18" x14ac:dyDescent="0.25">
      <c r="C383" t="s">
        <v>499</v>
      </c>
      <c r="D383" t="s">
        <v>194</v>
      </c>
      <c r="E383">
        <v>110205</v>
      </c>
      <c r="H383" t="s">
        <v>515</v>
      </c>
      <c r="K383" s="50">
        <v>-1376740</v>
      </c>
      <c r="M383" s="50">
        <v>-1376722</v>
      </c>
      <c r="O383">
        <v>-18</v>
      </c>
    </row>
    <row r="384" spans="3:18" x14ac:dyDescent="0.25">
      <c r="C384" t="s">
        <v>499</v>
      </c>
      <c r="D384" t="s">
        <v>194</v>
      </c>
      <c r="E384">
        <v>110206</v>
      </c>
      <c r="H384" t="s">
        <v>516</v>
      </c>
      <c r="K384" s="50">
        <v>-1801935.51</v>
      </c>
      <c r="M384" s="50">
        <v>-1799151.8</v>
      </c>
      <c r="O384" s="50">
        <v>-2783.71</v>
      </c>
      <c r="Q384">
        <v>-0.2</v>
      </c>
    </row>
    <row r="385" spans="3:18" x14ac:dyDescent="0.25">
      <c r="C385" t="s">
        <v>499</v>
      </c>
      <c r="D385" t="s">
        <v>194</v>
      </c>
      <c r="E385">
        <v>110207</v>
      </c>
      <c r="H385" t="s">
        <v>517</v>
      </c>
      <c r="K385" s="50">
        <v>-26143303.48</v>
      </c>
      <c r="M385" s="50">
        <v>-26100316.219999999</v>
      </c>
      <c r="O385" s="50">
        <v>-42987.26</v>
      </c>
      <c r="Q385">
        <v>-0.2</v>
      </c>
    </row>
    <row r="386" spans="3:18" x14ac:dyDescent="0.25">
      <c r="C386" t="s">
        <v>499</v>
      </c>
      <c r="D386" t="s">
        <v>194</v>
      </c>
      <c r="E386">
        <v>110208</v>
      </c>
      <c r="H386" t="s">
        <v>518</v>
      </c>
      <c r="K386" s="50">
        <v>-515272.71</v>
      </c>
      <c r="M386" s="50">
        <v>-515144.05</v>
      </c>
      <c r="O386">
        <v>-128.66</v>
      </c>
    </row>
    <row r="387" spans="3:18" x14ac:dyDescent="0.25">
      <c r="C387" t="s">
        <v>499</v>
      </c>
      <c r="D387" t="s">
        <v>194</v>
      </c>
      <c r="E387">
        <v>110209</v>
      </c>
      <c r="H387" t="s">
        <v>519</v>
      </c>
      <c r="K387" s="50">
        <v>-1524653.62</v>
      </c>
      <c r="M387" s="50">
        <v>-1524653.62</v>
      </c>
      <c r="O387">
        <v>0</v>
      </c>
    </row>
    <row r="388" spans="3:18" x14ac:dyDescent="0.25">
      <c r="C388" t="s">
        <v>499</v>
      </c>
      <c r="D388" t="s">
        <v>194</v>
      </c>
      <c r="E388">
        <v>110210</v>
      </c>
      <c r="H388" t="s">
        <v>520</v>
      </c>
      <c r="K388" s="50">
        <v>-4205.96</v>
      </c>
      <c r="M388" s="50">
        <v>-3944.13</v>
      </c>
      <c r="O388">
        <v>-261.83</v>
      </c>
      <c r="Q388">
        <v>-6.6</v>
      </c>
    </row>
    <row r="389" spans="3:18" x14ac:dyDescent="0.25">
      <c r="C389" t="s">
        <v>499</v>
      </c>
      <c r="D389" t="s">
        <v>194</v>
      </c>
      <c r="E389">
        <v>110211</v>
      </c>
      <c r="H389" t="s">
        <v>521</v>
      </c>
      <c r="K389" s="50">
        <v>-1721774.82</v>
      </c>
      <c r="M389" s="50">
        <v>-1664335.78</v>
      </c>
      <c r="O389" s="50">
        <v>-57439.040000000001</v>
      </c>
      <c r="Q389">
        <v>-3.5</v>
      </c>
    </row>
    <row r="390" spans="3:18" x14ac:dyDescent="0.25">
      <c r="C390" t="s">
        <v>499</v>
      </c>
      <c r="D390" t="s">
        <v>194</v>
      </c>
      <c r="E390">
        <v>110213</v>
      </c>
      <c r="H390" t="s">
        <v>522</v>
      </c>
      <c r="K390" s="50">
        <v>-3405706.74</v>
      </c>
      <c r="M390" s="50">
        <v>-3268737.98</v>
      </c>
      <c r="O390" s="50">
        <v>-136968.76</v>
      </c>
      <c r="Q390">
        <v>-4.2</v>
      </c>
    </row>
    <row r="391" spans="3:18" x14ac:dyDescent="0.25">
      <c r="E391" t="s">
        <v>523</v>
      </c>
      <c r="K391" s="50">
        <v>8608516.3100000005</v>
      </c>
      <c r="M391" s="50">
        <v>8801451.0700000003</v>
      </c>
      <c r="O391" s="50">
        <v>-192934.76</v>
      </c>
      <c r="Q391">
        <v>-2.2000000000000002</v>
      </c>
      <c r="R391" t="s">
        <v>343</v>
      </c>
    </row>
    <row r="393" spans="3:18" x14ac:dyDescent="0.25">
      <c r="C393" t="s">
        <v>499</v>
      </c>
      <c r="D393" t="s">
        <v>194</v>
      </c>
      <c r="E393">
        <v>110101</v>
      </c>
      <c r="H393" t="s">
        <v>524</v>
      </c>
      <c r="K393" s="50">
        <v>30400000</v>
      </c>
      <c r="M393" s="50">
        <v>30400000</v>
      </c>
      <c r="O393">
        <v>0</v>
      </c>
    </row>
    <row r="394" spans="3:18" x14ac:dyDescent="0.25">
      <c r="C394" t="s">
        <v>499</v>
      </c>
      <c r="D394" t="s">
        <v>194</v>
      </c>
      <c r="E394">
        <v>110103</v>
      </c>
      <c r="H394" t="s">
        <v>525</v>
      </c>
      <c r="K394" s="50">
        <v>33900000</v>
      </c>
      <c r="M394" s="50">
        <v>33900000</v>
      </c>
      <c r="O394">
        <v>0</v>
      </c>
    </row>
    <row r="395" spans="3:18" x14ac:dyDescent="0.25">
      <c r="C395" t="s">
        <v>499</v>
      </c>
      <c r="D395" t="s">
        <v>194</v>
      </c>
      <c r="E395">
        <v>110202</v>
      </c>
      <c r="H395" t="s">
        <v>526</v>
      </c>
      <c r="K395" s="50">
        <v>-11052499.9</v>
      </c>
      <c r="M395" s="50">
        <v>-10995999.9</v>
      </c>
      <c r="O395" s="50">
        <v>-56500</v>
      </c>
      <c r="Q395">
        <v>-0.5</v>
      </c>
    </row>
    <row r="396" spans="3:18" x14ac:dyDescent="0.25">
      <c r="C396" t="s">
        <v>499</v>
      </c>
      <c r="D396" t="s">
        <v>194</v>
      </c>
      <c r="E396">
        <v>110400</v>
      </c>
      <c r="H396" t="s">
        <v>527</v>
      </c>
      <c r="K396" s="50">
        <v>-232975.8</v>
      </c>
      <c r="M396" s="50">
        <v>-232975.8</v>
      </c>
      <c r="O396">
        <v>0</v>
      </c>
    </row>
    <row r="397" spans="3:18" x14ac:dyDescent="0.25">
      <c r="E397" t="s">
        <v>528</v>
      </c>
      <c r="K397" s="50">
        <v>53014524.299999997</v>
      </c>
      <c r="M397" s="50">
        <v>53071024.299999997</v>
      </c>
      <c r="O397" s="50">
        <v>-56500</v>
      </c>
      <c r="Q397">
        <v>-0.1</v>
      </c>
      <c r="R397" t="s">
        <v>343</v>
      </c>
    </row>
    <row r="399" spans="3:18" x14ac:dyDescent="0.25">
      <c r="C399" t="s">
        <v>499</v>
      </c>
      <c r="D399" t="s">
        <v>194</v>
      </c>
      <c r="E399">
        <v>120101</v>
      </c>
      <c r="H399" t="s">
        <v>529</v>
      </c>
      <c r="K399" s="50">
        <v>64129064.640000001</v>
      </c>
      <c r="M399" s="50">
        <v>64129064.640000001</v>
      </c>
      <c r="O399">
        <v>0</v>
      </c>
    </row>
    <row r="400" spans="3:18" x14ac:dyDescent="0.25">
      <c r="E400" t="s">
        <v>530</v>
      </c>
      <c r="K400" s="50">
        <v>64129064.640000001</v>
      </c>
      <c r="M400" s="50">
        <v>64129064.640000001</v>
      </c>
      <c r="O400">
        <v>0</v>
      </c>
      <c r="R400" t="s">
        <v>343</v>
      </c>
    </row>
    <row r="402" spans="3:18" x14ac:dyDescent="0.25">
      <c r="E402" t="s">
        <v>220</v>
      </c>
    </row>
    <row r="403" spans="3:18" x14ac:dyDescent="0.25">
      <c r="C403" t="s">
        <v>499</v>
      </c>
      <c r="D403" t="s">
        <v>194</v>
      </c>
      <c r="E403">
        <v>131790</v>
      </c>
      <c r="H403" t="s">
        <v>531</v>
      </c>
      <c r="K403" s="50">
        <v>11334.79</v>
      </c>
      <c r="M403" s="50">
        <v>11507.29</v>
      </c>
      <c r="O403">
        <v>-172.5</v>
      </c>
      <c r="Q403">
        <v>-1.5</v>
      </c>
    </row>
    <row r="404" spans="3:18" x14ac:dyDescent="0.25">
      <c r="K404" s="50">
        <v>11334.79</v>
      </c>
      <c r="M404" s="50">
        <v>11507.29</v>
      </c>
      <c r="O404">
        <v>-172.5</v>
      </c>
      <c r="Q404">
        <v>-1.5</v>
      </c>
      <c r="R404" t="s">
        <v>223</v>
      </c>
    </row>
    <row r="405" spans="3:18" x14ac:dyDescent="0.25">
      <c r="C405" t="s">
        <v>499</v>
      </c>
      <c r="D405" t="s">
        <v>194</v>
      </c>
      <c r="E405">
        <v>131770</v>
      </c>
      <c r="H405" t="s">
        <v>532</v>
      </c>
      <c r="K405" s="50">
        <v>89708.12</v>
      </c>
      <c r="M405" s="50">
        <v>92149.28</v>
      </c>
      <c r="O405" s="50">
        <v>-2441.16</v>
      </c>
      <c r="Q405">
        <v>-2.6</v>
      </c>
    </row>
    <row r="406" spans="3:18" x14ac:dyDescent="0.25">
      <c r="K406" s="50">
        <v>89708.12</v>
      </c>
      <c r="M406" s="50">
        <v>92149.28</v>
      </c>
      <c r="O406" s="50">
        <v>-2441.16</v>
      </c>
      <c r="Q406">
        <v>-2.6</v>
      </c>
      <c r="R406" t="s">
        <v>223</v>
      </c>
    </row>
    <row r="407" spans="3:18" x14ac:dyDescent="0.25">
      <c r="C407" t="s">
        <v>499</v>
      </c>
      <c r="D407" t="s">
        <v>194</v>
      </c>
      <c r="E407">
        <v>131800</v>
      </c>
      <c r="H407" t="s">
        <v>533</v>
      </c>
      <c r="K407" s="50">
        <v>1088820.58</v>
      </c>
      <c r="M407" s="50">
        <v>1516998.17</v>
      </c>
      <c r="O407" s="50">
        <v>-428177.59</v>
      </c>
      <c r="Q407">
        <v>-28.2</v>
      </c>
    </row>
    <row r="408" spans="3:18" x14ac:dyDescent="0.25">
      <c r="K408" s="50">
        <v>1088820.58</v>
      </c>
      <c r="M408" s="50">
        <v>1516998.17</v>
      </c>
      <c r="O408" s="50">
        <v>-428177.59</v>
      </c>
      <c r="Q408">
        <v>-28.2</v>
      </c>
      <c r="R408" t="s">
        <v>223</v>
      </c>
    </row>
    <row r="409" spans="3:18" x14ac:dyDescent="0.25">
      <c r="C409" t="s">
        <v>499</v>
      </c>
      <c r="D409" t="s">
        <v>194</v>
      </c>
      <c r="E409">
        <v>138213</v>
      </c>
      <c r="H409" t="s">
        <v>534</v>
      </c>
      <c r="K409" s="50">
        <v>-3487925.23</v>
      </c>
      <c r="M409" s="50">
        <v>-3542911.32</v>
      </c>
      <c r="O409" s="50">
        <v>54986.09</v>
      </c>
      <c r="Q409">
        <v>1.6</v>
      </c>
    </row>
    <row r="410" spans="3:18" x14ac:dyDescent="0.25">
      <c r="C410" t="s">
        <v>499</v>
      </c>
      <c r="D410" t="s">
        <v>194</v>
      </c>
      <c r="E410">
        <v>138250</v>
      </c>
      <c r="H410" t="s">
        <v>535</v>
      </c>
      <c r="K410" s="50">
        <v>1421.29</v>
      </c>
      <c r="M410" s="50">
        <v>1443.87</v>
      </c>
      <c r="O410">
        <v>-22.58</v>
      </c>
      <c r="Q410">
        <v>-1.6</v>
      </c>
    </row>
    <row r="411" spans="3:18" x14ac:dyDescent="0.25">
      <c r="C411" t="s">
        <v>499</v>
      </c>
      <c r="D411" t="s">
        <v>194</v>
      </c>
      <c r="E411">
        <v>138251</v>
      </c>
      <c r="H411" t="s">
        <v>536</v>
      </c>
      <c r="K411" s="50">
        <v>832318.16</v>
      </c>
      <c r="M411" s="50">
        <v>999064.05</v>
      </c>
      <c r="O411" s="50">
        <v>-166745.89000000001</v>
      </c>
      <c r="Q411">
        <v>-16.7</v>
      </c>
    </row>
    <row r="412" spans="3:18" x14ac:dyDescent="0.25">
      <c r="C412" t="s">
        <v>499</v>
      </c>
      <c r="D412" t="s">
        <v>194</v>
      </c>
      <c r="E412">
        <v>228250</v>
      </c>
      <c r="H412" t="s">
        <v>537</v>
      </c>
      <c r="K412" s="50">
        <v>-6113.17</v>
      </c>
      <c r="M412" s="50">
        <v>-6209.96</v>
      </c>
      <c r="O412">
        <v>96.79</v>
      </c>
      <c r="Q412">
        <v>1.6</v>
      </c>
    </row>
    <row r="413" spans="3:18" x14ac:dyDescent="0.25">
      <c r="C413" t="s">
        <v>499</v>
      </c>
      <c r="D413" t="s">
        <v>194</v>
      </c>
      <c r="E413">
        <v>228251</v>
      </c>
      <c r="H413" t="s">
        <v>538</v>
      </c>
      <c r="K413" s="50">
        <v>-416655.08</v>
      </c>
      <c r="M413" s="50">
        <v>-616564.78</v>
      </c>
      <c r="O413" s="50">
        <v>199909.7</v>
      </c>
      <c r="Q413">
        <v>32.4</v>
      </c>
    </row>
    <row r="414" spans="3:18" x14ac:dyDescent="0.25">
      <c r="K414" s="50">
        <v>-3076954.03</v>
      </c>
      <c r="M414" s="50">
        <v>-3165178.14</v>
      </c>
      <c r="O414" s="50">
        <v>88224.11</v>
      </c>
      <c r="Q414">
        <v>2.8</v>
      </c>
      <c r="R414" t="s">
        <v>223</v>
      </c>
    </row>
    <row r="415" spans="3:18" x14ac:dyDescent="0.25">
      <c r="C415" t="s">
        <v>499</v>
      </c>
      <c r="D415" t="s">
        <v>194</v>
      </c>
      <c r="E415">
        <v>131810</v>
      </c>
      <c r="H415" t="s">
        <v>539</v>
      </c>
      <c r="K415" s="50">
        <v>3757358.34</v>
      </c>
      <c r="M415" s="50">
        <v>3278365.83</v>
      </c>
      <c r="O415" s="50">
        <v>478992.51</v>
      </c>
      <c r="Q415">
        <v>14.6</v>
      </c>
    </row>
    <row r="416" spans="3:18" x14ac:dyDescent="0.25">
      <c r="E416" t="s">
        <v>540</v>
      </c>
      <c r="K416" s="50">
        <v>3757358.34</v>
      </c>
      <c r="M416" s="50">
        <v>3278365.83</v>
      </c>
      <c r="O416" s="50">
        <v>478992.51</v>
      </c>
      <c r="Q416">
        <v>14.6</v>
      </c>
      <c r="R416" t="s">
        <v>223</v>
      </c>
    </row>
    <row r="417" spans="3:18" x14ac:dyDescent="0.25">
      <c r="C417" t="s">
        <v>499</v>
      </c>
      <c r="D417" t="s">
        <v>194</v>
      </c>
      <c r="E417">
        <v>131730</v>
      </c>
      <c r="H417" t="s">
        <v>541</v>
      </c>
      <c r="K417" s="50">
        <v>155919.26999999999</v>
      </c>
      <c r="M417" s="50">
        <v>157283.87</v>
      </c>
      <c r="O417" s="50">
        <v>-1364.6</v>
      </c>
      <c r="Q417">
        <v>-0.9</v>
      </c>
    </row>
    <row r="418" spans="3:18" x14ac:dyDescent="0.25">
      <c r="E418" t="s">
        <v>542</v>
      </c>
      <c r="K418" s="50">
        <v>155919.26999999999</v>
      </c>
      <c r="M418" s="50">
        <v>157283.87</v>
      </c>
      <c r="O418" s="50">
        <v>-1364.6</v>
      </c>
      <c r="Q418">
        <v>-0.9</v>
      </c>
      <c r="R418" t="s">
        <v>223</v>
      </c>
    </row>
    <row r="419" spans="3:18" x14ac:dyDescent="0.25">
      <c r="C419" t="s">
        <v>499</v>
      </c>
      <c r="D419" t="s">
        <v>194</v>
      </c>
      <c r="E419">
        <v>131760</v>
      </c>
      <c r="H419" t="s">
        <v>543</v>
      </c>
      <c r="K419" s="50">
        <v>1349863.45</v>
      </c>
      <c r="M419" s="50">
        <v>1377013.86</v>
      </c>
      <c r="O419" s="50">
        <v>-27150.41</v>
      </c>
      <c r="Q419">
        <v>-2</v>
      </c>
    </row>
    <row r="420" spans="3:18" x14ac:dyDescent="0.25">
      <c r="C420" t="s">
        <v>499</v>
      </c>
      <c r="D420" t="s">
        <v>194</v>
      </c>
      <c r="E420">
        <v>131820</v>
      </c>
      <c r="H420" t="s">
        <v>544</v>
      </c>
      <c r="K420" s="50">
        <v>1907641.18</v>
      </c>
      <c r="M420" s="50">
        <v>1947458.73</v>
      </c>
      <c r="O420" s="50">
        <v>-39817.550000000003</v>
      </c>
      <c r="Q420">
        <v>-2</v>
      </c>
    </row>
    <row r="421" spans="3:18" x14ac:dyDescent="0.25">
      <c r="E421" t="s">
        <v>545</v>
      </c>
      <c r="K421" s="50">
        <v>3257504.63</v>
      </c>
      <c r="M421" s="50">
        <v>3324472.59</v>
      </c>
      <c r="O421" s="50">
        <v>-66967.960000000006</v>
      </c>
      <c r="Q421">
        <v>-2</v>
      </c>
      <c r="R421" t="s">
        <v>223</v>
      </c>
    </row>
    <row r="422" spans="3:18" x14ac:dyDescent="0.25">
      <c r="C422" t="s">
        <v>499</v>
      </c>
      <c r="D422" t="s">
        <v>194</v>
      </c>
      <c r="E422">
        <v>130100</v>
      </c>
      <c r="H422" t="s">
        <v>546</v>
      </c>
      <c r="K422" s="50">
        <v>12063895.4</v>
      </c>
      <c r="M422" s="50">
        <v>11906501.01</v>
      </c>
      <c r="O422" s="50">
        <v>157394.39000000001</v>
      </c>
      <c r="Q422">
        <v>1.3</v>
      </c>
    </row>
    <row r="423" spans="3:18" x14ac:dyDescent="0.25">
      <c r="C423" t="s">
        <v>499</v>
      </c>
      <c r="D423" t="s">
        <v>194</v>
      </c>
      <c r="E423">
        <v>130110</v>
      </c>
      <c r="H423" t="s">
        <v>547</v>
      </c>
      <c r="K423" s="50">
        <v>1092650.81</v>
      </c>
      <c r="M423" s="50">
        <v>1199780.51</v>
      </c>
      <c r="O423" s="50">
        <v>-107129.7</v>
      </c>
      <c r="Q423">
        <v>-8.9</v>
      </c>
    </row>
    <row r="424" spans="3:18" x14ac:dyDescent="0.25">
      <c r="C424" t="s">
        <v>499</v>
      </c>
      <c r="D424" t="s">
        <v>194</v>
      </c>
      <c r="E424">
        <v>130130</v>
      </c>
      <c r="H424" t="s">
        <v>548</v>
      </c>
      <c r="K424" s="50">
        <v>782419.29</v>
      </c>
      <c r="M424" s="50">
        <v>782369.29</v>
      </c>
      <c r="O424">
        <v>50</v>
      </c>
    </row>
    <row r="425" spans="3:18" x14ac:dyDescent="0.25">
      <c r="C425" t="s">
        <v>499</v>
      </c>
      <c r="D425" t="s">
        <v>194</v>
      </c>
      <c r="E425">
        <v>130140</v>
      </c>
      <c r="H425" t="s">
        <v>549</v>
      </c>
      <c r="K425" s="50">
        <v>116584.47</v>
      </c>
      <c r="M425" s="50">
        <v>116584.47</v>
      </c>
      <c r="O425">
        <v>0</v>
      </c>
    </row>
    <row r="426" spans="3:18" x14ac:dyDescent="0.25">
      <c r="C426" t="s">
        <v>499</v>
      </c>
      <c r="D426" t="s">
        <v>194</v>
      </c>
      <c r="E426">
        <v>130220</v>
      </c>
      <c r="H426" t="s">
        <v>550</v>
      </c>
      <c r="K426" s="50">
        <v>24201.15</v>
      </c>
      <c r="M426" s="50">
        <v>24201.15</v>
      </c>
      <c r="O426">
        <v>0</v>
      </c>
    </row>
    <row r="427" spans="3:18" x14ac:dyDescent="0.25">
      <c r="C427" t="s">
        <v>499</v>
      </c>
      <c r="D427" t="s">
        <v>194</v>
      </c>
      <c r="E427">
        <v>131740</v>
      </c>
      <c r="H427" t="s">
        <v>237</v>
      </c>
      <c r="K427" s="50">
        <v>524639.06999999995</v>
      </c>
      <c r="M427" s="50">
        <v>584719.07999999996</v>
      </c>
      <c r="O427" s="50">
        <v>-60080.01</v>
      </c>
      <c r="Q427">
        <v>-10.3</v>
      </c>
    </row>
    <row r="428" spans="3:18" x14ac:dyDescent="0.25">
      <c r="C428" t="s">
        <v>499</v>
      </c>
      <c r="D428" t="s">
        <v>194</v>
      </c>
      <c r="E428">
        <v>132000</v>
      </c>
      <c r="H428" t="s">
        <v>551</v>
      </c>
      <c r="K428" s="50">
        <v>2000</v>
      </c>
      <c r="M428" s="50">
        <v>2000</v>
      </c>
      <c r="O428">
        <v>0</v>
      </c>
    </row>
    <row r="429" spans="3:18" x14ac:dyDescent="0.25">
      <c r="C429" t="s">
        <v>499</v>
      </c>
      <c r="D429" t="s">
        <v>194</v>
      </c>
      <c r="E429">
        <v>132007</v>
      </c>
      <c r="H429" t="s">
        <v>552</v>
      </c>
      <c r="K429" s="50">
        <v>2000</v>
      </c>
      <c r="M429" s="50">
        <v>2000</v>
      </c>
      <c r="O429">
        <v>0</v>
      </c>
    </row>
    <row r="430" spans="3:18" x14ac:dyDescent="0.25">
      <c r="E430" t="s">
        <v>239</v>
      </c>
      <c r="K430" s="50">
        <v>14608390.189999999</v>
      </c>
      <c r="M430" s="50">
        <v>14618155.51</v>
      </c>
      <c r="O430" s="50">
        <v>-9765.32</v>
      </c>
      <c r="Q430">
        <v>-0.1</v>
      </c>
      <c r="R430" t="s">
        <v>223</v>
      </c>
    </row>
    <row r="431" spans="3:18" x14ac:dyDescent="0.25">
      <c r="C431" t="s">
        <v>499</v>
      </c>
      <c r="D431" t="s">
        <v>194</v>
      </c>
      <c r="E431">
        <v>131500</v>
      </c>
      <c r="H431" t="s">
        <v>553</v>
      </c>
      <c r="K431" s="50">
        <v>1970628.19</v>
      </c>
      <c r="M431" s="50">
        <v>7441468.5999999996</v>
      </c>
      <c r="O431" s="50">
        <v>-5470840.4100000001</v>
      </c>
      <c r="Q431">
        <v>-73.5</v>
      </c>
    </row>
    <row r="432" spans="3:18" x14ac:dyDescent="0.25">
      <c r="E432" t="s">
        <v>241</v>
      </c>
      <c r="K432" s="50">
        <v>1970628.19</v>
      </c>
      <c r="M432" s="50">
        <v>7441468.5999999996</v>
      </c>
      <c r="O432" s="50">
        <v>-5470840.4100000001</v>
      </c>
      <c r="Q432">
        <v>-73.5</v>
      </c>
      <c r="R432" t="s">
        <v>223</v>
      </c>
    </row>
    <row r="433" spans="3:18" x14ac:dyDescent="0.25">
      <c r="C433" t="s">
        <v>499</v>
      </c>
      <c r="D433" t="s">
        <v>194</v>
      </c>
      <c r="E433">
        <v>133000</v>
      </c>
      <c r="H433" t="s">
        <v>554</v>
      </c>
      <c r="K433" s="50">
        <v>65700000</v>
      </c>
      <c r="M433" s="50">
        <v>92403725.569999993</v>
      </c>
      <c r="O433" s="50">
        <v>-26703725.57</v>
      </c>
      <c r="Q433">
        <v>-28.9</v>
      </c>
    </row>
    <row r="434" spans="3:18" x14ac:dyDescent="0.25">
      <c r="E434" t="s">
        <v>244</v>
      </c>
      <c r="K434" s="50">
        <v>65700000</v>
      </c>
      <c r="M434" s="50">
        <v>92403725.569999993</v>
      </c>
      <c r="O434" s="50">
        <v>-26703725.57</v>
      </c>
      <c r="Q434">
        <v>-28.9</v>
      </c>
      <c r="R434" t="s">
        <v>223</v>
      </c>
    </row>
    <row r="435" spans="3:18" x14ac:dyDescent="0.25">
      <c r="C435" t="s">
        <v>499</v>
      </c>
      <c r="D435" t="s">
        <v>194</v>
      </c>
      <c r="E435">
        <v>133220</v>
      </c>
      <c r="H435" t="s">
        <v>555</v>
      </c>
      <c r="K435" s="50">
        <v>699787246.69000006</v>
      </c>
      <c r="M435" s="50">
        <v>731078718.88</v>
      </c>
      <c r="O435" s="50">
        <v>-31291472.190000001</v>
      </c>
      <c r="Q435">
        <v>-4.3</v>
      </c>
    </row>
    <row r="436" spans="3:18" x14ac:dyDescent="0.25">
      <c r="E436" t="s">
        <v>247</v>
      </c>
      <c r="K436" s="50">
        <v>699787246.69000006</v>
      </c>
      <c r="M436" s="50">
        <v>731078718.88</v>
      </c>
      <c r="O436" s="50">
        <v>-31291472.190000001</v>
      </c>
      <c r="Q436">
        <v>-4.3</v>
      </c>
      <c r="R436" t="s">
        <v>223</v>
      </c>
    </row>
    <row r="437" spans="3:18" x14ac:dyDescent="0.25">
      <c r="C437" t="s">
        <v>499</v>
      </c>
      <c r="D437" t="s">
        <v>194</v>
      </c>
      <c r="E437">
        <v>133245</v>
      </c>
      <c r="H437" t="s">
        <v>556</v>
      </c>
      <c r="K437" s="50">
        <v>40000000</v>
      </c>
      <c r="M437" s="50">
        <v>40000000</v>
      </c>
      <c r="O437">
        <v>0</v>
      </c>
    </row>
    <row r="438" spans="3:18" x14ac:dyDescent="0.25">
      <c r="C438" t="s">
        <v>499</v>
      </c>
      <c r="D438" t="s">
        <v>194</v>
      </c>
      <c r="E438">
        <v>133262</v>
      </c>
      <c r="H438" t="s">
        <v>557</v>
      </c>
      <c r="K438" s="50">
        <v>330000000</v>
      </c>
      <c r="M438" s="50">
        <v>330000000</v>
      </c>
      <c r="O438">
        <v>0</v>
      </c>
    </row>
    <row r="439" spans="3:18" x14ac:dyDescent="0.25">
      <c r="E439" t="s">
        <v>256</v>
      </c>
      <c r="K439" s="50">
        <v>370000000</v>
      </c>
      <c r="M439" s="50">
        <v>370000000</v>
      </c>
      <c r="O439">
        <v>0</v>
      </c>
      <c r="R439" t="s">
        <v>223</v>
      </c>
    </row>
    <row r="440" spans="3:18" x14ac:dyDescent="0.25">
      <c r="C440" t="s">
        <v>499</v>
      </c>
      <c r="D440" t="s">
        <v>194</v>
      </c>
      <c r="E440">
        <v>133270</v>
      </c>
      <c r="H440" t="e">
        <f>- AFS-Mark To Market-OFI</f>
        <v>#NAME?</v>
      </c>
      <c r="K440" s="50">
        <v>8865600</v>
      </c>
      <c r="M440" s="50">
        <v>7545250</v>
      </c>
      <c r="O440" s="50">
        <v>1320350</v>
      </c>
      <c r="Q440">
        <v>17.5</v>
      </c>
    </row>
    <row r="441" spans="3:18" x14ac:dyDescent="0.25">
      <c r="K441" s="50">
        <v>8865600</v>
      </c>
      <c r="M441" s="50">
        <v>7545250</v>
      </c>
      <c r="O441" s="50">
        <v>1320350</v>
      </c>
      <c r="Q441">
        <v>17.5</v>
      </c>
      <c r="R441" t="s">
        <v>223</v>
      </c>
    </row>
    <row r="442" spans="3:18" x14ac:dyDescent="0.25">
      <c r="C442" t="s">
        <v>499</v>
      </c>
      <c r="D442" t="s">
        <v>194</v>
      </c>
      <c r="E442">
        <v>138700</v>
      </c>
      <c r="H442" t="s">
        <v>558</v>
      </c>
      <c r="K442" s="50">
        <v>251638473.02000001</v>
      </c>
      <c r="M442" s="50">
        <v>-22355268.010000002</v>
      </c>
      <c r="O442" s="50">
        <v>273993741.02999997</v>
      </c>
      <c r="Q442">
        <v>1225.5999999999999</v>
      </c>
    </row>
    <row r="443" spans="3:18" x14ac:dyDescent="0.25">
      <c r="C443" t="s">
        <v>499</v>
      </c>
      <c r="D443" t="s">
        <v>194</v>
      </c>
      <c r="E443">
        <v>138900</v>
      </c>
      <c r="H443" t="s">
        <v>559</v>
      </c>
      <c r="K443">
        <v>0</v>
      </c>
      <c r="M443" s="50">
        <v>194074635.16</v>
      </c>
      <c r="O443" s="50">
        <v>-194074635.16</v>
      </c>
      <c r="Q443">
        <v>-100</v>
      </c>
    </row>
    <row r="444" spans="3:18" x14ac:dyDescent="0.25">
      <c r="C444" t="s">
        <v>499</v>
      </c>
      <c r="D444" t="s">
        <v>194</v>
      </c>
      <c r="E444">
        <v>138903</v>
      </c>
      <c r="H444" t="s">
        <v>560</v>
      </c>
      <c r="K444">
        <v>0</v>
      </c>
      <c r="M444" s="50">
        <v>56292294.100000001</v>
      </c>
      <c r="O444" s="50">
        <v>-56292294.100000001</v>
      </c>
      <c r="Q444">
        <v>-100</v>
      </c>
    </row>
    <row r="445" spans="3:18" x14ac:dyDescent="0.25">
      <c r="E445" t="s">
        <v>561</v>
      </c>
      <c r="K445" s="50">
        <v>251638473.02000001</v>
      </c>
      <c r="M445" s="50">
        <v>228011661.25</v>
      </c>
      <c r="O445" s="50">
        <v>23626811.77</v>
      </c>
      <c r="Q445">
        <v>10.4</v>
      </c>
      <c r="R445" t="s">
        <v>223</v>
      </c>
    </row>
    <row r="446" spans="3:18" x14ac:dyDescent="0.25">
      <c r="C446" t="s">
        <v>499</v>
      </c>
      <c r="D446" t="s">
        <v>194</v>
      </c>
      <c r="E446">
        <v>138905</v>
      </c>
      <c r="H446" t="s">
        <v>562</v>
      </c>
      <c r="K446" s="50">
        <v>1261880</v>
      </c>
      <c r="M446" s="50">
        <v>495000</v>
      </c>
      <c r="O446" s="50">
        <v>766880</v>
      </c>
      <c r="Q446">
        <v>154.9</v>
      </c>
    </row>
    <row r="447" spans="3:18" x14ac:dyDescent="0.25">
      <c r="C447" t="s">
        <v>499</v>
      </c>
      <c r="D447" t="s">
        <v>194</v>
      </c>
      <c r="E447">
        <v>138906</v>
      </c>
      <c r="H447" t="s">
        <v>563</v>
      </c>
      <c r="K447">
        <v>-50</v>
      </c>
      <c r="M447">
        <v>-50</v>
      </c>
      <c r="O447">
        <v>0</v>
      </c>
    </row>
    <row r="448" spans="3:18" x14ac:dyDescent="0.25">
      <c r="E448" t="s">
        <v>259</v>
      </c>
      <c r="K448" s="50">
        <v>1261830</v>
      </c>
      <c r="M448" s="50">
        <v>494950</v>
      </c>
      <c r="O448" s="50">
        <v>766880</v>
      </c>
      <c r="Q448">
        <v>154.9</v>
      </c>
      <c r="R448" t="s">
        <v>223</v>
      </c>
    </row>
    <row r="449" spans="3:18" x14ac:dyDescent="0.25">
      <c r="C449" t="s">
        <v>499</v>
      </c>
      <c r="D449" t="s">
        <v>194</v>
      </c>
      <c r="E449">
        <v>136254</v>
      </c>
      <c r="H449" t="s">
        <v>564</v>
      </c>
      <c r="K449" s="50">
        <v>224198127.72999999</v>
      </c>
      <c r="M449" s="50">
        <v>256640992.75999999</v>
      </c>
      <c r="O449" s="50">
        <v>-32442865.030000001</v>
      </c>
      <c r="Q449">
        <v>-12.6</v>
      </c>
    </row>
    <row r="450" spans="3:18" x14ac:dyDescent="0.25">
      <c r="C450" t="s">
        <v>499</v>
      </c>
      <c r="D450" t="s">
        <v>194</v>
      </c>
      <c r="E450">
        <v>138901</v>
      </c>
      <c r="H450" t="s">
        <v>565</v>
      </c>
      <c r="K450" s="50">
        <v>1791271652.5599999</v>
      </c>
      <c r="M450" s="50">
        <v>1799988878.8099999</v>
      </c>
      <c r="O450" s="50">
        <v>-8717226.25</v>
      </c>
      <c r="Q450">
        <v>-0.5</v>
      </c>
    </row>
    <row r="451" spans="3:18" x14ac:dyDescent="0.25">
      <c r="E451" t="s">
        <v>566</v>
      </c>
      <c r="K451" s="50">
        <v>2015469780.29</v>
      </c>
      <c r="M451" s="50">
        <v>2056629871.5699999</v>
      </c>
      <c r="O451" s="50">
        <v>-41160091.280000001</v>
      </c>
      <c r="Q451">
        <v>-2</v>
      </c>
      <c r="R451" t="s">
        <v>223</v>
      </c>
    </row>
    <row r="452" spans="3:18" x14ac:dyDescent="0.25">
      <c r="C452" t="s">
        <v>499</v>
      </c>
      <c r="D452" t="s">
        <v>194</v>
      </c>
      <c r="E452">
        <v>134000</v>
      </c>
      <c r="H452" t="s">
        <v>567</v>
      </c>
      <c r="K452" s="50">
        <v>6954390.4500000002</v>
      </c>
      <c r="M452" s="50">
        <v>6915623.0999999996</v>
      </c>
      <c r="O452" s="50">
        <v>38767.35</v>
      </c>
      <c r="Q452">
        <v>0.6</v>
      </c>
    </row>
    <row r="453" spans="3:18" x14ac:dyDescent="0.25">
      <c r="C453" t="s">
        <v>499</v>
      </c>
      <c r="D453" t="s">
        <v>194</v>
      </c>
      <c r="E453">
        <v>134002</v>
      </c>
      <c r="H453" t="s">
        <v>568</v>
      </c>
      <c r="K453" s="50">
        <v>1445.39</v>
      </c>
      <c r="M453" s="50">
        <v>1445.39</v>
      </c>
      <c r="O453">
        <v>0</v>
      </c>
    </row>
    <row r="454" spans="3:18" x14ac:dyDescent="0.25">
      <c r="C454" t="s">
        <v>499</v>
      </c>
      <c r="D454" t="s">
        <v>194</v>
      </c>
      <c r="E454">
        <v>134003</v>
      </c>
      <c r="H454" t="s">
        <v>569</v>
      </c>
      <c r="K454" s="50">
        <v>20702.95</v>
      </c>
      <c r="M454" s="50">
        <v>23550.18</v>
      </c>
      <c r="O454" s="50">
        <v>-2847.23</v>
      </c>
      <c r="Q454">
        <v>-12.1</v>
      </c>
    </row>
    <row r="455" spans="3:18" x14ac:dyDescent="0.25">
      <c r="C455" t="s">
        <v>499</v>
      </c>
      <c r="D455" t="s">
        <v>194</v>
      </c>
      <c r="E455">
        <v>136000</v>
      </c>
      <c r="H455" t="s">
        <v>260</v>
      </c>
      <c r="K455" s="50">
        <v>860346835.55999994</v>
      </c>
      <c r="M455" s="50">
        <v>848883507.24000001</v>
      </c>
      <c r="O455" s="50">
        <v>11463328.32</v>
      </c>
      <c r="Q455">
        <v>1.4</v>
      </c>
    </row>
    <row r="456" spans="3:18" x14ac:dyDescent="0.25">
      <c r="C456" t="s">
        <v>499</v>
      </c>
      <c r="D456" t="s">
        <v>194</v>
      </c>
      <c r="E456">
        <v>136001</v>
      </c>
      <c r="H456" t="s">
        <v>570</v>
      </c>
      <c r="K456" s="50">
        <v>62548910.770000003</v>
      </c>
      <c r="M456" s="50">
        <v>61959438.649999999</v>
      </c>
      <c r="O456" s="50">
        <v>589472.12</v>
      </c>
      <c r="Q456">
        <v>1</v>
      </c>
    </row>
    <row r="457" spans="3:18" x14ac:dyDescent="0.25">
      <c r="C457" t="s">
        <v>499</v>
      </c>
      <c r="D457" t="s">
        <v>194</v>
      </c>
      <c r="E457">
        <v>136255</v>
      </c>
      <c r="H457" t="s">
        <v>571</v>
      </c>
      <c r="K457" s="50">
        <v>-2812191.33</v>
      </c>
      <c r="M457" s="50">
        <v>10690188.34</v>
      </c>
      <c r="O457" s="50">
        <v>-13502379.67</v>
      </c>
      <c r="Q457">
        <v>-126.3</v>
      </c>
    </row>
    <row r="458" spans="3:18" x14ac:dyDescent="0.25">
      <c r="C458" t="s">
        <v>499</v>
      </c>
      <c r="D458" t="s">
        <v>194</v>
      </c>
      <c r="E458">
        <v>136256</v>
      </c>
      <c r="H458" t="s">
        <v>572</v>
      </c>
      <c r="K458" s="50">
        <v>516320.92</v>
      </c>
      <c r="M458" s="50">
        <v>597737.12</v>
      </c>
      <c r="O458" s="50">
        <v>-81416.2</v>
      </c>
      <c r="Q458">
        <v>-13.6</v>
      </c>
    </row>
    <row r="459" spans="3:18" x14ac:dyDescent="0.25">
      <c r="C459" t="s">
        <v>499</v>
      </c>
      <c r="D459" t="s">
        <v>194</v>
      </c>
      <c r="E459">
        <v>136263</v>
      </c>
      <c r="H459" t="s">
        <v>573</v>
      </c>
      <c r="K459">
        <v>-67.75</v>
      </c>
      <c r="M459">
        <v>-46.03</v>
      </c>
      <c r="O459">
        <v>-21.72</v>
      </c>
      <c r="Q459">
        <v>-47.2</v>
      </c>
    </row>
    <row r="460" spans="3:18" x14ac:dyDescent="0.25">
      <c r="K460" s="50">
        <v>927576346.96000004</v>
      </c>
      <c r="M460" s="50">
        <v>929071443.99000001</v>
      </c>
      <c r="O460" s="50">
        <v>-1495097.03</v>
      </c>
      <c r="Q460">
        <v>-0.2</v>
      </c>
      <c r="R460" t="s">
        <v>223</v>
      </c>
    </row>
    <row r="461" spans="3:18" x14ac:dyDescent="0.25">
      <c r="C461" t="s">
        <v>499</v>
      </c>
      <c r="D461" t="s">
        <v>194</v>
      </c>
      <c r="E461">
        <v>134001</v>
      </c>
      <c r="H461" t="s">
        <v>574</v>
      </c>
      <c r="K461">
        <v>0</v>
      </c>
      <c r="M461" s="50">
        <v>239399.24</v>
      </c>
      <c r="O461" s="50">
        <v>-239399.24</v>
      </c>
      <c r="Q461">
        <v>-100</v>
      </c>
    </row>
    <row r="462" spans="3:18" x14ac:dyDescent="0.25">
      <c r="C462" t="s">
        <v>499</v>
      </c>
      <c r="D462" t="s">
        <v>194</v>
      </c>
      <c r="E462">
        <v>138701</v>
      </c>
      <c r="H462" t="s">
        <v>575</v>
      </c>
      <c r="K462" s="50">
        <v>751265.16</v>
      </c>
      <c r="M462" s="50">
        <v>426818.9</v>
      </c>
      <c r="O462" s="50">
        <v>324446.26</v>
      </c>
      <c r="Q462">
        <v>76</v>
      </c>
    </row>
    <row r="463" spans="3:18" x14ac:dyDescent="0.25">
      <c r="K463" s="50">
        <v>751265.16</v>
      </c>
      <c r="M463" s="50">
        <v>666218.14</v>
      </c>
      <c r="O463" s="50">
        <v>85047.02</v>
      </c>
      <c r="Q463">
        <v>12.8</v>
      </c>
      <c r="R463" t="s">
        <v>223</v>
      </c>
    </row>
    <row r="464" spans="3:18" x14ac:dyDescent="0.25">
      <c r="C464" t="s">
        <v>499</v>
      </c>
      <c r="D464" t="s">
        <v>194</v>
      </c>
      <c r="E464">
        <v>135000</v>
      </c>
      <c r="H464" t="s">
        <v>576</v>
      </c>
      <c r="K464" s="50">
        <v>106117</v>
      </c>
      <c r="M464" s="50">
        <v>21855.38</v>
      </c>
      <c r="O464" s="50">
        <v>84261.62</v>
      </c>
      <c r="Q464">
        <v>385.5</v>
      </c>
    </row>
    <row r="465" spans="3:18" x14ac:dyDescent="0.25">
      <c r="C465" t="s">
        <v>499</v>
      </c>
      <c r="D465" t="s">
        <v>194</v>
      </c>
      <c r="E465">
        <v>135153</v>
      </c>
      <c r="H465" t="s">
        <v>577</v>
      </c>
      <c r="K465" s="50">
        <v>407059.45</v>
      </c>
      <c r="M465" s="50">
        <v>260284.14</v>
      </c>
      <c r="O465" s="50">
        <v>146775.31</v>
      </c>
      <c r="Q465">
        <v>56.4</v>
      </c>
    </row>
    <row r="466" spans="3:18" x14ac:dyDescent="0.25">
      <c r="C466" t="s">
        <v>499</v>
      </c>
      <c r="D466" t="s">
        <v>194</v>
      </c>
      <c r="E466">
        <v>135506</v>
      </c>
      <c r="H466" t="s">
        <v>578</v>
      </c>
      <c r="K466" s="50">
        <v>923572.94</v>
      </c>
      <c r="M466" s="50">
        <v>933748.88</v>
      </c>
      <c r="O466" s="50">
        <v>-10175.94</v>
      </c>
      <c r="Q466">
        <v>-1.1000000000000001</v>
      </c>
    </row>
    <row r="467" spans="3:18" x14ac:dyDescent="0.25">
      <c r="C467" t="s">
        <v>499</v>
      </c>
      <c r="D467" t="s">
        <v>194</v>
      </c>
      <c r="E467">
        <v>135602</v>
      </c>
      <c r="H467" t="s">
        <v>579</v>
      </c>
      <c r="K467" s="50">
        <v>2835468.9</v>
      </c>
      <c r="M467" s="50">
        <v>2888713.26</v>
      </c>
      <c r="O467" s="50">
        <v>-53244.36</v>
      </c>
      <c r="Q467">
        <v>-1.8</v>
      </c>
    </row>
    <row r="468" spans="3:18" x14ac:dyDescent="0.25">
      <c r="C468" t="s">
        <v>499</v>
      </c>
      <c r="D468" t="s">
        <v>194</v>
      </c>
      <c r="E468">
        <v>135702</v>
      </c>
      <c r="H468" t="s">
        <v>580</v>
      </c>
      <c r="K468" s="50">
        <v>3568765.15</v>
      </c>
      <c r="M468" s="50">
        <v>2737939.13</v>
      </c>
      <c r="O468" s="50">
        <v>830826.02</v>
      </c>
      <c r="Q468">
        <v>30.3</v>
      </c>
    </row>
    <row r="469" spans="3:18" x14ac:dyDescent="0.25">
      <c r="E469" t="s">
        <v>267</v>
      </c>
      <c r="K469" s="50">
        <v>7840983.4400000004</v>
      </c>
      <c r="M469" s="50">
        <v>6842540.79</v>
      </c>
      <c r="O469" s="50">
        <v>998442.65</v>
      </c>
      <c r="Q469">
        <v>14.6</v>
      </c>
      <c r="R469" t="s">
        <v>223</v>
      </c>
    </row>
    <row r="470" spans="3:18" x14ac:dyDescent="0.25">
      <c r="C470" t="s">
        <v>499</v>
      </c>
      <c r="D470" t="s">
        <v>194</v>
      </c>
      <c r="E470">
        <v>135120</v>
      </c>
      <c r="H470" t="s">
        <v>581</v>
      </c>
      <c r="K470" s="50">
        <v>3716431.67</v>
      </c>
      <c r="M470" s="50">
        <v>3140392.45</v>
      </c>
      <c r="O470" s="50">
        <v>576039.22</v>
      </c>
      <c r="Q470">
        <v>18.3</v>
      </c>
    </row>
    <row r="471" spans="3:18" x14ac:dyDescent="0.25">
      <c r="E471" t="s">
        <v>582</v>
      </c>
      <c r="K471" s="50">
        <v>3716431.67</v>
      </c>
      <c r="M471" s="50">
        <v>3140392.45</v>
      </c>
      <c r="O471" s="50">
        <v>576039.22</v>
      </c>
      <c r="Q471">
        <v>18.3</v>
      </c>
      <c r="R471" t="s">
        <v>223</v>
      </c>
    </row>
    <row r="472" spans="3:18" x14ac:dyDescent="0.25">
      <c r="C472" t="s">
        <v>499</v>
      </c>
      <c r="D472" t="s">
        <v>194</v>
      </c>
      <c r="E472">
        <v>138000</v>
      </c>
      <c r="H472" t="s">
        <v>583</v>
      </c>
      <c r="K472" s="50">
        <v>9661.5499999999993</v>
      </c>
      <c r="M472" s="50">
        <v>9661.5499999999993</v>
      </c>
      <c r="O472">
        <v>0</v>
      </c>
    </row>
    <row r="473" spans="3:18" x14ac:dyDescent="0.25">
      <c r="C473" t="s">
        <v>499</v>
      </c>
      <c r="D473" t="s">
        <v>194</v>
      </c>
      <c r="E473">
        <v>138001</v>
      </c>
      <c r="H473" t="s">
        <v>584</v>
      </c>
      <c r="K473" s="50">
        <v>3280.8</v>
      </c>
      <c r="M473" s="50">
        <v>3280.8</v>
      </c>
      <c r="O473">
        <v>0</v>
      </c>
    </row>
    <row r="474" spans="3:18" x14ac:dyDescent="0.25">
      <c r="C474" t="s">
        <v>499</v>
      </c>
      <c r="D474" t="s">
        <v>194</v>
      </c>
      <c r="E474">
        <v>138002</v>
      </c>
      <c r="H474" t="s">
        <v>585</v>
      </c>
      <c r="K474" s="50">
        <v>144500</v>
      </c>
      <c r="M474" s="50">
        <v>144500</v>
      </c>
      <c r="O474">
        <v>0</v>
      </c>
    </row>
    <row r="475" spans="3:18" x14ac:dyDescent="0.25">
      <c r="C475" t="s">
        <v>499</v>
      </c>
      <c r="D475" t="s">
        <v>194</v>
      </c>
      <c r="E475">
        <v>138003</v>
      </c>
      <c r="H475" t="s">
        <v>586</v>
      </c>
      <c r="K475" s="50">
        <v>509069.78</v>
      </c>
      <c r="M475" s="50">
        <v>509069.78</v>
      </c>
      <c r="O475">
        <v>0</v>
      </c>
    </row>
    <row r="476" spans="3:18" x14ac:dyDescent="0.25">
      <c r="C476" t="s">
        <v>499</v>
      </c>
      <c r="D476" t="s">
        <v>194</v>
      </c>
      <c r="E476">
        <v>138005</v>
      </c>
      <c r="H476" t="s">
        <v>587</v>
      </c>
      <c r="K476" s="50">
        <v>20900</v>
      </c>
      <c r="M476" s="50">
        <v>20900</v>
      </c>
      <c r="O476">
        <v>0</v>
      </c>
    </row>
    <row r="477" spans="3:18" x14ac:dyDescent="0.25">
      <c r="C477" t="s">
        <v>499</v>
      </c>
      <c r="D477" t="s">
        <v>194</v>
      </c>
      <c r="E477">
        <v>138010</v>
      </c>
      <c r="H477" t="s">
        <v>588</v>
      </c>
      <c r="K477" s="50">
        <v>189168.57</v>
      </c>
      <c r="M477" s="50">
        <v>189168.57</v>
      </c>
      <c r="O477">
        <v>0</v>
      </c>
    </row>
    <row r="478" spans="3:18" x14ac:dyDescent="0.25">
      <c r="C478" t="s">
        <v>499</v>
      </c>
      <c r="D478" t="s">
        <v>194</v>
      </c>
      <c r="E478">
        <v>138100</v>
      </c>
      <c r="H478" t="s">
        <v>589</v>
      </c>
      <c r="K478" s="50">
        <v>4547244.1100000003</v>
      </c>
      <c r="M478" s="50">
        <v>5228727.75</v>
      </c>
      <c r="O478" s="50">
        <v>-681483.64</v>
      </c>
      <c r="Q478">
        <v>-13</v>
      </c>
    </row>
    <row r="479" spans="3:18" x14ac:dyDescent="0.25">
      <c r="C479" t="s">
        <v>499</v>
      </c>
      <c r="D479" t="s">
        <v>194</v>
      </c>
      <c r="E479">
        <v>138200</v>
      </c>
      <c r="H479" t="s">
        <v>590</v>
      </c>
      <c r="K479" s="50">
        <v>35819.230000000003</v>
      </c>
      <c r="M479" s="50">
        <v>35819.230000000003</v>
      </c>
      <c r="O479">
        <v>0</v>
      </c>
    </row>
    <row r="480" spans="3:18" x14ac:dyDescent="0.25">
      <c r="C480" t="s">
        <v>499</v>
      </c>
      <c r="D480" t="s">
        <v>194</v>
      </c>
      <c r="E480">
        <v>138205</v>
      </c>
      <c r="H480" t="s">
        <v>591</v>
      </c>
      <c r="K480">
        <v>75</v>
      </c>
      <c r="M480">
        <v>75</v>
      </c>
      <c r="O480">
        <v>0</v>
      </c>
    </row>
    <row r="481" spans="3:18" x14ac:dyDescent="0.25">
      <c r="C481" t="s">
        <v>499</v>
      </c>
      <c r="D481" t="s">
        <v>194</v>
      </c>
      <c r="E481">
        <v>138208</v>
      </c>
      <c r="H481" t="s">
        <v>273</v>
      </c>
      <c r="K481" s="50">
        <v>171028.4</v>
      </c>
      <c r="M481" s="50">
        <v>171028.4</v>
      </c>
      <c r="O481">
        <v>0</v>
      </c>
    </row>
    <row r="482" spans="3:18" x14ac:dyDescent="0.25">
      <c r="C482" t="s">
        <v>499</v>
      </c>
      <c r="D482" t="s">
        <v>194</v>
      </c>
      <c r="E482">
        <v>138216</v>
      </c>
      <c r="H482" t="s">
        <v>269</v>
      </c>
      <c r="K482" s="50">
        <v>-2458228.2799999998</v>
      </c>
      <c r="M482" s="50">
        <v>-2519426.8199999998</v>
      </c>
      <c r="O482" s="50">
        <v>61198.54</v>
      </c>
      <c r="Q482">
        <v>2.4</v>
      </c>
    </row>
    <row r="483" spans="3:18" x14ac:dyDescent="0.25">
      <c r="C483" t="s">
        <v>499</v>
      </c>
      <c r="D483" t="s">
        <v>194</v>
      </c>
      <c r="E483">
        <v>138302</v>
      </c>
      <c r="H483" t="s">
        <v>592</v>
      </c>
      <c r="K483" s="50">
        <v>519999494.35000002</v>
      </c>
      <c r="M483" s="50">
        <v>517435120.56999999</v>
      </c>
      <c r="O483" s="50">
        <v>2564373.7799999998</v>
      </c>
      <c r="Q483">
        <v>0.5</v>
      </c>
    </row>
    <row r="484" spans="3:18" x14ac:dyDescent="0.25">
      <c r="C484" t="s">
        <v>499</v>
      </c>
      <c r="D484" t="s">
        <v>194</v>
      </c>
      <c r="E484">
        <v>138304</v>
      </c>
      <c r="H484" t="s">
        <v>593</v>
      </c>
      <c r="K484" s="50">
        <v>967748.06</v>
      </c>
      <c r="M484" s="50">
        <v>967748.06</v>
      </c>
      <c r="O484">
        <v>0</v>
      </c>
    </row>
    <row r="485" spans="3:18" x14ac:dyDescent="0.25">
      <c r="C485" t="s">
        <v>499</v>
      </c>
      <c r="D485" t="s">
        <v>194</v>
      </c>
      <c r="E485">
        <v>138306</v>
      </c>
      <c r="H485" t="s">
        <v>594</v>
      </c>
      <c r="K485" s="50">
        <v>-226560.69</v>
      </c>
      <c r="M485" s="50">
        <v>-221613.63</v>
      </c>
      <c r="O485" s="50">
        <v>-4947.0600000000004</v>
      </c>
      <c r="Q485">
        <v>-2.2000000000000002</v>
      </c>
    </row>
    <row r="486" spans="3:18" x14ac:dyDescent="0.25">
      <c r="C486" t="s">
        <v>499</v>
      </c>
      <c r="D486" t="s">
        <v>194</v>
      </c>
      <c r="E486">
        <v>138307</v>
      </c>
      <c r="H486" t="s">
        <v>595</v>
      </c>
      <c r="K486" s="50">
        <v>-143902783.91999999</v>
      </c>
      <c r="M486" s="50">
        <v>-137660375.38999999</v>
      </c>
      <c r="O486" s="50">
        <v>-6242408.5300000003</v>
      </c>
      <c r="Q486">
        <v>-4.5</v>
      </c>
    </row>
    <row r="487" spans="3:18" x14ac:dyDescent="0.25">
      <c r="C487" t="s">
        <v>499</v>
      </c>
      <c r="D487" t="s">
        <v>194</v>
      </c>
      <c r="E487">
        <v>138308</v>
      </c>
      <c r="H487" t="s">
        <v>596</v>
      </c>
      <c r="K487" s="50">
        <v>20989.5</v>
      </c>
      <c r="M487" s="50">
        <v>21039.5</v>
      </c>
      <c r="O487">
        <v>-50</v>
      </c>
      <c r="Q487">
        <v>-0.2</v>
      </c>
    </row>
    <row r="488" spans="3:18" x14ac:dyDescent="0.25">
      <c r="C488" t="s">
        <v>499</v>
      </c>
      <c r="D488" t="s">
        <v>194</v>
      </c>
      <c r="E488">
        <v>138401</v>
      </c>
      <c r="H488" t="s">
        <v>597</v>
      </c>
      <c r="K488" s="50">
        <v>214913.3</v>
      </c>
      <c r="M488" s="50">
        <v>217716.86</v>
      </c>
      <c r="O488" s="50">
        <v>-2803.56</v>
      </c>
      <c r="Q488">
        <v>-1.3</v>
      </c>
    </row>
    <row r="489" spans="3:18" x14ac:dyDescent="0.25">
      <c r="C489" t="s">
        <v>499</v>
      </c>
      <c r="D489" t="s">
        <v>194</v>
      </c>
      <c r="E489">
        <v>138403</v>
      </c>
      <c r="H489" t="s">
        <v>598</v>
      </c>
      <c r="K489">
        <v>500</v>
      </c>
      <c r="M489">
        <v>750</v>
      </c>
      <c r="O489">
        <v>-250</v>
      </c>
      <c r="Q489">
        <v>-33.299999999999997</v>
      </c>
    </row>
    <row r="490" spans="3:18" x14ac:dyDescent="0.25">
      <c r="C490" t="s">
        <v>499</v>
      </c>
      <c r="D490" t="s">
        <v>194</v>
      </c>
      <c r="E490">
        <v>138404</v>
      </c>
      <c r="H490" t="s">
        <v>599</v>
      </c>
      <c r="K490" s="50">
        <v>2250.0300000000002</v>
      </c>
      <c r="M490" s="50">
        <v>2333.36</v>
      </c>
      <c r="O490">
        <v>-83.33</v>
      </c>
      <c r="Q490">
        <v>-3.6</v>
      </c>
    </row>
    <row r="491" spans="3:18" x14ac:dyDescent="0.25">
      <c r="C491" t="s">
        <v>499</v>
      </c>
      <c r="D491" t="s">
        <v>194</v>
      </c>
      <c r="E491">
        <v>138408</v>
      </c>
      <c r="H491" t="s">
        <v>600</v>
      </c>
      <c r="K491" s="50">
        <v>3529.56</v>
      </c>
      <c r="M491" s="50">
        <v>3720.85</v>
      </c>
      <c r="O491">
        <v>-191.29</v>
      </c>
      <c r="Q491">
        <v>-5.0999999999999996</v>
      </c>
    </row>
    <row r="492" spans="3:18" x14ac:dyDescent="0.25">
      <c r="C492" t="s">
        <v>499</v>
      </c>
      <c r="D492" t="s">
        <v>194</v>
      </c>
      <c r="E492">
        <v>138409</v>
      </c>
      <c r="H492" t="s">
        <v>601</v>
      </c>
      <c r="K492">
        <v>0</v>
      </c>
      <c r="M492">
        <v>-200</v>
      </c>
      <c r="O492">
        <v>200</v>
      </c>
      <c r="Q492">
        <v>100</v>
      </c>
    </row>
    <row r="493" spans="3:18" x14ac:dyDescent="0.25">
      <c r="C493" t="s">
        <v>499</v>
      </c>
      <c r="D493" t="s">
        <v>194</v>
      </c>
      <c r="E493">
        <v>138410</v>
      </c>
      <c r="H493" t="s">
        <v>602</v>
      </c>
      <c r="K493" s="50">
        <v>118135.21</v>
      </c>
      <c r="M493" s="50">
        <v>111513.32</v>
      </c>
      <c r="O493" s="50">
        <v>6621.89</v>
      </c>
      <c r="Q493">
        <v>5.9</v>
      </c>
    </row>
    <row r="494" spans="3:18" x14ac:dyDescent="0.25">
      <c r="C494" t="s">
        <v>499</v>
      </c>
      <c r="D494" t="s">
        <v>194</v>
      </c>
      <c r="E494">
        <v>138414</v>
      </c>
      <c r="H494" t="s">
        <v>603</v>
      </c>
      <c r="K494" s="50">
        <v>10750</v>
      </c>
      <c r="M494" s="50">
        <v>10750</v>
      </c>
      <c r="O494">
        <v>0</v>
      </c>
    </row>
    <row r="495" spans="3:18" x14ac:dyDescent="0.25">
      <c r="C495" t="s">
        <v>499</v>
      </c>
      <c r="D495" t="s">
        <v>194</v>
      </c>
      <c r="E495">
        <v>138415</v>
      </c>
      <c r="H495" t="s">
        <v>604</v>
      </c>
      <c r="K495" s="50">
        <v>293928.87</v>
      </c>
      <c r="M495" s="50">
        <v>330662.39</v>
      </c>
      <c r="O495" s="50">
        <v>-36733.519999999997</v>
      </c>
      <c r="Q495">
        <v>-11.1</v>
      </c>
    </row>
    <row r="496" spans="3:18" x14ac:dyDescent="0.25">
      <c r="E496" t="s">
        <v>272</v>
      </c>
      <c r="K496" s="50">
        <v>380675413.43000001</v>
      </c>
      <c r="M496" s="50">
        <v>385011970.14999998</v>
      </c>
      <c r="O496" s="50">
        <v>-4336556.72</v>
      </c>
      <c r="Q496">
        <v>-1.1000000000000001</v>
      </c>
      <c r="R496" t="s">
        <v>223</v>
      </c>
    </row>
    <row r="497" spans="3:18" x14ac:dyDescent="0.25">
      <c r="C497" t="s">
        <v>499</v>
      </c>
      <c r="D497" t="s">
        <v>194</v>
      </c>
      <c r="E497">
        <v>136257</v>
      </c>
      <c r="H497" t="s">
        <v>275</v>
      </c>
      <c r="K497" s="50">
        <v>244854.39</v>
      </c>
      <c r="M497" s="50">
        <v>383551.79</v>
      </c>
      <c r="O497" s="50">
        <v>-138697.4</v>
      </c>
      <c r="Q497">
        <v>-36.200000000000003</v>
      </c>
    </row>
    <row r="498" spans="3:18" x14ac:dyDescent="0.25">
      <c r="C498" t="s">
        <v>499</v>
      </c>
      <c r="D498" t="s">
        <v>194</v>
      </c>
      <c r="E498">
        <v>138209</v>
      </c>
      <c r="H498" t="s">
        <v>605</v>
      </c>
      <c r="K498" s="50">
        <v>44097327.93</v>
      </c>
      <c r="M498" s="50">
        <v>42412438.450000003</v>
      </c>
      <c r="O498" s="50">
        <v>1684889.48</v>
      </c>
      <c r="Q498">
        <v>4</v>
      </c>
    </row>
    <row r="499" spans="3:18" x14ac:dyDescent="0.25">
      <c r="C499" t="s">
        <v>499</v>
      </c>
      <c r="D499" t="s">
        <v>194</v>
      </c>
      <c r="E499">
        <v>138702</v>
      </c>
      <c r="H499" t="s">
        <v>606</v>
      </c>
      <c r="K499">
        <v>550</v>
      </c>
      <c r="M499">
        <v>15</v>
      </c>
      <c r="O499">
        <v>535</v>
      </c>
      <c r="Q499">
        <v>3566.7</v>
      </c>
    </row>
    <row r="500" spans="3:18" x14ac:dyDescent="0.25">
      <c r="E500" t="s">
        <v>277</v>
      </c>
      <c r="K500" s="50">
        <v>44342732.32</v>
      </c>
      <c r="M500" s="50">
        <v>42796005.240000002</v>
      </c>
      <c r="O500" s="50">
        <v>1546727.08</v>
      </c>
      <c r="Q500">
        <v>3.6</v>
      </c>
      <c r="R500" t="s">
        <v>223</v>
      </c>
    </row>
    <row r="501" spans="3:18" x14ac:dyDescent="0.25">
      <c r="C501" t="s">
        <v>499</v>
      </c>
      <c r="D501" t="s">
        <v>194</v>
      </c>
      <c r="E501">
        <v>136258</v>
      </c>
      <c r="H501" t="s">
        <v>607</v>
      </c>
      <c r="K501" s="50">
        <v>1145271.74</v>
      </c>
      <c r="M501" s="50">
        <v>1455028.71</v>
      </c>
      <c r="O501" s="50">
        <v>-309756.96999999997</v>
      </c>
      <c r="Q501">
        <v>-21.3</v>
      </c>
    </row>
    <row r="502" spans="3:18" x14ac:dyDescent="0.25">
      <c r="C502" t="s">
        <v>499</v>
      </c>
      <c r="D502" t="s">
        <v>194</v>
      </c>
      <c r="E502">
        <v>138800</v>
      </c>
      <c r="H502" t="s">
        <v>270</v>
      </c>
      <c r="K502" s="50">
        <v>19526935.719999999</v>
      </c>
      <c r="M502" s="50">
        <v>19543454.719999999</v>
      </c>
      <c r="O502" s="50">
        <v>-16519</v>
      </c>
      <c r="Q502">
        <v>-0.1</v>
      </c>
    </row>
    <row r="503" spans="3:18" x14ac:dyDescent="0.25">
      <c r="E503" t="s">
        <v>608</v>
      </c>
      <c r="K503" s="50">
        <v>20672207.460000001</v>
      </c>
      <c r="M503" s="50">
        <v>20998483.43</v>
      </c>
      <c r="O503" s="50">
        <v>-326275.96999999997</v>
      </c>
      <c r="Q503">
        <v>-1.6</v>
      </c>
      <c r="R503" t="s">
        <v>223</v>
      </c>
    </row>
    <row r="504" spans="3:18" x14ac:dyDescent="0.25">
      <c r="C504" t="s">
        <v>499</v>
      </c>
      <c r="D504" t="s">
        <v>194</v>
      </c>
      <c r="E504">
        <v>138305</v>
      </c>
      <c r="H504" t="s">
        <v>368</v>
      </c>
      <c r="K504" s="50">
        <v>1324197500.3499999</v>
      </c>
      <c r="M504" s="50">
        <v>1324197500.3499999</v>
      </c>
      <c r="O504">
        <v>0</v>
      </c>
    </row>
    <row r="505" spans="3:18" x14ac:dyDescent="0.25">
      <c r="E505" t="s">
        <v>609</v>
      </c>
      <c r="K505" s="50">
        <v>1324197500.3499999</v>
      </c>
      <c r="M505" s="50">
        <v>1324197500.3499999</v>
      </c>
      <c r="O505">
        <v>0</v>
      </c>
      <c r="R505" t="s">
        <v>223</v>
      </c>
    </row>
    <row r="506" spans="3:18" x14ac:dyDescent="0.25">
      <c r="C506" t="s">
        <v>499</v>
      </c>
      <c r="D506" t="s">
        <v>194</v>
      </c>
      <c r="E506">
        <v>135800</v>
      </c>
      <c r="H506" t="s">
        <v>610</v>
      </c>
      <c r="K506" s="50">
        <v>18491744.09</v>
      </c>
      <c r="M506" s="50">
        <v>28730648.329999998</v>
      </c>
      <c r="O506" s="50">
        <v>-10238904.24</v>
      </c>
      <c r="Q506">
        <v>-35.6</v>
      </c>
    </row>
    <row r="507" spans="3:18" x14ac:dyDescent="0.25">
      <c r="E507" t="s">
        <v>279</v>
      </c>
      <c r="K507" s="50">
        <v>18491744.09</v>
      </c>
      <c r="M507" s="50">
        <v>28730648.329999998</v>
      </c>
      <c r="O507" s="50">
        <v>-10238904.24</v>
      </c>
      <c r="Q507">
        <v>-35.6</v>
      </c>
      <c r="R507" t="s">
        <v>223</v>
      </c>
    </row>
    <row r="508" spans="3:18" x14ac:dyDescent="0.25">
      <c r="E508" t="s">
        <v>280</v>
      </c>
      <c r="K508" s="50">
        <v>6162850264.96</v>
      </c>
      <c r="M508" s="50">
        <v>6254894603.1400003</v>
      </c>
      <c r="O508" s="50">
        <v>-92044338.180000007</v>
      </c>
      <c r="Q508">
        <v>-1.5</v>
      </c>
      <c r="R508" t="s">
        <v>219</v>
      </c>
    </row>
    <row r="509" spans="3:18" x14ac:dyDescent="0.25">
      <c r="E509" t="s">
        <v>281</v>
      </c>
    </row>
    <row r="510" spans="3:18" x14ac:dyDescent="0.25">
      <c r="C510" t="s">
        <v>499</v>
      </c>
      <c r="D510" t="s">
        <v>194</v>
      </c>
      <c r="E510">
        <v>200502</v>
      </c>
      <c r="H510" t="s">
        <v>611</v>
      </c>
      <c r="K510" s="50">
        <v>-131557.69</v>
      </c>
      <c r="M510" s="50">
        <v>-151620.79</v>
      </c>
      <c r="O510" s="50">
        <v>20063.099999999999</v>
      </c>
      <c r="Q510">
        <v>13.2</v>
      </c>
    </row>
    <row r="511" spans="3:18" x14ac:dyDescent="0.25">
      <c r="C511" t="s">
        <v>499</v>
      </c>
      <c r="D511" t="s">
        <v>194</v>
      </c>
      <c r="E511">
        <v>200503</v>
      </c>
      <c r="H511" t="s">
        <v>612</v>
      </c>
      <c r="K511" s="50">
        <v>-901587.47</v>
      </c>
      <c r="M511" s="50">
        <v>-896066.92</v>
      </c>
      <c r="O511" s="50">
        <v>-5520.55</v>
      </c>
      <c r="Q511">
        <v>-0.6</v>
      </c>
    </row>
    <row r="512" spans="3:18" x14ac:dyDescent="0.25">
      <c r="K512" s="50">
        <v>-1033145.16</v>
      </c>
      <c r="M512" s="50">
        <v>-1047687.71</v>
      </c>
      <c r="O512" s="50">
        <v>14542.55</v>
      </c>
      <c r="Q512">
        <v>1.4</v>
      </c>
      <c r="R512" t="s">
        <v>223</v>
      </c>
    </row>
    <row r="513" spans="3:18" x14ac:dyDescent="0.25">
      <c r="C513" t="s">
        <v>499</v>
      </c>
      <c r="D513" t="s">
        <v>194</v>
      </c>
      <c r="E513">
        <v>228213</v>
      </c>
      <c r="H513" t="s">
        <v>613</v>
      </c>
      <c r="K513" s="50">
        <v>-63069081.920000002</v>
      </c>
      <c r="M513" s="50">
        <v>-77058141.920000002</v>
      </c>
      <c r="O513" s="50">
        <v>13989060</v>
      </c>
      <c r="Q513">
        <v>18.2</v>
      </c>
    </row>
    <row r="514" spans="3:18" x14ac:dyDescent="0.25">
      <c r="K514" s="50">
        <v>-63069081.920000002</v>
      </c>
      <c r="M514" s="50">
        <v>-77058141.920000002</v>
      </c>
      <c r="O514" s="50">
        <v>13989060</v>
      </c>
      <c r="Q514">
        <v>18.2</v>
      </c>
      <c r="R514" t="s">
        <v>223</v>
      </c>
    </row>
    <row r="515" spans="3:18" x14ac:dyDescent="0.25">
      <c r="C515" t="s">
        <v>499</v>
      </c>
      <c r="D515" t="s">
        <v>194</v>
      </c>
      <c r="E515">
        <v>200002</v>
      </c>
      <c r="H515" t="s">
        <v>285</v>
      </c>
      <c r="K515" s="50">
        <v>-857406.6</v>
      </c>
      <c r="M515" s="50">
        <v>-857406.6</v>
      </c>
      <c r="O515">
        <v>0</v>
      </c>
    </row>
    <row r="516" spans="3:18" x14ac:dyDescent="0.25">
      <c r="C516" t="s">
        <v>499</v>
      </c>
      <c r="D516" t="s">
        <v>194</v>
      </c>
      <c r="E516">
        <v>220904</v>
      </c>
      <c r="H516" t="s">
        <v>614</v>
      </c>
      <c r="K516" s="50">
        <v>-74236.09</v>
      </c>
      <c r="M516" s="50">
        <v>-79066.710000000006</v>
      </c>
      <c r="O516" s="50">
        <v>4830.62</v>
      </c>
      <c r="Q516">
        <v>6.1</v>
      </c>
    </row>
    <row r="517" spans="3:18" x14ac:dyDescent="0.25">
      <c r="E517" t="s">
        <v>286</v>
      </c>
      <c r="K517" s="50">
        <v>-931642.69</v>
      </c>
      <c r="M517" s="50">
        <v>-936473.31</v>
      </c>
      <c r="O517" s="50">
        <v>4830.62</v>
      </c>
      <c r="Q517">
        <v>0.5</v>
      </c>
      <c r="R517" t="s">
        <v>223</v>
      </c>
    </row>
    <row r="518" spans="3:18" x14ac:dyDescent="0.25">
      <c r="C518" t="s">
        <v>499</v>
      </c>
      <c r="D518" t="s">
        <v>194</v>
      </c>
      <c r="E518">
        <v>200004</v>
      </c>
      <c r="H518" t="s">
        <v>287</v>
      </c>
      <c r="K518" s="50">
        <v>-3416098.64</v>
      </c>
      <c r="M518" s="50">
        <v>-3310436.14</v>
      </c>
      <c r="O518" s="50">
        <v>-105662.5</v>
      </c>
      <c r="Q518">
        <v>-3.2</v>
      </c>
    </row>
    <row r="519" spans="3:18" x14ac:dyDescent="0.25">
      <c r="C519" t="s">
        <v>499</v>
      </c>
      <c r="D519" t="s">
        <v>194</v>
      </c>
      <c r="E519">
        <v>220903</v>
      </c>
      <c r="H519" t="s">
        <v>288</v>
      </c>
      <c r="K519" s="50">
        <v>-239709.65</v>
      </c>
      <c r="M519" s="50">
        <v>-246406.46</v>
      </c>
      <c r="O519" s="50">
        <v>6696.81</v>
      </c>
      <c r="Q519">
        <v>2.7</v>
      </c>
    </row>
    <row r="520" spans="3:18" x14ac:dyDescent="0.25">
      <c r="E520" t="s">
        <v>287</v>
      </c>
      <c r="K520" s="50">
        <v>-3655808.29</v>
      </c>
      <c r="M520" s="50">
        <v>-3556842.6</v>
      </c>
      <c r="O520" s="50">
        <v>-98965.69</v>
      </c>
      <c r="Q520">
        <v>-2.8</v>
      </c>
      <c r="R520" t="s">
        <v>223</v>
      </c>
    </row>
    <row r="521" spans="3:18" x14ac:dyDescent="0.25">
      <c r="C521" t="s">
        <v>499</v>
      </c>
      <c r="D521" t="s">
        <v>194</v>
      </c>
      <c r="E521">
        <v>201013</v>
      </c>
      <c r="H521" t="s">
        <v>615</v>
      </c>
      <c r="K521" s="50">
        <v>-162348.4</v>
      </c>
      <c r="M521" s="50">
        <v>-37263.11</v>
      </c>
      <c r="O521" s="50">
        <v>-125085.29</v>
      </c>
      <c r="Q521">
        <v>-335.7</v>
      </c>
    </row>
    <row r="522" spans="3:18" x14ac:dyDescent="0.25">
      <c r="C522" t="s">
        <v>499</v>
      </c>
      <c r="D522" t="s">
        <v>194</v>
      </c>
      <c r="E522">
        <v>201014</v>
      </c>
      <c r="H522" t="s">
        <v>616</v>
      </c>
      <c r="K522" s="50">
        <v>-243522.62</v>
      </c>
      <c r="M522" s="50">
        <v>-55894.66</v>
      </c>
      <c r="O522" s="50">
        <v>-187627.96</v>
      </c>
      <c r="Q522">
        <v>-335.7</v>
      </c>
    </row>
    <row r="523" spans="3:18" x14ac:dyDescent="0.25">
      <c r="C523" t="s">
        <v>499</v>
      </c>
      <c r="D523" t="s">
        <v>194</v>
      </c>
      <c r="E523">
        <v>201020</v>
      </c>
      <c r="H523" t="s">
        <v>617</v>
      </c>
      <c r="K523" s="50">
        <v>-803311.64</v>
      </c>
      <c r="M523" s="50">
        <v>-815610.4</v>
      </c>
      <c r="O523" s="50">
        <v>12298.76</v>
      </c>
      <c r="Q523">
        <v>1.5</v>
      </c>
    </row>
    <row r="524" spans="3:18" x14ac:dyDescent="0.25">
      <c r="C524" t="s">
        <v>499</v>
      </c>
      <c r="D524" t="s">
        <v>194</v>
      </c>
      <c r="E524">
        <v>201021</v>
      </c>
      <c r="H524" t="s">
        <v>618</v>
      </c>
      <c r="K524" s="50">
        <v>-2839123.56</v>
      </c>
      <c r="M524" s="50">
        <v>-2863829.18</v>
      </c>
      <c r="O524" s="50">
        <v>24705.62</v>
      </c>
      <c r="Q524">
        <v>0.9</v>
      </c>
    </row>
    <row r="525" spans="3:18" x14ac:dyDescent="0.25">
      <c r="C525" t="s">
        <v>499</v>
      </c>
      <c r="D525" t="s">
        <v>194</v>
      </c>
      <c r="E525">
        <v>201022</v>
      </c>
      <c r="H525" t="s">
        <v>619</v>
      </c>
      <c r="K525" s="50">
        <v>-840872.41</v>
      </c>
      <c r="M525" s="50">
        <v>-850711.45</v>
      </c>
      <c r="O525" s="50">
        <v>9839.0400000000009</v>
      </c>
      <c r="Q525">
        <v>1.2</v>
      </c>
    </row>
    <row r="526" spans="3:18" x14ac:dyDescent="0.25">
      <c r="C526" t="s">
        <v>499</v>
      </c>
      <c r="D526" t="s">
        <v>194</v>
      </c>
      <c r="E526">
        <v>201024</v>
      </c>
      <c r="H526" t="s">
        <v>620</v>
      </c>
      <c r="K526" s="50">
        <v>-13614.37</v>
      </c>
      <c r="M526" s="50">
        <v>-13728.69</v>
      </c>
      <c r="O526">
        <v>114.32</v>
      </c>
      <c r="Q526">
        <v>0.8</v>
      </c>
    </row>
    <row r="527" spans="3:18" x14ac:dyDescent="0.25">
      <c r="C527" t="s">
        <v>499</v>
      </c>
      <c r="D527" t="s">
        <v>194</v>
      </c>
      <c r="E527">
        <v>201057</v>
      </c>
      <c r="H527" t="s">
        <v>621</v>
      </c>
      <c r="K527" s="50">
        <v>-592919.84</v>
      </c>
      <c r="M527" s="50">
        <v>-135510.07</v>
      </c>
      <c r="O527" s="50">
        <v>-457409.77</v>
      </c>
      <c r="Q527">
        <v>-337.5</v>
      </c>
    </row>
    <row r="528" spans="3:18" x14ac:dyDescent="0.25">
      <c r="C528" t="s">
        <v>499</v>
      </c>
      <c r="D528" t="s">
        <v>194</v>
      </c>
      <c r="E528">
        <v>203000</v>
      </c>
      <c r="H528" t="s">
        <v>622</v>
      </c>
      <c r="K528" s="50">
        <v>-7607781.2199999997</v>
      </c>
      <c r="M528" s="50">
        <v>-40811836.159999996</v>
      </c>
      <c r="O528" s="50">
        <v>33204054.940000001</v>
      </c>
      <c r="Q528">
        <v>81.400000000000006</v>
      </c>
    </row>
    <row r="529" spans="3:18" x14ac:dyDescent="0.25">
      <c r="C529" t="s">
        <v>499</v>
      </c>
      <c r="D529" t="s">
        <v>194</v>
      </c>
      <c r="E529">
        <v>240003</v>
      </c>
      <c r="H529" t="s">
        <v>623</v>
      </c>
      <c r="K529" s="50">
        <v>-18185079.609999999</v>
      </c>
      <c r="M529" s="50">
        <v>-28460168.940000001</v>
      </c>
      <c r="O529" s="50">
        <v>10275089.33</v>
      </c>
      <c r="Q529">
        <v>36.1</v>
      </c>
    </row>
    <row r="530" spans="3:18" x14ac:dyDescent="0.25">
      <c r="E530" t="s">
        <v>303</v>
      </c>
      <c r="K530" s="50">
        <v>-31288573.670000002</v>
      </c>
      <c r="M530" s="50">
        <v>-74044552.659999996</v>
      </c>
      <c r="O530" s="50">
        <v>42755978.990000002</v>
      </c>
      <c r="Q530">
        <v>57.7</v>
      </c>
      <c r="R530" t="s">
        <v>223</v>
      </c>
    </row>
    <row r="531" spans="3:18" x14ac:dyDescent="0.25">
      <c r="C531" t="s">
        <v>499</v>
      </c>
      <c r="D531" t="s">
        <v>194</v>
      </c>
      <c r="E531">
        <v>204000</v>
      </c>
      <c r="H531" t="s">
        <v>624</v>
      </c>
      <c r="K531" s="50">
        <v>-115164048.27</v>
      </c>
      <c r="M531" s="50">
        <v>-113781997.64</v>
      </c>
      <c r="O531" s="50">
        <v>-1382050.63</v>
      </c>
      <c r="Q531">
        <v>-1.2</v>
      </c>
    </row>
    <row r="532" spans="3:18" x14ac:dyDescent="0.25">
      <c r="K532" s="50">
        <v>-115164048.27</v>
      </c>
      <c r="M532" s="50">
        <v>-113781997.64</v>
      </c>
      <c r="O532" s="50">
        <v>-1382050.63</v>
      </c>
      <c r="Q532">
        <v>-1.2</v>
      </c>
      <c r="R532" t="s">
        <v>223</v>
      </c>
    </row>
    <row r="533" spans="3:18" x14ac:dyDescent="0.25">
      <c r="C533" t="s">
        <v>499</v>
      </c>
      <c r="D533" t="s">
        <v>194</v>
      </c>
      <c r="E533">
        <v>210801</v>
      </c>
      <c r="H533" t="s">
        <v>304</v>
      </c>
      <c r="K533" s="50">
        <v>-1135074677.9100001</v>
      </c>
      <c r="M533" s="50">
        <v>-1152516871.9000001</v>
      </c>
      <c r="O533" s="50">
        <v>17442193.989999998</v>
      </c>
      <c r="Q533">
        <v>1.5</v>
      </c>
    </row>
    <row r="534" spans="3:18" x14ac:dyDescent="0.25">
      <c r="K534" s="50">
        <v>-1135074677.9100001</v>
      </c>
      <c r="M534" s="50">
        <v>-1152516871.9000001</v>
      </c>
      <c r="O534" s="50">
        <v>17442193.989999998</v>
      </c>
      <c r="Q534">
        <v>1.5</v>
      </c>
      <c r="R534" t="s">
        <v>223</v>
      </c>
    </row>
    <row r="535" spans="3:18" x14ac:dyDescent="0.25">
      <c r="C535" t="s">
        <v>499</v>
      </c>
      <c r="D535" t="s">
        <v>194</v>
      </c>
      <c r="E535">
        <v>210806</v>
      </c>
      <c r="H535" t="s">
        <v>305</v>
      </c>
      <c r="K535" s="50">
        <v>-926652.8</v>
      </c>
      <c r="M535" s="50">
        <v>-1053886.1499999999</v>
      </c>
      <c r="O535" s="50">
        <v>127233.35</v>
      </c>
      <c r="Q535">
        <v>12.1</v>
      </c>
    </row>
    <row r="536" spans="3:18" x14ac:dyDescent="0.25">
      <c r="E536" t="s">
        <v>307</v>
      </c>
      <c r="K536" s="50">
        <v>-926652.8</v>
      </c>
      <c r="M536" s="50">
        <v>-1053886.1499999999</v>
      </c>
      <c r="O536" s="50">
        <v>127233.35</v>
      </c>
      <c r="Q536">
        <v>12.1</v>
      </c>
      <c r="R536" t="s">
        <v>223</v>
      </c>
    </row>
    <row r="537" spans="3:18" x14ac:dyDescent="0.25">
      <c r="C537" t="s">
        <v>499</v>
      </c>
      <c r="D537" t="s">
        <v>194</v>
      </c>
      <c r="E537">
        <v>210603</v>
      </c>
      <c r="H537" t="s">
        <v>308</v>
      </c>
      <c r="K537" s="50">
        <v>-65020790.25</v>
      </c>
      <c r="M537" s="50">
        <v>-67912772.730000004</v>
      </c>
      <c r="O537" s="50">
        <v>2891982.48</v>
      </c>
      <c r="Q537">
        <v>4.3</v>
      </c>
    </row>
    <row r="538" spans="3:18" x14ac:dyDescent="0.25">
      <c r="C538" t="s">
        <v>499</v>
      </c>
      <c r="D538" t="s">
        <v>194</v>
      </c>
      <c r="E538">
        <v>210604</v>
      </c>
      <c r="H538" t="s">
        <v>309</v>
      </c>
      <c r="K538" s="50">
        <v>-83963.91</v>
      </c>
      <c r="M538" s="50">
        <v>-86910.53</v>
      </c>
      <c r="O538" s="50">
        <v>2946.62</v>
      </c>
      <c r="Q538">
        <v>3.4</v>
      </c>
    </row>
    <row r="539" spans="3:18" x14ac:dyDescent="0.25">
      <c r="E539" t="s">
        <v>310</v>
      </c>
      <c r="K539" s="50">
        <v>-65104754.159999996</v>
      </c>
      <c r="M539" s="50">
        <v>-67999683.260000005</v>
      </c>
      <c r="O539" s="50">
        <v>2894929.1</v>
      </c>
      <c r="Q539">
        <v>4.3</v>
      </c>
      <c r="R539" t="s">
        <v>223</v>
      </c>
    </row>
    <row r="540" spans="3:18" x14ac:dyDescent="0.25">
      <c r="C540" t="s">
        <v>499</v>
      </c>
      <c r="D540" t="s">
        <v>194</v>
      </c>
      <c r="E540">
        <v>140600</v>
      </c>
      <c r="H540" t="s">
        <v>625</v>
      </c>
      <c r="K540" s="50">
        <v>95793364.540000007</v>
      </c>
      <c r="M540" s="50">
        <v>95793364.540000007</v>
      </c>
      <c r="O540">
        <v>0</v>
      </c>
    </row>
    <row r="541" spans="3:18" x14ac:dyDescent="0.25">
      <c r="C541" t="s">
        <v>499</v>
      </c>
      <c r="D541" t="s">
        <v>194</v>
      </c>
      <c r="E541">
        <v>140601</v>
      </c>
      <c r="H541" t="s">
        <v>626</v>
      </c>
      <c r="K541" s="50">
        <v>205707843.56999999</v>
      </c>
      <c r="M541" s="50">
        <v>205707843.56999999</v>
      </c>
      <c r="O541">
        <v>0</v>
      </c>
    </row>
    <row r="542" spans="3:18" x14ac:dyDescent="0.25">
      <c r="C542" t="s">
        <v>499</v>
      </c>
      <c r="D542" t="s">
        <v>194</v>
      </c>
      <c r="E542">
        <v>210410</v>
      </c>
      <c r="H542" t="s">
        <v>627</v>
      </c>
      <c r="K542" s="50">
        <v>-301501208.11000001</v>
      </c>
      <c r="M542" s="50">
        <v>-301501208.11000001</v>
      </c>
      <c r="O542">
        <v>0</v>
      </c>
    </row>
    <row r="543" spans="3:18" x14ac:dyDescent="0.25">
      <c r="E543" t="s">
        <v>312</v>
      </c>
      <c r="K543">
        <v>0</v>
      </c>
      <c r="M543">
        <v>0</v>
      </c>
      <c r="O543">
        <v>0</v>
      </c>
      <c r="R543" t="s">
        <v>223</v>
      </c>
    </row>
    <row r="544" spans="3:18" x14ac:dyDescent="0.25">
      <c r="C544" t="s">
        <v>499</v>
      </c>
      <c r="D544" t="s">
        <v>194</v>
      </c>
      <c r="E544">
        <v>210400</v>
      </c>
      <c r="H544" t="s">
        <v>628</v>
      </c>
      <c r="K544" s="50">
        <v>-17244611.66</v>
      </c>
      <c r="M544" s="50">
        <v>-17224585.940000001</v>
      </c>
      <c r="O544" s="50">
        <v>-20025.72</v>
      </c>
      <c r="Q544">
        <v>-0.1</v>
      </c>
    </row>
    <row r="545" spans="3:18" x14ac:dyDescent="0.25">
      <c r="E545" t="s">
        <v>629</v>
      </c>
      <c r="K545" s="50">
        <v>-17244611.66</v>
      </c>
      <c r="M545" s="50">
        <v>-17224585.940000001</v>
      </c>
      <c r="O545" s="50">
        <v>-20025.72</v>
      </c>
      <c r="Q545">
        <v>-0.1</v>
      </c>
      <c r="R545" t="s">
        <v>223</v>
      </c>
    </row>
    <row r="546" spans="3:18" x14ac:dyDescent="0.25">
      <c r="C546" t="s">
        <v>499</v>
      </c>
      <c r="D546" t="s">
        <v>194</v>
      </c>
      <c r="E546">
        <v>210501</v>
      </c>
      <c r="H546" t="s">
        <v>630</v>
      </c>
      <c r="K546" s="50">
        <v>-20575469.460000001</v>
      </c>
      <c r="M546" s="50">
        <v>-20886716.399999999</v>
      </c>
      <c r="O546" s="50">
        <v>311246.94</v>
      </c>
      <c r="Q546">
        <v>1.5</v>
      </c>
    </row>
    <row r="547" spans="3:18" x14ac:dyDescent="0.25">
      <c r="E547" t="s">
        <v>631</v>
      </c>
      <c r="K547" s="50">
        <v>-20575469.460000001</v>
      </c>
      <c r="M547" s="50">
        <v>-20886716.399999999</v>
      </c>
      <c r="O547" s="50">
        <v>311246.94</v>
      </c>
      <c r="Q547">
        <v>1.5</v>
      </c>
      <c r="R547" t="s">
        <v>223</v>
      </c>
    </row>
    <row r="548" spans="3:18" x14ac:dyDescent="0.25">
      <c r="C548" t="s">
        <v>499</v>
      </c>
      <c r="D548" t="s">
        <v>194</v>
      </c>
      <c r="E548">
        <v>200820</v>
      </c>
      <c r="H548" t="s">
        <v>632</v>
      </c>
      <c r="K548" s="50">
        <v>-1988221.46</v>
      </c>
      <c r="M548" s="50">
        <v>-2136203.06</v>
      </c>
      <c r="O548" s="50">
        <v>147981.6</v>
      </c>
      <c r="Q548">
        <v>6.9</v>
      </c>
    </row>
    <row r="549" spans="3:18" x14ac:dyDescent="0.25">
      <c r="C549" t="s">
        <v>499</v>
      </c>
      <c r="D549" t="s">
        <v>194</v>
      </c>
      <c r="E549">
        <v>200822</v>
      </c>
      <c r="H549" t="s">
        <v>633</v>
      </c>
      <c r="K549" s="50">
        <v>1343890.66</v>
      </c>
      <c r="M549" s="50">
        <v>1446679.99</v>
      </c>
      <c r="O549" s="50">
        <v>-102789.33</v>
      </c>
      <c r="Q549">
        <v>-7.1</v>
      </c>
    </row>
    <row r="550" spans="3:18" x14ac:dyDescent="0.25">
      <c r="E550" t="s">
        <v>634</v>
      </c>
      <c r="K550" s="50">
        <v>-644330.80000000005</v>
      </c>
      <c r="M550" s="50">
        <v>-689523.07</v>
      </c>
      <c r="O550" s="50">
        <v>45192.27</v>
      </c>
      <c r="Q550">
        <v>6.6</v>
      </c>
      <c r="R550" t="s">
        <v>223</v>
      </c>
    </row>
    <row r="551" spans="3:18" x14ac:dyDescent="0.25">
      <c r="C551" t="s">
        <v>499</v>
      </c>
      <c r="D551" t="s">
        <v>194</v>
      </c>
      <c r="E551">
        <v>200812</v>
      </c>
      <c r="H551" t="s">
        <v>635</v>
      </c>
      <c r="K551" s="50">
        <v>-1486076.33</v>
      </c>
      <c r="M551" s="50">
        <v>-840885.1</v>
      </c>
      <c r="O551" s="50">
        <v>-645191.23</v>
      </c>
      <c r="Q551">
        <v>-76.7</v>
      </c>
    </row>
    <row r="552" spans="3:18" x14ac:dyDescent="0.25">
      <c r="E552" t="s">
        <v>636</v>
      </c>
      <c r="K552" s="50">
        <v>-1486076.33</v>
      </c>
      <c r="M552" s="50">
        <v>-840885.1</v>
      </c>
      <c r="O552" s="50">
        <v>-645191.23</v>
      </c>
      <c r="Q552">
        <v>-76.7</v>
      </c>
      <c r="R552" t="s">
        <v>223</v>
      </c>
    </row>
    <row r="553" spans="3:18" x14ac:dyDescent="0.25">
      <c r="C553" t="s">
        <v>499</v>
      </c>
      <c r="D553" t="s">
        <v>194</v>
      </c>
      <c r="E553">
        <v>200821</v>
      </c>
      <c r="H553" t="s">
        <v>637</v>
      </c>
      <c r="K553" s="50">
        <v>-1298402.8999999999</v>
      </c>
      <c r="M553" s="50">
        <v>-1298402.8999999999</v>
      </c>
      <c r="O553">
        <v>0</v>
      </c>
    </row>
    <row r="554" spans="3:18" x14ac:dyDescent="0.25">
      <c r="K554" s="50">
        <v>-1298402.8999999999</v>
      </c>
      <c r="M554" s="50">
        <v>-1298402.8999999999</v>
      </c>
      <c r="O554">
        <v>0</v>
      </c>
      <c r="R554" t="s">
        <v>223</v>
      </c>
    </row>
    <row r="555" spans="3:18" x14ac:dyDescent="0.25">
      <c r="C555" t="s">
        <v>499</v>
      </c>
      <c r="D555" t="s">
        <v>194</v>
      </c>
      <c r="E555">
        <v>200001</v>
      </c>
      <c r="H555" t="s">
        <v>638</v>
      </c>
      <c r="K555" s="50">
        <v>-5761829.6399999997</v>
      </c>
      <c r="M555" s="50">
        <v>-5760046.21</v>
      </c>
      <c r="O555" s="50">
        <v>-1783.43</v>
      </c>
    </row>
    <row r="556" spans="3:18" x14ac:dyDescent="0.25">
      <c r="C556" t="s">
        <v>499</v>
      </c>
      <c r="D556" t="s">
        <v>194</v>
      </c>
      <c r="E556">
        <v>200003</v>
      </c>
      <c r="H556" t="s">
        <v>639</v>
      </c>
      <c r="K556" s="50">
        <v>-2737.83</v>
      </c>
      <c r="M556" s="50">
        <v>-2737.83</v>
      </c>
      <c r="O556">
        <v>0</v>
      </c>
    </row>
    <row r="557" spans="3:18" x14ac:dyDescent="0.25">
      <c r="C557" t="s">
        <v>499</v>
      </c>
      <c r="D557" t="s">
        <v>194</v>
      </c>
      <c r="E557">
        <v>200100</v>
      </c>
      <c r="H557" t="s">
        <v>640</v>
      </c>
      <c r="K557" s="50">
        <v>-632483.6</v>
      </c>
      <c r="M557" s="50">
        <v>-643076.16</v>
      </c>
      <c r="O557" s="50">
        <v>10592.56</v>
      </c>
      <c r="Q557">
        <v>1.6</v>
      </c>
    </row>
    <row r="558" spans="3:18" x14ac:dyDescent="0.25">
      <c r="C558" t="s">
        <v>499</v>
      </c>
      <c r="D558" t="s">
        <v>194</v>
      </c>
      <c r="E558">
        <v>200170</v>
      </c>
      <c r="H558" t="s">
        <v>329</v>
      </c>
      <c r="K558" s="50">
        <v>-47013758.390000001</v>
      </c>
      <c r="M558" s="50">
        <v>-47671785.939999998</v>
      </c>
      <c r="O558" s="50">
        <v>658027.55000000005</v>
      </c>
      <c r="Q558">
        <v>1.4</v>
      </c>
    </row>
    <row r="559" spans="3:18" x14ac:dyDescent="0.25">
      <c r="C559" t="s">
        <v>499</v>
      </c>
      <c r="D559" t="s">
        <v>194</v>
      </c>
      <c r="E559">
        <v>200171</v>
      </c>
      <c r="H559" t="s">
        <v>641</v>
      </c>
      <c r="K559" s="50">
        <v>-3391267.41</v>
      </c>
      <c r="M559" s="50">
        <v>-3313233.71</v>
      </c>
      <c r="O559" s="50">
        <v>-78033.7</v>
      </c>
      <c r="Q559">
        <v>-2.4</v>
      </c>
    </row>
    <row r="560" spans="3:18" x14ac:dyDescent="0.25">
      <c r="C560" t="s">
        <v>499</v>
      </c>
      <c r="D560" t="s">
        <v>194</v>
      </c>
      <c r="E560">
        <v>200172</v>
      </c>
      <c r="H560" t="s">
        <v>642</v>
      </c>
      <c r="K560" s="50">
        <v>-1158248.81</v>
      </c>
      <c r="M560" s="50">
        <v>-1158248.81</v>
      </c>
      <c r="O560">
        <v>0</v>
      </c>
    </row>
    <row r="561" spans="3:17" x14ac:dyDescent="0.25">
      <c r="C561" t="s">
        <v>499</v>
      </c>
      <c r="D561" t="s">
        <v>194</v>
      </c>
      <c r="E561">
        <v>200174</v>
      </c>
      <c r="H561" t="s">
        <v>643</v>
      </c>
      <c r="K561" s="50">
        <v>49015938.189999998</v>
      </c>
      <c r="M561" s="50">
        <v>49788660.140000001</v>
      </c>
      <c r="O561" s="50">
        <v>-772721.95</v>
      </c>
      <c r="Q561">
        <v>-1.6</v>
      </c>
    </row>
    <row r="562" spans="3:17" x14ac:dyDescent="0.25">
      <c r="C562" t="s">
        <v>499</v>
      </c>
      <c r="D562" t="s">
        <v>194</v>
      </c>
      <c r="E562">
        <v>200200</v>
      </c>
      <c r="H562" t="s">
        <v>644</v>
      </c>
      <c r="K562" s="50">
        <v>-34399.61</v>
      </c>
      <c r="M562" s="50">
        <v>-31196.91</v>
      </c>
      <c r="O562" s="50">
        <v>-3202.7</v>
      </c>
      <c r="Q562">
        <v>-10.3</v>
      </c>
    </row>
    <row r="563" spans="3:17" x14ac:dyDescent="0.25">
      <c r="C563" t="s">
        <v>499</v>
      </c>
      <c r="D563" t="s">
        <v>194</v>
      </c>
      <c r="E563">
        <v>200201</v>
      </c>
      <c r="H563" t="s">
        <v>645</v>
      </c>
      <c r="K563" s="50">
        <v>-163834.54</v>
      </c>
      <c r="M563" s="50">
        <v>-152483.76999999999</v>
      </c>
      <c r="O563" s="50">
        <v>-11350.77</v>
      </c>
      <c r="Q563">
        <v>-7.4</v>
      </c>
    </row>
    <row r="564" spans="3:17" x14ac:dyDescent="0.25">
      <c r="C564" t="s">
        <v>499</v>
      </c>
      <c r="D564" t="s">
        <v>194</v>
      </c>
      <c r="E564">
        <v>200202</v>
      </c>
      <c r="H564" t="s">
        <v>646</v>
      </c>
      <c r="K564" s="50">
        <v>-524007.1</v>
      </c>
      <c r="M564" s="50">
        <v>-1024443.76</v>
      </c>
      <c r="O564" s="50">
        <v>500436.66</v>
      </c>
      <c r="Q564">
        <v>48.8</v>
      </c>
    </row>
    <row r="565" spans="3:17" x14ac:dyDescent="0.25">
      <c r="C565" t="s">
        <v>499</v>
      </c>
      <c r="D565" t="s">
        <v>194</v>
      </c>
      <c r="E565">
        <v>200203</v>
      </c>
      <c r="H565" t="s">
        <v>647</v>
      </c>
      <c r="K565" s="50">
        <v>-6625433.5800000001</v>
      </c>
      <c r="M565" s="50">
        <v>-6607714.7999999998</v>
      </c>
      <c r="O565" s="50">
        <v>-17718.78</v>
      </c>
      <c r="Q565">
        <v>-0.3</v>
      </c>
    </row>
    <row r="566" spans="3:17" x14ac:dyDescent="0.25">
      <c r="C566" t="s">
        <v>499</v>
      </c>
      <c r="D566" t="s">
        <v>194</v>
      </c>
      <c r="E566">
        <v>200204</v>
      </c>
      <c r="H566" t="s">
        <v>648</v>
      </c>
      <c r="K566" s="50">
        <v>-1679570.96</v>
      </c>
      <c r="M566" s="50">
        <v>-1179570.96</v>
      </c>
      <c r="O566" s="50">
        <v>-500000</v>
      </c>
      <c r="Q566">
        <v>-42.4</v>
      </c>
    </row>
    <row r="567" spans="3:17" x14ac:dyDescent="0.25">
      <c r="C567" t="s">
        <v>499</v>
      </c>
      <c r="D567" t="s">
        <v>194</v>
      </c>
      <c r="E567">
        <v>200206</v>
      </c>
      <c r="H567" t="s">
        <v>317</v>
      </c>
      <c r="K567" s="50">
        <v>-236215.72</v>
      </c>
      <c r="M567" s="50">
        <v>-270787.40999999997</v>
      </c>
      <c r="O567" s="50">
        <v>34571.69</v>
      </c>
      <c r="Q567">
        <v>12.8</v>
      </c>
    </row>
    <row r="568" spans="3:17" x14ac:dyDescent="0.25">
      <c r="C568" t="s">
        <v>499</v>
      </c>
      <c r="D568" t="s">
        <v>194</v>
      </c>
      <c r="E568">
        <v>200300</v>
      </c>
      <c r="H568" t="s">
        <v>649</v>
      </c>
      <c r="K568" s="50">
        <v>-3081.41</v>
      </c>
      <c r="M568" s="50">
        <v>-3690.03</v>
      </c>
      <c r="O568">
        <v>608.62</v>
      </c>
      <c r="Q568">
        <v>16.5</v>
      </c>
    </row>
    <row r="569" spans="3:17" x14ac:dyDescent="0.25">
      <c r="C569" t="s">
        <v>499</v>
      </c>
      <c r="D569" t="s">
        <v>194</v>
      </c>
      <c r="E569">
        <v>200301</v>
      </c>
      <c r="H569" t="s">
        <v>650</v>
      </c>
      <c r="K569" s="50">
        <v>194106.56</v>
      </c>
      <c r="M569" s="50">
        <v>228890.29</v>
      </c>
      <c r="O569" s="50">
        <v>-34783.730000000003</v>
      </c>
      <c r="Q569">
        <v>-15.2</v>
      </c>
    </row>
    <row r="570" spans="3:17" x14ac:dyDescent="0.25">
      <c r="C570" t="s">
        <v>499</v>
      </c>
      <c r="D570" t="s">
        <v>194</v>
      </c>
      <c r="E570">
        <v>200303</v>
      </c>
      <c r="H570" t="s">
        <v>651</v>
      </c>
      <c r="K570" s="50">
        <v>22379.39</v>
      </c>
      <c r="M570" s="50">
        <v>22829.52</v>
      </c>
      <c r="O570">
        <v>-450.13</v>
      </c>
      <c r="Q570">
        <v>-2</v>
      </c>
    </row>
    <row r="571" spans="3:17" x14ac:dyDescent="0.25">
      <c r="C571" t="s">
        <v>499</v>
      </c>
      <c r="D571" t="s">
        <v>194</v>
      </c>
      <c r="E571">
        <v>200304</v>
      </c>
      <c r="H571" t="s">
        <v>652</v>
      </c>
      <c r="K571" s="50">
        <v>-1035034.85</v>
      </c>
      <c r="M571" s="50">
        <v>-1039594.06</v>
      </c>
      <c r="O571" s="50">
        <v>4559.21</v>
      </c>
      <c r="Q571">
        <v>0.4</v>
      </c>
    </row>
    <row r="572" spans="3:17" x14ac:dyDescent="0.25">
      <c r="C572" t="s">
        <v>499</v>
      </c>
      <c r="D572" t="s">
        <v>194</v>
      </c>
      <c r="E572">
        <v>200305</v>
      </c>
      <c r="H572" t="s">
        <v>653</v>
      </c>
      <c r="K572" s="50">
        <v>22908.55</v>
      </c>
      <c r="M572" s="50">
        <v>22908.55</v>
      </c>
      <c r="O572">
        <v>0</v>
      </c>
    </row>
    <row r="573" spans="3:17" x14ac:dyDescent="0.25">
      <c r="C573" t="s">
        <v>499</v>
      </c>
      <c r="D573" t="s">
        <v>194</v>
      </c>
      <c r="E573">
        <v>200400</v>
      </c>
      <c r="H573" t="s">
        <v>654</v>
      </c>
      <c r="K573" s="50">
        <v>-4030</v>
      </c>
      <c r="M573" s="50">
        <v>-4030</v>
      </c>
      <c r="O573">
        <v>0</v>
      </c>
    </row>
    <row r="574" spans="3:17" x14ac:dyDescent="0.25">
      <c r="C574" t="s">
        <v>499</v>
      </c>
      <c r="D574" t="s">
        <v>194</v>
      </c>
      <c r="E574">
        <v>200402</v>
      </c>
      <c r="H574" t="s">
        <v>320</v>
      </c>
      <c r="K574" s="50">
        <v>-2958152.39</v>
      </c>
      <c r="M574" s="50">
        <v>-2958102.35</v>
      </c>
      <c r="O574">
        <v>-50.04</v>
      </c>
    </row>
    <row r="575" spans="3:17" x14ac:dyDescent="0.25">
      <c r="C575" t="s">
        <v>499</v>
      </c>
      <c r="D575" t="s">
        <v>194</v>
      </c>
      <c r="E575">
        <v>200409</v>
      </c>
      <c r="H575" t="s">
        <v>655</v>
      </c>
      <c r="K575" s="50">
        <v>-59619.39</v>
      </c>
      <c r="M575" s="50">
        <v>-59619.39</v>
      </c>
      <c r="O575">
        <v>0</v>
      </c>
    </row>
    <row r="576" spans="3:17" x14ac:dyDescent="0.25">
      <c r="C576" t="s">
        <v>499</v>
      </c>
      <c r="D576" t="s">
        <v>194</v>
      </c>
      <c r="E576">
        <v>200410</v>
      </c>
      <c r="H576" t="s">
        <v>656</v>
      </c>
      <c r="K576" s="50">
        <v>-185324.36</v>
      </c>
      <c r="M576" s="50">
        <v>-188245.94</v>
      </c>
      <c r="O576" s="50">
        <v>2921.58</v>
      </c>
      <c r="Q576">
        <v>1.6</v>
      </c>
    </row>
    <row r="577" spans="3:17" x14ac:dyDescent="0.25">
      <c r="C577" t="s">
        <v>499</v>
      </c>
      <c r="D577" t="s">
        <v>194</v>
      </c>
      <c r="E577">
        <v>200500</v>
      </c>
      <c r="H577" t="s">
        <v>657</v>
      </c>
      <c r="K577" s="50">
        <v>-36453.4</v>
      </c>
      <c r="M577" s="50">
        <v>-36453.4</v>
      </c>
      <c r="O577">
        <v>0</v>
      </c>
    </row>
    <row r="578" spans="3:17" x14ac:dyDescent="0.25">
      <c r="C578" t="s">
        <v>499</v>
      </c>
      <c r="D578" t="s">
        <v>194</v>
      </c>
      <c r="E578">
        <v>200501</v>
      </c>
      <c r="H578" t="s">
        <v>658</v>
      </c>
      <c r="K578" s="50">
        <v>3000</v>
      </c>
      <c r="M578" s="50">
        <v>3000</v>
      </c>
      <c r="O578">
        <v>0</v>
      </c>
    </row>
    <row r="579" spans="3:17" x14ac:dyDescent="0.25">
      <c r="C579" t="s">
        <v>499</v>
      </c>
      <c r="D579" t="s">
        <v>194</v>
      </c>
      <c r="E579">
        <v>200602</v>
      </c>
      <c r="H579" t="s">
        <v>659</v>
      </c>
      <c r="K579" s="50">
        <v>-408490.13</v>
      </c>
      <c r="M579" s="50">
        <v>-408490.13</v>
      </c>
      <c r="O579">
        <v>0</v>
      </c>
    </row>
    <row r="580" spans="3:17" x14ac:dyDescent="0.25">
      <c r="C580" t="s">
        <v>499</v>
      </c>
      <c r="D580" t="s">
        <v>194</v>
      </c>
      <c r="E580">
        <v>200700</v>
      </c>
      <c r="H580" t="s">
        <v>660</v>
      </c>
      <c r="K580" s="50">
        <v>-2324</v>
      </c>
      <c r="M580" s="50">
        <v>-2294</v>
      </c>
      <c r="O580">
        <v>-30</v>
      </c>
      <c r="Q580">
        <v>-1.3</v>
      </c>
    </row>
    <row r="581" spans="3:17" x14ac:dyDescent="0.25">
      <c r="C581" t="s">
        <v>499</v>
      </c>
      <c r="D581" t="s">
        <v>194</v>
      </c>
      <c r="E581">
        <v>200701</v>
      </c>
      <c r="H581" t="s">
        <v>661</v>
      </c>
      <c r="K581" s="50">
        <v>-88274.9</v>
      </c>
      <c r="M581" s="50">
        <v>-82752.899999999994</v>
      </c>
      <c r="O581" s="50">
        <v>-5522</v>
      </c>
      <c r="Q581">
        <v>-6.7</v>
      </c>
    </row>
    <row r="582" spans="3:17" x14ac:dyDescent="0.25">
      <c r="C582" t="s">
        <v>499</v>
      </c>
      <c r="D582" t="s">
        <v>194</v>
      </c>
      <c r="E582">
        <v>200708</v>
      </c>
      <c r="H582" t="s">
        <v>662</v>
      </c>
      <c r="K582">
        <v>10</v>
      </c>
      <c r="M582">
        <v>10</v>
      </c>
      <c r="O582">
        <v>0</v>
      </c>
    </row>
    <row r="583" spans="3:17" x14ac:dyDescent="0.25">
      <c r="C583" t="s">
        <v>499</v>
      </c>
      <c r="D583" t="s">
        <v>194</v>
      </c>
      <c r="E583">
        <v>200709</v>
      </c>
      <c r="H583" t="s">
        <v>663</v>
      </c>
      <c r="K583" s="50">
        <v>-74923.77</v>
      </c>
      <c r="M583" s="50">
        <v>-75719.27</v>
      </c>
      <c r="O583">
        <v>795.5</v>
      </c>
      <c r="Q583">
        <v>1.1000000000000001</v>
      </c>
    </row>
    <row r="584" spans="3:17" x14ac:dyDescent="0.25">
      <c r="C584" t="s">
        <v>499</v>
      </c>
      <c r="D584" t="s">
        <v>194</v>
      </c>
      <c r="E584">
        <v>200711</v>
      </c>
      <c r="H584" t="s">
        <v>664</v>
      </c>
      <c r="K584" s="50">
        <v>-77907.839999999997</v>
      </c>
      <c r="M584" s="50">
        <v>-77907.839999999997</v>
      </c>
      <c r="O584">
        <v>0</v>
      </c>
    </row>
    <row r="585" spans="3:17" x14ac:dyDescent="0.25">
      <c r="C585" t="s">
        <v>499</v>
      </c>
      <c r="D585" t="s">
        <v>194</v>
      </c>
      <c r="E585">
        <v>200715</v>
      </c>
      <c r="H585" t="s">
        <v>665</v>
      </c>
      <c r="K585">
        <v>-300</v>
      </c>
      <c r="M585">
        <v>-300</v>
      </c>
      <c r="O585">
        <v>0</v>
      </c>
    </row>
    <row r="586" spans="3:17" x14ac:dyDescent="0.25">
      <c r="C586" t="s">
        <v>499</v>
      </c>
      <c r="D586" t="s">
        <v>194</v>
      </c>
      <c r="E586">
        <v>200716</v>
      </c>
      <c r="H586" t="s">
        <v>666</v>
      </c>
      <c r="K586" s="50">
        <v>-330159.34999999998</v>
      </c>
      <c r="M586" s="50">
        <v>-351559.18</v>
      </c>
      <c r="O586" s="50">
        <v>21399.83</v>
      </c>
      <c r="Q586">
        <v>6.1</v>
      </c>
    </row>
    <row r="587" spans="3:17" x14ac:dyDescent="0.25">
      <c r="C587" t="s">
        <v>499</v>
      </c>
      <c r="D587" t="s">
        <v>194</v>
      </c>
      <c r="E587">
        <v>200717</v>
      </c>
      <c r="H587" t="s">
        <v>667</v>
      </c>
      <c r="K587">
        <v>-548.11</v>
      </c>
      <c r="M587">
        <v>-548.11</v>
      </c>
      <c r="O587">
        <v>0</v>
      </c>
    </row>
    <row r="588" spans="3:17" x14ac:dyDescent="0.25">
      <c r="C588" t="s">
        <v>499</v>
      </c>
      <c r="D588" t="s">
        <v>194</v>
      </c>
      <c r="E588">
        <v>200718</v>
      </c>
      <c r="H588" t="s">
        <v>668</v>
      </c>
      <c r="K588" s="50">
        <v>-1486.2</v>
      </c>
      <c r="M588" s="50">
        <v>-1486.2</v>
      </c>
      <c r="O588">
        <v>0</v>
      </c>
    </row>
    <row r="589" spans="3:17" x14ac:dyDescent="0.25">
      <c r="C589" t="s">
        <v>499</v>
      </c>
      <c r="D589" t="s">
        <v>194</v>
      </c>
      <c r="E589">
        <v>200723</v>
      </c>
      <c r="H589" t="s">
        <v>669</v>
      </c>
      <c r="K589" s="50">
        <v>-374008</v>
      </c>
      <c r="M589" s="50">
        <v>-385526</v>
      </c>
      <c r="O589" s="50">
        <v>11518</v>
      </c>
      <c r="Q589">
        <v>3</v>
      </c>
    </row>
    <row r="590" spans="3:17" x14ac:dyDescent="0.25">
      <c r="C590" t="s">
        <v>499</v>
      </c>
      <c r="D590" t="s">
        <v>194</v>
      </c>
      <c r="E590">
        <v>200724</v>
      </c>
      <c r="H590" t="s">
        <v>670</v>
      </c>
      <c r="K590" s="50">
        <v>-8740.6</v>
      </c>
      <c r="M590" s="50">
        <v>-8669.1</v>
      </c>
      <c r="O590">
        <v>-71.5</v>
      </c>
      <c r="Q590">
        <v>-0.8</v>
      </c>
    </row>
    <row r="591" spans="3:17" x14ac:dyDescent="0.25">
      <c r="C591" t="s">
        <v>499</v>
      </c>
      <c r="D591" t="s">
        <v>194</v>
      </c>
      <c r="E591">
        <v>200761</v>
      </c>
      <c r="H591" t="s">
        <v>671</v>
      </c>
      <c r="K591" s="50">
        <v>-35390.07</v>
      </c>
      <c r="M591" s="50">
        <v>-30428.57</v>
      </c>
      <c r="O591" s="50">
        <v>-4961.5</v>
      </c>
      <c r="Q591">
        <v>-16.3</v>
      </c>
    </row>
    <row r="592" spans="3:17" x14ac:dyDescent="0.25">
      <c r="C592" t="s">
        <v>499</v>
      </c>
      <c r="D592" t="s">
        <v>194</v>
      </c>
      <c r="E592">
        <v>200762</v>
      </c>
      <c r="H592" t="s">
        <v>672</v>
      </c>
      <c r="K592" s="50">
        <v>-538019</v>
      </c>
      <c r="M592" s="50">
        <v>-553571</v>
      </c>
      <c r="O592" s="50">
        <v>15552</v>
      </c>
      <c r="Q592">
        <v>2.8</v>
      </c>
    </row>
    <row r="593" spans="3:18" x14ac:dyDescent="0.25">
      <c r="C593" t="s">
        <v>499</v>
      </c>
      <c r="D593" t="s">
        <v>194</v>
      </c>
      <c r="E593">
        <v>200763</v>
      </c>
      <c r="H593" t="s">
        <v>673</v>
      </c>
      <c r="K593" s="50">
        <v>-30820.5</v>
      </c>
      <c r="M593" s="50">
        <v>-30570.3</v>
      </c>
      <c r="O593">
        <v>-250.2</v>
      </c>
      <c r="Q593">
        <v>-0.8</v>
      </c>
    </row>
    <row r="594" spans="3:18" x14ac:dyDescent="0.25">
      <c r="C594" t="s">
        <v>499</v>
      </c>
      <c r="D594" t="s">
        <v>194</v>
      </c>
      <c r="E594">
        <v>200764</v>
      </c>
      <c r="H594" t="s">
        <v>674</v>
      </c>
      <c r="K594" s="50">
        <v>-1268.8599999999999</v>
      </c>
      <c r="M594" s="50">
        <v>-1427.21</v>
      </c>
      <c r="O594">
        <v>158.35</v>
      </c>
      <c r="Q594">
        <v>11.1</v>
      </c>
    </row>
    <row r="595" spans="3:18" x14ac:dyDescent="0.25">
      <c r="C595" t="s">
        <v>499</v>
      </c>
      <c r="D595" t="s">
        <v>194</v>
      </c>
      <c r="E595">
        <v>200767</v>
      </c>
      <c r="H595" t="s">
        <v>675</v>
      </c>
      <c r="K595">
        <v>-500</v>
      </c>
      <c r="M595">
        <v>-500</v>
      </c>
      <c r="O595">
        <v>0</v>
      </c>
    </row>
    <row r="596" spans="3:18" x14ac:dyDescent="0.25">
      <c r="C596" t="s">
        <v>499</v>
      </c>
      <c r="D596" t="s">
        <v>194</v>
      </c>
      <c r="E596">
        <v>200768</v>
      </c>
      <c r="H596" t="s">
        <v>676</v>
      </c>
      <c r="K596" s="50">
        <v>6857.59</v>
      </c>
      <c r="M596" s="50">
        <v>-47038.41</v>
      </c>
      <c r="O596" s="50">
        <v>53896</v>
      </c>
      <c r="Q596">
        <v>114.6</v>
      </c>
    </row>
    <row r="597" spans="3:18" x14ac:dyDescent="0.25">
      <c r="C597" t="s">
        <v>499</v>
      </c>
      <c r="D597" t="s">
        <v>194</v>
      </c>
      <c r="E597">
        <v>200771</v>
      </c>
      <c r="H597" t="s">
        <v>677</v>
      </c>
      <c r="K597" s="50">
        <v>-3383.35</v>
      </c>
      <c r="M597" s="50">
        <v>-3356.15</v>
      </c>
      <c r="O597">
        <v>-27.2</v>
      </c>
      <c r="Q597">
        <v>-0.8</v>
      </c>
    </row>
    <row r="598" spans="3:18" x14ac:dyDescent="0.25">
      <c r="C598" t="s">
        <v>499</v>
      </c>
      <c r="D598" t="s">
        <v>194</v>
      </c>
      <c r="E598">
        <v>200772</v>
      </c>
      <c r="H598" t="s">
        <v>678</v>
      </c>
      <c r="K598" s="50">
        <v>-3383.35</v>
      </c>
      <c r="M598" s="50">
        <v>-3356.15</v>
      </c>
      <c r="O598">
        <v>-27.2</v>
      </c>
      <c r="Q598">
        <v>-0.8</v>
      </c>
    </row>
    <row r="599" spans="3:18" x14ac:dyDescent="0.25">
      <c r="E599" t="s">
        <v>328</v>
      </c>
      <c r="K599" s="50">
        <v>-24220210.739999998</v>
      </c>
      <c r="M599" s="50">
        <v>-24104263.460000001</v>
      </c>
      <c r="O599" s="50">
        <v>-115947.28</v>
      </c>
      <c r="Q599">
        <v>-0.5</v>
      </c>
      <c r="R599" t="s">
        <v>223</v>
      </c>
    </row>
    <row r="600" spans="3:18" x14ac:dyDescent="0.25">
      <c r="C600" t="s">
        <v>499</v>
      </c>
      <c r="D600" t="s">
        <v>194</v>
      </c>
      <c r="E600">
        <v>200910</v>
      </c>
      <c r="H600" t="s">
        <v>679</v>
      </c>
      <c r="K600" s="50">
        <v>-3290101.69</v>
      </c>
      <c r="M600" s="50">
        <v>-3314514.06</v>
      </c>
      <c r="O600" s="50">
        <v>24412.37</v>
      </c>
      <c r="Q600">
        <v>0.7</v>
      </c>
    </row>
    <row r="601" spans="3:18" x14ac:dyDescent="0.25">
      <c r="C601" t="s">
        <v>499</v>
      </c>
      <c r="D601" t="s">
        <v>194</v>
      </c>
      <c r="E601">
        <v>200911</v>
      </c>
      <c r="H601" t="s">
        <v>680</v>
      </c>
      <c r="K601" s="50">
        <v>-11062750.01</v>
      </c>
      <c r="M601" s="50">
        <v>-11237151.01</v>
      </c>
      <c r="O601" s="50">
        <v>174401</v>
      </c>
      <c r="Q601">
        <v>1.6</v>
      </c>
    </row>
    <row r="602" spans="3:18" x14ac:dyDescent="0.25">
      <c r="C602" t="s">
        <v>499</v>
      </c>
      <c r="D602" t="s">
        <v>194</v>
      </c>
      <c r="E602">
        <v>200919</v>
      </c>
      <c r="H602" t="s">
        <v>681</v>
      </c>
      <c r="K602" s="50">
        <v>-854244542.53999996</v>
      </c>
      <c r="M602" s="50">
        <v>-856259181.51999998</v>
      </c>
      <c r="O602" s="50">
        <v>2014638.98</v>
      </c>
      <c r="Q602">
        <v>0.2</v>
      </c>
    </row>
    <row r="603" spans="3:18" x14ac:dyDescent="0.25">
      <c r="E603" t="s">
        <v>336</v>
      </c>
      <c r="K603" s="50">
        <v>-868597394.24000001</v>
      </c>
      <c r="M603" s="50">
        <v>-870810846.59000003</v>
      </c>
      <c r="O603" s="50">
        <v>2213452.35</v>
      </c>
      <c r="Q603">
        <v>0.3</v>
      </c>
      <c r="R603" t="s">
        <v>223</v>
      </c>
    </row>
    <row r="604" spans="3:18" x14ac:dyDescent="0.25">
      <c r="C604" t="s">
        <v>499</v>
      </c>
      <c r="D604" t="s">
        <v>194</v>
      </c>
      <c r="E604">
        <v>200830</v>
      </c>
      <c r="H604" t="s">
        <v>682</v>
      </c>
      <c r="K604" s="50">
        <v>-64103395.039999999</v>
      </c>
      <c r="M604" s="50">
        <v>-64103395.039999999</v>
      </c>
      <c r="O604">
        <v>0</v>
      </c>
    </row>
    <row r="605" spans="3:18" x14ac:dyDescent="0.25">
      <c r="E605" t="s">
        <v>683</v>
      </c>
      <c r="K605" s="50">
        <v>-64103395.039999999</v>
      </c>
      <c r="M605" s="50">
        <v>-64103395.039999999</v>
      </c>
      <c r="O605">
        <v>0</v>
      </c>
      <c r="R605" t="s">
        <v>223</v>
      </c>
    </row>
    <row r="606" spans="3:18" x14ac:dyDescent="0.25">
      <c r="E606" t="s">
        <v>341</v>
      </c>
      <c r="K606" s="50">
        <v>-2414418276.04</v>
      </c>
      <c r="M606" s="50">
        <v>-2491954755.6500001</v>
      </c>
      <c r="O606" s="50">
        <v>77536479.609999999</v>
      </c>
      <c r="Q606">
        <v>3.1</v>
      </c>
      <c r="R606" t="s">
        <v>219</v>
      </c>
    </row>
    <row r="607" spans="3:18" x14ac:dyDescent="0.25">
      <c r="E607" t="s">
        <v>342</v>
      </c>
      <c r="K607" s="50">
        <v>3748431988.9200001</v>
      </c>
      <c r="M607" s="50">
        <v>3762939847.4899998</v>
      </c>
      <c r="O607" s="50">
        <v>-14507858.57</v>
      </c>
      <c r="Q607">
        <v>-0.4</v>
      </c>
      <c r="R607" t="s">
        <v>343</v>
      </c>
    </row>
    <row r="609" spans="3:18" x14ac:dyDescent="0.25">
      <c r="E609" t="s">
        <v>344</v>
      </c>
      <c r="K609" s="50">
        <v>3875208887.9699998</v>
      </c>
      <c r="M609" s="50">
        <v>3889977098.4299998</v>
      </c>
      <c r="O609" s="50">
        <v>-14768210.460000001</v>
      </c>
      <c r="Q609">
        <v>-0.4</v>
      </c>
      <c r="R609" t="s">
        <v>345</v>
      </c>
    </row>
    <row r="611" spans="3:18" x14ac:dyDescent="0.25">
      <c r="E611" t="s">
        <v>346</v>
      </c>
    </row>
    <row r="612" spans="3:18" x14ac:dyDescent="0.25">
      <c r="C612" t="s">
        <v>499</v>
      </c>
      <c r="D612" t="s">
        <v>194</v>
      </c>
      <c r="E612">
        <v>220243</v>
      </c>
      <c r="H612" t="s">
        <v>684</v>
      </c>
      <c r="K612" s="50">
        <v>-106250000</v>
      </c>
      <c r="M612" s="50">
        <v>-107925000</v>
      </c>
      <c r="O612" s="50">
        <v>1675000</v>
      </c>
      <c r="Q612">
        <v>1.6</v>
      </c>
    </row>
    <row r="613" spans="3:18" x14ac:dyDescent="0.25">
      <c r="K613" s="50">
        <v>-106250000</v>
      </c>
      <c r="M613" s="50">
        <v>-107925000</v>
      </c>
      <c r="O613" s="50">
        <v>1675000</v>
      </c>
      <c r="Q613">
        <v>1.6</v>
      </c>
      <c r="R613" t="s">
        <v>219</v>
      </c>
    </row>
    <row r="614" spans="3:18" x14ac:dyDescent="0.25">
      <c r="C614" t="s">
        <v>499</v>
      </c>
      <c r="D614" t="s">
        <v>194</v>
      </c>
      <c r="E614">
        <v>240000</v>
      </c>
      <c r="H614" t="s">
        <v>685</v>
      </c>
      <c r="K614" s="50">
        <v>-1912500000</v>
      </c>
      <c r="M614" s="50">
        <v>-1942650000</v>
      </c>
      <c r="O614" s="50">
        <v>30150000</v>
      </c>
      <c r="Q614">
        <v>1.6</v>
      </c>
    </row>
    <row r="615" spans="3:18" x14ac:dyDescent="0.25">
      <c r="C615" t="s">
        <v>499</v>
      </c>
      <c r="D615" t="s">
        <v>194</v>
      </c>
      <c r="E615">
        <v>240001</v>
      </c>
      <c r="H615" t="s">
        <v>686</v>
      </c>
      <c r="K615" s="50">
        <v>19556052.140000001</v>
      </c>
      <c r="M615" s="50">
        <v>19864347.539999999</v>
      </c>
      <c r="O615" s="50">
        <v>-308295.40000000002</v>
      </c>
      <c r="Q615">
        <v>-1.6</v>
      </c>
    </row>
    <row r="616" spans="3:18" x14ac:dyDescent="0.25">
      <c r="C616" t="s">
        <v>499</v>
      </c>
      <c r="D616" t="s">
        <v>194</v>
      </c>
      <c r="E616">
        <v>240002</v>
      </c>
      <c r="H616" t="s">
        <v>687</v>
      </c>
      <c r="K616" s="50">
        <v>-15268629.74</v>
      </c>
      <c r="M616" s="50">
        <v>-15402242.68</v>
      </c>
      <c r="O616" s="50">
        <v>133612.94</v>
      </c>
      <c r="Q616">
        <v>0.9</v>
      </c>
    </row>
    <row r="617" spans="3:18" x14ac:dyDescent="0.25">
      <c r="C617" t="s">
        <v>499</v>
      </c>
      <c r="D617" t="s">
        <v>194</v>
      </c>
      <c r="E617">
        <v>240012</v>
      </c>
      <c r="H617" t="s">
        <v>688</v>
      </c>
      <c r="K617" s="50">
        <v>58718766.270000003</v>
      </c>
      <c r="M617" s="50">
        <v>44783151.020000003</v>
      </c>
      <c r="O617" s="50">
        <v>13935615.25</v>
      </c>
      <c r="Q617">
        <v>31.1</v>
      </c>
    </row>
    <row r="618" spans="3:18" x14ac:dyDescent="0.25">
      <c r="C618" t="s">
        <v>499</v>
      </c>
      <c r="D618" t="s">
        <v>194</v>
      </c>
      <c r="E618">
        <v>240014</v>
      </c>
      <c r="H618" t="s">
        <v>689</v>
      </c>
      <c r="K618" s="50">
        <v>-50827859.68</v>
      </c>
      <c r="M618" s="50">
        <v>-52543639.130000003</v>
      </c>
      <c r="O618" s="50">
        <v>1715779.45</v>
      </c>
      <c r="Q618">
        <v>3.3</v>
      </c>
    </row>
    <row r="619" spans="3:18" x14ac:dyDescent="0.25">
      <c r="C619" t="s">
        <v>499</v>
      </c>
      <c r="D619" t="s">
        <v>194</v>
      </c>
      <c r="E619">
        <v>240026</v>
      </c>
      <c r="H619" t="s">
        <v>690</v>
      </c>
      <c r="K619" s="50">
        <v>328797.09000000003</v>
      </c>
      <c r="M619" s="50">
        <v>347063.61</v>
      </c>
      <c r="O619" s="50">
        <v>-18266.52</v>
      </c>
      <c r="Q619">
        <v>-5.3</v>
      </c>
    </row>
    <row r="620" spans="3:18" x14ac:dyDescent="0.25">
      <c r="K620" s="50">
        <v>-1899992873.9200001</v>
      </c>
      <c r="M620" s="50">
        <v>-1945601319.6400001</v>
      </c>
      <c r="O620" s="50">
        <v>45608445.719999999</v>
      </c>
      <c r="Q620">
        <v>2.2999999999999998</v>
      </c>
      <c r="R620" t="s">
        <v>219</v>
      </c>
    </row>
    <row r="621" spans="3:18" x14ac:dyDescent="0.25">
      <c r="C621" t="s">
        <v>499</v>
      </c>
      <c r="D621" t="s">
        <v>194</v>
      </c>
      <c r="E621">
        <v>220206</v>
      </c>
      <c r="H621" t="s">
        <v>691</v>
      </c>
      <c r="K621" s="50">
        <v>-48127000</v>
      </c>
      <c r="M621" s="50">
        <v>-49095000</v>
      </c>
      <c r="O621" s="50">
        <v>968000</v>
      </c>
      <c r="Q621">
        <v>2</v>
      </c>
    </row>
    <row r="622" spans="3:18" x14ac:dyDescent="0.25">
      <c r="C622" t="s">
        <v>499</v>
      </c>
      <c r="D622" t="s">
        <v>194</v>
      </c>
      <c r="E622">
        <v>220207</v>
      </c>
      <c r="H622" t="s">
        <v>692</v>
      </c>
      <c r="K622" s="50">
        <v>-72190500</v>
      </c>
      <c r="M622" s="50">
        <v>-73642500</v>
      </c>
      <c r="O622" s="50">
        <v>1452000</v>
      </c>
      <c r="Q622">
        <v>2</v>
      </c>
    </row>
    <row r="623" spans="3:18" x14ac:dyDescent="0.25">
      <c r="K623" s="50">
        <v>-120317500</v>
      </c>
      <c r="M623" s="50">
        <v>-122737500</v>
      </c>
      <c r="O623" s="50">
        <v>2420000</v>
      </c>
      <c r="Q623">
        <v>2</v>
      </c>
      <c r="R623" t="s">
        <v>219</v>
      </c>
    </row>
    <row r="624" spans="3:18" x14ac:dyDescent="0.25">
      <c r="E624" t="s">
        <v>365</v>
      </c>
      <c r="K624" s="50">
        <v>-2126560373.9200001</v>
      </c>
      <c r="M624" s="50">
        <v>-2176263819.6399999</v>
      </c>
      <c r="O624" s="50">
        <v>49703445.719999999</v>
      </c>
      <c r="Q624">
        <v>2.2999999999999998</v>
      </c>
      <c r="R624" t="s">
        <v>343</v>
      </c>
    </row>
    <row r="626" spans="3:18" x14ac:dyDescent="0.25">
      <c r="E626" t="s">
        <v>366</v>
      </c>
    </row>
    <row r="627" spans="3:18" x14ac:dyDescent="0.25">
      <c r="C627" t="s">
        <v>499</v>
      </c>
      <c r="D627" t="s">
        <v>194</v>
      </c>
      <c r="E627">
        <v>380000</v>
      </c>
      <c r="H627" t="s">
        <v>369</v>
      </c>
      <c r="K627" s="50">
        <v>-8865600</v>
      </c>
      <c r="M627" s="50">
        <v>-7545250</v>
      </c>
      <c r="O627" s="50">
        <v>-1320350</v>
      </c>
      <c r="Q627">
        <v>-17.5</v>
      </c>
    </row>
    <row r="628" spans="3:18" x14ac:dyDescent="0.25">
      <c r="K628" s="50">
        <v>-8865600</v>
      </c>
      <c r="M628" s="50">
        <v>-7545250</v>
      </c>
      <c r="O628" s="50">
        <v>-1320350</v>
      </c>
      <c r="Q628">
        <v>-17.5</v>
      </c>
      <c r="R628" t="s">
        <v>219</v>
      </c>
    </row>
    <row r="629" spans="3:18" x14ac:dyDescent="0.25">
      <c r="C629" t="s">
        <v>499</v>
      </c>
      <c r="D629" t="s">
        <v>194</v>
      </c>
      <c r="E629">
        <v>300000</v>
      </c>
      <c r="H629" t="s">
        <v>693</v>
      </c>
      <c r="K629" s="50">
        <v>-2708665284</v>
      </c>
      <c r="M629" s="50">
        <v>-2708665284</v>
      </c>
      <c r="O629">
        <v>0</v>
      </c>
    </row>
    <row r="630" spans="3:18" x14ac:dyDescent="0.25">
      <c r="E630" t="s">
        <v>694</v>
      </c>
      <c r="K630" s="50">
        <v>-2708665284</v>
      </c>
      <c r="M630" s="50">
        <v>-2708665284</v>
      </c>
      <c r="O630">
        <v>0</v>
      </c>
      <c r="R630" t="s">
        <v>219</v>
      </c>
    </row>
    <row r="631" spans="3:18" x14ac:dyDescent="0.25">
      <c r="C631" t="s">
        <v>499</v>
      </c>
      <c r="D631" t="s">
        <v>194</v>
      </c>
      <c r="E631">
        <v>300001</v>
      </c>
      <c r="H631" t="s">
        <v>695</v>
      </c>
      <c r="K631" s="50">
        <v>-250000000</v>
      </c>
      <c r="M631" s="50">
        <v>-250000000</v>
      </c>
      <c r="O631">
        <v>0</v>
      </c>
    </row>
    <row r="632" spans="3:18" x14ac:dyDescent="0.25">
      <c r="K632" s="50">
        <v>-250000000</v>
      </c>
      <c r="M632" s="50">
        <v>-250000000</v>
      </c>
      <c r="O632">
        <v>0</v>
      </c>
      <c r="R632" t="s">
        <v>219</v>
      </c>
    </row>
    <row r="633" spans="3:18" x14ac:dyDescent="0.25">
      <c r="C633" t="s">
        <v>499</v>
      </c>
      <c r="D633" t="s">
        <v>194</v>
      </c>
      <c r="E633">
        <v>399999</v>
      </c>
      <c r="H633" t="s">
        <v>371</v>
      </c>
      <c r="K633" s="50">
        <v>1226494031.0599999</v>
      </c>
      <c r="M633" s="50">
        <v>1226494031.0599999</v>
      </c>
      <c r="O633">
        <v>0</v>
      </c>
    </row>
    <row r="634" spans="3:18" x14ac:dyDescent="0.25">
      <c r="E634" t="s">
        <v>372</v>
      </c>
      <c r="K634" s="50">
        <v>1226494031.0599999</v>
      </c>
      <c r="M634" s="50">
        <v>1226494031.0599999</v>
      </c>
      <c r="O634">
        <v>0</v>
      </c>
      <c r="R634" t="s">
        <v>219</v>
      </c>
    </row>
    <row r="635" spans="3:18" x14ac:dyDescent="0.25">
      <c r="E635" t="s">
        <v>373</v>
      </c>
      <c r="K635" s="50">
        <v>-7611661.1100000003</v>
      </c>
      <c r="M635">
        <v>0</v>
      </c>
      <c r="O635" s="50">
        <v>-7611661.1100000003</v>
      </c>
      <c r="R635" t="s">
        <v>219</v>
      </c>
    </row>
    <row r="636" spans="3:18" x14ac:dyDescent="0.25">
      <c r="K636">
        <v>0</v>
      </c>
      <c r="M636" s="50">
        <v>26003224.149999999</v>
      </c>
      <c r="O636" s="50">
        <v>-26003224.149999999</v>
      </c>
      <c r="Q636">
        <v>-100</v>
      </c>
      <c r="R636" t="s">
        <v>219</v>
      </c>
    </row>
    <row r="637" spans="3:18" x14ac:dyDescent="0.25">
      <c r="E637" t="s">
        <v>374</v>
      </c>
      <c r="K637" s="50">
        <v>-1748648514.05</v>
      </c>
      <c r="M637" s="50">
        <v>-1713713278.79</v>
      </c>
      <c r="O637" s="50">
        <v>-34935235.259999998</v>
      </c>
      <c r="Q637">
        <v>-2</v>
      </c>
      <c r="R637" t="s">
        <v>343</v>
      </c>
    </row>
    <row r="639" spans="3:18" x14ac:dyDescent="0.25">
      <c r="E639" t="s">
        <v>375</v>
      </c>
      <c r="K639" s="50">
        <v>-3875208887.9699998</v>
      </c>
      <c r="M639" s="50">
        <v>-3889977098.4299998</v>
      </c>
      <c r="O639" s="50">
        <v>14768210.460000001</v>
      </c>
      <c r="Q639">
        <v>0.4</v>
      </c>
      <c r="R639" t="s">
        <v>345</v>
      </c>
    </row>
    <row r="642" spans="1:18" x14ac:dyDescent="0.25">
      <c r="A642" t="s">
        <v>918</v>
      </c>
    </row>
    <row r="643" spans="1:18" x14ac:dyDescent="0.25">
      <c r="A643" t="s">
        <v>696</v>
      </c>
    </row>
    <row r="645" spans="1:18" x14ac:dyDescent="0.25">
      <c r="A645" t="s">
        <v>191</v>
      </c>
      <c r="F645" t="s">
        <v>499</v>
      </c>
      <c r="G645" t="s">
        <v>193</v>
      </c>
      <c r="I645" t="s">
        <v>194</v>
      </c>
      <c r="N645" t="s">
        <v>195</v>
      </c>
      <c r="P645" t="s">
        <v>12</v>
      </c>
    </row>
    <row r="647" spans="1:18" x14ac:dyDescent="0.25">
      <c r="B647" t="s">
        <v>196</v>
      </c>
      <c r="C647" t="s">
        <v>197</v>
      </c>
      <c r="D647" t="s">
        <v>198</v>
      </c>
      <c r="E647" t="s">
        <v>199</v>
      </c>
      <c r="J647" t="s">
        <v>200</v>
      </c>
      <c r="L647" t="s">
        <v>201</v>
      </c>
      <c r="O647" t="s">
        <v>202</v>
      </c>
      <c r="Q647" t="s">
        <v>203</v>
      </c>
      <c r="R647" t="s">
        <v>204</v>
      </c>
    </row>
    <row r="648" spans="1:18" x14ac:dyDescent="0.25">
      <c r="B648" t="s">
        <v>205</v>
      </c>
      <c r="C648" t="s">
        <v>206</v>
      </c>
      <c r="D648" t="s">
        <v>207</v>
      </c>
      <c r="J648" t="s">
        <v>208</v>
      </c>
      <c r="L648" t="s">
        <v>209</v>
      </c>
      <c r="O648" t="s">
        <v>210</v>
      </c>
      <c r="Q648" t="s">
        <v>211</v>
      </c>
      <c r="R648" t="s">
        <v>212</v>
      </c>
    </row>
    <row r="650" spans="1:18" x14ac:dyDescent="0.25">
      <c r="E650" t="s">
        <v>377</v>
      </c>
    </row>
    <row r="651" spans="1:18" x14ac:dyDescent="0.25">
      <c r="E651" t="s">
        <v>378</v>
      </c>
    </row>
    <row r="652" spans="1:18" x14ac:dyDescent="0.25">
      <c r="E652" t="s">
        <v>379</v>
      </c>
    </row>
    <row r="653" spans="1:18" x14ac:dyDescent="0.25">
      <c r="E653" t="s">
        <v>380</v>
      </c>
    </row>
    <row r="654" spans="1:18" x14ac:dyDescent="0.25">
      <c r="C654" t="s">
        <v>499</v>
      </c>
      <c r="D654" t="s">
        <v>194</v>
      </c>
      <c r="E654">
        <v>400100</v>
      </c>
      <c r="H654" t="s">
        <v>697</v>
      </c>
      <c r="K654" s="50">
        <v>-21402418.850000001</v>
      </c>
      <c r="M654" s="50">
        <v>-17251732.210000001</v>
      </c>
      <c r="O654" s="50">
        <v>-4150686.64</v>
      </c>
      <c r="Q654">
        <v>-24.1</v>
      </c>
    </row>
    <row r="655" spans="1:18" x14ac:dyDescent="0.25">
      <c r="C655" t="s">
        <v>499</v>
      </c>
      <c r="D655" t="s">
        <v>194</v>
      </c>
      <c r="E655">
        <v>400105</v>
      </c>
      <c r="H655" t="s">
        <v>698</v>
      </c>
      <c r="K655" s="50">
        <v>-1031.25</v>
      </c>
      <c r="M655" s="50">
        <v>-1031.25</v>
      </c>
      <c r="O655">
        <v>0</v>
      </c>
    </row>
    <row r="656" spans="1:18" x14ac:dyDescent="0.25">
      <c r="C656" t="s">
        <v>499</v>
      </c>
      <c r="D656" t="s">
        <v>194</v>
      </c>
      <c r="E656">
        <v>400115</v>
      </c>
      <c r="H656" t="s">
        <v>386</v>
      </c>
      <c r="K656" s="50">
        <v>143896.59</v>
      </c>
      <c r="M656" s="50">
        <v>141449.95000000001</v>
      </c>
      <c r="O656" s="50">
        <v>2446.64</v>
      </c>
      <c r="Q656">
        <v>1.7</v>
      </c>
    </row>
    <row r="657" spans="3:18" x14ac:dyDescent="0.25">
      <c r="E657" t="s">
        <v>699</v>
      </c>
      <c r="K657" s="50">
        <v>-21259553.510000002</v>
      </c>
      <c r="M657" s="50">
        <v>-17111313.510000002</v>
      </c>
      <c r="O657" s="50">
        <v>-4148240</v>
      </c>
      <c r="Q657">
        <v>-24.2</v>
      </c>
      <c r="R657" t="s">
        <v>382</v>
      </c>
    </row>
    <row r="658" spans="3:18" x14ac:dyDescent="0.25">
      <c r="C658" t="s">
        <v>499</v>
      </c>
      <c r="D658" t="s">
        <v>194</v>
      </c>
      <c r="E658">
        <v>400101</v>
      </c>
      <c r="H658" t="s">
        <v>700</v>
      </c>
      <c r="K658" s="50">
        <v>-1726209.83</v>
      </c>
      <c r="M658" s="50">
        <v>-1726209.83</v>
      </c>
      <c r="O658">
        <v>0</v>
      </c>
    </row>
    <row r="659" spans="3:18" x14ac:dyDescent="0.25">
      <c r="C659" t="s">
        <v>499</v>
      </c>
      <c r="D659" t="s">
        <v>194</v>
      </c>
      <c r="E659">
        <v>400112</v>
      </c>
      <c r="H659" t="s">
        <v>701</v>
      </c>
      <c r="K659" s="50">
        <v>-18253.07</v>
      </c>
      <c r="M659" s="50">
        <v>-14798.38</v>
      </c>
      <c r="O659" s="50">
        <v>-3454.69</v>
      </c>
      <c r="Q659">
        <v>-23.3</v>
      </c>
    </row>
    <row r="660" spans="3:18" x14ac:dyDescent="0.25">
      <c r="E660" t="s">
        <v>702</v>
      </c>
      <c r="K660" s="50">
        <v>-1744462.9</v>
      </c>
      <c r="M660" s="50">
        <v>-1741008.21</v>
      </c>
      <c r="O660" s="50">
        <v>-3454.69</v>
      </c>
      <c r="Q660">
        <v>-0.2</v>
      </c>
      <c r="R660" t="s">
        <v>382</v>
      </c>
    </row>
    <row r="661" spans="3:18" x14ac:dyDescent="0.25">
      <c r="C661" t="s">
        <v>499</v>
      </c>
      <c r="D661" t="s">
        <v>194</v>
      </c>
      <c r="E661">
        <v>400201</v>
      </c>
      <c r="H661" t="s">
        <v>703</v>
      </c>
      <c r="K661" s="50">
        <v>-282531.21000000002</v>
      </c>
      <c r="M661" s="50">
        <v>-247959.52</v>
      </c>
      <c r="O661" s="50">
        <v>-34571.69</v>
      </c>
      <c r="Q661">
        <v>-13.9</v>
      </c>
    </row>
    <row r="662" spans="3:18" x14ac:dyDescent="0.25">
      <c r="E662" t="s">
        <v>391</v>
      </c>
      <c r="K662" s="50">
        <v>-282531.21000000002</v>
      </c>
      <c r="M662" s="50">
        <v>-247959.52</v>
      </c>
      <c r="O662" s="50">
        <v>-34571.69</v>
      </c>
      <c r="Q662">
        <v>-13.9</v>
      </c>
      <c r="R662" t="s">
        <v>382</v>
      </c>
    </row>
    <row r="663" spans="3:18" x14ac:dyDescent="0.25">
      <c r="C663" t="s">
        <v>499</v>
      </c>
      <c r="D663" t="s">
        <v>194</v>
      </c>
      <c r="E663">
        <v>400102</v>
      </c>
      <c r="H663" t="s">
        <v>704</v>
      </c>
      <c r="K663" s="50">
        <v>-2365277.21</v>
      </c>
      <c r="M663" s="50">
        <v>-1802128.76</v>
      </c>
      <c r="O663" s="50">
        <v>-563148.44999999995</v>
      </c>
      <c r="Q663">
        <v>-31.2</v>
      </c>
    </row>
    <row r="664" spans="3:18" x14ac:dyDescent="0.25">
      <c r="C664" t="s">
        <v>499</v>
      </c>
      <c r="D664" t="s">
        <v>194</v>
      </c>
      <c r="E664">
        <v>400103</v>
      </c>
      <c r="H664" t="s">
        <v>704</v>
      </c>
      <c r="K664" s="50">
        <v>-750421.42</v>
      </c>
      <c r="M664" s="50">
        <v>-588083.93000000005</v>
      </c>
      <c r="O664" s="50">
        <v>-162337.49</v>
      </c>
      <c r="Q664">
        <v>-27.6</v>
      </c>
    </row>
    <row r="665" spans="3:18" x14ac:dyDescent="0.25">
      <c r="C665" t="s">
        <v>499</v>
      </c>
      <c r="D665" t="s">
        <v>194</v>
      </c>
      <c r="E665">
        <v>410703</v>
      </c>
      <c r="H665" t="s">
        <v>705</v>
      </c>
      <c r="K665" s="50">
        <v>-6298.11</v>
      </c>
      <c r="M665" s="50">
        <v>-3863.11</v>
      </c>
      <c r="O665" s="50">
        <v>-2435</v>
      </c>
      <c r="Q665">
        <v>-63</v>
      </c>
    </row>
    <row r="666" spans="3:18" x14ac:dyDescent="0.25">
      <c r="E666" t="s">
        <v>706</v>
      </c>
      <c r="K666" s="50">
        <v>-3121996.74</v>
      </c>
      <c r="M666" s="50">
        <v>-2394075.7999999998</v>
      </c>
      <c r="O666" s="50">
        <v>-727920.94</v>
      </c>
      <c r="Q666">
        <v>-30.4</v>
      </c>
      <c r="R666" t="s">
        <v>382</v>
      </c>
    </row>
    <row r="667" spans="3:18" x14ac:dyDescent="0.25">
      <c r="E667" t="s">
        <v>392</v>
      </c>
      <c r="K667" s="50">
        <v>-26408544.359999999</v>
      </c>
      <c r="M667" s="50">
        <v>-21494357.039999999</v>
      </c>
      <c r="O667" s="50">
        <v>-4914187.32</v>
      </c>
      <c r="Q667">
        <v>-22.9</v>
      </c>
      <c r="R667" t="s">
        <v>393</v>
      </c>
    </row>
    <row r="668" spans="3:18" x14ac:dyDescent="0.25">
      <c r="E668" t="s">
        <v>707</v>
      </c>
    </row>
    <row r="669" spans="3:18" x14ac:dyDescent="0.25">
      <c r="C669" t="s">
        <v>499</v>
      </c>
      <c r="D669" t="s">
        <v>194</v>
      </c>
      <c r="E669">
        <v>400301</v>
      </c>
      <c r="H669" t="s">
        <v>708</v>
      </c>
      <c r="K669" s="50">
        <v>-347244.96</v>
      </c>
      <c r="M669" s="50">
        <v>-225556.19</v>
      </c>
      <c r="O669" s="50">
        <v>-121688.77</v>
      </c>
      <c r="Q669">
        <v>-54</v>
      </c>
    </row>
    <row r="670" spans="3:18" x14ac:dyDescent="0.25">
      <c r="E670" t="s">
        <v>709</v>
      </c>
      <c r="K670" s="50">
        <v>-347244.96</v>
      </c>
      <c r="M670" s="50">
        <v>-225556.19</v>
      </c>
      <c r="O670" s="50">
        <v>-121688.77</v>
      </c>
      <c r="Q670">
        <v>-54</v>
      </c>
      <c r="R670" t="s">
        <v>710</v>
      </c>
    </row>
    <row r="671" spans="3:18" x14ac:dyDescent="0.25">
      <c r="E671" t="s">
        <v>711</v>
      </c>
      <c r="K671" s="50">
        <v>-347244.96</v>
      </c>
      <c r="M671" s="50">
        <v>-225556.19</v>
      </c>
      <c r="O671" s="50">
        <v>-121688.77</v>
      </c>
      <c r="Q671">
        <v>-54</v>
      </c>
      <c r="R671" t="s">
        <v>382</v>
      </c>
    </row>
    <row r="672" spans="3:18" x14ac:dyDescent="0.25">
      <c r="C672" t="s">
        <v>499</v>
      </c>
      <c r="D672" t="s">
        <v>194</v>
      </c>
      <c r="E672">
        <v>400500</v>
      </c>
      <c r="H672" t="s">
        <v>712</v>
      </c>
      <c r="K672" s="50">
        <v>-51016.83</v>
      </c>
      <c r="M672" s="50">
        <v>-51016.83</v>
      </c>
      <c r="O672">
        <v>0</v>
      </c>
    </row>
    <row r="673" spans="3:18" x14ac:dyDescent="0.25">
      <c r="E673" t="s">
        <v>713</v>
      </c>
      <c r="K673" s="50">
        <v>-51016.83</v>
      </c>
      <c r="M673" s="50">
        <v>-51016.83</v>
      </c>
      <c r="O673">
        <v>0</v>
      </c>
      <c r="R673" t="s">
        <v>710</v>
      </c>
    </row>
    <row r="674" spans="3:18" x14ac:dyDescent="0.25">
      <c r="C674" t="s">
        <v>499</v>
      </c>
      <c r="D674" t="s">
        <v>194</v>
      </c>
      <c r="E674">
        <v>500152</v>
      </c>
      <c r="H674" t="s">
        <v>714</v>
      </c>
      <c r="K674" s="50">
        <v>35711.78</v>
      </c>
      <c r="M674" s="50">
        <v>35711.78</v>
      </c>
      <c r="O674">
        <v>0</v>
      </c>
    </row>
    <row r="675" spans="3:18" x14ac:dyDescent="0.25">
      <c r="E675" t="s">
        <v>715</v>
      </c>
      <c r="K675" s="50">
        <v>35711.78</v>
      </c>
      <c r="M675" s="50">
        <v>35711.78</v>
      </c>
      <c r="O675">
        <v>0</v>
      </c>
      <c r="R675" t="s">
        <v>710</v>
      </c>
    </row>
    <row r="676" spans="3:18" x14ac:dyDescent="0.25">
      <c r="E676" t="s">
        <v>716</v>
      </c>
      <c r="K676" s="50">
        <v>-15305.05</v>
      </c>
      <c r="M676" s="50">
        <v>-15305.05</v>
      </c>
      <c r="O676">
        <v>0</v>
      </c>
      <c r="R676" t="s">
        <v>382</v>
      </c>
    </row>
    <row r="677" spans="3:18" x14ac:dyDescent="0.25">
      <c r="C677" t="s">
        <v>499</v>
      </c>
      <c r="D677" t="s">
        <v>194</v>
      </c>
      <c r="E677">
        <v>400503</v>
      </c>
      <c r="H677" t="s">
        <v>717</v>
      </c>
      <c r="K677" s="50">
        <v>-669796.75</v>
      </c>
      <c r="M677" s="50">
        <v>-521815.15</v>
      </c>
      <c r="O677" s="50">
        <v>-147981.6</v>
      </c>
      <c r="Q677">
        <v>-28.4</v>
      </c>
    </row>
    <row r="678" spans="3:18" x14ac:dyDescent="0.25">
      <c r="C678" t="s">
        <v>499</v>
      </c>
      <c r="D678" t="s">
        <v>194</v>
      </c>
      <c r="E678">
        <v>400505</v>
      </c>
      <c r="H678" t="s">
        <v>718</v>
      </c>
      <c r="K678" s="50">
        <v>464971.74</v>
      </c>
      <c r="M678" s="50">
        <v>362182.41</v>
      </c>
      <c r="O678" s="50">
        <v>102789.33</v>
      </c>
      <c r="Q678">
        <v>28.4</v>
      </c>
    </row>
    <row r="679" spans="3:18" x14ac:dyDescent="0.25">
      <c r="E679" t="s">
        <v>719</v>
      </c>
      <c r="K679" s="50">
        <v>-204825.01</v>
      </c>
      <c r="M679" s="50">
        <v>-159632.74</v>
      </c>
      <c r="O679" s="50">
        <v>-45192.27</v>
      </c>
      <c r="Q679">
        <v>-28.3</v>
      </c>
      <c r="R679" t="s">
        <v>382</v>
      </c>
    </row>
    <row r="680" spans="3:18" x14ac:dyDescent="0.25">
      <c r="E680" t="s">
        <v>396</v>
      </c>
      <c r="K680" s="50">
        <v>-567375.02</v>
      </c>
      <c r="M680" s="50">
        <v>-400493.98</v>
      </c>
      <c r="O680" s="50">
        <v>-166881.04</v>
      </c>
      <c r="Q680">
        <v>-41.7</v>
      </c>
      <c r="R680" t="s">
        <v>393</v>
      </c>
    </row>
    <row r="681" spans="3:18" x14ac:dyDescent="0.25">
      <c r="E681" t="s">
        <v>397</v>
      </c>
    </row>
    <row r="682" spans="3:18" x14ac:dyDescent="0.25">
      <c r="C682" t="s">
        <v>499</v>
      </c>
      <c r="D682" t="s">
        <v>194</v>
      </c>
      <c r="E682">
        <v>410125</v>
      </c>
      <c r="H682" t="s">
        <v>720</v>
      </c>
      <c r="K682" s="50">
        <v>-6405.61</v>
      </c>
      <c r="M682" s="50">
        <v>-5517.03</v>
      </c>
      <c r="O682">
        <v>-888.58</v>
      </c>
      <c r="Q682">
        <v>-16.100000000000001</v>
      </c>
    </row>
    <row r="683" spans="3:18" x14ac:dyDescent="0.25">
      <c r="K683" s="50">
        <v>-6405.61</v>
      </c>
      <c r="M683" s="50">
        <v>-5517.03</v>
      </c>
      <c r="O683">
        <v>-888.58</v>
      </c>
      <c r="Q683">
        <v>-16.100000000000001</v>
      </c>
      <c r="R683" t="s">
        <v>382</v>
      </c>
    </row>
    <row r="684" spans="3:18" x14ac:dyDescent="0.25">
      <c r="C684" t="s">
        <v>499</v>
      </c>
      <c r="D684" t="s">
        <v>194</v>
      </c>
      <c r="E684">
        <v>410121</v>
      </c>
      <c r="H684" t="s">
        <v>721</v>
      </c>
      <c r="K684" s="50">
        <v>-11887.03</v>
      </c>
      <c r="M684" s="50">
        <v>-11887.03</v>
      </c>
      <c r="O684">
        <v>0</v>
      </c>
    </row>
    <row r="685" spans="3:18" x14ac:dyDescent="0.25">
      <c r="K685" s="50">
        <v>-11887.03</v>
      </c>
      <c r="M685" s="50">
        <v>-11887.03</v>
      </c>
      <c r="O685">
        <v>0</v>
      </c>
      <c r="R685" t="s">
        <v>382</v>
      </c>
    </row>
    <row r="686" spans="3:18" x14ac:dyDescent="0.25">
      <c r="C686" t="s">
        <v>499</v>
      </c>
      <c r="D686" t="s">
        <v>194</v>
      </c>
      <c r="E686">
        <v>410109</v>
      </c>
      <c r="H686" t="s">
        <v>722</v>
      </c>
      <c r="K686" s="50">
        <v>-131142.79999999999</v>
      </c>
      <c r="M686" s="50">
        <v>-105461.79</v>
      </c>
      <c r="O686" s="50">
        <v>-25681.01</v>
      </c>
      <c r="Q686">
        <v>-24.4</v>
      </c>
    </row>
    <row r="687" spans="3:18" x14ac:dyDescent="0.25">
      <c r="C687" t="s">
        <v>499</v>
      </c>
      <c r="D687" t="s">
        <v>194</v>
      </c>
      <c r="E687">
        <v>410701</v>
      </c>
      <c r="H687" t="s">
        <v>723</v>
      </c>
      <c r="K687">
        <v>-107</v>
      </c>
      <c r="M687">
        <v>-107</v>
      </c>
      <c r="O687">
        <v>0</v>
      </c>
    </row>
    <row r="688" spans="3:18" x14ac:dyDescent="0.25">
      <c r="E688" t="s">
        <v>402</v>
      </c>
      <c r="K688" s="50">
        <v>-131249.79999999999</v>
      </c>
      <c r="M688" s="50">
        <v>-105568.79</v>
      </c>
      <c r="O688" s="50">
        <v>-25681.01</v>
      </c>
      <c r="Q688">
        <v>-24.3</v>
      </c>
      <c r="R688" t="s">
        <v>382</v>
      </c>
    </row>
    <row r="689" spans="3:18" x14ac:dyDescent="0.25">
      <c r="C689" t="s">
        <v>499</v>
      </c>
      <c r="D689" t="s">
        <v>194</v>
      </c>
      <c r="E689">
        <v>410704</v>
      </c>
      <c r="H689" t="s">
        <v>724</v>
      </c>
      <c r="K689" s="50">
        <v>-1492836.67</v>
      </c>
      <c r="M689" s="50">
        <v>-1458207.72</v>
      </c>
      <c r="O689" s="50">
        <v>-34628.949999999997</v>
      </c>
      <c r="Q689">
        <v>-2.4</v>
      </c>
    </row>
    <row r="690" spans="3:18" x14ac:dyDescent="0.25">
      <c r="K690" s="50">
        <v>-1492836.67</v>
      </c>
      <c r="M690" s="50">
        <v>-1458207.72</v>
      </c>
      <c r="O690" s="50">
        <v>-34628.949999999997</v>
      </c>
      <c r="Q690">
        <v>-2.4</v>
      </c>
      <c r="R690" t="s">
        <v>382</v>
      </c>
    </row>
    <row r="691" spans="3:18" x14ac:dyDescent="0.25">
      <c r="C691" t="s">
        <v>499</v>
      </c>
      <c r="D691" t="s">
        <v>194</v>
      </c>
      <c r="E691">
        <v>410702</v>
      </c>
      <c r="H691" t="s">
        <v>725</v>
      </c>
      <c r="K691">
        <v>-437</v>
      </c>
      <c r="M691">
        <v>-320</v>
      </c>
      <c r="O691">
        <v>-117</v>
      </c>
      <c r="Q691">
        <v>-36.6</v>
      </c>
    </row>
    <row r="692" spans="3:18" x14ac:dyDescent="0.25">
      <c r="E692" t="s">
        <v>404</v>
      </c>
      <c r="K692">
        <v>-437</v>
      </c>
      <c r="M692">
        <v>-320</v>
      </c>
      <c r="O692">
        <v>-117</v>
      </c>
      <c r="Q692">
        <v>-36.6</v>
      </c>
      <c r="R692" t="s">
        <v>382</v>
      </c>
    </row>
    <row r="693" spans="3:18" x14ac:dyDescent="0.25">
      <c r="C693" t="s">
        <v>499</v>
      </c>
      <c r="D693" t="s">
        <v>194</v>
      </c>
      <c r="E693">
        <v>410705</v>
      </c>
      <c r="H693" t="s">
        <v>726</v>
      </c>
      <c r="K693">
        <v>-115</v>
      </c>
      <c r="M693">
        <v>-115</v>
      </c>
      <c r="O693">
        <v>0</v>
      </c>
    </row>
    <row r="694" spans="3:18" x14ac:dyDescent="0.25">
      <c r="K694">
        <v>-115</v>
      </c>
      <c r="M694">
        <v>-115</v>
      </c>
      <c r="O694">
        <v>0</v>
      </c>
      <c r="R694" t="s">
        <v>382</v>
      </c>
    </row>
    <row r="695" spans="3:18" x14ac:dyDescent="0.25">
      <c r="C695" t="s">
        <v>499</v>
      </c>
      <c r="D695" t="s">
        <v>194</v>
      </c>
      <c r="E695">
        <v>410200</v>
      </c>
      <c r="H695" t="s">
        <v>727</v>
      </c>
      <c r="K695">
        <v>-500</v>
      </c>
      <c r="M695">
        <v>-500</v>
      </c>
      <c r="O695">
        <v>0</v>
      </c>
    </row>
    <row r="696" spans="3:18" x14ac:dyDescent="0.25">
      <c r="E696" t="s">
        <v>407</v>
      </c>
      <c r="K696">
        <v>-500</v>
      </c>
      <c r="M696">
        <v>-500</v>
      </c>
      <c r="O696">
        <v>0</v>
      </c>
      <c r="R696" t="s">
        <v>382</v>
      </c>
    </row>
    <row r="697" spans="3:18" x14ac:dyDescent="0.25">
      <c r="C697" t="s">
        <v>499</v>
      </c>
      <c r="D697" t="s">
        <v>194</v>
      </c>
      <c r="E697">
        <v>410300</v>
      </c>
      <c r="H697" t="s">
        <v>728</v>
      </c>
      <c r="K697">
        <v>-450</v>
      </c>
      <c r="M697">
        <v>-450</v>
      </c>
      <c r="O697">
        <v>0</v>
      </c>
    </row>
    <row r="698" spans="3:18" x14ac:dyDescent="0.25">
      <c r="E698" t="s">
        <v>409</v>
      </c>
      <c r="K698">
        <v>-450</v>
      </c>
      <c r="M698">
        <v>-450</v>
      </c>
      <c r="O698">
        <v>0</v>
      </c>
      <c r="R698" t="s">
        <v>382</v>
      </c>
    </row>
    <row r="699" spans="3:18" x14ac:dyDescent="0.25">
      <c r="C699" t="s">
        <v>499</v>
      </c>
      <c r="D699" t="s">
        <v>194</v>
      </c>
      <c r="E699">
        <v>410500</v>
      </c>
      <c r="H699" t="s">
        <v>729</v>
      </c>
      <c r="K699" s="50">
        <v>-14217.21</v>
      </c>
      <c r="M699" s="50">
        <v>-14217.21</v>
      </c>
      <c r="O699">
        <v>0</v>
      </c>
    </row>
    <row r="700" spans="3:18" x14ac:dyDescent="0.25">
      <c r="E700" t="s">
        <v>730</v>
      </c>
      <c r="K700" s="50">
        <v>-14217.21</v>
      </c>
      <c r="M700" s="50">
        <v>-14217.21</v>
      </c>
      <c r="O700">
        <v>0</v>
      </c>
      <c r="R700" t="s">
        <v>382</v>
      </c>
    </row>
    <row r="701" spans="3:18" x14ac:dyDescent="0.25">
      <c r="C701" t="s">
        <v>499</v>
      </c>
      <c r="D701" t="s">
        <v>194</v>
      </c>
      <c r="E701">
        <v>410450</v>
      </c>
      <c r="H701" t="s">
        <v>731</v>
      </c>
      <c r="K701" s="50">
        <v>-2678.38</v>
      </c>
      <c r="M701" s="50">
        <v>-2678.38</v>
      </c>
      <c r="O701">
        <v>0</v>
      </c>
    </row>
    <row r="702" spans="3:18" x14ac:dyDescent="0.25">
      <c r="E702" t="s">
        <v>732</v>
      </c>
      <c r="K702" s="50">
        <v>-2678.38</v>
      </c>
      <c r="M702" s="50">
        <v>-2678.38</v>
      </c>
      <c r="O702">
        <v>0</v>
      </c>
      <c r="R702" t="s">
        <v>382</v>
      </c>
    </row>
    <row r="703" spans="3:18" x14ac:dyDescent="0.25">
      <c r="E703" t="s">
        <v>410</v>
      </c>
      <c r="K703" s="50">
        <v>-1660776.7</v>
      </c>
      <c r="M703" s="50">
        <v>-1599461.16</v>
      </c>
      <c r="O703" s="50">
        <v>-61315.54</v>
      </c>
      <c r="Q703">
        <v>-3.8</v>
      </c>
      <c r="R703" t="s">
        <v>393</v>
      </c>
    </row>
    <row r="704" spans="3:18" x14ac:dyDescent="0.25">
      <c r="E704" t="s">
        <v>411</v>
      </c>
    </row>
    <row r="705" spans="3:18" x14ac:dyDescent="0.25">
      <c r="C705" t="s">
        <v>499</v>
      </c>
      <c r="D705" t="s">
        <v>194</v>
      </c>
      <c r="E705">
        <v>420700</v>
      </c>
      <c r="H705" t="s">
        <v>733</v>
      </c>
      <c r="K705" s="50">
        <v>-7686005.6100000003</v>
      </c>
      <c r="M705" s="50">
        <v>-6172184.5700000003</v>
      </c>
      <c r="O705" s="50">
        <v>-1513821.04</v>
      </c>
      <c r="Q705">
        <v>-24.5</v>
      </c>
    </row>
    <row r="706" spans="3:18" x14ac:dyDescent="0.25">
      <c r="C706" t="s">
        <v>499</v>
      </c>
      <c r="D706" t="s">
        <v>194</v>
      </c>
      <c r="E706">
        <v>430101</v>
      </c>
      <c r="H706" t="s">
        <v>734</v>
      </c>
      <c r="K706" s="50">
        <v>-25841.98</v>
      </c>
      <c r="M706" s="50">
        <v>-15376.21</v>
      </c>
      <c r="O706" s="50">
        <v>-10465.77</v>
      </c>
      <c r="Q706">
        <v>-68.099999999999994</v>
      </c>
    </row>
    <row r="707" spans="3:18" x14ac:dyDescent="0.25">
      <c r="E707" t="s">
        <v>413</v>
      </c>
      <c r="K707" s="50">
        <v>-7711847.5899999999</v>
      </c>
      <c r="M707" s="50">
        <v>-6187560.7800000003</v>
      </c>
      <c r="O707" s="50">
        <v>-1524286.81</v>
      </c>
      <c r="Q707">
        <v>-24.6</v>
      </c>
      <c r="R707" t="s">
        <v>382</v>
      </c>
    </row>
    <row r="708" spans="3:18" x14ac:dyDescent="0.25">
      <c r="E708" t="s">
        <v>414</v>
      </c>
      <c r="K708" s="50">
        <v>-7711847.5899999999</v>
      </c>
      <c r="M708" s="50">
        <v>-6187560.7800000003</v>
      </c>
      <c r="O708" s="50">
        <v>-1524286.81</v>
      </c>
      <c r="Q708">
        <v>-24.6</v>
      </c>
      <c r="R708" t="s">
        <v>393</v>
      </c>
    </row>
    <row r="709" spans="3:18" x14ac:dyDescent="0.25">
      <c r="E709" t="s">
        <v>415</v>
      </c>
      <c r="K709" s="50">
        <v>-36348543.670000002</v>
      </c>
      <c r="M709" s="50">
        <v>-29681872.960000001</v>
      </c>
      <c r="O709" s="50">
        <v>-6666670.71</v>
      </c>
      <c r="Q709">
        <v>-22.5</v>
      </c>
      <c r="R709" t="s">
        <v>223</v>
      </c>
    </row>
    <row r="710" spans="3:18" x14ac:dyDescent="0.25">
      <c r="E710" t="s">
        <v>416</v>
      </c>
      <c r="K710" s="50">
        <v>-36348543.670000002</v>
      </c>
      <c r="M710" s="50">
        <v>-29681872.960000001</v>
      </c>
      <c r="O710" s="50">
        <v>-6666670.71</v>
      </c>
      <c r="Q710">
        <v>-22.5</v>
      </c>
      <c r="R710" t="s">
        <v>219</v>
      </c>
    </row>
    <row r="711" spans="3:18" x14ac:dyDescent="0.25">
      <c r="E711" t="s">
        <v>417</v>
      </c>
    </row>
    <row r="712" spans="3:18" x14ac:dyDescent="0.25">
      <c r="C712" t="s">
        <v>499</v>
      </c>
      <c r="D712" t="s">
        <v>194</v>
      </c>
      <c r="E712">
        <v>420253</v>
      </c>
      <c r="H712" t="s">
        <v>735</v>
      </c>
      <c r="K712" s="50">
        <v>-5787516.6600000001</v>
      </c>
      <c r="M712" s="50">
        <v>-4621003.5199999996</v>
      </c>
      <c r="O712" s="50">
        <v>-1166513.1399999999</v>
      </c>
      <c r="Q712">
        <v>-25.2</v>
      </c>
    </row>
    <row r="713" spans="3:18" x14ac:dyDescent="0.25">
      <c r="C713" t="s">
        <v>499</v>
      </c>
      <c r="D713" t="s">
        <v>194</v>
      </c>
      <c r="E713">
        <v>420258</v>
      </c>
      <c r="H713" t="s">
        <v>736</v>
      </c>
      <c r="K713" s="50">
        <v>-716750.67</v>
      </c>
      <c r="M713" s="50">
        <v>-569975.36</v>
      </c>
      <c r="O713" s="50">
        <v>-146775.31</v>
      </c>
      <c r="Q713">
        <v>-25.8</v>
      </c>
    </row>
    <row r="714" spans="3:18" x14ac:dyDescent="0.25">
      <c r="C714" t="s">
        <v>499</v>
      </c>
      <c r="D714" t="s">
        <v>194</v>
      </c>
      <c r="E714">
        <v>420652</v>
      </c>
      <c r="H714" t="s">
        <v>737</v>
      </c>
      <c r="K714" s="50">
        <v>204147.20000000001</v>
      </c>
      <c r="M714" s="50">
        <v>204147.23</v>
      </c>
      <c r="O714">
        <v>-0.03</v>
      </c>
    </row>
    <row r="715" spans="3:18" x14ac:dyDescent="0.25">
      <c r="C715" t="s">
        <v>499</v>
      </c>
      <c r="D715" t="s">
        <v>194</v>
      </c>
      <c r="E715">
        <v>420676</v>
      </c>
      <c r="H715" t="s">
        <v>738</v>
      </c>
      <c r="K715" s="50">
        <v>49566.66</v>
      </c>
      <c r="M715" s="50">
        <v>39390.720000000001</v>
      </c>
      <c r="O715" s="50">
        <v>10175.94</v>
      </c>
      <c r="Q715">
        <v>25.8</v>
      </c>
    </row>
    <row r="716" spans="3:18" x14ac:dyDescent="0.25">
      <c r="C716" t="s">
        <v>499</v>
      </c>
      <c r="D716" t="s">
        <v>194</v>
      </c>
      <c r="E716">
        <v>420900</v>
      </c>
      <c r="H716" t="s">
        <v>739</v>
      </c>
      <c r="K716" s="50">
        <v>-19613256.219999999</v>
      </c>
      <c r="M716" s="50">
        <v>-15771302.470000001</v>
      </c>
      <c r="O716" s="50">
        <v>-3841953.75</v>
      </c>
      <c r="Q716">
        <v>-24.4</v>
      </c>
    </row>
    <row r="717" spans="3:18" x14ac:dyDescent="0.25">
      <c r="E717" t="s">
        <v>256</v>
      </c>
      <c r="K717" s="50">
        <v>-25863809.690000001</v>
      </c>
      <c r="M717" s="50">
        <v>-20718743.399999999</v>
      </c>
      <c r="O717" s="50">
        <v>-5145066.29</v>
      </c>
      <c r="Q717">
        <v>-24.8</v>
      </c>
      <c r="R717" t="s">
        <v>223</v>
      </c>
    </row>
    <row r="718" spans="3:18" x14ac:dyDescent="0.25">
      <c r="C718" t="s">
        <v>499</v>
      </c>
      <c r="D718" t="s">
        <v>194</v>
      </c>
      <c r="E718">
        <v>420100</v>
      </c>
      <c r="H718" t="s">
        <v>740</v>
      </c>
      <c r="K718" s="50">
        <v>-1340414.43</v>
      </c>
      <c r="M718" s="50">
        <v>-1007347.17</v>
      </c>
      <c r="O718" s="50">
        <v>-333067.26</v>
      </c>
      <c r="Q718">
        <v>-33.1</v>
      </c>
    </row>
    <row r="719" spans="3:18" x14ac:dyDescent="0.25">
      <c r="C719" t="s">
        <v>499</v>
      </c>
      <c r="D719" t="s">
        <v>194</v>
      </c>
      <c r="E719">
        <v>420405</v>
      </c>
      <c r="H719" t="s">
        <v>741</v>
      </c>
      <c r="K719" s="50">
        <v>-11092.75</v>
      </c>
      <c r="M719" s="50">
        <v>-11092.75</v>
      </c>
      <c r="O719">
        <v>0</v>
      </c>
    </row>
    <row r="720" spans="3:18" x14ac:dyDescent="0.25">
      <c r="E720" t="s">
        <v>433</v>
      </c>
      <c r="K720" s="50">
        <v>-1351507.18</v>
      </c>
      <c r="M720" s="50">
        <v>-1018439.92</v>
      </c>
      <c r="O720" s="50">
        <v>-333067.26</v>
      </c>
      <c r="Q720">
        <v>-32.700000000000003</v>
      </c>
      <c r="R720" t="s">
        <v>223</v>
      </c>
    </row>
    <row r="721" spans="3:18" x14ac:dyDescent="0.25">
      <c r="C721" t="s">
        <v>499</v>
      </c>
      <c r="D721" t="s">
        <v>194</v>
      </c>
      <c r="E721">
        <v>420254</v>
      </c>
      <c r="H721" t="s">
        <v>742</v>
      </c>
      <c r="K721" s="50">
        <v>-77772.740000000005</v>
      </c>
      <c r="M721" s="50">
        <v>-77772.740000000005</v>
      </c>
      <c r="O721">
        <v>0</v>
      </c>
    </row>
    <row r="722" spans="3:18" x14ac:dyDescent="0.25">
      <c r="C722" t="s">
        <v>499</v>
      </c>
      <c r="D722" t="s">
        <v>194</v>
      </c>
      <c r="E722">
        <v>420300</v>
      </c>
      <c r="H722" t="s">
        <v>743</v>
      </c>
      <c r="K722" s="50">
        <v>-13889881.880000001</v>
      </c>
      <c r="M722" s="50">
        <v>-11017622.460000001</v>
      </c>
      <c r="O722" s="50">
        <v>-2872259.42</v>
      </c>
      <c r="Q722">
        <v>-26.1</v>
      </c>
    </row>
    <row r="723" spans="3:18" x14ac:dyDescent="0.25">
      <c r="C723" t="s">
        <v>499</v>
      </c>
      <c r="D723" t="s">
        <v>194</v>
      </c>
      <c r="E723">
        <v>420304</v>
      </c>
      <c r="H723" t="s">
        <v>744</v>
      </c>
      <c r="K723" s="50">
        <v>-73480.759999999995</v>
      </c>
      <c r="M723" s="50">
        <v>-73480.759999999995</v>
      </c>
      <c r="O723">
        <v>0</v>
      </c>
    </row>
    <row r="724" spans="3:18" x14ac:dyDescent="0.25">
      <c r="C724" t="s">
        <v>499</v>
      </c>
      <c r="D724" t="s">
        <v>194</v>
      </c>
      <c r="E724">
        <v>420305</v>
      </c>
      <c r="H724" t="s">
        <v>745</v>
      </c>
      <c r="K724" s="50">
        <v>-97547.47</v>
      </c>
      <c r="M724" s="50">
        <v>-97547.47</v>
      </c>
      <c r="O724">
        <v>0</v>
      </c>
    </row>
    <row r="725" spans="3:18" x14ac:dyDescent="0.25">
      <c r="E725" t="s">
        <v>746</v>
      </c>
      <c r="K725" s="50">
        <v>-14138682.85</v>
      </c>
      <c r="M725" s="50">
        <v>-11266423.43</v>
      </c>
      <c r="O725" s="50">
        <v>-2872259.42</v>
      </c>
      <c r="Q725">
        <v>-25.5</v>
      </c>
      <c r="R725" t="s">
        <v>223</v>
      </c>
    </row>
    <row r="726" spans="3:18" x14ac:dyDescent="0.25">
      <c r="C726" t="s">
        <v>499</v>
      </c>
      <c r="D726" t="s">
        <v>194</v>
      </c>
      <c r="E726">
        <v>420207</v>
      </c>
      <c r="H726" t="s">
        <v>747</v>
      </c>
      <c r="K726" s="50">
        <v>-24210.23</v>
      </c>
      <c r="M726" s="50">
        <v>-24210.23</v>
      </c>
      <c r="O726">
        <v>0</v>
      </c>
    </row>
    <row r="727" spans="3:18" x14ac:dyDescent="0.25">
      <c r="K727" s="50">
        <v>-24210.23</v>
      </c>
      <c r="M727" s="50">
        <v>-24210.23</v>
      </c>
      <c r="O727">
        <v>0</v>
      </c>
      <c r="R727" t="s">
        <v>223</v>
      </c>
    </row>
    <row r="728" spans="3:18" x14ac:dyDescent="0.25">
      <c r="C728" t="s">
        <v>499</v>
      </c>
      <c r="D728" t="s">
        <v>194</v>
      </c>
      <c r="E728">
        <v>421302</v>
      </c>
      <c r="H728" t="s">
        <v>748</v>
      </c>
      <c r="K728" s="50">
        <v>-7669</v>
      </c>
      <c r="M728" s="50">
        <v>-5506</v>
      </c>
      <c r="O728" s="50">
        <v>-2163</v>
      </c>
      <c r="Q728">
        <v>-39.299999999999997</v>
      </c>
    </row>
    <row r="729" spans="3:18" x14ac:dyDescent="0.25">
      <c r="E729" t="s">
        <v>749</v>
      </c>
      <c r="K729" s="50">
        <v>-7669</v>
      </c>
      <c r="M729" s="50">
        <v>-5506</v>
      </c>
      <c r="O729" s="50">
        <v>-2163</v>
      </c>
      <c r="Q729">
        <v>-39.299999999999997</v>
      </c>
      <c r="R729" t="s">
        <v>223</v>
      </c>
    </row>
    <row r="730" spans="3:18" x14ac:dyDescent="0.25">
      <c r="C730" t="s">
        <v>499</v>
      </c>
      <c r="D730" t="s">
        <v>194</v>
      </c>
      <c r="E730">
        <v>420608</v>
      </c>
      <c r="H730" t="s">
        <v>750</v>
      </c>
      <c r="K730">
        <v>-886.54</v>
      </c>
      <c r="M730">
        <v>-737.37</v>
      </c>
      <c r="O730">
        <v>-149.16999999999999</v>
      </c>
      <c r="Q730">
        <v>-20.2</v>
      </c>
    </row>
    <row r="731" spans="3:18" x14ac:dyDescent="0.25">
      <c r="C731" t="s">
        <v>499</v>
      </c>
      <c r="D731" t="s">
        <v>194</v>
      </c>
      <c r="E731">
        <v>420609</v>
      </c>
      <c r="H731" t="s">
        <v>751</v>
      </c>
      <c r="K731" s="50">
        <v>-134903.82999999999</v>
      </c>
      <c r="M731" s="50">
        <v>-134903.82999999999</v>
      </c>
      <c r="O731">
        <v>0</v>
      </c>
    </row>
    <row r="732" spans="3:18" x14ac:dyDescent="0.25">
      <c r="C732" t="s">
        <v>499</v>
      </c>
      <c r="D732" t="s">
        <v>194</v>
      </c>
      <c r="E732">
        <v>420702</v>
      </c>
      <c r="H732" t="s">
        <v>752</v>
      </c>
      <c r="K732" s="50">
        <v>-3721.46</v>
      </c>
      <c r="M732" s="50">
        <v>-2995.73</v>
      </c>
      <c r="O732">
        <v>-725.73</v>
      </c>
      <c r="Q732">
        <v>-24.2</v>
      </c>
    </row>
    <row r="733" spans="3:18" x14ac:dyDescent="0.25">
      <c r="C733" t="s">
        <v>499</v>
      </c>
      <c r="D733" t="s">
        <v>194</v>
      </c>
      <c r="E733">
        <v>420704</v>
      </c>
      <c r="H733" t="s">
        <v>753</v>
      </c>
      <c r="K733" s="50">
        <v>-40696785.659999996</v>
      </c>
      <c r="M733" s="50">
        <v>-27903670.899999999</v>
      </c>
      <c r="O733" s="50">
        <v>-12793114.76</v>
      </c>
      <c r="Q733">
        <v>-45.8</v>
      </c>
    </row>
    <row r="734" spans="3:18" x14ac:dyDescent="0.25">
      <c r="C734" t="s">
        <v>499</v>
      </c>
      <c r="D734" t="s">
        <v>194</v>
      </c>
      <c r="E734">
        <v>420705</v>
      </c>
      <c r="H734" t="s">
        <v>754</v>
      </c>
      <c r="K734">
        <v>-68.349999999999994</v>
      </c>
      <c r="M734">
        <v>-55.95</v>
      </c>
      <c r="O734">
        <v>-12.4</v>
      </c>
      <c r="Q734">
        <v>-22.2</v>
      </c>
    </row>
    <row r="735" spans="3:18" x14ac:dyDescent="0.25">
      <c r="C735" t="s">
        <v>499</v>
      </c>
      <c r="D735" t="s">
        <v>194</v>
      </c>
      <c r="E735">
        <v>420727</v>
      </c>
      <c r="H735" t="s">
        <v>755</v>
      </c>
      <c r="K735" s="50">
        <v>-13319.76</v>
      </c>
      <c r="M735" s="50">
        <v>-9909.31</v>
      </c>
      <c r="O735" s="50">
        <v>-3410.45</v>
      </c>
      <c r="Q735">
        <v>-34.4</v>
      </c>
    </row>
    <row r="736" spans="3:18" x14ac:dyDescent="0.25">
      <c r="C736" t="s">
        <v>499</v>
      </c>
      <c r="D736" t="s">
        <v>194</v>
      </c>
      <c r="E736">
        <v>420750</v>
      </c>
      <c r="H736" t="s">
        <v>756</v>
      </c>
      <c r="K736" s="50">
        <v>686681.67</v>
      </c>
      <c r="M736" s="50">
        <v>725781.67</v>
      </c>
      <c r="O736" s="50">
        <v>-39100</v>
      </c>
      <c r="Q736">
        <v>-5.4</v>
      </c>
    </row>
    <row r="737" spans="3:18" x14ac:dyDescent="0.25">
      <c r="C737" t="s">
        <v>499</v>
      </c>
      <c r="D737" t="s">
        <v>194</v>
      </c>
      <c r="E737">
        <v>420910</v>
      </c>
      <c r="H737" t="s">
        <v>757</v>
      </c>
      <c r="K737" s="50">
        <v>38082609.229999997</v>
      </c>
      <c r="M737" s="50">
        <v>52713260.619999997</v>
      </c>
      <c r="O737" s="50">
        <v>-14630651.390000001</v>
      </c>
      <c r="Q737">
        <v>-27.8</v>
      </c>
    </row>
    <row r="738" spans="3:18" x14ac:dyDescent="0.25">
      <c r="C738" t="s">
        <v>499</v>
      </c>
      <c r="D738" t="s">
        <v>194</v>
      </c>
      <c r="E738">
        <v>500114</v>
      </c>
      <c r="H738" t="s">
        <v>758</v>
      </c>
      <c r="K738" s="50">
        <v>44447670.829999998</v>
      </c>
      <c r="M738" s="50">
        <v>37698497.740000002</v>
      </c>
      <c r="O738" s="50">
        <v>6749173.0899999999</v>
      </c>
      <c r="Q738">
        <v>17.899999999999999</v>
      </c>
    </row>
    <row r="739" spans="3:18" x14ac:dyDescent="0.25">
      <c r="C739" t="s">
        <v>499</v>
      </c>
      <c r="D739" t="s">
        <v>194</v>
      </c>
      <c r="E739">
        <v>540007</v>
      </c>
      <c r="H739" t="s">
        <v>759</v>
      </c>
      <c r="K739" s="50">
        <v>1278033.43</v>
      </c>
      <c r="M739" s="50">
        <v>2178333.66</v>
      </c>
      <c r="O739" s="50">
        <v>-900300.23</v>
      </c>
      <c r="Q739">
        <v>-41.3</v>
      </c>
    </row>
    <row r="740" spans="3:18" x14ac:dyDescent="0.25">
      <c r="C740" t="s">
        <v>499</v>
      </c>
      <c r="D740" t="s">
        <v>194</v>
      </c>
      <c r="E740">
        <v>540009</v>
      </c>
      <c r="H740" t="s">
        <v>760</v>
      </c>
      <c r="K740" s="50">
        <v>91332.6</v>
      </c>
      <c r="M740" s="50">
        <v>73066.080000000002</v>
      </c>
      <c r="O740" s="50">
        <v>18266.52</v>
      </c>
      <c r="Q740">
        <v>25</v>
      </c>
    </row>
    <row r="741" spans="3:18" x14ac:dyDescent="0.25">
      <c r="E741" t="s">
        <v>435</v>
      </c>
      <c r="K741" s="50">
        <v>43736642.159999996</v>
      </c>
      <c r="M741" s="50">
        <v>65336666.68</v>
      </c>
      <c r="O741" s="50">
        <v>-21600024.52</v>
      </c>
      <c r="Q741">
        <v>-33.1</v>
      </c>
      <c r="R741" t="s">
        <v>223</v>
      </c>
    </row>
    <row r="742" spans="3:18" x14ac:dyDescent="0.25">
      <c r="E742" t="s">
        <v>436</v>
      </c>
      <c r="K742" s="50">
        <v>2350763.21</v>
      </c>
      <c r="M742" s="50">
        <v>32303343.699999999</v>
      </c>
      <c r="O742" s="50">
        <v>-29952580.489999998</v>
      </c>
      <c r="Q742">
        <v>-92.7</v>
      </c>
      <c r="R742" t="s">
        <v>219</v>
      </c>
    </row>
    <row r="743" spans="3:18" x14ac:dyDescent="0.25">
      <c r="C743" t="s">
        <v>499</v>
      </c>
      <c r="D743" t="s">
        <v>194</v>
      </c>
      <c r="E743">
        <v>510156</v>
      </c>
      <c r="H743" t="s">
        <v>761</v>
      </c>
      <c r="K743" s="50">
        <v>107850.06</v>
      </c>
      <c r="M743" s="50">
        <v>83306.55</v>
      </c>
      <c r="O743" s="50">
        <v>24543.51</v>
      </c>
      <c r="Q743">
        <v>29.5</v>
      </c>
    </row>
    <row r="744" spans="3:18" x14ac:dyDescent="0.25">
      <c r="K744" s="50">
        <v>107850.06</v>
      </c>
      <c r="M744" s="50">
        <v>83306.55</v>
      </c>
      <c r="O744" s="50">
        <v>24543.51</v>
      </c>
      <c r="Q744">
        <v>29.5</v>
      </c>
      <c r="R744" t="s">
        <v>223</v>
      </c>
    </row>
    <row r="745" spans="3:18" x14ac:dyDescent="0.25">
      <c r="E745" t="s">
        <v>437</v>
      </c>
    </row>
    <row r="746" spans="3:18" x14ac:dyDescent="0.25">
      <c r="C746" t="s">
        <v>499</v>
      </c>
      <c r="D746" t="s">
        <v>194</v>
      </c>
      <c r="E746">
        <v>510100</v>
      </c>
      <c r="H746" t="s">
        <v>762</v>
      </c>
      <c r="K746" s="50">
        <v>15822530.76</v>
      </c>
      <c r="M746" s="50">
        <v>12675225.689999999</v>
      </c>
      <c r="O746" s="50">
        <v>3147305.07</v>
      </c>
      <c r="Q746">
        <v>24.8</v>
      </c>
    </row>
    <row r="747" spans="3:18" x14ac:dyDescent="0.25">
      <c r="C747" t="s">
        <v>499</v>
      </c>
      <c r="D747" t="s">
        <v>194</v>
      </c>
      <c r="E747">
        <v>510101</v>
      </c>
      <c r="H747" t="s">
        <v>763</v>
      </c>
      <c r="K747" s="50">
        <v>2689727</v>
      </c>
      <c r="M747" s="50">
        <v>2153205</v>
      </c>
      <c r="O747" s="50">
        <v>536522</v>
      </c>
      <c r="Q747">
        <v>24.9</v>
      </c>
    </row>
    <row r="748" spans="3:18" x14ac:dyDescent="0.25">
      <c r="C748" t="s">
        <v>499</v>
      </c>
      <c r="D748" t="s">
        <v>194</v>
      </c>
      <c r="E748">
        <v>510102</v>
      </c>
      <c r="H748" t="s">
        <v>764</v>
      </c>
      <c r="K748" s="50">
        <v>152153.35</v>
      </c>
      <c r="M748" s="50">
        <v>121324.15</v>
      </c>
      <c r="O748" s="50">
        <v>30829.200000000001</v>
      </c>
      <c r="Q748">
        <v>25.4</v>
      </c>
    </row>
    <row r="749" spans="3:18" x14ac:dyDescent="0.25">
      <c r="C749" t="s">
        <v>499</v>
      </c>
      <c r="D749" t="s">
        <v>194</v>
      </c>
      <c r="E749">
        <v>510103</v>
      </c>
      <c r="H749" t="s">
        <v>765</v>
      </c>
      <c r="K749" s="50">
        <v>2500000</v>
      </c>
      <c r="M749" s="50">
        <v>2000000</v>
      </c>
      <c r="O749" s="50">
        <v>500000</v>
      </c>
      <c r="Q749">
        <v>25</v>
      </c>
    </row>
    <row r="750" spans="3:18" x14ac:dyDescent="0.25">
      <c r="C750" t="s">
        <v>499</v>
      </c>
      <c r="D750" t="s">
        <v>194</v>
      </c>
      <c r="E750">
        <v>510104</v>
      </c>
      <c r="H750" t="s">
        <v>766</v>
      </c>
      <c r="K750" s="50">
        <v>22950</v>
      </c>
      <c r="M750" s="50">
        <v>18360</v>
      </c>
      <c r="O750" s="50">
        <v>4590</v>
      </c>
      <c r="Q750">
        <v>25</v>
      </c>
    </row>
    <row r="751" spans="3:18" x14ac:dyDescent="0.25">
      <c r="C751" t="s">
        <v>499</v>
      </c>
      <c r="D751" t="s">
        <v>194</v>
      </c>
      <c r="E751">
        <v>510105</v>
      </c>
      <c r="H751" t="s">
        <v>767</v>
      </c>
      <c r="K751" s="50">
        <v>4543.8500000000004</v>
      </c>
      <c r="M751" s="50">
        <v>6777.61</v>
      </c>
      <c r="O751" s="50">
        <v>-2233.7600000000002</v>
      </c>
      <c r="Q751">
        <v>-33</v>
      </c>
    </row>
    <row r="752" spans="3:18" x14ac:dyDescent="0.25">
      <c r="C752" t="s">
        <v>499</v>
      </c>
      <c r="D752" t="s">
        <v>194</v>
      </c>
      <c r="E752">
        <v>510108</v>
      </c>
      <c r="H752" t="s">
        <v>768</v>
      </c>
      <c r="K752" s="50">
        <v>10198</v>
      </c>
      <c r="M752" s="50">
        <v>6199</v>
      </c>
      <c r="O752" s="50">
        <v>3999</v>
      </c>
      <c r="Q752">
        <v>64.5</v>
      </c>
    </row>
    <row r="753" spans="3:17" x14ac:dyDescent="0.25">
      <c r="C753" t="s">
        <v>499</v>
      </c>
      <c r="D753" t="s">
        <v>194</v>
      </c>
      <c r="E753">
        <v>510109</v>
      </c>
      <c r="H753" t="s">
        <v>769</v>
      </c>
      <c r="K753" s="50">
        <v>77991.360000000001</v>
      </c>
      <c r="M753" s="50">
        <v>67491.360000000001</v>
      </c>
      <c r="O753" s="50">
        <v>10500</v>
      </c>
      <c r="Q753">
        <v>15.6</v>
      </c>
    </row>
    <row r="754" spans="3:17" x14ac:dyDescent="0.25">
      <c r="C754" t="s">
        <v>499</v>
      </c>
      <c r="D754" t="s">
        <v>194</v>
      </c>
      <c r="E754">
        <v>510110</v>
      </c>
      <c r="H754" t="s">
        <v>444</v>
      </c>
      <c r="K754" s="50">
        <v>6000</v>
      </c>
      <c r="M754" s="50">
        <v>1000</v>
      </c>
      <c r="O754" s="50">
        <v>5000</v>
      </c>
      <c r="Q754">
        <v>500</v>
      </c>
    </row>
    <row r="755" spans="3:17" x14ac:dyDescent="0.25">
      <c r="C755" t="s">
        <v>499</v>
      </c>
      <c r="D755" t="s">
        <v>194</v>
      </c>
      <c r="E755">
        <v>510113</v>
      </c>
      <c r="H755" t="s">
        <v>770</v>
      </c>
      <c r="K755" s="50">
        <v>98880.72</v>
      </c>
      <c r="M755" s="50">
        <v>76471.06</v>
      </c>
      <c r="O755" s="50">
        <v>22409.66</v>
      </c>
      <c r="Q755">
        <v>29.3</v>
      </c>
    </row>
    <row r="756" spans="3:17" x14ac:dyDescent="0.25">
      <c r="C756" t="s">
        <v>499</v>
      </c>
      <c r="D756" t="s">
        <v>194</v>
      </c>
      <c r="E756">
        <v>510114</v>
      </c>
      <c r="H756" t="s">
        <v>771</v>
      </c>
      <c r="K756" s="50">
        <v>175521.1</v>
      </c>
      <c r="M756" s="50">
        <v>117027.1</v>
      </c>
      <c r="O756" s="50">
        <v>58494</v>
      </c>
      <c r="Q756">
        <v>50</v>
      </c>
    </row>
    <row r="757" spans="3:17" x14ac:dyDescent="0.25">
      <c r="C757" t="s">
        <v>499</v>
      </c>
      <c r="D757" t="s">
        <v>194</v>
      </c>
      <c r="E757">
        <v>510115</v>
      </c>
      <c r="H757" t="s">
        <v>772</v>
      </c>
      <c r="K757" s="50">
        <v>566226.36</v>
      </c>
      <c r="M757" s="50">
        <v>451726.36</v>
      </c>
      <c r="O757" s="50">
        <v>114500</v>
      </c>
      <c r="Q757">
        <v>25.3</v>
      </c>
    </row>
    <row r="758" spans="3:17" x14ac:dyDescent="0.25">
      <c r="C758" t="s">
        <v>499</v>
      </c>
      <c r="D758" t="s">
        <v>194</v>
      </c>
      <c r="E758">
        <v>510116</v>
      </c>
      <c r="H758" t="s">
        <v>773</v>
      </c>
      <c r="K758" s="50">
        <v>78090.73</v>
      </c>
      <c r="M758" s="50">
        <v>57862.39</v>
      </c>
      <c r="O758" s="50">
        <v>20228.34</v>
      </c>
      <c r="Q758">
        <v>35</v>
      </c>
    </row>
    <row r="759" spans="3:17" x14ac:dyDescent="0.25">
      <c r="C759" t="s">
        <v>499</v>
      </c>
      <c r="D759" t="s">
        <v>194</v>
      </c>
      <c r="E759">
        <v>510118</v>
      </c>
      <c r="H759" t="s">
        <v>774</v>
      </c>
      <c r="K759" s="50">
        <v>153670.28</v>
      </c>
      <c r="M759" s="50">
        <v>112997.69</v>
      </c>
      <c r="O759" s="50">
        <v>40672.589999999997</v>
      </c>
      <c r="Q759">
        <v>36</v>
      </c>
    </row>
    <row r="760" spans="3:17" x14ac:dyDescent="0.25">
      <c r="C760" t="s">
        <v>499</v>
      </c>
      <c r="D760" t="s">
        <v>194</v>
      </c>
      <c r="E760">
        <v>510119</v>
      </c>
      <c r="H760" t="s">
        <v>443</v>
      </c>
      <c r="K760" s="50">
        <v>139161.07999999999</v>
      </c>
      <c r="M760" s="50">
        <v>119688.47</v>
      </c>
      <c r="O760" s="50">
        <v>19472.61</v>
      </c>
      <c r="Q760">
        <v>16.3</v>
      </c>
    </row>
    <row r="761" spans="3:17" x14ac:dyDescent="0.25">
      <c r="C761" t="s">
        <v>499</v>
      </c>
      <c r="D761" t="s">
        <v>194</v>
      </c>
      <c r="E761">
        <v>510120</v>
      </c>
      <c r="H761" t="s">
        <v>775</v>
      </c>
      <c r="K761" s="50">
        <v>11162.17</v>
      </c>
      <c r="M761" s="50">
        <v>10473.780000000001</v>
      </c>
      <c r="O761">
        <v>688.39</v>
      </c>
      <c r="Q761">
        <v>6.6</v>
      </c>
    </row>
    <row r="762" spans="3:17" x14ac:dyDescent="0.25">
      <c r="C762" t="s">
        <v>499</v>
      </c>
      <c r="D762" t="s">
        <v>194</v>
      </c>
      <c r="E762">
        <v>510121</v>
      </c>
      <c r="H762" t="s">
        <v>776</v>
      </c>
      <c r="K762" s="50">
        <v>450540.79</v>
      </c>
      <c r="M762" s="50">
        <v>343624.96000000002</v>
      </c>
      <c r="O762" s="50">
        <v>106915.83</v>
      </c>
      <c r="Q762">
        <v>31.1</v>
      </c>
    </row>
    <row r="763" spans="3:17" x14ac:dyDescent="0.25">
      <c r="C763" t="s">
        <v>499</v>
      </c>
      <c r="D763" t="s">
        <v>194</v>
      </c>
      <c r="E763">
        <v>510125</v>
      </c>
      <c r="H763" t="s">
        <v>777</v>
      </c>
      <c r="K763" s="50">
        <v>14924.48</v>
      </c>
      <c r="M763" s="50">
        <v>12071.86</v>
      </c>
      <c r="O763" s="50">
        <v>2852.62</v>
      </c>
      <c r="Q763">
        <v>23.6</v>
      </c>
    </row>
    <row r="764" spans="3:17" x14ac:dyDescent="0.25">
      <c r="C764" t="s">
        <v>499</v>
      </c>
      <c r="D764" t="s">
        <v>194</v>
      </c>
      <c r="E764">
        <v>510126</v>
      </c>
      <c r="H764" t="s">
        <v>778</v>
      </c>
      <c r="K764" s="50">
        <v>2337</v>
      </c>
      <c r="M764" s="50">
        <v>1987</v>
      </c>
      <c r="O764">
        <v>350</v>
      </c>
      <c r="Q764">
        <v>17.600000000000001</v>
      </c>
    </row>
    <row r="765" spans="3:17" x14ac:dyDescent="0.25">
      <c r="C765" t="s">
        <v>499</v>
      </c>
      <c r="D765" t="s">
        <v>194</v>
      </c>
      <c r="E765">
        <v>510132</v>
      </c>
      <c r="H765" t="s">
        <v>779</v>
      </c>
      <c r="K765" s="50">
        <v>55000</v>
      </c>
      <c r="M765" s="50">
        <v>55000</v>
      </c>
      <c r="O765">
        <v>0</v>
      </c>
    </row>
    <row r="766" spans="3:17" x14ac:dyDescent="0.25">
      <c r="C766" t="s">
        <v>499</v>
      </c>
      <c r="D766" t="s">
        <v>194</v>
      </c>
      <c r="E766">
        <v>510133</v>
      </c>
      <c r="H766" t="s">
        <v>780</v>
      </c>
      <c r="K766" s="50">
        <v>7720</v>
      </c>
      <c r="M766" s="50">
        <v>6176</v>
      </c>
      <c r="O766" s="50">
        <v>1544</v>
      </c>
      <c r="Q766">
        <v>25</v>
      </c>
    </row>
    <row r="767" spans="3:17" x14ac:dyDescent="0.25">
      <c r="C767" t="s">
        <v>499</v>
      </c>
      <c r="D767" t="s">
        <v>194</v>
      </c>
      <c r="E767">
        <v>510135</v>
      </c>
      <c r="H767" t="s">
        <v>781</v>
      </c>
      <c r="K767" s="50">
        <v>175172.67</v>
      </c>
      <c r="M767" s="50">
        <v>96004.58</v>
      </c>
      <c r="O767" s="50">
        <v>79168.09</v>
      </c>
      <c r="Q767">
        <v>82.5</v>
      </c>
    </row>
    <row r="768" spans="3:17" x14ac:dyDescent="0.25">
      <c r="C768" t="s">
        <v>499</v>
      </c>
      <c r="D768" t="s">
        <v>194</v>
      </c>
      <c r="E768">
        <v>510136</v>
      </c>
      <c r="H768" t="s">
        <v>782</v>
      </c>
      <c r="K768" s="50">
        <v>7731.82</v>
      </c>
      <c r="M768" s="50">
        <v>5216.2299999999996</v>
      </c>
      <c r="O768" s="50">
        <v>2515.59</v>
      </c>
      <c r="Q768">
        <v>48.2</v>
      </c>
    </row>
    <row r="769" spans="3:18" x14ac:dyDescent="0.25">
      <c r="C769" t="s">
        <v>499</v>
      </c>
      <c r="D769" t="s">
        <v>194</v>
      </c>
      <c r="E769">
        <v>510137</v>
      </c>
      <c r="H769" t="s">
        <v>783</v>
      </c>
      <c r="K769" s="50">
        <v>321437.57</v>
      </c>
      <c r="M769" s="50">
        <v>228020.77</v>
      </c>
      <c r="O769" s="50">
        <v>93416.8</v>
      </c>
      <c r="Q769">
        <v>41</v>
      </c>
    </row>
    <row r="770" spans="3:18" x14ac:dyDescent="0.25">
      <c r="C770" t="s">
        <v>499</v>
      </c>
      <c r="D770" t="s">
        <v>194</v>
      </c>
      <c r="E770">
        <v>510138</v>
      </c>
      <c r="H770" t="s">
        <v>784</v>
      </c>
      <c r="K770" s="50">
        <v>143697.17000000001</v>
      </c>
      <c r="M770" s="50">
        <v>34608.01</v>
      </c>
      <c r="O770" s="50">
        <v>109089.16</v>
      </c>
      <c r="Q770">
        <v>315.2</v>
      </c>
    </row>
    <row r="771" spans="3:18" x14ac:dyDescent="0.25">
      <c r="C771" t="s">
        <v>499</v>
      </c>
      <c r="D771" t="s">
        <v>194</v>
      </c>
      <c r="E771">
        <v>510139</v>
      </c>
      <c r="H771" t="s">
        <v>785</v>
      </c>
      <c r="K771" s="50">
        <v>13516.12</v>
      </c>
      <c r="M771" s="50">
        <v>11065.12</v>
      </c>
      <c r="O771" s="50">
        <v>2451</v>
      </c>
      <c r="Q771">
        <v>22.2</v>
      </c>
    </row>
    <row r="772" spans="3:18" x14ac:dyDescent="0.25">
      <c r="C772" t="s">
        <v>499</v>
      </c>
      <c r="D772" t="s">
        <v>194</v>
      </c>
      <c r="E772">
        <v>510141</v>
      </c>
      <c r="H772" t="s">
        <v>786</v>
      </c>
      <c r="K772">
        <v>398.42</v>
      </c>
      <c r="M772">
        <v>304.54000000000002</v>
      </c>
      <c r="O772">
        <v>93.88</v>
      </c>
      <c r="Q772">
        <v>30.8</v>
      </c>
    </row>
    <row r="773" spans="3:18" x14ac:dyDescent="0.25">
      <c r="C773" t="s">
        <v>499</v>
      </c>
      <c r="D773" t="s">
        <v>194</v>
      </c>
      <c r="E773">
        <v>510145</v>
      </c>
      <c r="H773" t="s">
        <v>787</v>
      </c>
      <c r="K773" s="50">
        <v>2996.22</v>
      </c>
      <c r="M773" s="50">
        <v>2996.22</v>
      </c>
      <c r="O773">
        <v>0</v>
      </c>
    </row>
    <row r="774" spans="3:18" x14ac:dyDescent="0.25">
      <c r="C774" t="s">
        <v>499</v>
      </c>
      <c r="D774" t="s">
        <v>194</v>
      </c>
      <c r="E774">
        <v>510146</v>
      </c>
      <c r="H774" t="s">
        <v>788</v>
      </c>
      <c r="K774" s="50">
        <v>656916</v>
      </c>
      <c r="M774" s="50">
        <v>637716</v>
      </c>
      <c r="O774" s="50">
        <v>19200</v>
      </c>
      <c r="Q774">
        <v>3</v>
      </c>
    </row>
    <row r="775" spans="3:18" x14ac:dyDescent="0.25">
      <c r="C775" t="s">
        <v>499</v>
      </c>
      <c r="D775" t="s">
        <v>194</v>
      </c>
      <c r="E775">
        <v>510147</v>
      </c>
      <c r="H775" t="s">
        <v>789</v>
      </c>
      <c r="K775" s="50">
        <v>21167.599999999999</v>
      </c>
      <c r="M775" s="50">
        <v>21167.599999999999</v>
      </c>
      <c r="O775">
        <v>0</v>
      </c>
    </row>
    <row r="776" spans="3:18" x14ac:dyDescent="0.25">
      <c r="C776" t="s">
        <v>499</v>
      </c>
      <c r="D776" t="s">
        <v>194</v>
      </c>
      <c r="E776">
        <v>510148</v>
      </c>
      <c r="H776" t="s">
        <v>790</v>
      </c>
      <c r="K776" s="50">
        <v>278400</v>
      </c>
      <c r="M776" s="50">
        <v>179400</v>
      </c>
      <c r="O776" s="50">
        <v>99000</v>
      </c>
      <c r="Q776">
        <v>55.2</v>
      </c>
    </row>
    <row r="777" spans="3:18" x14ac:dyDescent="0.25">
      <c r="C777" t="s">
        <v>499</v>
      </c>
      <c r="D777" t="s">
        <v>194</v>
      </c>
      <c r="E777">
        <v>510149</v>
      </c>
      <c r="H777" t="s">
        <v>791</v>
      </c>
      <c r="K777" s="50">
        <v>31124</v>
      </c>
      <c r="M777" s="50">
        <v>31124</v>
      </c>
      <c r="O777">
        <v>0</v>
      </c>
    </row>
    <row r="778" spans="3:18" x14ac:dyDescent="0.25">
      <c r="C778" t="s">
        <v>499</v>
      </c>
      <c r="D778" t="s">
        <v>194</v>
      </c>
      <c r="E778">
        <v>510151</v>
      </c>
      <c r="H778" t="s">
        <v>792</v>
      </c>
      <c r="K778" s="50">
        <v>16802.8</v>
      </c>
      <c r="M778" s="50">
        <v>13418.45</v>
      </c>
      <c r="O778" s="50">
        <v>3384.35</v>
      </c>
      <c r="Q778">
        <v>25.2</v>
      </c>
    </row>
    <row r="779" spans="3:18" x14ac:dyDescent="0.25">
      <c r="C779" t="s">
        <v>499</v>
      </c>
      <c r="D779" t="s">
        <v>194</v>
      </c>
      <c r="E779">
        <v>510153</v>
      </c>
      <c r="H779" t="s">
        <v>793</v>
      </c>
      <c r="K779" s="50">
        <v>87800</v>
      </c>
      <c r="M779" s="50">
        <v>87670</v>
      </c>
      <c r="O779">
        <v>130</v>
      </c>
      <c r="Q779">
        <v>0.1</v>
      </c>
    </row>
    <row r="780" spans="3:18" x14ac:dyDescent="0.25">
      <c r="C780" t="s">
        <v>499</v>
      </c>
      <c r="D780" t="s">
        <v>194</v>
      </c>
      <c r="E780">
        <v>510154</v>
      </c>
      <c r="H780" t="s">
        <v>794</v>
      </c>
      <c r="K780" s="50">
        <v>17452</v>
      </c>
      <c r="M780" s="50">
        <v>14349</v>
      </c>
      <c r="O780" s="50">
        <v>3103</v>
      </c>
      <c r="Q780">
        <v>21.6</v>
      </c>
    </row>
    <row r="781" spans="3:18" x14ac:dyDescent="0.25">
      <c r="C781" t="s">
        <v>499</v>
      </c>
      <c r="D781" t="s">
        <v>194</v>
      </c>
      <c r="E781">
        <v>510216</v>
      </c>
      <c r="H781" t="s">
        <v>795</v>
      </c>
      <c r="K781" s="50">
        <v>1500</v>
      </c>
      <c r="M781" s="50">
        <v>1500</v>
      </c>
      <c r="O781">
        <v>0</v>
      </c>
    </row>
    <row r="782" spans="3:18" x14ac:dyDescent="0.25">
      <c r="C782" t="s">
        <v>499</v>
      </c>
      <c r="D782" t="s">
        <v>194</v>
      </c>
      <c r="E782">
        <v>510220</v>
      </c>
      <c r="H782" t="s">
        <v>796</v>
      </c>
      <c r="K782" s="50">
        <v>27243</v>
      </c>
      <c r="M782" s="50">
        <v>14134.5</v>
      </c>
      <c r="O782" s="50">
        <v>13108.5</v>
      </c>
      <c r="Q782">
        <v>92.7</v>
      </c>
    </row>
    <row r="783" spans="3:18" x14ac:dyDescent="0.25">
      <c r="C783" t="s">
        <v>499</v>
      </c>
      <c r="D783" t="s">
        <v>194</v>
      </c>
      <c r="E783">
        <v>510221</v>
      </c>
      <c r="H783" t="s">
        <v>797</v>
      </c>
      <c r="K783" s="50">
        <v>23480.9</v>
      </c>
      <c r="M783" s="50">
        <v>20228.900000000001</v>
      </c>
      <c r="O783" s="50">
        <v>3252</v>
      </c>
      <c r="Q783">
        <v>16.100000000000001</v>
      </c>
    </row>
    <row r="784" spans="3:18" x14ac:dyDescent="0.25">
      <c r="E784" t="s">
        <v>437</v>
      </c>
      <c r="K784" s="50">
        <v>24866165.32</v>
      </c>
      <c r="M784" s="50">
        <v>19813613.399999999</v>
      </c>
      <c r="O784" s="50">
        <v>5052551.92</v>
      </c>
      <c r="Q784">
        <v>25.5</v>
      </c>
      <c r="R784" t="s">
        <v>223</v>
      </c>
    </row>
    <row r="785" spans="3:17" x14ac:dyDescent="0.25">
      <c r="C785" t="s">
        <v>499</v>
      </c>
      <c r="D785" t="s">
        <v>194</v>
      </c>
      <c r="E785">
        <v>510106</v>
      </c>
      <c r="H785" t="s">
        <v>798</v>
      </c>
      <c r="K785" s="50">
        <v>561000</v>
      </c>
      <c r="M785" s="50">
        <v>446000</v>
      </c>
      <c r="O785" s="50">
        <v>115000</v>
      </c>
      <c r="Q785">
        <v>25.8</v>
      </c>
    </row>
    <row r="786" spans="3:17" x14ac:dyDescent="0.25">
      <c r="C786" t="s">
        <v>499</v>
      </c>
      <c r="D786" t="s">
        <v>194</v>
      </c>
      <c r="E786">
        <v>510117</v>
      </c>
      <c r="H786" t="s">
        <v>799</v>
      </c>
      <c r="K786" s="50">
        <v>25272.45</v>
      </c>
      <c r="M786" s="50">
        <v>21571.25</v>
      </c>
      <c r="O786" s="50">
        <v>3701.2</v>
      </c>
      <c r="Q786">
        <v>17.2</v>
      </c>
    </row>
    <row r="787" spans="3:17" x14ac:dyDescent="0.25">
      <c r="C787" t="s">
        <v>499</v>
      </c>
      <c r="D787" t="s">
        <v>194</v>
      </c>
      <c r="E787">
        <v>510150</v>
      </c>
      <c r="H787" t="s">
        <v>800</v>
      </c>
      <c r="K787" s="50">
        <v>15000</v>
      </c>
      <c r="M787" s="50">
        <v>12000</v>
      </c>
      <c r="O787" s="50">
        <v>3000</v>
      </c>
      <c r="Q787">
        <v>25</v>
      </c>
    </row>
    <row r="788" spans="3:17" x14ac:dyDescent="0.25">
      <c r="C788" t="s">
        <v>499</v>
      </c>
      <c r="D788" t="s">
        <v>194</v>
      </c>
      <c r="E788">
        <v>510155</v>
      </c>
      <c r="H788" t="s">
        <v>801</v>
      </c>
      <c r="K788" s="50">
        <v>108214.3</v>
      </c>
      <c r="M788" s="50">
        <v>78214.3</v>
      </c>
      <c r="O788" s="50">
        <v>30000</v>
      </c>
      <c r="Q788">
        <v>38.4</v>
      </c>
    </row>
    <row r="789" spans="3:17" x14ac:dyDescent="0.25">
      <c r="C789" t="s">
        <v>499</v>
      </c>
      <c r="D789" t="s">
        <v>194</v>
      </c>
      <c r="E789">
        <v>510200</v>
      </c>
      <c r="H789" t="s">
        <v>802</v>
      </c>
      <c r="K789" s="50">
        <v>48596.32</v>
      </c>
      <c r="M789" s="50">
        <v>36839.879999999997</v>
      </c>
      <c r="O789" s="50">
        <v>11756.44</v>
      </c>
      <c r="Q789">
        <v>31.9</v>
      </c>
    </row>
    <row r="790" spans="3:17" x14ac:dyDescent="0.25">
      <c r="C790" t="s">
        <v>499</v>
      </c>
      <c r="D790" t="s">
        <v>194</v>
      </c>
      <c r="E790">
        <v>510204</v>
      </c>
      <c r="H790" t="s">
        <v>439</v>
      </c>
      <c r="K790" s="50">
        <v>34223.35</v>
      </c>
      <c r="M790" s="50">
        <v>26390.05</v>
      </c>
      <c r="O790" s="50">
        <v>7833.3</v>
      </c>
      <c r="Q790">
        <v>29.7</v>
      </c>
    </row>
    <row r="791" spans="3:17" x14ac:dyDescent="0.25">
      <c r="C791" t="s">
        <v>499</v>
      </c>
      <c r="D791" t="s">
        <v>194</v>
      </c>
      <c r="E791">
        <v>510206</v>
      </c>
      <c r="H791" t="s">
        <v>803</v>
      </c>
      <c r="K791">
        <v>-632</v>
      </c>
      <c r="M791">
        <v>-632</v>
      </c>
      <c r="O791">
        <v>0</v>
      </c>
    </row>
    <row r="792" spans="3:17" x14ac:dyDescent="0.25">
      <c r="C792" t="s">
        <v>499</v>
      </c>
      <c r="D792" t="s">
        <v>194</v>
      </c>
      <c r="E792">
        <v>510207</v>
      </c>
      <c r="H792" t="s">
        <v>804</v>
      </c>
      <c r="K792" s="50">
        <v>4495.3900000000003</v>
      </c>
      <c r="M792" s="50">
        <v>4077.34</v>
      </c>
      <c r="O792">
        <v>418.05</v>
      </c>
      <c r="Q792">
        <v>10.3</v>
      </c>
    </row>
    <row r="793" spans="3:17" x14ac:dyDescent="0.25">
      <c r="C793" t="s">
        <v>499</v>
      </c>
      <c r="D793" t="s">
        <v>194</v>
      </c>
      <c r="E793">
        <v>510208</v>
      </c>
      <c r="H793" t="s">
        <v>805</v>
      </c>
      <c r="K793" s="50">
        <v>32500</v>
      </c>
      <c r="M793" s="50">
        <v>32500</v>
      </c>
      <c r="O793">
        <v>0</v>
      </c>
    </row>
    <row r="794" spans="3:17" x14ac:dyDescent="0.25">
      <c r="C794" t="s">
        <v>499</v>
      </c>
      <c r="D794" t="s">
        <v>194</v>
      </c>
      <c r="E794">
        <v>510209</v>
      </c>
      <c r="H794" t="s">
        <v>806</v>
      </c>
      <c r="K794" s="50">
        <v>1489</v>
      </c>
      <c r="M794" s="50">
        <v>1489</v>
      </c>
      <c r="O794">
        <v>0</v>
      </c>
    </row>
    <row r="795" spans="3:17" x14ac:dyDescent="0.25">
      <c r="C795" t="s">
        <v>499</v>
      </c>
      <c r="D795" t="s">
        <v>194</v>
      </c>
      <c r="E795">
        <v>510210</v>
      </c>
      <c r="H795" t="s">
        <v>807</v>
      </c>
      <c r="K795" s="50">
        <v>13029</v>
      </c>
      <c r="M795" s="50">
        <v>13029</v>
      </c>
      <c r="O795">
        <v>0</v>
      </c>
    </row>
    <row r="796" spans="3:17" x14ac:dyDescent="0.25">
      <c r="C796" t="s">
        <v>499</v>
      </c>
      <c r="D796" t="s">
        <v>194</v>
      </c>
      <c r="E796">
        <v>510213</v>
      </c>
      <c r="H796" t="s">
        <v>808</v>
      </c>
      <c r="K796" s="50">
        <v>1310.8</v>
      </c>
      <c r="M796">
        <v>459.8</v>
      </c>
      <c r="O796">
        <v>851</v>
      </c>
      <c r="Q796">
        <v>185.1</v>
      </c>
    </row>
    <row r="797" spans="3:17" x14ac:dyDescent="0.25">
      <c r="C797" t="s">
        <v>499</v>
      </c>
      <c r="D797" t="s">
        <v>194</v>
      </c>
      <c r="E797">
        <v>510214</v>
      </c>
      <c r="H797" t="s">
        <v>809</v>
      </c>
      <c r="K797" s="50">
        <v>33777.81</v>
      </c>
      <c r="M797" s="50">
        <v>22861.18</v>
      </c>
      <c r="O797" s="50">
        <v>10916.63</v>
      </c>
      <c r="Q797">
        <v>47.8</v>
      </c>
    </row>
    <row r="798" spans="3:17" x14ac:dyDescent="0.25">
      <c r="C798" t="s">
        <v>499</v>
      </c>
      <c r="D798" t="s">
        <v>194</v>
      </c>
      <c r="E798">
        <v>510215</v>
      </c>
      <c r="H798" t="s">
        <v>810</v>
      </c>
      <c r="K798" s="50">
        <v>4085.75</v>
      </c>
      <c r="M798" s="50">
        <v>3048.25</v>
      </c>
      <c r="O798" s="50">
        <v>1037.5</v>
      </c>
      <c r="Q798">
        <v>34</v>
      </c>
    </row>
    <row r="799" spans="3:17" x14ac:dyDescent="0.25">
      <c r="C799" t="s">
        <v>499</v>
      </c>
      <c r="D799" t="s">
        <v>194</v>
      </c>
      <c r="E799">
        <v>510218</v>
      </c>
      <c r="H799" t="s">
        <v>811</v>
      </c>
      <c r="K799">
        <v>151.49</v>
      </c>
      <c r="M799">
        <v>0</v>
      </c>
      <c r="O799">
        <v>151.49</v>
      </c>
    </row>
    <row r="800" spans="3:17" x14ac:dyDescent="0.25">
      <c r="C800" t="s">
        <v>499</v>
      </c>
      <c r="D800" t="s">
        <v>194</v>
      </c>
      <c r="E800">
        <v>510219</v>
      </c>
      <c r="H800" t="s">
        <v>812</v>
      </c>
      <c r="K800" s="50">
        <v>13071.2</v>
      </c>
      <c r="M800" s="50">
        <v>7246</v>
      </c>
      <c r="O800" s="50">
        <v>5825.2</v>
      </c>
      <c r="Q800">
        <v>80.400000000000006</v>
      </c>
    </row>
    <row r="801" spans="3:17" x14ac:dyDescent="0.25">
      <c r="C801" t="s">
        <v>499</v>
      </c>
      <c r="D801" t="s">
        <v>194</v>
      </c>
      <c r="E801">
        <v>510300</v>
      </c>
      <c r="H801" t="s">
        <v>813</v>
      </c>
      <c r="K801" s="50">
        <v>24366</v>
      </c>
      <c r="M801" s="50">
        <v>22660.400000000001</v>
      </c>
      <c r="O801" s="50">
        <v>1705.6</v>
      </c>
      <c r="Q801">
        <v>7.5</v>
      </c>
    </row>
    <row r="802" spans="3:17" x14ac:dyDescent="0.25">
      <c r="C802" t="s">
        <v>499</v>
      </c>
      <c r="D802" t="s">
        <v>194</v>
      </c>
      <c r="E802">
        <v>510401</v>
      </c>
      <c r="H802" t="s">
        <v>814</v>
      </c>
      <c r="K802" s="50">
        <v>46460.25</v>
      </c>
      <c r="M802" s="50">
        <v>12300.8</v>
      </c>
      <c r="O802" s="50">
        <v>34159.449999999997</v>
      </c>
      <c r="Q802">
        <v>277.7</v>
      </c>
    </row>
    <row r="803" spans="3:17" x14ac:dyDescent="0.25">
      <c r="C803" t="s">
        <v>499</v>
      </c>
      <c r="D803" t="s">
        <v>194</v>
      </c>
      <c r="E803">
        <v>510402</v>
      </c>
      <c r="H803" t="s">
        <v>815</v>
      </c>
      <c r="K803" s="50">
        <v>584272.06999999995</v>
      </c>
      <c r="M803" s="50">
        <v>463863.77</v>
      </c>
      <c r="O803" s="50">
        <v>120408.3</v>
      </c>
      <c r="Q803">
        <v>26</v>
      </c>
    </row>
    <row r="804" spans="3:17" x14ac:dyDescent="0.25">
      <c r="C804" t="s">
        <v>499</v>
      </c>
      <c r="D804" t="s">
        <v>194</v>
      </c>
      <c r="E804">
        <v>510403</v>
      </c>
      <c r="H804" t="s">
        <v>816</v>
      </c>
      <c r="K804" s="50">
        <v>67331.429999999993</v>
      </c>
      <c r="M804" s="50">
        <v>53186.76</v>
      </c>
      <c r="O804" s="50">
        <v>14144.67</v>
      </c>
      <c r="Q804">
        <v>26.6</v>
      </c>
    </row>
    <row r="805" spans="3:17" x14ac:dyDescent="0.25">
      <c r="C805" t="s">
        <v>499</v>
      </c>
      <c r="D805" t="s">
        <v>194</v>
      </c>
      <c r="E805">
        <v>510404</v>
      </c>
      <c r="H805" t="s">
        <v>817</v>
      </c>
      <c r="K805" s="50">
        <v>25833.34</v>
      </c>
      <c r="M805" s="50">
        <v>20666.669999999998</v>
      </c>
      <c r="O805" s="50">
        <v>5166.67</v>
      </c>
      <c r="Q805">
        <v>25</v>
      </c>
    </row>
    <row r="806" spans="3:17" x14ac:dyDescent="0.25">
      <c r="C806" t="s">
        <v>499</v>
      </c>
      <c r="D806" t="s">
        <v>194</v>
      </c>
      <c r="E806">
        <v>510405</v>
      </c>
      <c r="H806" t="s">
        <v>818</v>
      </c>
      <c r="K806" s="50">
        <v>8201.81</v>
      </c>
      <c r="M806" s="50">
        <v>5681.64</v>
      </c>
      <c r="O806" s="50">
        <v>2520.17</v>
      </c>
      <c r="Q806">
        <v>44.4</v>
      </c>
    </row>
    <row r="807" spans="3:17" x14ac:dyDescent="0.25">
      <c r="C807" t="s">
        <v>499</v>
      </c>
      <c r="D807" t="s">
        <v>194</v>
      </c>
      <c r="E807">
        <v>510407</v>
      </c>
      <c r="H807" t="s">
        <v>446</v>
      </c>
      <c r="K807" s="50">
        <v>5138.51</v>
      </c>
      <c r="M807" s="50">
        <v>3612.46</v>
      </c>
      <c r="O807" s="50">
        <v>1526.05</v>
      </c>
      <c r="Q807">
        <v>42.2</v>
      </c>
    </row>
    <row r="808" spans="3:17" x14ac:dyDescent="0.25">
      <c r="C808" t="s">
        <v>499</v>
      </c>
      <c r="D808" t="s">
        <v>194</v>
      </c>
      <c r="E808">
        <v>510500</v>
      </c>
      <c r="H808" t="s">
        <v>819</v>
      </c>
      <c r="K808" s="50">
        <v>101751.75</v>
      </c>
      <c r="M808" s="50">
        <v>68877.39</v>
      </c>
      <c r="O808" s="50">
        <v>32874.36</v>
      </c>
      <c r="Q808">
        <v>47.7</v>
      </c>
    </row>
    <row r="809" spans="3:17" x14ac:dyDescent="0.25">
      <c r="C809" t="s">
        <v>499</v>
      </c>
      <c r="D809" t="s">
        <v>194</v>
      </c>
      <c r="E809">
        <v>510502</v>
      </c>
      <c r="H809" t="s">
        <v>820</v>
      </c>
      <c r="K809" s="50">
        <v>327625.06</v>
      </c>
      <c r="M809" s="50">
        <v>268329.13</v>
      </c>
      <c r="O809" s="50">
        <v>59295.93</v>
      </c>
      <c r="Q809">
        <v>22.1</v>
      </c>
    </row>
    <row r="810" spans="3:17" x14ac:dyDescent="0.25">
      <c r="C810" t="s">
        <v>499</v>
      </c>
      <c r="D810" t="s">
        <v>194</v>
      </c>
      <c r="E810">
        <v>510505</v>
      </c>
      <c r="H810" t="s">
        <v>821</v>
      </c>
      <c r="K810" s="50">
        <v>504764.38</v>
      </c>
      <c r="M810" s="50">
        <v>449941.65</v>
      </c>
      <c r="O810" s="50">
        <v>54822.73</v>
      </c>
      <c r="Q810">
        <v>12.2</v>
      </c>
    </row>
    <row r="811" spans="3:17" x14ac:dyDescent="0.25">
      <c r="C811" t="s">
        <v>499</v>
      </c>
      <c r="D811" t="s">
        <v>194</v>
      </c>
      <c r="E811">
        <v>510507</v>
      </c>
      <c r="H811" t="s">
        <v>447</v>
      </c>
      <c r="K811" s="50">
        <v>97983.15</v>
      </c>
      <c r="M811" s="50">
        <v>97983.15</v>
      </c>
      <c r="O811">
        <v>0</v>
      </c>
    </row>
    <row r="812" spans="3:17" x14ac:dyDescent="0.25">
      <c r="C812" t="s">
        <v>499</v>
      </c>
      <c r="D812" t="s">
        <v>194</v>
      </c>
      <c r="E812">
        <v>510508</v>
      </c>
      <c r="H812" t="s">
        <v>822</v>
      </c>
      <c r="K812" s="50">
        <v>91699.99</v>
      </c>
      <c r="M812" s="50">
        <v>73359.990000000005</v>
      </c>
      <c r="O812" s="50">
        <v>18340</v>
      </c>
      <c r="Q812">
        <v>25</v>
      </c>
    </row>
    <row r="813" spans="3:17" x14ac:dyDescent="0.25">
      <c r="C813" t="s">
        <v>499</v>
      </c>
      <c r="D813" t="s">
        <v>194</v>
      </c>
      <c r="E813">
        <v>510600</v>
      </c>
      <c r="H813" t="s">
        <v>823</v>
      </c>
      <c r="K813" s="50">
        <v>334794.36</v>
      </c>
      <c r="M813" s="50">
        <v>318794.36</v>
      </c>
      <c r="O813" s="50">
        <v>16000</v>
      </c>
      <c r="Q813">
        <v>5</v>
      </c>
    </row>
    <row r="814" spans="3:17" x14ac:dyDescent="0.25">
      <c r="C814" t="s">
        <v>499</v>
      </c>
      <c r="D814" t="s">
        <v>194</v>
      </c>
      <c r="E814">
        <v>510601</v>
      </c>
      <c r="H814" t="s">
        <v>824</v>
      </c>
      <c r="K814" s="50">
        <v>285833.34999999998</v>
      </c>
      <c r="M814" s="50">
        <v>228666.68</v>
      </c>
      <c r="O814" s="50">
        <v>57166.67</v>
      </c>
      <c r="Q814">
        <v>25</v>
      </c>
    </row>
    <row r="815" spans="3:17" x14ac:dyDescent="0.25">
      <c r="C815" t="s">
        <v>499</v>
      </c>
      <c r="D815" t="s">
        <v>194</v>
      </c>
      <c r="E815">
        <v>510604</v>
      </c>
      <c r="H815" t="s">
        <v>440</v>
      </c>
      <c r="K815" s="50">
        <v>645471.82999999996</v>
      </c>
      <c r="M815" s="50">
        <v>375426.13</v>
      </c>
      <c r="O815" s="50">
        <v>270045.7</v>
      </c>
      <c r="Q815">
        <v>71.900000000000006</v>
      </c>
    </row>
    <row r="816" spans="3:17" x14ac:dyDescent="0.25">
      <c r="C816" t="s">
        <v>499</v>
      </c>
      <c r="D816" t="s">
        <v>194</v>
      </c>
      <c r="E816">
        <v>510605</v>
      </c>
      <c r="H816" t="s">
        <v>825</v>
      </c>
      <c r="K816" s="50">
        <v>82189.460000000006</v>
      </c>
      <c r="M816" s="50">
        <v>68715.48</v>
      </c>
      <c r="O816" s="50">
        <v>13473.98</v>
      </c>
      <c r="Q816">
        <v>19.600000000000001</v>
      </c>
    </row>
    <row r="817" spans="3:17" x14ac:dyDescent="0.25">
      <c r="C817" t="s">
        <v>499</v>
      </c>
      <c r="D817" t="s">
        <v>194</v>
      </c>
      <c r="E817">
        <v>510609</v>
      </c>
      <c r="H817" t="s">
        <v>826</v>
      </c>
      <c r="K817" s="50">
        <v>657482.69999999995</v>
      </c>
      <c r="M817" s="50">
        <v>565597.89</v>
      </c>
      <c r="O817" s="50">
        <v>91884.81</v>
      </c>
      <c r="Q817">
        <v>16.2</v>
      </c>
    </row>
    <row r="818" spans="3:17" x14ac:dyDescent="0.25">
      <c r="C818" t="s">
        <v>499</v>
      </c>
      <c r="D818" t="s">
        <v>194</v>
      </c>
      <c r="E818">
        <v>510610</v>
      </c>
      <c r="H818" t="s">
        <v>827</v>
      </c>
      <c r="K818" s="50">
        <v>14583.35</v>
      </c>
      <c r="M818" s="50">
        <v>11666.68</v>
      </c>
      <c r="O818" s="50">
        <v>2916.67</v>
      </c>
      <c r="Q818">
        <v>25</v>
      </c>
    </row>
    <row r="819" spans="3:17" x14ac:dyDescent="0.25">
      <c r="C819" t="s">
        <v>499</v>
      </c>
      <c r="D819" t="s">
        <v>194</v>
      </c>
      <c r="E819">
        <v>510700</v>
      </c>
      <c r="H819" t="s">
        <v>828</v>
      </c>
      <c r="K819" s="50">
        <v>12500</v>
      </c>
      <c r="M819" s="50">
        <v>12100</v>
      </c>
      <c r="O819">
        <v>400</v>
      </c>
      <c r="Q819">
        <v>3.3</v>
      </c>
    </row>
    <row r="820" spans="3:17" x14ac:dyDescent="0.25">
      <c r="C820" t="s">
        <v>499</v>
      </c>
      <c r="D820" t="s">
        <v>194</v>
      </c>
      <c r="E820">
        <v>510702</v>
      </c>
      <c r="H820" t="s">
        <v>829</v>
      </c>
      <c r="K820" s="50">
        <v>11978.97</v>
      </c>
      <c r="M820" s="50">
        <v>8655.56</v>
      </c>
      <c r="O820" s="50">
        <v>3323.41</v>
      </c>
      <c r="Q820">
        <v>38.4</v>
      </c>
    </row>
    <row r="821" spans="3:17" x14ac:dyDescent="0.25">
      <c r="C821" t="s">
        <v>499</v>
      </c>
      <c r="D821" t="s">
        <v>194</v>
      </c>
      <c r="E821">
        <v>510703</v>
      </c>
      <c r="H821" t="s">
        <v>830</v>
      </c>
      <c r="K821">
        <v>876.84</v>
      </c>
      <c r="M821">
        <v>689.29</v>
      </c>
      <c r="O821">
        <v>187.55</v>
      </c>
      <c r="Q821">
        <v>27.2</v>
      </c>
    </row>
    <row r="822" spans="3:17" x14ac:dyDescent="0.25">
      <c r="C822" t="s">
        <v>499</v>
      </c>
      <c r="D822" t="s">
        <v>194</v>
      </c>
      <c r="E822">
        <v>510704</v>
      </c>
      <c r="H822" t="s">
        <v>831</v>
      </c>
      <c r="K822" s="50">
        <v>2295.79</v>
      </c>
      <c r="M822" s="50">
        <v>1569.74</v>
      </c>
      <c r="O822">
        <v>726.05</v>
      </c>
      <c r="Q822">
        <v>46.3</v>
      </c>
    </row>
    <row r="823" spans="3:17" x14ac:dyDescent="0.25">
      <c r="C823" t="s">
        <v>499</v>
      </c>
      <c r="D823" t="s">
        <v>194</v>
      </c>
      <c r="E823">
        <v>510705</v>
      </c>
      <c r="H823" t="s">
        <v>832</v>
      </c>
      <c r="K823" s="50">
        <v>10065.1</v>
      </c>
      <c r="M823">
        <v>987.8</v>
      </c>
      <c r="O823" s="50">
        <v>9077.2999999999993</v>
      </c>
      <c r="Q823">
        <v>918.9</v>
      </c>
    </row>
    <row r="824" spans="3:17" x14ac:dyDescent="0.25">
      <c r="C824" t="s">
        <v>499</v>
      </c>
      <c r="D824" t="s">
        <v>194</v>
      </c>
      <c r="E824">
        <v>510800</v>
      </c>
      <c r="H824" t="s">
        <v>833</v>
      </c>
      <c r="K824" s="50">
        <v>288044.86</v>
      </c>
      <c r="M824" s="50">
        <v>212011.55</v>
      </c>
      <c r="O824" s="50">
        <v>76033.31</v>
      </c>
      <c r="Q824">
        <v>35.9</v>
      </c>
    </row>
    <row r="825" spans="3:17" x14ac:dyDescent="0.25">
      <c r="C825" t="s">
        <v>499</v>
      </c>
      <c r="D825" t="s">
        <v>194</v>
      </c>
      <c r="E825">
        <v>510801</v>
      </c>
      <c r="H825" t="s">
        <v>834</v>
      </c>
      <c r="K825" s="50">
        <v>4346252.05</v>
      </c>
      <c r="M825" s="50">
        <v>3552758.89</v>
      </c>
      <c r="O825" s="50">
        <v>793493.16</v>
      </c>
      <c r="Q825">
        <v>22.3</v>
      </c>
    </row>
    <row r="826" spans="3:17" x14ac:dyDescent="0.25">
      <c r="C826" t="s">
        <v>499</v>
      </c>
      <c r="D826" t="s">
        <v>194</v>
      </c>
      <c r="E826">
        <v>510802</v>
      </c>
      <c r="H826" t="s">
        <v>835</v>
      </c>
      <c r="K826" s="50">
        <v>73322.399999999994</v>
      </c>
      <c r="M826" s="50">
        <v>59772.4</v>
      </c>
      <c r="O826" s="50">
        <v>13550</v>
      </c>
      <c r="Q826">
        <v>22.7</v>
      </c>
    </row>
    <row r="827" spans="3:17" x14ac:dyDescent="0.25">
      <c r="C827" t="s">
        <v>499</v>
      </c>
      <c r="D827" t="s">
        <v>194</v>
      </c>
      <c r="E827">
        <v>510803</v>
      </c>
      <c r="H827" t="s">
        <v>836</v>
      </c>
      <c r="K827" s="50">
        <v>466990.28</v>
      </c>
      <c r="M827" s="50">
        <v>378966.24</v>
      </c>
      <c r="O827" s="50">
        <v>88024.04</v>
      </c>
      <c r="Q827">
        <v>23.2</v>
      </c>
    </row>
    <row r="828" spans="3:17" x14ac:dyDescent="0.25">
      <c r="C828" t="s">
        <v>499</v>
      </c>
      <c r="D828" t="s">
        <v>194</v>
      </c>
      <c r="E828">
        <v>510870</v>
      </c>
      <c r="H828" t="s">
        <v>837</v>
      </c>
      <c r="K828" s="50">
        <v>-32360</v>
      </c>
      <c r="M828" s="50">
        <v>-41410</v>
      </c>
      <c r="O828" s="50">
        <v>9050</v>
      </c>
      <c r="Q828">
        <v>21.9</v>
      </c>
    </row>
    <row r="829" spans="3:17" x14ac:dyDescent="0.25">
      <c r="C829" t="s">
        <v>499</v>
      </c>
      <c r="D829" t="s">
        <v>194</v>
      </c>
      <c r="E829">
        <v>510872</v>
      </c>
      <c r="H829" t="s">
        <v>838</v>
      </c>
      <c r="K829" s="50">
        <v>669865.29</v>
      </c>
      <c r="M829" s="50">
        <v>654733.77</v>
      </c>
      <c r="O829" s="50">
        <v>15131.52</v>
      </c>
      <c r="Q829">
        <v>2.2999999999999998</v>
      </c>
    </row>
    <row r="830" spans="3:17" x14ac:dyDescent="0.25">
      <c r="C830" t="s">
        <v>499</v>
      </c>
      <c r="D830" t="s">
        <v>194</v>
      </c>
      <c r="E830">
        <v>510900</v>
      </c>
      <c r="H830" t="s">
        <v>839</v>
      </c>
      <c r="K830" s="50">
        <v>178882.55</v>
      </c>
      <c r="M830" s="50">
        <v>143106.04</v>
      </c>
      <c r="O830" s="50">
        <v>35776.51</v>
      </c>
      <c r="Q830">
        <v>25</v>
      </c>
    </row>
    <row r="831" spans="3:17" x14ac:dyDescent="0.25">
      <c r="C831" t="s">
        <v>499</v>
      </c>
      <c r="D831" t="s">
        <v>194</v>
      </c>
      <c r="E831">
        <v>510901</v>
      </c>
      <c r="H831" t="s">
        <v>840</v>
      </c>
      <c r="K831">
        <v>904</v>
      </c>
      <c r="M831">
        <v>404</v>
      </c>
      <c r="O831">
        <v>500</v>
      </c>
      <c r="Q831">
        <v>123.8</v>
      </c>
    </row>
    <row r="832" spans="3:17" x14ac:dyDescent="0.25">
      <c r="C832" t="s">
        <v>499</v>
      </c>
      <c r="D832" t="s">
        <v>194</v>
      </c>
      <c r="E832">
        <v>510902</v>
      </c>
      <c r="H832" t="s">
        <v>841</v>
      </c>
      <c r="K832">
        <v>890</v>
      </c>
      <c r="M832">
        <v>760</v>
      </c>
      <c r="O832">
        <v>130</v>
      </c>
      <c r="Q832">
        <v>17.100000000000001</v>
      </c>
    </row>
    <row r="833" spans="3:18" x14ac:dyDescent="0.25">
      <c r="C833" t="s">
        <v>499</v>
      </c>
      <c r="D833" t="s">
        <v>194</v>
      </c>
      <c r="E833">
        <v>511100</v>
      </c>
      <c r="H833" t="s">
        <v>842</v>
      </c>
      <c r="K833" s="50">
        <v>9331.25</v>
      </c>
      <c r="M833" s="50">
        <v>7465</v>
      </c>
      <c r="O833" s="50">
        <v>1866.25</v>
      </c>
      <c r="Q833">
        <v>25</v>
      </c>
    </row>
    <row r="834" spans="3:18" x14ac:dyDescent="0.25">
      <c r="C834" t="s">
        <v>499</v>
      </c>
      <c r="D834" t="s">
        <v>194</v>
      </c>
      <c r="E834">
        <v>511101</v>
      </c>
      <c r="H834" t="s">
        <v>843</v>
      </c>
      <c r="K834" s="50">
        <v>805186.57</v>
      </c>
      <c r="M834" s="50">
        <v>542519.01</v>
      </c>
      <c r="O834" s="50">
        <v>262667.56</v>
      </c>
      <c r="Q834">
        <v>48.4</v>
      </c>
    </row>
    <row r="835" spans="3:18" x14ac:dyDescent="0.25">
      <c r="C835" t="s">
        <v>499</v>
      </c>
      <c r="D835" t="s">
        <v>194</v>
      </c>
      <c r="E835">
        <v>511102</v>
      </c>
      <c r="H835" t="s">
        <v>844</v>
      </c>
      <c r="K835" s="50">
        <v>63273.5</v>
      </c>
      <c r="M835" s="50">
        <v>50618.8</v>
      </c>
      <c r="O835" s="50">
        <v>12654.7</v>
      </c>
      <c r="Q835">
        <v>25</v>
      </c>
    </row>
    <row r="836" spans="3:18" x14ac:dyDescent="0.25">
      <c r="C836" t="s">
        <v>499</v>
      </c>
      <c r="D836" t="s">
        <v>194</v>
      </c>
      <c r="E836">
        <v>511104</v>
      </c>
      <c r="H836" t="s">
        <v>845</v>
      </c>
      <c r="K836" s="50">
        <v>142883.29999999999</v>
      </c>
      <c r="M836" s="50">
        <v>114306.64</v>
      </c>
      <c r="O836" s="50">
        <v>28576.66</v>
      </c>
      <c r="Q836">
        <v>25</v>
      </c>
    </row>
    <row r="837" spans="3:18" x14ac:dyDescent="0.25">
      <c r="C837" t="s">
        <v>499</v>
      </c>
      <c r="D837" t="s">
        <v>194</v>
      </c>
      <c r="E837">
        <v>511108</v>
      </c>
      <c r="H837" t="s">
        <v>846</v>
      </c>
      <c r="K837" s="50">
        <v>84923.06</v>
      </c>
      <c r="M837" s="50">
        <v>67938.45</v>
      </c>
      <c r="O837" s="50">
        <v>16984.61</v>
      </c>
      <c r="Q837">
        <v>25</v>
      </c>
    </row>
    <row r="838" spans="3:18" x14ac:dyDescent="0.25">
      <c r="C838" t="s">
        <v>499</v>
      </c>
      <c r="D838" t="s">
        <v>194</v>
      </c>
      <c r="E838">
        <v>511200</v>
      </c>
      <c r="H838" t="s">
        <v>441</v>
      </c>
      <c r="K838" s="50">
        <v>1355.89</v>
      </c>
      <c r="M838" s="50">
        <v>1091.8800000000001</v>
      </c>
      <c r="O838">
        <v>264.01</v>
      </c>
      <c r="Q838">
        <v>24.2</v>
      </c>
    </row>
    <row r="839" spans="3:18" x14ac:dyDescent="0.25">
      <c r="C839" t="s">
        <v>499</v>
      </c>
      <c r="D839" t="s">
        <v>194</v>
      </c>
      <c r="E839">
        <v>511203</v>
      </c>
      <c r="H839" t="s">
        <v>847</v>
      </c>
      <c r="K839" s="50">
        <v>3060.96</v>
      </c>
      <c r="M839" s="50">
        <v>2572.61</v>
      </c>
      <c r="O839">
        <v>488.35</v>
      </c>
      <c r="Q839">
        <v>19</v>
      </c>
    </row>
    <row r="840" spans="3:18" x14ac:dyDescent="0.25">
      <c r="C840" t="s">
        <v>499</v>
      </c>
      <c r="D840" t="s">
        <v>194</v>
      </c>
      <c r="E840">
        <v>511204</v>
      </c>
      <c r="H840" t="s">
        <v>848</v>
      </c>
      <c r="K840" s="50">
        <v>60000</v>
      </c>
      <c r="M840" s="50">
        <v>60000</v>
      </c>
      <c r="O840">
        <v>0</v>
      </c>
    </row>
    <row r="841" spans="3:18" x14ac:dyDescent="0.25">
      <c r="C841" t="s">
        <v>499</v>
      </c>
      <c r="D841" t="s">
        <v>194</v>
      </c>
      <c r="E841">
        <v>511205</v>
      </c>
      <c r="H841" t="s">
        <v>849</v>
      </c>
      <c r="K841" s="50">
        <v>46399.65</v>
      </c>
      <c r="M841" s="50">
        <v>39762.35</v>
      </c>
      <c r="O841" s="50">
        <v>6637.3</v>
      </c>
      <c r="Q841">
        <v>16.7</v>
      </c>
    </row>
    <row r="842" spans="3:18" x14ac:dyDescent="0.25">
      <c r="C842" t="s">
        <v>499</v>
      </c>
      <c r="D842" t="s">
        <v>194</v>
      </c>
      <c r="E842">
        <v>511300</v>
      </c>
      <c r="H842" t="s">
        <v>850</v>
      </c>
      <c r="K842" s="50">
        <v>1929027.1</v>
      </c>
      <c r="M842" s="50">
        <v>1552820.34</v>
      </c>
      <c r="O842" s="50">
        <v>376206.76</v>
      </c>
      <c r="Q842">
        <v>24.2</v>
      </c>
    </row>
    <row r="843" spans="3:18" x14ac:dyDescent="0.25">
      <c r="C843" t="s">
        <v>499</v>
      </c>
      <c r="D843" t="s">
        <v>194</v>
      </c>
      <c r="E843">
        <v>511301</v>
      </c>
      <c r="H843" t="s">
        <v>851</v>
      </c>
      <c r="K843" s="50">
        <v>99234.96</v>
      </c>
      <c r="M843" s="50">
        <v>79372.92</v>
      </c>
      <c r="O843" s="50">
        <v>19862.04</v>
      </c>
      <c r="Q843">
        <v>25</v>
      </c>
    </row>
    <row r="844" spans="3:18" x14ac:dyDescent="0.25">
      <c r="C844" t="s">
        <v>499</v>
      </c>
      <c r="D844" t="s">
        <v>194</v>
      </c>
      <c r="E844">
        <v>511302</v>
      </c>
      <c r="H844" t="s">
        <v>852</v>
      </c>
      <c r="K844" s="50">
        <v>429773.54</v>
      </c>
      <c r="M844" s="50">
        <v>344004.14</v>
      </c>
      <c r="O844" s="50">
        <v>85769.4</v>
      </c>
      <c r="Q844">
        <v>24.9</v>
      </c>
    </row>
    <row r="845" spans="3:18" x14ac:dyDescent="0.25">
      <c r="E845" t="s">
        <v>442</v>
      </c>
      <c r="K845" s="50">
        <v>14506325.560000001</v>
      </c>
      <c r="M845" s="50">
        <v>11662002.5</v>
      </c>
      <c r="O845" s="50">
        <v>2844323.06</v>
      </c>
      <c r="Q845">
        <v>24.4</v>
      </c>
      <c r="R845" t="s">
        <v>223</v>
      </c>
    </row>
    <row r="846" spans="3:18" x14ac:dyDescent="0.25">
      <c r="C846" t="s">
        <v>499</v>
      </c>
      <c r="D846" t="s">
        <v>194</v>
      </c>
      <c r="E846">
        <v>510223</v>
      </c>
      <c r="H846" t="s">
        <v>853</v>
      </c>
      <c r="K846" s="50">
        <v>13621.5</v>
      </c>
      <c r="M846" s="50">
        <v>6694.5</v>
      </c>
      <c r="O846" s="50">
        <v>6927</v>
      </c>
      <c r="Q846">
        <v>103.5</v>
      </c>
    </row>
    <row r="847" spans="3:18" x14ac:dyDescent="0.25">
      <c r="C847" t="s">
        <v>499</v>
      </c>
      <c r="D847" t="s">
        <v>194</v>
      </c>
      <c r="E847">
        <v>510302</v>
      </c>
      <c r="H847" t="s">
        <v>854</v>
      </c>
      <c r="K847" s="50">
        <v>14781.88</v>
      </c>
      <c r="M847" s="50">
        <v>7984.04</v>
      </c>
      <c r="O847" s="50">
        <v>6797.84</v>
      </c>
      <c r="Q847">
        <v>85.1</v>
      </c>
    </row>
    <row r="848" spans="3:18" x14ac:dyDescent="0.25">
      <c r="C848" t="s">
        <v>499</v>
      </c>
      <c r="D848" t="s">
        <v>194</v>
      </c>
      <c r="E848">
        <v>510303</v>
      </c>
      <c r="H848" t="s">
        <v>855</v>
      </c>
      <c r="K848" s="50">
        <v>241126.39999999999</v>
      </c>
      <c r="M848" s="50">
        <v>206912</v>
      </c>
      <c r="O848" s="50">
        <v>34214.400000000001</v>
      </c>
      <c r="Q848">
        <v>16.5</v>
      </c>
    </row>
    <row r="849" spans="3:18" x14ac:dyDescent="0.25">
      <c r="C849" t="s">
        <v>499</v>
      </c>
      <c r="D849" t="s">
        <v>194</v>
      </c>
      <c r="E849">
        <v>510304</v>
      </c>
      <c r="H849" t="s">
        <v>856</v>
      </c>
      <c r="K849" s="50">
        <v>39574.5</v>
      </c>
      <c r="M849" s="50">
        <v>27435.34</v>
      </c>
      <c r="O849" s="50">
        <v>12139.16</v>
      </c>
      <c r="Q849">
        <v>44.2</v>
      </c>
    </row>
    <row r="850" spans="3:18" x14ac:dyDescent="0.25">
      <c r="C850" t="s">
        <v>499</v>
      </c>
      <c r="D850" t="s">
        <v>194</v>
      </c>
      <c r="E850">
        <v>510509</v>
      </c>
      <c r="H850" t="s">
        <v>857</v>
      </c>
      <c r="K850" s="50">
        <v>3231</v>
      </c>
      <c r="M850" s="50">
        <v>2584.8000000000002</v>
      </c>
      <c r="O850">
        <v>646.20000000000005</v>
      </c>
      <c r="Q850">
        <v>25</v>
      </c>
    </row>
    <row r="851" spans="3:18" x14ac:dyDescent="0.25">
      <c r="C851" t="s">
        <v>499</v>
      </c>
      <c r="D851" t="s">
        <v>194</v>
      </c>
      <c r="E851">
        <v>510510</v>
      </c>
      <c r="H851" t="s">
        <v>448</v>
      </c>
      <c r="K851" s="50">
        <v>748356.81</v>
      </c>
      <c r="M851" s="50">
        <v>608099.55000000005</v>
      </c>
      <c r="O851" s="50">
        <v>140257.26</v>
      </c>
      <c r="Q851">
        <v>23.1</v>
      </c>
    </row>
    <row r="852" spans="3:18" x14ac:dyDescent="0.25">
      <c r="C852" t="s">
        <v>499</v>
      </c>
      <c r="D852" t="s">
        <v>194</v>
      </c>
      <c r="E852">
        <v>510511</v>
      </c>
      <c r="H852" t="s">
        <v>858</v>
      </c>
      <c r="K852" s="50">
        <v>18486.400000000001</v>
      </c>
      <c r="M852" s="50">
        <v>18486.400000000001</v>
      </c>
      <c r="O852">
        <v>0</v>
      </c>
    </row>
    <row r="853" spans="3:18" x14ac:dyDescent="0.25">
      <c r="C853" t="s">
        <v>499</v>
      </c>
      <c r="D853" t="s">
        <v>194</v>
      </c>
      <c r="E853">
        <v>510512</v>
      </c>
      <c r="H853" t="s">
        <v>859</v>
      </c>
      <c r="K853" s="50">
        <v>141073.9</v>
      </c>
      <c r="M853" s="50">
        <v>140773.9</v>
      </c>
      <c r="O853">
        <v>300</v>
      </c>
      <c r="Q853">
        <v>0.2</v>
      </c>
    </row>
    <row r="854" spans="3:18" x14ac:dyDescent="0.25">
      <c r="C854" t="s">
        <v>499</v>
      </c>
      <c r="D854" t="s">
        <v>194</v>
      </c>
      <c r="E854">
        <v>510613</v>
      </c>
      <c r="H854" t="s">
        <v>860</v>
      </c>
      <c r="K854" s="50">
        <v>59000</v>
      </c>
      <c r="M854" s="50">
        <v>45500</v>
      </c>
      <c r="O854" s="50">
        <v>13500</v>
      </c>
      <c r="Q854">
        <v>29.7</v>
      </c>
    </row>
    <row r="855" spans="3:18" x14ac:dyDescent="0.25">
      <c r="K855" s="50">
        <v>1279252.3899999999</v>
      </c>
      <c r="M855" s="50">
        <v>1064470.53</v>
      </c>
      <c r="O855" s="50">
        <v>214781.86</v>
      </c>
      <c r="Q855">
        <v>20.2</v>
      </c>
      <c r="R855" t="s">
        <v>223</v>
      </c>
    </row>
    <row r="856" spans="3:18" x14ac:dyDescent="0.25">
      <c r="C856" t="s">
        <v>499</v>
      </c>
      <c r="D856" t="s">
        <v>194</v>
      </c>
      <c r="E856">
        <v>500100</v>
      </c>
      <c r="H856" t="s">
        <v>861</v>
      </c>
      <c r="K856" s="50">
        <v>2917032.1</v>
      </c>
      <c r="M856" s="50">
        <v>2455567.8199999998</v>
      </c>
      <c r="O856" s="50">
        <v>461464.28</v>
      </c>
      <c r="Q856">
        <v>18.8</v>
      </c>
    </row>
    <row r="857" spans="3:18" x14ac:dyDescent="0.25">
      <c r="C857" t="s">
        <v>499</v>
      </c>
      <c r="D857" t="s">
        <v>194</v>
      </c>
      <c r="E857">
        <v>500109</v>
      </c>
      <c r="H857" t="s">
        <v>862</v>
      </c>
      <c r="K857" s="50">
        <v>1740288.9</v>
      </c>
      <c r="M857" s="50">
        <v>1425346.87</v>
      </c>
      <c r="O857" s="50">
        <v>314942.03000000003</v>
      </c>
      <c r="Q857">
        <v>22.1</v>
      </c>
    </row>
    <row r="858" spans="3:18" x14ac:dyDescent="0.25">
      <c r="C858" t="s">
        <v>499</v>
      </c>
      <c r="D858" t="s">
        <v>194</v>
      </c>
      <c r="E858">
        <v>500300</v>
      </c>
      <c r="H858" t="s">
        <v>863</v>
      </c>
      <c r="K858" s="50">
        <v>1815.51</v>
      </c>
      <c r="M858" s="50">
        <v>1458.42</v>
      </c>
      <c r="O858">
        <v>357.09</v>
      </c>
      <c r="Q858">
        <v>24.5</v>
      </c>
    </row>
    <row r="859" spans="3:18" x14ac:dyDescent="0.25">
      <c r="C859" t="s">
        <v>499</v>
      </c>
      <c r="D859" t="s">
        <v>194</v>
      </c>
      <c r="E859">
        <v>500301</v>
      </c>
      <c r="H859" t="s">
        <v>864</v>
      </c>
      <c r="K859" s="50">
        <v>63229.61</v>
      </c>
      <c r="M859" s="50">
        <v>50248.7</v>
      </c>
      <c r="O859" s="50">
        <v>12980.91</v>
      </c>
      <c r="Q859">
        <v>25.8</v>
      </c>
    </row>
    <row r="860" spans="3:18" x14ac:dyDescent="0.25">
      <c r="C860" t="s">
        <v>499</v>
      </c>
      <c r="D860" t="s">
        <v>194</v>
      </c>
      <c r="E860">
        <v>510606</v>
      </c>
      <c r="H860" t="s">
        <v>460</v>
      </c>
      <c r="K860" s="50">
        <v>4432</v>
      </c>
      <c r="M860" s="50">
        <v>4432</v>
      </c>
      <c r="O860">
        <v>0</v>
      </c>
    </row>
    <row r="861" spans="3:18" x14ac:dyDescent="0.25">
      <c r="C861" t="s">
        <v>499</v>
      </c>
      <c r="D861" t="s">
        <v>194</v>
      </c>
      <c r="E861">
        <v>510607</v>
      </c>
      <c r="H861" t="s">
        <v>865</v>
      </c>
      <c r="K861" s="50">
        <v>373977.24</v>
      </c>
      <c r="M861" s="50">
        <v>360078.8</v>
      </c>
      <c r="O861" s="50">
        <v>13898.44</v>
      </c>
      <c r="Q861">
        <v>3.9</v>
      </c>
    </row>
    <row r="862" spans="3:18" x14ac:dyDescent="0.25">
      <c r="C862" t="s">
        <v>499</v>
      </c>
      <c r="D862" t="s">
        <v>194</v>
      </c>
      <c r="E862">
        <v>540000</v>
      </c>
      <c r="H862" t="s">
        <v>866</v>
      </c>
      <c r="K862" s="50">
        <v>532403.84</v>
      </c>
      <c r="M862" s="50">
        <v>426525.26</v>
      </c>
      <c r="O862" s="50">
        <v>105878.58</v>
      </c>
      <c r="Q862">
        <v>24.8</v>
      </c>
    </row>
    <row r="863" spans="3:18" x14ac:dyDescent="0.25">
      <c r="C863" t="s">
        <v>499</v>
      </c>
      <c r="D863" t="s">
        <v>194</v>
      </c>
      <c r="E863">
        <v>540001</v>
      </c>
      <c r="H863" t="s">
        <v>867</v>
      </c>
      <c r="K863" s="50">
        <v>19434501.149999999</v>
      </c>
      <c r="M863" s="50">
        <v>15633053.75</v>
      </c>
      <c r="O863" s="50">
        <v>3801447.4</v>
      </c>
      <c r="Q863">
        <v>24.3</v>
      </c>
    </row>
    <row r="864" spans="3:18" x14ac:dyDescent="0.25">
      <c r="E864" t="s">
        <v>464</v>
      </c>
      <c r="K864" s="50">
        <v>25067680.350000001</v>
      </c>
      <c r="M864" s="50">
        <v>20356711.620000001</v>
      </c>
      <c r="O864" s="50">
        <v>4710968.7300000004</v>
      </c>
      <c r="Q864">
        <v>23.1</v>
      </c>
      <c r="R864" t="s">
        <v>223</v>
      </c>
    </row>
    <row r="865" spans="3:18" x14ac:dyDescent="0.25">
      <c r="C865" t="s">
        <v>499</v>
      </c>
      <c r="D865" t="s">
        <v>194</v>
      </c>
      <c r="E865">
        <v>500400</v>
      </c>
      <c r="H865" t="s">
        <v>868</v>
      </c>
      <c r="K865" s="50">
        <v>3075.33</v>
      </c>
      <c r="M865" s="50">
        <v>2442.4299999999998</v>
      </c>
      <c r="O865">
        <v>632.9</v>
      </c>
      <c r="Q865">
        <v>25.9</v>
      </c>
    </row>
    <row r="866" spans="3:18" x14ac:dyDescent="0.25">
      <c r="C866" t="s">
        <v>499</v>
      </c>
      <c r="D866" t="s">
        <v>194</v>
      </c>
      <c r="E866">
        <v>500401</v>
      </c>
      <c r="H866" t="s">
        <v>869</v>
      </c>
      <c r="K866" s="50">
        <v>18717.830000000002</v>
      </c>
      <c r="M866" s="50">
        <v>15186.4</v>
      </c>
      <c r="O866" s="50">
        <v>3531.43</v>
      </c>
      <c r="Q866">
        <v>23.3</v>
      </c>
    </row>
    <row r="867" spans="3:18" x14ac:dyDescent="0.25">
      <c r="K867" s="50">
        <v>21793.16</v>
      </c>
      <c r="M867" s="50">
        <v>17628.830000000002</v>
      </c>
      <c r="O867" s="50">
        <v>4164.33</v>
      </c>
      <c r="Q867">
        <v>23.6</v>
      </c>
      <c r="R867" t="s">
        <v>223</v>
      </c>
    </row>
    <row r="868" spans="3:18" x14ac:dyDescent="0.25">
      <c r="C868" t="s">
        <v>499</v>
      </c>
      <c r="D868" t="s">
        <v>194</v>
      </c>
      <c r="E868">
        <v>420709</v>
      </c>
      <c r="H868" t="s">
        <v>465</v>
      </c>
      <c r="K868" s="50">
        <v>57851140.469999999</v>
      </c>
      <c r="M868" s="50">
        <v>79784951.269999996</v>
      </c>
      <c r="O868" s="50">
        <v>-21933810.800000001</v>
      </c>
      <c r="Q868">
        <v>-27.5</v>
      </c>
    </row>
    <row r="869" spans="3:18" x14ac:dyDescent="0.25">
      <c r="C869" t="s">
        <v>499</v>
      </c>
      <c r="D869" t="s">
        <v>194</v>
      </c>
      <c r="E869">
        <v>420710</v>
      </c>
      <c r="H869" t="s">
        <v>466</v>
      </c>
      <c r="K869" s="50">
        <v>-100960997.23</v>
      </c>
      <c r="M869" s="50">
        <v>-100675563</v>
      </c>
      <c r="O869" s="50">
        <v>-285434.23</v>
      </c>
      <c r="Q869">
        <v>-0.3</v>
      </c>
    </row>
    <row r="870" spans="3:18" x14ac:dyDescent="0.25">
      <c r="C870" t="s">
        <v>499</v>
      </c>
      <c r="D870" t="s">
        <v>194</v>
      </c>
      <c r="E870">
        <v>420730</v>
      </c>
      <c r="H870" t="s">
        <v>870</v>
      </c>
      <c r="K870">
        <v>615.1</v>
      </c>
      <c r="M870">
        <v>615.1</v>
      </c>
      <c r="O870">
        <v>0</v>
      </c>
    </row>
    <row r="871" spans="3:18" x14ac:dyDescent="0.25">
      <c r="E871" t="s">
        <v>468</v>
      </c>
      <c r="K871" s="50">
        <v>-43109241.659999996</v>
      </c>
      <c r="M871" s="50">
        <v>-20889996.629999999</v>
      </c>
      <c r="O871" s="50">
        <v>-22219245.030000001</v>
      </c>
      <c r="Q871">
        <v>-106.4</v>
      </c>
      <c r="R871" t="s">
        <v>223</v>
      </c>
    </row>
    <row r="872" spans="3:18" x14ac:dyDescent="0.25">
      <c r="C872" t="s">
        <v>499</v>
      </c>
      <c r="D872" t="s">
        <v>194</v>
      </c>
      <c r="E872">
        <v>420713</v>
      </c>
      <c r="H872" t="s">
        <v>466</v>
      </c>
      <c r="K872" s="50">
        <v>13718754.75</v>
      </c>
      <c r="M872" s="50">
        <v>551091.93999999994</v>
      </c>
      <c r="O872" s="50">
        <v>13167662.810000001</v>
      </c>
      <c r="Q872">
        <v>2389.4</v>
      </c>
    </row>
    <row r="873" spans="3:18" x14ac:dyDescent="0.25">
      <c r="C873" t="s">
        <v>499</v>
      </c>
      <c r="D873" t="s">
        <v>194</v>
      </c>
      <c r="E873">
        <v>420726</v>
      </c>
      <c r="H873" t="s">
        <v>871</v>
      </c>
      <c r="K873" s="50">
        <v>-1706.96</v>
      </c>
      <c r="M873" s="50">
        <v>-1706.96</v>
      </c>
      <c r="O873">
        <v>0</v>
      </c>
    </row>
    <row r="874" spans="3:18" x14ac:dyDescent="0.25">
      <c r="E874" t="s">
        <v>471</v>
      </c>
      <c r="K874" s="50">
        <v>13717047.789999999</v>
      </c>
      <c r="M874" s="50">
        <v>549384.98</v>
      </c>
      <c r="O874" s="50">
        <v>13167662.810000001</v>
      </c>
      <c r="Q874">
        <v>2396.8000000000002</v>
      </c>
      <c r="R874" t="s">
        <v>223</v>
      </c>
    </row>
    <row r="875" spans="3:18" x14ac:dyDescent="0.25">
      <c r="C875" t="s">
        <v>499</v>
      </c>
      <c r="D875" t="s">
        <v>194</v>
      </c>
      <c r="E875">
        <v>420724</v>
      </c>
      <c r="H875" t="s">
        <v>872</v>
      </c>
      <c r="K875" s="50">
        <v>1088</v>
      </c>
      <c r="M875">
        <v>758.1</v>
      </c>
      <c r="O875">
        <v>329.9</v>
      </c>
      <c r="Q875">
        <v>43.5</v>
      </c>
    </row>
    <row r="876" spans="3:18" x14ac:dyDescent="0.25">
      <c r="K876" s="50">
        <v>1088</v>
      </c>
      <c r="M876">
        <v>758.1</v>
      </c>
      <c r="O876">
        <v>329.9</v>
      </c>
      <c r="Q876">
        <v>43.5</v>
      </c>
      <c r="R876" t="s">
        <v>223</v>
      </c>
    </row>
    <row r="877" spans="3:18" x14ac:dyDescent="0.25">
      <c r="E877" t="s">
        <v>472</v>
      </c>
      <c r="K877" s="50">
        <v>36457960.969999999</v>
      </c>
      <c r="M877" s="50">
        <v>32657879.879999999</v>
      </c>
      <c r="O877" s="50">
        <v>3800081.09</v>
      </c>
      <c r="Q877">
        <v>11.6</v>
      </c>
      <c r="R877" t="s">
        <v>219</v>
      </c>
    </row>
    <row r="878" spans="3:18" x14ac:dyDescent="0.25">
      <c r="E878" t="s">
        <v>473</v>
      </c>
      <c r="K878" s="50">
        <v>2460180.5099999998</v>
      </c>
      <c r="M878" s="50">
        <v>35279350.619999997</v>
      </c>
      <c r="O878" s="50">
        <v>-32819170.109999999</v>
      </c>
      <c r="Q878">
        <v>-93</v>
      </c>
      <c r="R878" t="s">
        <v>343</v>
      </c>
    </row>
    <row r="880" spans="3:18" x14ac:dyDescent="0.25">
      <c r="E880" t="s">
        <v>474</v>
      </c>
    </row>
    <row r="881" spans="3:18" x14ac:dyDescent="0.25">
      <c r="C881" t="s">
        <v>499</v>
      </c>
      <c r="D881" t="s">
        <v>194</v>
      </c>
      <c r="E881">
        <v>511424</v>
      </c>
      <c r="H881" t="s">
        <v>475</v>
      </c>
      <c r="K881" s="50">
        <v>8841171.9299999997</v>
      </c>
      <c r="M881" s="50">
        <v>8016800.9800000004</v>
      </c>
      <c r="O881" s="50">
        <v>824370.95</v>
      </c>
      <c r="Q881">
        <v>10.3</v>
      </c>
    </row>
    <row r="882" spans="3:18" x14ac:dyDescent="0.25">
      <c r="E882" t="s">
        <v>476</v>
      </c>
      <c r="K882" s="50">
        <v>8841171.9299999997</v>
      </c>
      <c r="M882" s="50">
        <v>8016800.9800000004</v>
      </c>
      <c r="O882" s="50">
        <v>824370.95</v>
      </c>
      <c r="Q882">
        <v>10.3</v>
      </c>
      <c r="R882" t="s">
        <v>219</v>
      </c>
    </row>
    <row r="883" spans="3:18" x14ac:dyDescent="0.25">
      <c r="C883" t="s">
        <v>499</v>
      </c>
      <c r="D883" t="s">
        <v>194</v>
      </c>
      <c r="E883">
        <v>511425</v>
      </c>
      <c r="H883" t="s">
        <v>477</v>
      </c>
      <c r="K883" s="50">
        <v>-668019.93000000005</v>
      </c>
      <c r="M883" s="50">
        <v>-540786.57999999996</v>
      </c>
      <c r="O883" s="50">
        <v>-127233.35</v>
      </c>
      <c r="Q883">
        <v>-23.5</v>
      </c>
    </row>
    <row r="884" spans="3:18" x14ac:dyDescent="0.25">
      <c r="C884" t="s">
        <v>499</v>
      </c>
      <c r="D884" t="s">
        <v>194</v>
      </c>
      <c r="E884">
        <v>511427</v>
      </c>
      <c r="H884" t="s">
        <v>873</v>
      </c>
      <c r="K884">
        <v>178.77</v>
      </c>
      <c r="M884">
        <v>178.77</v>
      </c>
      <c r="O884">
        <v>0</v>
      </c>
    </row>
    <row r="885" spans="3:18" x14ac:dyDescent="0.25">
      <c r="E885" t="s">
        <v>478</v>
      </c>
      <c r="K885" s="50">
        <v>-667841.16</v>
      </c>
      <c r="M885" s="50">
        <v>-540607.81000000006</v>
      </c>
      <c r="O885" s="50">
        <v>-127233.35</v>
      </c>
      <c r="Q885">
        <v>-23.5</v>
      </c>
      <c r="R885" t="s">
        <v>219</v>
      </c>
    </row>
    <row r="886" spans="3:18" x14ac:dyDescent="0.25">
      <c r="C886" t="s">
        <v>499</v>
      </c>
      <c r="D886" t="s">
        <v>194</v>
      </c>
      <c r="E886">
        <v>511410</v>
      </c>
      <c r="H886" t="s">
        <v>874</v>
      </c>
      <c r="K886" s="50">
        <v>55611.66</v>
      </c>
      <c r="M886" s="50">
        <v>35585.94</v>
      </c>
      <c r="O886" s="50">
        <v>20025.72</v>
      </c>
      <c r="Q886">
        <v>56.3</v>
      </c>
    </row>
    <row r="887" spans="3:18" x14ac:dyDescent="0.25">
      <c r="C887" t="s">
        <v>499</v>
      </c>
      <c r="D887" t="s">
        <v>194</v>
      </c>
      <c r="E887">
        <v>511413</v>
      </c>
      <c r="H887" t="s">
        <v>875</v>
      </c>
      <c r="K887" s="50">
        <v>-4915.51</v>
      </c>
      <c r="M887" s="50">
        <v>-4915.51</v>
      </c>
      <c r="O887">
        <v>0</v>
      </c>
    </row>
    <row r="888" spans="3:18" x14ac:dyDescent="0.25">
      <c r="C888" t="s">
        <v>499</v>
      </c>
      <c r="D888" t="s">
        <v>194</v>
      </c>
      <c r="E888">
        <v>511417</v>
      </c>
      <c r="H888" t="s">
        <v>479</v>
      </c>
      <c r="K888" s="50">
        <v>19557924.16</v>
      </c>
      <c r="M888" s="50">
        <v>22449906.66</v>
      </c>
      <c r="O888" s="50">
        <v>-2891982.5</v>
      </c>
      <c r="Q888">
        <v>-12.9</v>
      </c>
    </row>
    <row r="889" spans="3:18" x14ac:dyDescent="0.25">
      <c r="C889" t="s">
        <v>499</v>
      </c>
      <c r="D889" t="s">
        <v>194</v>
      </c>
      <c r="E889">
        <v>511418</v>
      </c>
      <c r="H889" t="s">
        <v>480</v>
      </c>
      <c r="K889" s="50">
        <v>-44639738.390000001</v>
      </c>
      <c r="M889" s="50">
        <v>-44636791.789999999</v>
      </c>
      <c r="O889" s="50">
        <v>-2946.6</v>
      </c>
    </row>
    <row r="890" spans="3:18" x14ac:dyDescent="0.25">
      <c r="E890" t="s">
        <v>481</v>
      </c>
      <c r="K890" s="50">
        <v>-25031118.079999998</v>
      </c>
      <c r="M890" s="50">
        <v>-22156214.699999999</v>
      </c>
      <c r="O890" s="50">
        <v>-2874903.38</v>
      </c>
      <c r="Q890">
        <v>-13</v>
      </c>
      <c r="R890" t="s">
        <v>219</v>
      </c>
    </row>
    <row r="891" spans="3:18" x14ac:dyDescent="0.25">
      <c r="E891" t="s">
        <v>482</v>
      </c>
      <c r="K891" s="50">
        <v>-16857787.309999999</v>
      </c>
      <c r="M891" s="50">
        <v>-14680021.529999999</v>
      </c>
      <c r="O891" s="50">
        <v>-2177765.7799999998</v>
      </c>
      <c r="Q891">
        <v>-14.8</v>
      </c>
      <c r="R891" t="s">
        <v>343</v>
      </c>
    </row>
    <row r="893" spans="3:18" x14ac:dyDescent="0.25">
      <c r="E893" t="s">
        <v>483</v>
      </c>
      <c r="K893" s="50">
        <v>-14397606.800000001</v>
      </c>
      <c r="M893" s="50">
        <v>20599329.09</v>
      </c>
      <c r="O893" s="50">
        <v>-34996935.890000001</v>
      </c>
      <c r="Q893">
        <v>-169.9</v>
      </c>
      <c r="R893" t="s">
        <v>345</v>
      </c>
    </row>
    <row r="895" spans="3:18" x14ac:dyDescent="0.25">
      <c r="C895" t="s">
        <v>499</v>
      </c>
      <c r="D895" t="s">
        <v>194</v>
      </c>
      <c r="E895">
        <v>530001</v>
      </c>
      <c r="H895" t="s">
        <v>876</v>
      </c>
      <c r="K895" s="50">
        <v>6785945.6900000004</v>
      </c>
      <c r="M895" s="50">
        <v>5403895.0599999996</v>
      </c>
      <c r="O895" s="50">
        <v>1382050.63</v>
      </c>
      <c r="Q895">
        <v>25.6</v>
      </c>
    </row>
    <row r="896" spans="3:18" x14ac:dyDescent="0.25">
      <c r="E896" t="s">
        <v>877</v>
      </c>
      <c r="K896" s="50">
        <v>6785945.6900000004</v>
      </c>
      <c r="M896" s="50">
        <v>5403895.0599999996</v>
      </c>
      <c r="O896" s="50">
        <v>1382050.63</v>
      </c>
      <c r="Q896">
        <v>25.6</v>
      </c>
      <c r="R896" t="s">
        <v>345</v>
      </c>
    </row>
    <row r="898" spans="1:18" x14ac:dyDescent="0.25">
      <c r="E898" t="s">
        <v>484</v>
      </c>
      <c r="K898" s="50">
        <v>-7611661.1100000003</v>
      </c>
      <c r="M898" s="50">
        <v>26003224.149999999</v>
      </c>
      <c r="O898" s="50">
        <v>-33614885.259999998</v>
      </c>
      <c r="Q898">
        <v>-129.30000000000001</v>
      </c>
      <c r="R898" t="s">
        <v>485</v>
      </c>
    </row>
    <row r="902" spans="1:18" x14ac:dyDescent="0.25">
      <c r="A902" t="s">
        <v>918</v>
      </c>
    </row>
    <row r="903" spans="1:18" x14ac:dyDescent="0.25">
      <c r="A903" t="s">
        <v>878</v>
      </c>
    </row>
    <row r="905" spans="1:18" x14ac:dyDescent="0.25">
      <c r="A905" t="s">
        <v>191</v>
      </c>
      <c r="F905" t="s">
        <v>499</v>
      </c>
      <c r="G905" t="s">
        <v>193</v>
      </c>
      <c r="I905" t="s">
        <v>194</v>
      </c>
      <c r="N905" t="s">
        <v>195</v>
      </c>
      <c r="P905" t="s">
        <v>12</v>
      </c>
    </row>
    <row r="907" spans="1:18" x14ac:dyDescent="0.25">
      <c r="B907" t="s">
        <v>196</v>
      </c>
      <c r="C907" t="s">
        <v>197</v>
      </c>
      <c r="D907" t="s">
        <v>198</v>
      </c>
      <c r="E907" t="s">
        <v>199</v>
      </c>
      <c r="J907" t="s">
        <v>200</v>
      </c>
      <c r="L907" t="s">
        <v>201</v>
      </c>
      <c r="O907" t="s">
        <v>202</v>
      </c>
      <c r="Q907" t="s">
        <v>203</v>
      </c>
      <c r="R907" t="s">
        <v>204</v>
      </c>
    </row>
    <row r="908" spans="1:18" x14ac:dyDescent="0.25">
      <c r="B908" t="s">
        <v>205</v>
      </c>
      <c r="C908" t="s">
        <v>206</v>
      </c>
      <c r="D908" t="s">
        <v>207</v>
      </c>
      <c r="J908" t="s">
        <v>208</v>
      </c>
      <c r="L908" t="s">
        <v>209</v>
      </c>
      <c r="O908" t="s">
        <v>210</v>
      </c>
      <c r="Q908" t="s">
        <v>211</v>
      </c>
      <c r="R908" t="s">
        <v>212</v>
      </c>
    </row>
    <row r="910" spans="1:18" x14ac:dyDescent="0.25">
      <c r="E910" t="s">
        <v>487</v>
      </c>
    </row>
    <row r="911" spans="1:18" x14ac:dyDescent="0.25">
      <c r="K911" s="50">
        <v>7611661.1100000003</v>
      </c>
      <c r="M911" s="50">
        <v>-26003224.149999999</v>
      </c>
      <c r="O911" s="50">
        <v>33614885.259999998</v>
      </c>
      <c r="Q911">
        <v>129.30000000000001</v>
      </c>
      <c r="R911" t="s">
        <v>485</v>
      </c>
    </row>
    <row r="913" spans="1:18" x14ac:dyDescent="0.25">
      <c r="A913" t="s">
        <v>918</v>
      </c>
    </row>
    <row r="914" spans="1:18" x14ac:dyDescent="0.25">
      <c r="A914" t="s">
        <v>879</v>
      </c>
    </row>
    <row r="916" spans="1:18" x14ac:dyDescent="0.25">
      <c r="A916" t="s">
        <v>191</v>
      </c>
      <c r="F916" t="s">
        <v>499</v>
      </c>
      <c r="G916" t="s">
        <v>193</v>
      </c>
      <c r="I916" t="s">
        <v>194</v>
      </c>
      <c r="N916" t="s">
        <v>195</v>
      </c>
      <c r="P916" t="s">
        <v>12</v>
      </c>
    </row>
    <row r="918" spans="1:18" x14ac:dyDescent="0.25">
      <c r="B918" t="s">
        <v>196</v>
      </c>
      <c r="C918" t="s">
        <v>197</v>
      </c>
      <c r="D918" t="s">
        <v>198</v>
      </c>
      <c r="E918" t="s">
        <v>199</v>
      </c>
      <c r="J918" t="s">
        <v>200</v>
      </c>
      <c r="L918" t="s">
        <v>201</v>
      </c>
      <c r="O918" t="s">
        <v>202</v>
      </c>
      <c r="Q918" t="s">
        <v>203</v>
      </c>
      <c r="R918" t="s">
        <v>204</v>
      </c>
    </row>
    <row r="919" spans="1:18" x14ac:dyDescent="0.25">
      <c r="B919" t="s">
        <v>205</v>
      </c>
      <c r="C919" t="s">
        <v>206</v>
      </c>
      <c r="D919" t="s">
        <v>207</v>
      </c>
      <c r="J919" t="s">
        <v>208</v>
      </c>
      <c r="L919" t="s">
        <v>209</v>
      </c>
      <c r="O919" t="s">
        <v>210</v>
      </c>
      <c r="Q919" t="s">
        <v>211</v>
      </c>
      <c r="R919" t="s">
        <v>212</v>
      </c>
    </row>
    <row r="921" spans="1:18" x14ac:dyDescent="0.25">
      <c r="E921" t="s">
        <v>489</v>
      </c>
    </row>
    <row r="922" spans="1:18" x14ac:dyDescent="0.25">
      <c r="E922" t="s">
        <v>490</v>
      </c>
    </row>
    <row r="923" spans="1:18" x14ac:dyDescent="0.25">
      <c r="C923" t="s">
        <v>499</v>
      </c>
      <c r="D923" t="s">
        <v>194</v>
      </c>
      <c r="E923">
        <v>11000217</v>
      </c>
      <c r="H923" t="s">
        <v>880</v>
      </c>
      <c r="K923" s="50">
        <v>4860607.4400000004</v>
      </c>
      <c r="M923" s="50">
        <v>4860607.4400000004</v>
      </c>
      <c r="O923">
        <v>0</v>
      </c>
    </row>
    <row r="924" spans="1:18" x14ac:dyDescent="0.25">
      <c r="C924" t="s">
        <v>499</v>
      </c>
      <c r="D924" t="s">
        <v>194</v>
      </c>
      <c r="E924">
        <v>13000017</v>
      </c>
      <c r="H924" t="s">
        <v>881</v>
      </c>
      <c r="K924" s="50">
        <v>918919.15</v>
      </c>
      <c r="M924" s="50">
        <v>918919.15</v>
      </c>
      <c r="O924">
        <v>0</v>
      </c>
    </row>
    <row r="925" spans="1:18" x14ac:dyDescent="0.25">
      <c r="C925" t="s">
        <v>499</v>
      </c>
      <c r="D925" t="s">
        <v>194</v>
      </c>
      <c r="E925">
        <v>13000117</v>
      </c>
      <c r="H925" t="s">
        <v>882</v>
      </c>
      <c r="K925" s="50">
        <v>454783.51</v>
      </c>
      <c r="M925" s="50">
        <v>454783.51</v>
      </c>
      <c r="O925">
        <v>0</v>
      </c>
    </row>
    <row r="926" spans="1:18" x14ac:dyDescent="0.25">
      <c r="C926" t="s">
        <v>499</v>
      </c>
      <c r="D926" t="s">
        <v>194</v>
      </c>
      <c r="E926">
        <v>13000217</v>
      </c>
      <c r="H926" t="s">
        <v>883</v>
      </c>
      <c r="K926" s="50">
        <v>-2621038.5299999998</v>
      </c>
      <c r="M926" s="50">
        <v>-2621038.5299999998</v>
      </c>
      <c r="O926">
        <v>0</v>
      </c>
    </row>
    <row r="927" spans="1:18" x14ac:dyDescent="0.25">
      <c r="C927" t="s">
        <v>499</v>
      </c>
      <c r="D927" t="s">
        <v>194</v>
      </c>
      <c r="E927">
        <v>13000317</v>
      </c>
      <c r="H927" t="s">
        <v>884</v>
      </c>
      <c r="K927" s="50">
        <v>-4367812.53</v>
      </c>
      <c r="M927" s="50">
        <v>-4367812.53</v>
      </c>
      <c r="O927">
        <v>0</v>
      </c>
    </row>
    <row r="928" spans="1:18" x14ac:dyDescent="0.25">
      <c r="C928" t="s">
        <v>499</v>
      </c>
      <c r="D928" t="s">
        <v>194</v>
      </c>
      <c r="E928">
        <v>13000417</v>
      </c>
      <c r="H928" t="s">
        <v>885</v>
      </c>
      <c r="K928" s="50">
        <v>4367812.53</v>
      </c>
      <c r="M928" s="50">
        <v>4367812.53</v>
      </c>
      <c r="O928">
        <v>0</v>
      </c>
    </row>
    <row r="929" spans="3:15" x14ac:dyDescent="0.25">
      <c r="C929" t="s">
        <v>499</v>
      </c>
      <c r="D929" t="s">
        <v>194</v>
      </c>
      <c r="E929">
        <v>13301017</v>
      </c>
      <c r="H929" t="s">
        <v>886</v>
      </c>
      <c r="K929" s="50">
        <v>43430990.979999997</v>
      </c>
      <c r="M929" s="50">
        <v>43430990.979999997</v>
      </c>
      <c r="O929">
        <v>0</v>
      </c>
    </row>
    <row r="930" spans="3:15" x14ac:dyDescent="0.25">
      <c r="C930" t="s">
        <v>499</v>
      </c>
      <c r="D930" t="s">
        <v>194</v>
      </c>
      <c r="E930">
        <v>13501317</v>
      </c>
      <c r="H930" t="s">
        <v>887</v>
      </c>
      <c r="K930" s="50">
        <v>57114.73</v>
      </c>
      <c r="M930" s="50">
        <v>57114.73</v>
      </c>
      <c r="O930">
        <v>0</v>
      </c>
    </row>
    <row r="931" spans="3:15" x14ac:dyDescent="0.25">
      <c r="C931" t="s">
        <v>499</v>
      </c>
      <c r="D931" t="s">
        <v>194</v>
      </c>
      <c r="E931">
        <v>13830517</v>
      </c>
      <c r="H931" t="s">
        <v>888</v>
      </c>
      <c r="K931" s="50">
        <v>800000000.35000002</v>
      </c>
      <c r="M931" s="50">
        <v>800000000.35000002</v>
      </c>
      <c r="O931">
        <v>0</v>
      </c>
    </row>
    <row r="932" spans="3:15" x14ac:dyDescent="0.25">
      <c r="C932" t="s">
        <v>499</v>
      </c>
      <c r="D932" t="s">
        <v>194</v>
      </c>
      <c r="E932">
        <v>13830617</v>
      </c>
      <c r="H932" t="s">
        <v>889</v>
      </c>
      <c r="K932" s="50">
        <v>161645.63</v>
      </c>
      <c r="M932" s="50">
        <v>161645.63</v>
      </c>
      <c r="O932">
        <v>0</v>
      </c>
    </row>
    <row r="933" spans="3:15" x14ac:dyDescent="0.25">
      <c r="C933" t="s">
        <v>499</v>
      </c>
      <c r="D933" t="s">
        <v>194</v>
      </c>
      <c r="E933">
        <v>13830817</v>
      </c>
      <c r="H933" t="s">
        <v>596</v>
      </c>
      <c r="K933" s="50">
        <v>-1750</v>
      </c>
      <c r="M933" s="50">
        <v>-1750</v>
      </c>
      <c r="O933">
        <v>0</v>
      </c>
    </row>
    <row r="934" spans="3:15" x14ac:dyDescent="0.25">
      <c r="C934" t="s">
        <v>499</v>
      </c>
      <c r="D934" t="s">
        <v>194</v>
      </c>
      <c r="E934">
        <v>13830917</v>
      </c>
      <c r="H934" t="s">
        <v>491</v>
      </c>
      <c r="K934" s="50">
        <v>3456863.51</v>
      </c>
      <c r="M934" s="50">
        <v>3456863.51</v>
      </c>
      <c r="O934">
        <v>0</v>
      </c>
    </row>
    <row r="935" spans="3:15" x14ac:dyDescent="0.25">
      <c r="C935" t="s">
        <v>499</v>
      </c>
      <c r="D935" t="s">
        <v>194</v>
      </c>
      <c r="E935">
        <v>13880017</v>
      </c>
      <c r="H935" t="s">
        <v>890</v>
      </c>
      <c r="K935" s="50">
        <v>20122908.27</v>
      </c>
      <c r="M935" s="50">
        <v>20122908.27</v>
      </c>
      <c r="O935">
        <v>0</v>
      </c>
    </row>
    <row r="936" spans="3:15" x14ac:dyDescent="0.25">
      <c r="C936" t="s">
        <v>499</v>
      </c>
      <c r="D936" t="s">
        <v>194</v>
      </c>
      <c r="E936">
        <v>13890517</v>
      </c>
      <c r="H936" t="s">
        <v>562</v>
      </c>
      <c r="K936" s="50">
        <v>303088.95</v>
      </c>
      <c r="M936" s="50">
        <v>303088.95</v>
      </c>
      <c r="O936">
        <v>0</v>
      </c>
    </row>
    <row r="937" spans="3:15" x14ac:dyDescent="0.25">
      <c r="C937" t="s">
        <v>499</v>
      </c>
      <c r="D937" t="s">
        <v>194</v>
      </c>
      <c r="E937">
        <v>13890617</v>
      </c>
      <c r="H937" t="s">
        <v>563</v>
      </c>
      <c r="K937" s="50">
        <v>16196.71</v>
      </c>
      <c r="M937" s="50">
        <v>16196.71</v>
      </c>
      <c r="O937">
        <v>0</v>
      </c>
    </row>
    <row r="938" spans="3:15" x14ac:dyDescent="0.25">
      <c r="C938" t="s">
        <v>499</v>
      </c>
      <c r="D938" t="s">
        <v>194</v>
      </c>
      <c r="E938">
        <v>14000017</v>
      </c>
      <c r="H938" t="s">
        <v>891</v>
      </c>
      <c r="K938" s="50">
        <v>62306.080000000002</v>
      </c>
      <c r="M938" s="50">
        <v>62306.080000000002</v>
      </c>
      <c r="O938">
        <v>0</v>
      </c>
    </row>
    <row r="939" spans="3:15" x14ac:dyDescent="0.25">
      <c r="C939" t="s">
        <v>499</v>
      </c>
      <c r="D939" t="s">
        <v>194</v>
      </c>
      <c r="E939">
        <v>14000117</v>
      </c>
      <c r="H939" t="s">
        <v>892</v>
      </c>
      <c r="K939" s="50">
        <v>157463.6</v>
      </c>
      <c r="M939" s="50">
        <v>157463.6</v>
      </c>
      <c r="O939">
        <v>0</v>
      </c>
    </row>
    <row r="940" spans="3:15" x14ac:dyDescent="0.25">
      <c r="C940" t="s">
        <v>499</v>
      </c>
      <c r="D940" t="s">
        <v>194</v>
      </c>
      <c r="E940">
        <v>15000617</v>
      </c>
      <c r="H940" t="s">
        <v>893</v>
      </c>
      <c r="K940">
        <v>0.02</v>
      </c>
      <c r="M940">
        <v>0.02</v>
      </c>
      <c r="O940">
        <v>0</v>
      </c>
    </row>
    <row r="941" spans="3:15" x14ac:dyDescent="0.25">
      <c r="C941" t="s">
        <v>499</v>
      </c>
      <c r="D941" t="s">
        <v>194</v>
      </c>
      <c r="E941">
        <v>20000617</v>
      </c>
      <c r="H941" t="s">
        <v>894</v>
      </c>
      <c r="K941" s="50">
        <v>-1262494.92</v>
      </c>
      <c r="M941" s="50">
        <v>-1262494.92</v>
      </c>
      <c r="O941">
        <v>0</v>
      </c>
    </row>
    <row r="942" spans="3:15" x14ac:dyDescent="0.25">
      <c r="C942" t="s">
        <v>499</v>
      </c>
      <c r="D942" t="s">
        <v>194</v>
      </c>
      <c r="E942">
        <v>20040217</v>
      </c>
      <c r="H942" t="s">
        <v>895</v>
      </c>
      <c r="K942" s="50">
        <v>438502.17</v>
      </c>
      <c r="M942" s="50">
        <v>438502.17</v>
      </c>
      <c r="O942">
        <v>0</v>
      </c>
    </row>
    <row r="943" spans="3:15" x14ac:dyDescent="0.25">
      <c r="C943" t="s">
        <v>499</v>
      </c>
      <c r="D943" t="s">
        <v>194</v>
      </c>
      <c r="E943">
        <v>20060217</v>
      </c>
      <c r="H943" t="s">
        <v>659</v>
      </c>
      <c r="K943" s="50">
        <v>-599584.63</v>
      </c>
      <c r="M943" s="50">
        <v>-599584.63</v>
      </c>
      <c r="O943">
        <v>0</v>
      </c>
    </row>
    <row r="944" spans="3:15" x14ac:dyDescent="0.25">
      <c r="C944" t="s">
        <v>499</v>
      </c>
      <c r="D944" t="s">
        <v>194</v>
      </c>
      <c r="E944">
        <v>20081217</v>
      </c>
      <c r="H944" t="s">
        <v>635</v>
      </c>
      <c r="K944" s="50">
        <v>788366.02</v>
      </c>
      <c r="M944" s="50">
        <v>788366.02</v>
      </c>
      <c r="O944">
        <v>0</v>
      </c>
    </row>
    <row r="945" spans="3:15" x14ac:dyDescent="0.25">
      <c r="C945" t="s">
        <v>499</v>
      </c>
      <c r="D945" t="s">
        <v>194</v>
      </c>
      <c r="E945">
        <v>20082017</v>
      </c>
      <c r="H945" t="s">
        <v>632</v>
      </c>
      <c r="K945" s="50">
        <v>1934930.71</v>
      </c>
      <c r="M945" s="50">
        <v>1934930.71</v>
      </c>
      <c r="O945">
        <v>0</v>
      </c>
    </row>
    <row r="946" spans="3:15" x14ac:dyDescent="0.25">
      <c r="C946" t="s">
        <v>499</v>
      </c>
      <c r="D946" t="s">
        <v>194</v>
      </c>
      <c r="E946">
        <v>20082117</v>
      </c>
      <c r="H946" t="s">
        <v>896</v>
      </c>
      <c r="K946" s="50">
        <v>-1342593.8</v>
      </c>
      <c r="M946" s="50">
        <v>-1342593.8</v>
      </c>
      <c r="O946">
        <v>0</v>
      </c>
    </row>
    <row r="947" spans="3:15" x14ac:dyDescent="0.25">
      <c r="C947" t="s">
        <v>499</v>
      </c>
      <c r="D947" t="s">
        <v>194</v>
      </c>
      <c r="E947">
        <v>20082217</v>
      </c>
      <c r="H947" t="s">
        <v>633</v>
      </c>
      <c r="K947" s="50">
        <v>-1299702.93</v>
      </c>
      <c r="M947" s="50">
        <v>-1299702.93</v>
      </c>
      <c r="O947">
        <v>0</v>
      </c>
    </row>
    <row r="948" spans="3:15" x14ac:dyDescent="0.25">
      <c r="C948" t="s">
        <v>499</v>
      </c>
      <c r="D948" t="s">
        <v>194</v>
      </c>
      <c r="E948">
        <v>20101517</v>
      </c>
      <c r="H948" t="s">
        <v>897</v>
      </c>
      <c r="K948">
        <v>0.55000000000000004</v>
      </c>
      <c r="M948">
        <v>0.55000000000000004</v>
      </c>
      <c r="O948">
        <v>0</v>
      </c>
    </row>
    <row r="949" spans="3:15" x14ac:dyDescent="0.25">
      <c r="C949" t="s">
        <v>499</v>
      </c>
      <c r="D949" t="s">
        <v>194</v>
      </c>
      <c r="E949">
        <v>20101617</v>
      </c>
      <c r="H949" t="s">
        <v>898</v>
      </c>
      <c r="K949">
        <v>-0.1</v>
      </c>
      <c r="M949">
        <v>-0.1</v>
      </c>
      <c r="O949">
        <v>0</v>
      </c>
    </row>
    <row r="950" spans="3:15" x14ac:dyDescent="0.25">
      <c r="C950" t="s">
        <v>499</v>
      </c>
      <c r="D950" t="s">
        <v>194</v>
      </c>
      <c r="E950">
        <v>20200017</v>
      </c>
      <c r="H950" t="s">
        <v>899</v>
      </c>
      <c r="K950" s="50">
        <v>902060.59</v>
      </c>
      <c r="M950" s="50">
        <v>902060.59</v>
      </c>
      <c r="O950">
        <v>0</v>
      </c>
    </row>
    <row r="951" spans="3:15" x14ac:dyDescent="0.25">
      <c r="C951" t="s">
        <v>499</v>
      </c>
      <c r="D951" t="s">
        <v>194</v>
      </c>
      <c r="E951">
        <v>20200317</v>
      </c>
      <c r="H951" t="s">
        <v>900</v>
      </c>
      <c r="K951" s="50">
        <v>300054.27</v>
      </c>
      <c r="M951" s="50">
        <v>300054.27</v>
      </c>
      <c r="O951">
        <v>0</v>
      </c>
    </row>
    <row r="952" spans="3:15" x14ac:dyDescent="0.25">
      <c r="C952" t="s">
        <v>499</v>
      </c>
      <c r="D952" t="s">
        <v>194</v>
      </c>
      <c r="E952">
        <v>20300517</v>
      </c>
      <c r="H952" t="s">
        <v>901</v>
      </c>
      <c r="K952" s="50">
        <v>-4134559.7</v>
      </c>
      <c r="M952" s="50">
        <v>-4134559.7</v>
      </c>
      <c r="O952">
        <v>0</v>
      </c>
    </row>
    <row r="953" spans="3:15" x14ac:dyDescent="0.25">
      <c r="C953" t="s">
        <v>499</v>
      </c>
      <c r="D953" t="s">
        <v>194</v>
      </c>
      <c r="E953">
        <v>20300617</v>
      </c>
      <c r="H953" t="s">
        <v>902</v>
      </c>
      <c r="K953" s="50">
        <v>-1714334.39</v>
      </c>
      <c r="M953" s="50">
        <v>-1714334.39</v>
      </c>
      <c r="O953">
        <v>0</v>
      </c>
    </row>
    <row r="954" spans="3:15" x14ac:dyDescent="0.25">
      <c r="C954" t="s">
        <v>499</v>
      </c>
      <c r="D954" t="s">
        <v>194</v>
      </c>
      <c r="E954">
        <v>20400117</v>
      </c>
      <c r="H954" t="s">
        <v>903</v>
      </c>
      <c r="K954" s="50">
        <v>-14287483.619999999</v>
      </c>
      <c r="M954" s="50">
        <v>-14287483.619999999</v>
      </c>
      <c r="O954">
        <v>0</v>
      </c>
    </row>
    <row r="955" spans="3:15" x14ac:dyDescent="0.25">
      <c r="C955" t="s">
        <v>499</v>
      </c>
      <c r="D955" t="s">
        <v>194</v>
      </c>
      <c r="E955">
        <v>20400217</v>
      </c>
      <c r="H955" t="s">
        <v>904</v>
      </c>
      <c r="K955" s="50">
        <v>-61019.32</v>
      </c>
      <c r="M955" s="50">
        <v>-61019.32</v>
      </c>
      <c r="O955">
        <v>0</v>
      </c>
    </row>
    <row r="956" spans="3:15" x14ac:dyDescent="0.25">
      <c r="C956" t="s">
        <v>499</v>
      </c>
      <c r="D956" t="s">
        <v>194</v>
      </c>
      <c r="E956">
        <v>21040017</v>
      </c>
      <c r="H956" t="s">
        <v>905</v>
      </c>
      <c r="K956" s="50">
        <v>-5566000</v>
      </c>
      <c r="M956" s="50">
        <v>-5566000</v>
      </c>
      <c r="O956">
        <v>0</v>
      </c>
    </row>
    <row r="957" spans="3:15" x14ac:dyDescent="0.25">
      <c r="C957" t="s">
        <v>499</v>
      </c>
      <c r="D957" t="s">
        <v>194</v>
      </c>
      <c r="E957">
        <v>21050017</v>
      </c>
      <c r="H957" t="s">
        <v>906</v>
      </c>
      <c r="K957" s="50">
        <v>-233527.79</v>
      </c>
      <c r="M957" s="50">
        <v>-233527.79</v>
      </c>
      <c r="O957">
        <v>0</v>
      </c>
    </row>
    <row r="958" spans="3:15" x14ac:dyDescent="0.25">
      <c r="C958" t="s">
        <v>499</v>
      </c>
      <c r="D958" t="s">
        <v>194</v>
      </c>
      <c r="E958">
        <v>21050117</v>
      </c>
      <c r="H958" t="s">
        <v>906</v>
      </c>
      <c r="K958" s="50">
        <v>-832193.3</v>
      </c>
      <c r="M958" s="50">
        <v>-832193.3</v>
      </c>
      <c r="O958">
        <v>0</v>
      </c>
    </row>
    <row r="959" spans="3:15" x14ac:dyDescent="0.25">
      <c r="C959" t="s">
        <v>499</v>
      </c>
      <c r="D959" t="s">
        <v>194</v>
      </c>
      <c r="E959">
        <v>39999903</v>
      </c>
      <c r="H959" t="s">
        <v>492</v>
      </c>
      <c r="K959" s="50">
        <v>-2078623708.73</v>
      </c>
      <c r="M959" s="50">
        <v>-2078623708.73</v>
      </c>
      <c r="O959">
        <v>0</v>
      </c>
    </row>
    <row r="960" spans="3:15" x14ac:dyDescent="0.25">
      <c r="C960" t="s">
        <v>499</v>
      </c>
      <c r="D960" t="s">
        <v>194</v>
      </c>
      <c r="E960">
        <v>39999917</v>
      </c>
      <c r="H960" t="s">
        <v>493</v>
      </c>
      <c r="K960" s="50">
        <v>1234213188.52</v>
      </c>
      <c r="M960" s="50">
        <v>1234213188.52</v>
      </c>
      <c r="O960">
        <v>0</v>
      </c>
    </row>
    <row r="961" spans="5:18" x14ac:dyDescent="0.25">
      <c r="E961" t="s">
        <v>496</v>
      </c>
      <c r="K961">
        <v>0</v>
      </c>
      <c r="M961">
        <v>0</v>
      </c>
      <c r="O961">
        <v>0</v>
      </c>
      <c r="R961" t="s">
        <v>485</v>
      </c>
    </row>
    <row r="962" spans="5:18" x14ac:dyDescent="0.25">
      <c r="E962" t="s">
        <v>497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e3e0bd1-8a42-4fca-bd15-c152a08a9459}" enabled="1" method="Privileged" siteId="{d703bd9e-2913-4bf9-8dd7-49ce1b18bd1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JV202505</vt:lpstr>
      <vt:lpstr>ECL</vt:lpstr>
      <vt:lpstr>EXIM_EXIB TB MAY25</vt:lpstr>
      <vt:lpstr>'JV202505'!Print_Area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Raj'matul A'in binti Japilos</dc:creator>
  <cp:lastModifiedBy>Muhammad Syahid Bin Abd Halid</cp:lastModifiedBy>
  <dcterms:created xsi:type="dcterms:W3CDTF">2025-06-08T13:49:33Z</dcterms:created>
  <dcterms:modified xsi:type="dcterms:W3CDTF">2025-06-09T07:32:13Z</dcterms:modified>
</cp:coreProperties>
</file>