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mexim.sharepoint.com/sites/Division-SpecialProject/Shared Documents/Dept - Asset Rehabilitation and Recovery/04. Dept's Reports/PROVISION/2024/11. Nov 2024/"/>
    </mc:Choice>
  </mc:AlternateContent>
  <xr:revisionPtr revIDLastSave="0" documentId="13_ncr:1_{3F158C6C-D00A-49C5-85A4-242092D0D47A}" xr6:coauthVersionLast="47" xr6:coauthVersionMax="47" xr10:uidLastSave="{00000000-0000-0000-0000-000000000000}"/>
  <bookViews>
    <workbookView xWindow="28680" yWindow="-120" windowWidth="20730" windowHeight="11040" xr2:uid="{00000000-000D-0000-FFFF-FFFF00000000}"/>
  </bookViews>
  <sheets>
    <sheet name="Summary" sheetId="1" r:id="rId1"/>
    <sheet name="Scenario 1" sheetId="2" r:id="rId2"/>
    <sheet name="Scenario 2" sheetId="4" r:id="rId3"/>
    <sheet name="Drop down" sheetId="5" state="hidden" r:id="rId4"/>
  </sheets>
  <definedNames>
    <definedName name="Collateraltype">'Scenario 1'!$C$38</definedName>
    <definedName name="DisposalCost">'Drop down'!$A$1:$B$3</definedName>
    <definedName name="_xlnm.Print_Area" localSheetId="0">Summary!$A$1:$K$40</definedName>
    <definedName name="Property">'Drop down'!$A$1:$A$3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8" i="1" l="1"/>
  <c r="I39" i="2" l="1"/>
  <c r="I38" i="2"/>
  <c r="C50" i="1" l="1"/>
  <c r="F13" i="1" s="1"/>
  <c r="I13" i="1"/>
  <c r="G13" i="1"/>
  <c r="H12" i="1"/>
  <c r="I12" i="1" s="1"/>
  <c r="G12" i="1" l="1"/>
  <c r="J12" i="1"/>
  <c r="G19" i="1"/>
  <c r="P13" i="1" l="1"/>
  <c r="H13" i="1" s="1"/>
  <c r="J13" i="1" l="1"/>
  <c r="I20" i="1" s="1"/>
  <c r="L43" i="2"/>
  <c r="I43" i="2"/>
  <c r="I44" i="2" s="1"/>
  <c r="H43" i="2"/>
  <c r="C9" i="1" l="1"/>
  <c r="D29" i="1" l="1"/>
  <c r="D33" i="1" s="1"/>
  <c r="D31" i="1" l="1"/>
  <c r="G39" i="4"/>
  <c r="G40" i="4"/>
  <c r="G41" i="4"/>
  <c r="G42" i="4"/>
  <c r="G38" i="4"/>
  <c r="G39" i="2"/>
  <c r="G40" i="2"/>
  <c r="G41" i="2"/>
  <c r="G42" i="2"/>
  <c r="G38" i="2"/>
  <c r="M39" i="4" l="1"/>
  <c r="M40" i="4"/>
  <c r="M41" i="4"/>
  <c r="M42" i="4"/>
  <c r="M38" i="4"/>
  <c r="M40" i="2"/>
  <c r="M41" i="2"/>
  <c r="M42" i="2"/>
  <c r="M38" i="2"/>
  <c r="M39" i="2"/>
  <c r="I19" i="1" l="1"/>
  <c r="H19" i="1"/>
  <c r="H24" i="1"/>
  <c r="M45" i="2"/>
  <c r="N45" i="2"/>
  <c r="F23" i="1" l="1"/>
  <c r="H23" i="1"/>
  <c r="N45" i="4" l="1"/>
  <c r="M45" i="4"/>
  <c r="C9" i="2" l="1"/>
  <c r="M17" i="4"/>
  <c r="L17" i="4"/>
  <c r="K17" i="4"/>
  <c r="J17" i="4"/>
  <c r="H17" i="4"/>
  <c r="G17" i="4"/>
  <c r="F17" i="4"/>
  <c r="E17" i="4"/>
  <c r="D17" i="4"/>
  <c r="C17" i="4"/>
  <c r="N16" i="4"/>
  <c r="N15" i="4"/>
  <c r="C3" i="4"/>
  <c r="C2" i="4"/>
  <c r="M17" i="2"/>
  <c r="L17" i="2"/>
  <c r="K17" i="2"/>
  <c r="J17" i="2"/>
  <c r="I17" i="2"/>
  <c r="G17" i="2"/>
  <c r="F17" i="2"/>
  <c r="E17" i="2"/>
  <c r="D17" i="2"/>
  <c r="C17" i="2"/>
  <c r="N16" i="2"/>
  <c r="N15" i="2"/>
  <c r="C3" i="2"/>
  <c r="C2" i="2"/>
  <c r="G26" i="1"/>
  <c r="C26" i="1"/>
  <c r="C25" i="1"/>
  <c r="J18" i="1"/>
  <c r="D18" i="1"/>
  <c r="J17" i="1"/>
  <c r="D17" i="1"/>
  <c r="J16" i="1"/>
  <c r="D16" i="1"/>
  <c r="J15" i="1"/>
  <c r="D15" i="1"/>
  <c r="J14" i="1"/>
  <c r="D14" i="1"/>
  <c r="D13" i="1"/>
  <c r="J38" i="2" l="1"/>
  <c r="K38" i="2" s="1"/>
  <c r="N38" i="2" s="1"/>
  <c r="J39" i="2"/>
  <c r="J19" i="1"/>
  <c r="M10" i="4"/>
  <c r="J41" i="4"/>
  <c r="K41" i="4" s="1"/>
  <c r="J42" i="4"/>
  <c r="K42" i="4" s="1"/>
  <c r="J39" i="4"/>
  <c r="K39" i="4" s="1"/>
  <c r="N39" i="4" s="1"/>
  <c r="O39" i="4" s="1"/>
  <c r="J38" i="4"/>
  <c r="K38" i="4" s="1"/>
  <c r="N38" i="4" s="1"/>
  <c r="O38" i="4" s="1"/>
  <c r="J40" i="4"/>
  <c r="K40" i="4" s="1"/>
  <c r="N40" i="4" s="1"/>
  <c r="O40" i="4" s="1"/>
  <c r="J40" i="2"/>
  <c r="K40" i="2" s="1"/>
  <c r="N40" i="2" s="1"/>
  <c r="O40" i="2" s="1"/>
  <c r="J42" i="2"/>
  <c r="K42" i="2" s="1"/>
  <c r="N42" i="2" s="1"/>
  <c r="O42" i="2" s="1"/>
  <c r="J41" i="2"/>
  <c r="K41" i="2" s="1"/>
  <c r="N41" i="2" s="1"/>
  <c r="O41" i="2" s="1"/>
  <c r="L10" i="2"/>
  <c r="M12" i="2"/>
  <c r="M19" i="2" s="1"/>
  <c r="M10" i="2"/>
  <c r="E10" i="2"/>
  <c r="K10" i="2"/>
  <c r="I10" i="2"/>
  <c r="G10" i="2"/>
  <c r="I17" i="4"/>
  <c r="N14" i="4"/>
  <c r="N17" i="4" s="1"/>
  <c r="F10" i="4"/>
  <c r="J10" i="4"/>
  <c r="F10" i="2"/>
  <c r="J10" i="2"/>
  <c r="C9" i="4"/>
  <c r="G10" i="4"/>
  <c r="K10" i="4"/>
  <c r="D10" i="4"/>
  <c r="H10" i="4"/>
  <c r="L10" i="4"/>
  <c r="D10" i="2"/>
  <c r="H10" i="2"/>
  <c r="E10" i="4"/>
  <c r="I10" i="4"/>
  <c r="J20" i="1" l="1"/>
  <c r="H20" i="1"/>
  <c r="G20" i="1"/>
  <c r="O38" i="2"/>
  <c r="N42" i="4"/>
  <c r="O42" i="4" s="1"/>
  <c r="N41" i="4"/>
  <c r="O41" i="4" s="1"/>
  <c r="K39" i="2"/>
  <c r="N39" i="2" s="1"/>
  <c r="O39" i="2" s="1"/>
  <c r="I12" i="2"/>
  <c r="I19" i="2" s="1"/>
  <c r="C12" i="2"/>
  <c r="C19" i="2" s="1"/>
  <c r="D12" i="2"/>
  <c r="D19" i="2" s="1"/>
  <c r="G12" i="2"/>
  <c r="G19" i="2" s="1"/>
  <c r="H12" i="2"/>
  <c r="K12" i="2"/>
  <c r="K19" i="2" s="1"/>
  <c r="J12" i="2"/>
  <c r="J19" i="2" s="1"/>
  <c r="E12" i="2"/>
  <c r="E19" i="2" s="1"/>
  <c r="L12" i="2"/>
  <c r="L19" i="2" s="1"/>
  <c r="F12" i="2"/>
  <c r="F19" i="2" s="1"/>
  <c r="J12" i="4"/>
  <c r="J19" i="4" s="1"/>
  <c r="F12" i="4"/>
  <c r="F19" i="4" s="1"/>
  <c r="M12" i="4"/>
  <c r="M19" i="4" s="1"/>
  <c r="I12" i="4"/>
  <c r="I19" i="4" s="1"/>
  <c r="E12" i="4"/>
  <c r="E19" i="4" s="1"/>
  <c r="L12" i="4"/>
  <c r="L19" i="4" s="1"/>
  <c r="H12" i="4"/>
  <c r="H19" i="4" s="1"/>
  <c r="D12" i="4"/>
  <c r="D19" i="4" s="1"/>
  <c r="K12" i="4"/>
  <c r="K19" i="4" s="1"/>
  <c r="G12" i="4"/>
  <c r="G19" i="4" s="1"/>
  <c r="C12" i="4"/>
  <c r="C19" i="4" s="1"/>
  <c r="O43" i="2" l="1"/>
  <c r="H14" i="2" s="1"/>
  <c r="H17" i="2" s="1"/>
  <c r="H19" i="2" s="1"/>
  <c r="C20" i="2" s="1"/>
  <c r="F25" i="1" s="1"/>
  <c r="N43" i="2"/>
  <c r="C20" i="4"/>
  <c r="F26" i="1" s="1"/>
  <c r="H26" i="1" s="1"/>
  <c r="N14" i="2" l="1"/>
  <c r="N17" i="2" s="1"/>
  <c r="F27" i="1"/>
  <c r="G25" i="1" l="1"/>
  <c r="H25" i="1" s="1"/>
  <c r="H27" i="1" l="1"/>
  <c r="G27" i="1"/>
  <c r="K27" i="1" s="1"/>
  <c r="E29" i="1" l="1"/>
  <c r="I30" i="1" s="1"/>
  <c r="J30" i="1" s="1"/>
  <c r="E33" i="1" l="1"/>
  <c r="I29" i="1"/>
  <c r="J29" i="1" s="1"/>
  <c r="F29" i="1"/>
</calcChain>
</file>

<file path=xl/sharedStrings.xml><?xml version="1.0" encoding="utf-8"?>
<sst xmlns="http://schemas.openxmlformats.org/spreadsheetml/2006/main" count="148" uniqueCount="94">
  <si>
    <t>Export-Import Bank of Malaysie Berhad</t>
  </si>
  <si>
    <t>Individual Assessment Template</t>
  </si>
  <si>
    <t>Officer in charge</t>
  </si>
  <si>
    <t>RP</t>
  </si>
  <si>
    <t>Borrower</t>
  </si>
  <si>
    <t>HYRAX OIL SDN BHD</t>
  </si>
  <si>
    <t>Sector</t>
  </si>
  <si>
    <t>Reporting period</t>
  </si>
  <si>
    <t>Date of review</t>
  </si>
  <si>
    <t>Forex :</t>
  </si>
  <si>
    <t>USD</t>
  </si>
  <si>
    <t>Facility</t>
  </si>
  <si>
    <t>Date turn NPL</t>
  </si>
  <si>
    <t>NPL more than 7 years</t>
  </si>
  <si>
    <t>MIA</t>
  </si>
  <si>
    <t>OEIR</t>
  </si>
  <si>
    <t>Undrawn 
Amount</t>
  </si>
  <si>
    <t>Gross outstanding</t>
  </si>
  <si>
    <t>IIS</t>
  </si>
  <si>
    <t>Net outstanding</t>
  </si>
  <si>
    <t>Undrawn Amount (RM)</t>
  </si>
  <si>
    <t>Principal (RM)</t>
  </si>
  <si>
    <t>IIS (RM)</t>
  </si>
  <si>
    <t>O/C (RM)</t>
  </si>
  <si>
    <t>Total</t>
  </si>
  <si>
    <t>TOTAL</t>
  </si>
  <si>
    <t>Potential scenarios</t>
  </si>
  <si>
    <t>Recovery mode</t>
  </si>
  <si>
    <t>Discounted cash flow</t>
  </si>
  <si>
    <t>Weightage</t>
  </si>
  <si>
    <t>Weighted discounted cash flow</t>
  </si>
  <si>
    <t>Cash Collateral/ DSRA/ FSRA</t>
  </si>
  <si>
    <t>Scenario 1</t>
  </si>
  <si>
    <t>Scenario 2</t>
  </si>
  <si>
    <t>Check</t>
  </si>
  <si>
    <t>Expected credit loss as at reporting period</t>
  </si>
  <si>
    <t>ECL - C&amp;C</t>
  </si>
  <si>
    <t>ECL - LAF</t>
  </si>
  <si>
    <t>Expected credit loss as at previous reporting period</t>
  </si>
  <si>
    <t>Charge/(write back) for the reporting period</t>
  </si>
  <si>
    <t>Prepared by:</t>
  </si>
  <si>
    <t>-Duly Signed-</t>
  </si>
  <si>
    <t>Verified by:</t>
  </si>
  <si>
    <t>Name:</t>
  </si>
  <si>
    <t>REENA PRABHAKARAN</t>
  </si>
  <si>
    <t>HISHAM BAHARI</t>
  </si>
  <si>
    <t>Designation:</t>
  </si>
  <si>
    <t>SM</t>
  </si>
  <si>
    <t>Date:</t>
  </si>
  <si>
    <r>
      <t>OEIR/ Profit Rate Computation</t>
    </r>
    <r>
      <rPr>
        <sz val="10"/>
        <color rgb="FFFF0000"/>
        <rFont val="Trebuchet MS"/>
        <family val="2"/>
      </rPr>
      <t xml:space="preserve"> </t>
    </r>
  </si>
  <si>
    <t xml:space="preserve">Date: </t>
  </si>
  <si>
    <t>Spread/Fixed</t>
  </si>
  <si>
    <t>Collateral Disposal</t>
  </si>
  <si>
    <t>Original effective interest rate</t>
  </si>
  <si>
    <t>Year</t>
  </si>
  <si>
    <t>Discount factor</t>
  </si>
  <si>
    <t>Cash flow 1 - Collateral</t>
  </si>
  <si>
    <t>Cash flow 2 - [ ]</t>
  </si>
  <si>
    <t>Cash flow 3 - [ ]</t>
  </si>
  <si>
    <t>Present Value</t>
  </si>
  <si>
    <t>Net Present Value</t>
  </si>
  <si>
    <t>Comment</t>
  </si>
  <si>
    <t>Please insert justification including but not limited to (1) The basis for time to disposal of collateral; (2) Hair cut applied on FSV of collateral (if any); (3) Repayment from operating cash flow; (4) The basis and assumptions for any other source of recovery (e.g. settlement plan, guarantee etc.)</t>
  </si>
  <si>
    <t>Collateral information</t>
  </si>
  <si>
    <t>Collateral description</t>
  </si>
  <si>
    <t>Collateral type</t>
  </si>
  <si>
    <t>Valuer</t>
  </si>
  <si>
    <t>Valuation date</t>
  </si>
  <si>
    <t>Currency</t>
  </si>
  <si>
    <t>OMV</t>
  </si>
  <si>
    <t>FSV</t>
  </si>
  <si>
    <t>Hair-cut</t>
  </si>
  <si>
    <t>Net FSV</t>
  </si>
  <si>
    <t>Reserve price</t>
  </si>
  <si>
    <t>Disposal cost %</t>
  </si>
  <si>
    <t>Disposal cost</t>
  </si>
  <si>
    <t>Net expected recovery</t>
  </si>
  <si>
    <t>Building</t>
  </si>
  <si>
    <t>Property</t>
  </si>
  <si>
    <t>Jones Lang LaSalle</t>
  </si>
  <si>
    <t>Plant &amp; Machinery</t>
  </si>
  <si>
    <t>The prescribed value for collateral, transaction cost, realisation period should be guided by the Bank's internal policy</t>
  </si>
  <si>
    <t>LKR to USD</t>
  </si>
  <si>
    <t>Impaired &gt; 7 years</t>
  </si>
  <si>
    <t>Vessels and Aircraft</t>
  </si>
  <si>
    <t>Reviewed by:</t>
  </si>
  <si>
    <t>NUR SYAHIRA 'ATIQAH AHMAD FAISAL</t>
  </si>
  <si>
    <t>AM</t>
  </si>
  <si>
    <t>USD NT (1M)</t>
  </si>
  <si>
    <t>Cash Collateral
Building USD1,138,000
P&amp;M USD3,385,000
Total MV USD4,523,000
FSV LKR641,000,000</t>
  </si>
  <si>
    <t>HEAD, ARRD</t>
  </si>
  <si>
    <t>TF-i (R) (501179)</t>
  </si>
  <si>
    <t>as at 30/11/2024</t>
  </si>
  <si>
    <t>as at 31/10/2024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</si>
</sst>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[$-F800]dddd\,\ mmmm\ dd\,\ yyyy"/>
    <numFmt numFmtId="167" formatCode="0.0000"/>
    <numFmt numFmtId="168" formatCode="0.0000%"/>
    <numFmt numFmtId="169" formatCode="_-* #,##0_-;\-* #,##0_-;_-* &quot;-&quot;??_-;_-@_-"/>
  </numFmts>
  <fonts count="36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sz val="10"/>
      <name val="Arial"/>
      <family val="2"/>
    </font>
    <font>
      <sz val="8"/>
      <name val="Arial"/>
      <family val="2"/>
    </font>
    <font>
      <b/>
      <u val="singleAccounting"/>
      <sz val="10"/>
      <name val="Trebuchet MS"/>
      <family val="2"/>
    </font>
    <font>
      <b/>
      <sz val="10"/>
      <name val="Trebuchet MS"/>
      <family val="2"/>
    </font>
    <font>
      <sz val="10"/>
      <name val="Trebuchet MS"/>
      <family val="2"/>
    </font>
    <font>
      <b/>
      <u/>
      <sz val="10"/>
      <color theme="1"/>
      <name val="Trebuchet MS"/>
      <family val="2"/>
    </font>
    <font>
      <b/>
      <sz val="10"/>
      <color theme="4"/>
      <name val="Trebuchet MS"/>
      <family val="2"/>
    </font>
    <font>
      <i/>
      <sz val="10"/>
      <color theme="1"/>
      <name val="Trebuchet MS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0"/>
      <color theme="1"/>
      <name val="Times New Roman"/>
      <family val="1"/>
    </font>
    <font>
      <b/>
      <u/>
      <sz val="10"/>
      <color rgb="FFFF0000"/>
      <name val="Trebuchet MS"/>
      <family val="2"/>
    </font>
    <font>
      <sz val="10"/>
      <color rgb="FFFF0000"/>
      <name val="Trebuchet MS"/>
      <family val="2"/>
    </font>
    <font>
      <sz val="8"/>
      <color rgb="FFFF0000"/>
      <name val="Arial"/>
      <family val="2"/>
      <scheme val="minor"/>
    </font>
    <font>
      <i/>
      <sz val="8"/>
      <color rgb="FFFF0000"/>
      <name val="Trebuchet MS"/>
      <family val="2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18"/>
      <color theme="3"/>
      <name val="Georgia"/>
      <family val="2"/>
      <scheme val="major"/>
    </font>
    <font>
      <sz val="11"/>
      <color rgb="FF9C6500"/>
      <name val="Arial"/>
      <family val="2"/>
      <scheme val="minor"/>
    </font>
    <font>
      <i/>
      <sz val="8"/>
      <name val="Trebuchet MS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2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9" fillId="0" borderId="32" applyNumberFormat="0" applyFill="0" applyAlignment="0" applyProtection="0"/>
    <xf numFmtId="0" fontId="20" fillId="0" borderId="33" applyNumberFormat="0" applyFill="0" applyAlignment="0" applyProtection="0"/>
    <xf numFmtId="0" fontId="21" fillId="0" borderId="34" applyNumberFormat="0" applyFill="0" applyAlignment="0" applyProtection="0"/>
    <xf numFmtId="0" fontId="21" fillId="0" borderId="0" applyNumberFormat="0" applyFill="0" applyBorder="0" applyAlignment="0" applyProtection="0"/>
    <xf numFmtId="0" fontId="22" fillId="6" borderId="0" applyNumberFormat="0" applyBorder="0" applyAlignment="0" applyProtection="0"/>
    <xf numFmtId="0" fontId="23" fillId="7" borderId="0" applyNumberFormat="0" applyBorder="0" applyAlignment="0" applyProtection="0"/>
    <xf numFmtId="0" fontId="24" fillId="9" borderId="35" applyNumberFormat="0" applyAlignment="0" applyProtection="0"/>
    <xf numFmtId="0" fontId="25" fillId="10" borderId="36" applyNumberFormat="0" applyAlignment="0" applyProtection="0"/>
    <xf numFmtId="0" fontId="26" fillId="10" borderId="35" applyNumberFormat="0" applyAlignment="0" applyProtection="0"/>
    <xf numFmtId="0" fontId="27" fillId="0" borderId="37" applyNumberFormat="0" applyFill="0" applyAlignment="0" applyProtection="0"/>
    <xf numFmtId="0" fontId="28" fillId="11" borderId="38" applyNumberFormat="0" applyAlignment="0" applyProtection="0"/>
    <xf numFmtId="0" fontId="29" fillId="0" borderId="0" applyNumberFormat="0" applyFill="0" applyBorder="0" applyAlignment="0" applyProtection="0"/>
    <xf numFmtId="0" fontId="1" fillId="12" borderId="39" applyNumberFormat="0" applyFont="0" applyAlignment="0" applyProtection="0"/>
    <xf numFmtId="0" fontId="30" fillId="0" borderId="0" applyNumberFormat="0" applyFill="0" applyBorder="0" applyAlignment="0" applyProtection="0"/>
    <xf numFmtId="0" fontId="31" fillId="0" borderId="40" applyNumberFormat="0" applyFill="0" applyAlignment="0" applyProtection="0"/>
    <xf numFmtId="0" fontId="32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32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32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32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32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2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33" fillId="0" borderId="0" applyNumberFormat="0" applyFill="0" applyBorder="0" applyAlignment="0" applyProtection="0"/>
    <xf numFmtId="0" fontId="34" fillId="8" borderId="0" applyNumberFormat="0" applyBorder="0" applyAlignment="0" applyProtection="0"/>
    <xf numFmtId="0" fontId="32" fillId="16" borderId="0" applyNumberFormat="0" applyBorder="0" applyAlignment="0" applyProtection="0"/>
    <xf numFmtId="0" fontId="32" fillId="20" borderId="0" applyNumberFormat="0" applyBorder="0" applyAlignment="0" applyProtection="0"/>
    <xf numFmtId="0" fontId="32" fillId="24" borderId="0" applyNumberFormat="0" applyBorder="0" applyAlignment="0" applyProtection="0"/>
    <xf numFmtId="0" fontId="32" fillId="28" borderId="0" applyNumberFormat="0" applyBorder="0" applyAlignment="0" applyProtection="0"/>
    <xf numFmtId="0" fontId="32" fillId="32" borderId="0" applyNumberFormat="0" applyBorder="0" applyAlignment="0" applyProtection="0"/>
    <xf numFmtId="0" fontId="32" fillId="36" borderId="0" applyNumberFormat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137">
    <xf numFmtId="0" fontId="0" fillId="0" borderId="0" xfId="0"/>
    <xf numFmtId="0" fontId="2" fillId="0" borderId="0" xfId="0" applyFont="1"/>
    <xf numFmtId="9" fontId="2" fillId="0" borderId="0" xfId="1" applyFont="1"/>
    <xf numFmtId="0" fontId="2" fillId="0" borderId="1" xfId="0" applyFont="1" applyBorder="1" applyProtection="1">
      <protection locked="0"/>
    </xf>
    <xf numFmtId="166" fontId="2" fillId="0" borderId="2" xfId="0" applyNumberFormat="1" applyFont="1" applyBorder="1" applyProtection="1">
      <protection locked="0"/>
    </xf>
    <xf numFmtId="165" fontId="2" fillId="0" borderId="1" xfId="0" applyNumberFormat="1" applyFont="1" applyBorder="1" applyProtection="1">
      <protection locked="0"/>
    </xf>
    <xf numFmtId="0" fontId="3" fillId="0" borderId="0" xfId="0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14" fontId="2" fillId="0" borderId="0" xfId="0" applyNumberFormat="1" applyFont="1" applyAlignment="1" applyProtection="1">
      <alignment horizontal="left"/>
      <protection locked="0"/>
    </xf>
    <xf numFmtId="0" fontId="2" fillId="0" borderId="0" xfId="0" applyFont="1" applyProtection="1">
      <protection locked="0"/>
    </xf>
    <xf numFmtId="0" fontId="2" fillId="2" borderId="0" xfId="0" applyFont="1" applyFill="1" applyAlignment="1" applyProtection="1">
      <alignment horizontal="left"/>
      <protection locked="0"/>
    </xf>
    <xf numFmtId="9" fontId="2" fillId="2" borderId="0" xfId="1" applyFont="1" applyFill="1" applyAlignment="1" applyProtection="1">
      <alignment horizontal="left"/>
      <protection locked="0"/>
    </xf>
    <xf numFmtId="165" fontId="8" fillId="0" borderId="0" xfId="4" applyNumberFormat="1" applyFont="1" applyProtection="1">
      <protection locked="0"/>
    </xf>
    <xf numFmtId="165" fontId="8" fillId="0" borderId="6" xfId="4" applyNumberFormat="1" applyFont="1" applyBorder="1" applyProtection="1">
      <protection locked="0"/>
    </xf>
    <xf numFmtId="166" fontId="2" fillId="0" borderId="1" xfId="0" applyNumberFormat="1" applyFont="1" applyBorder="1" applyProtection="1">
      <protection locked="0"/>
    </xf>
    <xf numFmtId="0" fontId="2" fillId="0" borderId="0" xfId="0" applyFont="1" applyAlignment="1" applyProtection="1">
      <alignment horizontal="right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>
      <alignment horizontal="center" vertical="center" wrapText="1"/>
    </xf>
    <xf numFmtId="0" fontId="2" fillId="2" borderId="1" xfId="0" applyFont="1" applyFill="1" applyBorder="1"/>
    <xf numFmtId="165" fontId="2" fillId="2" borderId="1" xfId="0" applyNumberFormat="1" applyFont="1" applyFill="1" applyBorder="1"/>
    <xf numFmtId="0" fontId="2" fillId="0" borderId="4" xfId="0" applyFont="1" applyBorder="1"/>
    <xf numFmtId="9" fontId="2" fillId="2" borderId="1" xfId="1" applyFont="1" applyFill="1" applyBorder="1" applyProtection="1"/>
    <xf numFmtId="10" fontId="2" fillId="0" borderId="0" xfId="0" applyNumberFormat="1" applyFont="1"/>
    <xf numFmtId="165" fontId="2" fillId="2" borderId="5" xfId="0" applyNumberFormat="1" applyFont="1" applyFill="1" applyBorder="1"/>
    <xf numFmtId="0" fontId="3" fillId="0" borderId="0" xfId="0" applyFont="1" applyProtection="1"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6" fillId="0" borderId="0" xfId="2" applyFont="1" applyProtection="1">
      <protection locked="0"/>
    </xf>
    <xf numFmtId="0" fontId="7" fillId="0" borderId="0" xfId="2" applyFont="1" applyProtection="1">
      <protection locked="0"/>
    </xf>
    <xf numFmtId="0" fontId="8" fillId="0" borderId="0" xfId="2" applyFont="1" applyProtection="1">
      <protection locked="0"/>
    </xf>
    <xf numFmtId="10" fontId="8" fillId="2" borderId="5" xfId="3" applyNumberFormat="1" applyFont="1" applyFill="1" applyBorder="1" applyProtection="1">
      <protection locked="0"/>
    </xf>
    <xf numFmtId="0" fontId="7" fillId="0" borderId="6" xfId="2" applyFont="1" applyBorder="1" applyProtection="1">
      <protection locked="0"/>
    </xf>
    <xf numFmtId="0" fontId="2" fillId="0" borderId="0" xfId="0" applyFont="1" applyAlignment="1" applyProtection="1">
      <alignment vertical="top"/>
      <protection locked="0"/>
    </xf>
    <xf numFmtId="0" fontId="9" fillId="0" borderId="0" xfId="0" applyFont="1" applyProtection="1">
      <protection locked="0"/>
    </xf>
    <xf numFmtId="0" fontId="2" fillId="2" borderId="0" xfId="0" applyFont="1" applyFill="1" applyAlignment="1">
      <alignment horizontal="left"/>
    </xf>
    <xf numFmtId="166" fontId="2" fillId="2" borderId="0" xfId="0" applyNumberFormat="1" applyFont="1" applyFill="1" applyAlignment="1">
      <alignment horizontal="left"/>
    </xf>
    <xf numFmtId="167" fontId="8" fillId="2" borderId="0" xfId="2" applyNumberFormat="1" applyFont="1" applyFill="1"/>
    <xf numFmtId="165" fontId="8" fillId="2" borderId="0" xfId="4" applyNumberFormat="1" applyFont="1" applyFill="1"/>
    <xf numFmtId="165" fontId="8" fillId="2" borderId="5" xfId="4" applyNumberFormat="1" applyFont="1" applyFill="1" applyBorder="1"/>
    <xf numFmtId="0" fontId="8" fillId="0" borderId="0" xfId="2" quotePrefix="1" applyFont="1"/>
    <xf numFmtId="169" fontId="2" fillId="2" borderId="1" xfId="5" applyNumberFormat="1" applyFont="1" applyFill="1" applyBorder="1" applyProtection="1"/>
    <xf numFmtId="0" fontId="2" fillId="0" borderId="2" xfId="0" applyFont="1" applyBorder="1"/>
    <xf numFmtId="166" fontId="2" fillId="0" borderId="0" xfId="0" applyNumberFormat="1" applyFont="1" applyProtection="1">
      <protection locked="0"/>
    </xf>
    <xf numFmtId="165" fontId="2" fillId="2" borderId="1" xfId="5" applyNumberFormat="1" applyFont="1" applyFill="1" applyBorder="1" applyProtection="1"/>
    <xf numFmtId="0" fontId="3" fillId="3" borderId="0" xfId="0" applyFont="1" applyFill="1" applyProtection="1">
      <protection locked="0"/>
    </xf>
    <xf numFmtId="0" fontId="2" fillId="2" borderId="1" xfId="0" applyFont="1" applyFill="1" applyBorder="1" applyAlignment="1">
      <alignment horizontal="center"/>
    </xf>
    <xf numFmtId="0" fontId="3" fillId="0" borderId="0" xfId="0" applyFont="1" applyAlignment="1" applyProtection="1">
      <alignment horizontal="right"/>
      <protection locked="0"/>
    </xf>
    <xf numFmtId="165" fontId="2" fillId="0" borderId="14" xfId="0" applyNumberFormat="1" applyFont="1" applyBorder="1" applyProtection="1">
      <protection locked="0"/>
    </xf>
    <xf numFmtId="165" fontId="2" fillId="0" borderId="0" xfId="0" applyNumberFormat="1" applyFont="1" applyProtection="1">
      <protection locked="0"/>
    </xf>
    <xf numFmtId="168" fontId="8" fillId="2" borderId="5" xfId="3" applyNumberFormat="1" applyFont="1" applyFill="1" applyBorder="1" applyProtection="1">
      <protection locked="0"/>
    </xf>
    <xf numFmtId="0" fontId="2" fillId="3" borderId="0" xfId="0" applyFont="1" applyFill="1" applyProtection="1"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169" fontId="2" fillId="3" borderId="1" xfId="5" applyNumberFormat="1" applyFont="1" applyFill="1" applyBorder="1" applyAlignment="1" applyProtection="1">
      <alignment horizontal="center" vertical="center" wrapText="1"/>
      <protection locked="0"/>
    </xf>
    <xf numFmtId="0" fontId="2" fillId="3" borderId="4" xfId="0" applyFont="1" applyFill="1" applyBorder="1" applyProtection="1">
      <protection locked="0"/>
    </xf>
    <xf numFmtId="168" fontId="2" fillId="3" borderId="1" xfId="1" applyNumberFormat="1" applyFont="1" applyFill="1" applyBorder="1" applyProtection="1">
      <protection locked="0"/>
    </xf>
    <xf numFmtId="10" fontId="2" fillId="3" borderId="1" xfId="1" applyNumberFormat="1" applyFont="1" applyFill="1" applyBorder="1" applyProtection="1">
      <protection locked="0"/>
    </xf>
    <xf numFmtId="167" fontId="2" fillId="3" borderId="2" xfId="0" applyNumberFormat="1" applyFont="1" applyFill="1" applyBorder="1" applyProtection="1">
      <protection locked="0"/>
    </xf>
    <xf numFmtId="0" fontId="3" fillId="0" borderId="15" xfId="0" applyFont="1" applyBorder="1" applyAlignment="1" applyProtection="1">
      <alignment horizontal="center" vertical="center"/>
      <protection locked="0"/>
    </xf>
    <xf numFmtId="0" fontId="3" fillId="0" borderId="16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10" fontId="2" fillId="0" borderId="0" xfId="1" applyNumberFormat="1" applyFont="1" applyProtection="1"/>
    <xf numFmtId="164" fontId="2" fillId="0" borderId="0" xfId="0" applyNumberFormat="1" applyFont="1"/>
    <xf numFmtId="0" fontId="3" fillId="0" borderId="21" xfId="0" applyFont="1" applyBorder="1" applyAlignment="1" applyProtection="1">
      <alignment horizontal="center" vertical="center"/>
      <protection locked="0"/>
    </xf>
    <xf numFmtId="0" fontId="3" fillId="0" borderId="22" xfId="0" applyFont="1" applyBorder="1" applyAlignment="1" applyProtection="1">
      <alignment horizontal="center" vertical="center"/>
      <protection locked="0"/>
    </xf>
    <xf numFmtId="169" fontId="2" fillId="0" borderId="4" xfId="0" applyNumberFormat="1" applyFont="1" applyBorder="1" applyAlignment="1">
      <alignment horizontal="right"/>
    </xf>
    <xf numFmtId="0" fontId="3" fillId="0" borderId="1" xfId="0" applyFont="1" applyBorder="1" applyAlignment="1">
      <alignment horizontal="center" vertical="center"/>
    </xf>
    <xf numFmtId="169" fontId="2" fillId="3" borderId="1" xfId="5" applyNumberFormat="1" applyFont="1" applyFill="1" applyBorder="1" applyProtection="1"/>
    <xf numFmtId="165" fontId="2" fillId="0" borderId="1" xfId="0" applyNumberFormat="1" applyFont="1" applyBorder="1"/>
    <xf numFmtId="0" fontId="13" fillId="0" borderId="0" xfId="0" applyFont="1" applyAlignment="1" applyProtection="1">
      <alignment horizontal="left" vertical="center" indent="4"/>
      <protection locked="0"/>
    </xf>
    <xf numFmtId="0" fontId="0" fillId="0" borderId="0" xfId="0" applyProtection="1">
      <protection locked="0"/>
    </xf>
    <xf numFmtId="0" fontId="12" fillId="0" borderId="0" xfId="0" applyFont="1" applyProtection="1">
      <protection locked="0"/>
    </xf>
    <xf numFmtId="14" fontId="2" fillId="0" borderId="27" xfId="0" applyNumberFormat="1" applyFont="1" applyBorder="1" applyAlignment="1" applyProtection="1">
      <alignment horizontal="left"/>
      <protection locked="0"/>
    </xf>
    <xf numFmtId="0" fontId="15" fillId="0" borderId="24" xfId="0" applyFont="1" applyBorder="1" applyProtection="1">
      <protection locked="0"/>
    </xf>
    <xf numFmtId="0" fontId="2" fillId="0" borderId="25" xfId="0" applyFont="1" applyBorder="1" applyProtection="1">
      <protection locked="0"/>
    </xf>
    <xf numFmtId="0" fontId="2" fillId="0" borderId="26" xfId="0" applyFont="1" applyBorder="1" applyProtection="1">
      <protection locked="0"/>
    </xf>
    <xf numFmtId="0" fontId="2" fillId="0" borderId="27" xfId="0" applyFont="1" applyBorder="1" applyProtection="1">
      <protection locked="0"/>
    </xf>
    <xf numFmtId="0" fontId="2" fillId="0" borderId="28" xfId="0" applyFont="1" applyBorder="1" applyProtection="1">
      <protection locked="0"/>
    </xf>
    <xf numFmtId="0" fontId="2" fillId="0" borderId="29" xfId="0" applyFont="1" applyBorder="1" applyProtection="1">
      <protection locked="0"/>
    </xf>
    <xf numFmtId="0" fontId="2" fillId="0" borderId="26" xfId="0" applyFont="1" applyBorder="1" applyAlignment="1" applyProtection="1">
      <alignment horizontal="left"/>
      <protection locked="0"/>
    </xf>
    <xf numFmtId="14" fontId="2" fillId="0" borderId="26" xfId="0" applyNumberFormat="1" applyFont="1" applyBorder="1" applyAlignment="1" applyProtection="1">
      <alignment horizontal="right"/>
      <protection locked="0"/>
    </xf>
    <xf numFmtId="168" fontId="2" fillId="0" borderId="27" xfId="1" applyNumberFormat="1" applyFont="1" applyBorder="1" applyAlignment="1" applyProtection="1">
      <alignment horizontal="left"/>
      <protection locked="0"/>
    </xf>
    <xf numFmtId="168" fontId="2" fillId="3" borderId="1" xfId="1" applyNumberFormat="1" applyFont="1" applyFill="1" applyBorder="1" applyProtection="1"/>
    <xf numFmtId="168" fontId="3" fillId="0" borderId="30" xfId="1" applyNumberFormat="1" applyFont="1" applyBorder="1" applyAlignment="1" applyProtection="1">
      <alignment horizontal="left"/>
    </xf>
    <xf numFmtId="0" fontId="2" fillId="0" borderId="1" xfId="0" applyFont="1" applyBorder="1" applyAlignment="1" applyProtection="1">
      <alignment wrapText="1"/>
      <protection locked="0"/>
    </xf>
    <xf numFmtId="9" fontId="2" fillId="0" borderId="0" xfId="0" applyNumberFormat="1" applyFont="1" applyProtection="1">
      <protection locked="0"/>
    </xf>
    <xf numFmtId="9" fontId="2" fillId="0" borderId="0" xfId="1" applyFont="1" applyProtection="1">
      <protection locked="0"/>
    </xf>
    <xf numFmtId="43" fontId="2" fillId="0" borderId="0" xfId="0" applyNumberFormat="1" applyFont="1" applyProtection="1">
      <protection locked="0"/>
    </xf>
    <xf numFmtId="43" fontId="2" fillId="0" borderId="0" xfId="5" applyFont="1" applyProtection="1">
      <protection locked="0"/>
    </xf>
    <xf numFmtId="0" fontId="2" fillId="0" borderId="0" xfId="0" quotePrefix="1" applyFont="1" applyAlignment="1" applyProtection="1">
      <alignment horizontal="center"/>
      <protection locked="0"/>
    </xf>
    <xf numFmtId="9" fontId="3" fillId="3" borderId="1" xfId="1" applyFont="1" applyFill="1" applyBorder="1" applyAlignment="1" applyProtection="1">
      <alignment horizontal="center" vertical="center"/>
      <protection locked="0"/>
    </xf>
    <xf numFmtId="4" fontId="17" fillId="4" borderId="31" xfId="0" applyNumberFormat="1" applyFont="1" applyFill="1" applyBorder="1" applyAlignment="1" applyProtection="1">
      <alignment horizontal="center" vertical="top"/>
      <protection locked="0"/>
    </xf>
    <xf numFmtId="0" fontId="5" fillId="0" borderId="0" xfId="0" applyFont="1" applyAlignment="1" applyProtection="1">
      <alignment vertical="center"/>
      <protection locked="0"/>
    </xf>
    <xf numFmtId="0" fontId="2" fillId="5" borderId="0" xfId="0" applyFont="1" applyFill="1" applyProtection="1">
      <protection locked="0"/>
    </xf>
    <xf numFmtId="0" fontId="18" fillId="3" borderId="0" xfId="0" applyFont="1" applyFill="1" applyProtection="1">
      <protection locked="0"/>
    </xf>
    <xf numFmtId="166" fontId="8" fillId="3" borderId="0" xfId="0" applyNumberFormat="1" applyFont="1" applyFill="1" applyProtection="1">
      <protection locked="0"/>
    </xf>
    <xf numFmtId="165" fontId="8" fillId="3" borderId="5" xfId="0" applyNumberFormat="1" applyFont="1" applyFill="1" applyBorder="1" applyProtection="1">
      <protection locked="0"/>
    </xf>
    <xf numFmtId="0" fontId="35" fillId="3" borderId="0" xfId="0" applyFont="1" applyFill="1" applyProtection="1">
      <protection locked="0"/>
    </xf>
    <xf numFmtId="43" fontId="8" fillId="0" borderId="23" xfId="5" applyFont="1" applyBorder="1" applyProtection="1">
      <protection locked="0"/>
    </xf>
    <xf numFmtId="43" fontId="8" fillId="3" borderId="19" xfId="5" applyFont="1" applyFill="1" applyBorder="1" applyProtection="1">
      <protection locked="0"/>
    </xf>
    <xf numFmtId="43" fontId="8" fillId="3" borderId="18" xfId="5" applyFont="1" applyFill="1" applyBorder="1" applyProtection="1">
      <protection locked="0"/>
    </xf>
    <xf numFmtId="43" fontId="8" fillId="3" borderId="20" xfId="5" applyFont="1" applyFill="1" applyBorder="1" applyProtection="1"/>
    <xf numFmtId="0" fontId="14" fillId="0" borderId="0" xfId="0" applyFont="1" applyAlignment="1" applyProtection="1">
      <alignment vertical="center"/>
      <protection locked="0"/>
    </xf>
    <xf numFmtId="0" fontId="3" fillId="0" borderId="1" xfId="0" applyFont="1" applyBorder="1" applyAlignment="1" applyProtection="1">
      <alignment horizontal="right"/>
      <protection locked="0"/>
    </xf>
    <xf numFmtId="0" fontId="3" fillId="0" borderId="2" xfId="0" applyFont="1" applyBorder="1" applyAlignment="1" applyProtection="1">
      <alignment horizontal="right"/>
      <protection locked="0"/>
    </xf>
    <xf numFmtId="0" fontId="3" fillId="0" borderId="3" xfId="0" applyFont="1" applyBorder="1" applyAlignment="1" applyProtection="1">
      <alignment horizontal="right"/>
      <protection locked="0"/>
    </xf>
    <xf numFmtId="0" fontId="3" fillId="0" borderId="4" xfId="0" applyFont="1" applyBorder="1" applyAlignment="1" applyProtection="1">
      <alignment horizontal="right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left"/>
      <protection locked="0"/>
    </xf>
    <xf numFmtId="0" fontId="2" fillId="3" borderId="2" xfId="0" applyFont="1" applyFill="1" applyBorder="1" applyAlignment="1" applyProtection="1">
      <alignment horizontal="left" vertical="center"/>
      <protection locked="0"/>
    </xf>
    <xf numFmtId="0" fontId="2" fillId="3" borderId="3" xfId="0" applyFont="1" applyFill="1" applyBorder="1" applyAlignment="1" applyProtection="1">
      <alignment horizontal="left" vertical="center"/>
      <protection locked="0"/>
    </xf>
    <xf numFmtId="0" fontId="2" fillId="3" borderId="4" xfId="0" applyFont="1" applyFill="1" applyBorder="1" applyAlignment="1" applyProtection="1">
      <alignment horizontal="left" vertical="center"/>
      <protection locked="0"/>
    </xf>
    <xf numFmtId="0" fontId="8" fillId="0" borderId="0" xfId="2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left" wrapText="1"/>
      <protection locked="0"/>
    </xf>
    <xf numFmtId="0" fontId="2" fillId="0" borderId="2" xfId="0" applyFont="1" applyBorder="1" applyAlignment="1" applyProtection="1">
      <alignment horizontal="center"/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top" wrapText="1"/>
      <protection locked="0"/>
    </xf>
    <xf numFmtId="0" fontId="2" fillId="0" borderId="9" xfId="0" applyFont="1" applyBorder="1" applyAlignment="1" applyProtection="1">
      <alignment horizontal="left" vertical="top" wrapText="1"/>
      <protection locked="0"/>
    </xf>
    <xf numFmtId="0" fontId="2" fillId="0" borderId="10" xfId="0" applyFont="1" applyBorder="1" applyAlignment="1" applyProtection="1">
      <alignment horizontal="left" vertical="top" wrapText="1"/>
      <protection locked="0"/>
    </xf>
    <xf numFmtId="0" fontId="2" fillId="0" borderId="0" xfId="0" applyFont="1" applyAlignment="1" applyProtection="1">
      <alignment horizontal="left" vertical="top" wrapText="1"/>
      <protection locked="0"/>
    </xf>
    <xf numFmtId="0" fontId="2" fillId="0" borderId="11" xfId="0" applyFont="1" applyBorder="1" applyAlignment="1" applyProtection="1">
      <alignment horizontal="left" vertical="top" wrapText="1"/>
      <protection locked="0"/>
    </xf>
    <xf numFmtId="0" fontId="2" fillId="0" borderId="12" xfId="0" applyFont="1" applyBorder="1" applyAlignment="1" applyProtection="1">
      <alignment horizontal="left" vertical="top" wrapText="1"/>
      <protection locked="0"/>
    </xf>
    <xf numFmtId="0" fontId="2" fillId="0" borderId="6" xfId="0" applyFont="1" applyBorder="1" applyAlignment="1" applyProtection="1">
      <alignment horizontal="left" vertical="top" wrapText="1"/>
      <protection locked="0"/>
    </xf>
    <xf numFmtId="0" fontId="2" fillId="0" borderId="13" xfId="0" applyFont="1" applyBorder="1" applyAlignment="1" applyProtection="1">
      <alignment horizontal="left" vertical="top" wrapText="1"/>
      <protection locked="0"/>
    </xf>
    <xf numFmtId="0" fontId="2" fillId="0" borderId="2" xfId="0" applyFont="1" applyBorder="1" applyAlignment="1" applyProtection="1">
      <alignment horizontal="center" wrapText="1"/>
      <protection locked="0"/>
    </xf>
    <xf numFmtId="0" fontId="2" fillId="0" borderId="4" xfId="0" applyFont="1" applyBorder="1" applyAlignment="1" applyProtection="1">
      <alignment horizontal="center" wrapText="1"/>
      <protection locked="0"/>
    </xf>
    <xf numFmtId="0" fontId="7" fillId="0" borderId="0" xfId="2" applyFont="1" applyAlignment="1" applyProtection="1">
      <alignment horizontal="center"/>
      <protection locked="0"/>
    </xf>
    <xf numFmtId="167" fontId="8" fillId="0" borderId="0" xfId="2" applyNumberFormat="1" applyFont="1" applyAlignment="1" applyProtection="1">
      <alignment horizontal="center"/>
      <protection locked="0"/>
    </xf>
    <xf numFmtId="165" fontId="8" fillId="2" borderId="0" xfId="4" applyNumberFormat="1" applyFont="1" applyFill="1" applyAlignment="1">
      <alignment horizontal="center"/>
    </xf>
  </cellXfs>
  <cellStyles count="62">
    <cellStyle name="20% - Accent1" xfId="29" builtinId="30" customBuiltin="1"/>
    <cellStyle name="20% - Accent2" xfId="32" builtinId="34" customBuiltin="1"/>
    <cellStyle name="20% - Accent3" xfId="35" builtinId="38" customBuiltin="1"/>
    <cellStyle name="20% - Accent4" xfId="38" builtinId="42" customBuiltin="1"/>
    <cellStyle name="20% - Accent5" xfId="41" builtinId="46" customBuiltin="1"/>
    <cellStyle name="20% - Accent6" xfId="44" builtinId="50" customBuiltin="1"/>
    <cellStyle name="40% - Accent1" xfId="30" builtinId="31" customBuiltin="1"/>
    <cellStyle name="40% - Accent2" xfId="33" builtinId="35" customBuiltin="1"/>
    <cellStyle name="40% - Accent3" xfId="36" builtinId="39" customBuiltin="1"/>
    <cellStyle name="40% - Accent4" xfId="39" builtinId="43" customBuiltin="1"/>
    <cellStyle name="40% - Accent5" xfId="42" builtinId="47" customBuiltin="1"/>
    <cellStyle name="40% - Accent6" xfId="45" builtinId="51" customBuiltin="1"/>
    <cellStyle name="60% - Accent1 2" xfId="48" xr:uid="{60426F75-7AC1-4D0B-A0F7-AF205A1D49D6}"/>
    <cellStyle name="60% - Accent2 2" xfId="49" xr:uid="{A6422F0A-109F-40E5-B57A-9B5651AE7927}"/>
    <cellStyle name="60% - Accent3 2" xfId="50" xr:uid="{541B678D-47D4-4D13-8003-94EAAA814AE0}"/>
    <cellStyle name="60% - Accent4 2" xfId="51" xr:uid="{D77D8A67-EC5D-4371-9E4B-263F5E600921}"/>
    <cellStyle name="60% - Accent5 2" xfId="52" xr:uid="{DEAC5A79-0631-4E69-9744-2C957211627A}"/>
    <cellStyle name="60% - Accent6 2" xfId="53" xr:uid="{FC9900B5-5DE8-4D62-A471-47D04864221D}"/>
    <cellStyle name="Accent1" xfId="28" builtinId="29" customBuiltin="1"/>
    <cellStyle name="Accent2" xfId="31" builtinId="33" customBuiltin="1"/>
    <cellStyle name="Accent3" xfId="34" builtinId="37" customBuiltin="1"/>
    <cellStyle name="Accent4" xfId="37" builtinId="41" customBuiltin="1"/>
    <cellStyle name="Accent5" xfId="40" builtinId="45" customBuiltin="1"/>
    <cellStyle name="Accent6" xfId="43" builtinId="49" customBuiltin="1"/>
    <cellStyle name="Bad" xfId="18" builtinId="27" customBuiltin="1"/>
    <cellStyle name="Calculation" xfId="21" builtinId="22" customBuiltin="1"/>
    <cellStyle name="Check Cell" xfId="23" builtinId="23" customBuiltin="1"/>
    <cellStyle name="Comma" xfId="5" builtinId="3"/>
    <cellStyle name="Comma [0] 4" xfId="56" xr:uid="{EBA7C2B5-37F4-4B96-B187-4FC16AA05A5A}"/>
    <cellStyle name="Comma 107" xfId="55" xr:uid="{ACDF536C-816D-441D-A74D-15AAC84BBB5E}"/>
    <cellStyle name="Comma 2" xfId="7" xr:uid="{821403FC-4B23-4D6E-AB70-354AAC4385B6}"/>
    <cellStyle name="Comma 2 2" xfId="12" xr:uid="{98831F7D-B063-41E6-BE8F-72D54E60211A}"/>
    <cellStyle name="Comma 2 3" xfId="54" xr:uid="{226A3047-FAF9-4704-AA8C-12D9CBC818D5}"/>
    <cellStyle name="Comma 3" xfId="6" xr:uid="{1BD2B60A-FE74-4CA3-9F90-8640486C49AF}"/>
    <cellStyle name="Comma 3 2" xfId="11" xr:uid="{639861B2-4978-4DB2-A210-BBD7FD3F97BD}"/>
    <cellStyle name="Comma 3 3" xfId="61" xr:uid="{BEA52EAA-2D8D-4DF8-9117-9458F6DA9379}"/>
    <cellStyle name="Comma 3 3 4" xfId="59" xr:uid="{93914F82-EAF0-4B36-AB24-3B15960D9688}"/>
    <cellStyle name="Comma 4" xfId="10" xr:uid="{78D8CC61-DA81-455B-893A-904C601236B8}"/>
    <cellStyle name="Comma 5" xfId="9" xr:uid="{878DA4FB-D3DE-4DF2-91E2-B6CF7933BCF2}"/>
    <cellStyle name="Comma 6" xfId="8" xr:uid="{E905E7F8-176F-4A55-BFA3-F6045FE8702F}"/>
    <cellStyle name="Comma 7" xfId="60" xr:uid="{88A431DB-98B0-41C4-8056-BFF424C3B2FC}"/>
    <cellStyle name="Comma 74" xfId="58" xr:uid="{0950910F-8E4E-4111-ABFF-0FFAB6806CFB}"/>
    <cellStyle name="Explanatory Text" xfId="26" builtinId="53" customBuiltin="1"/>
    <cellStyle name="Good" xfId="17" builtinId="26" customBuiltin="1"/>
    <cellStyle name="Heading 1" xfId="13" builtinId="16" customBuiltin="1"/>
    <cellStyle name="Heading 2" xfId="14" builtinId="17" customBuiltin="1"/>
    <cellStyle name="Heading 3" xfId="15" builtinId="18" customBuiltin="1"/>
    <cellStyle name="Heading 4" xfId="16" builtinId="19" customBuiltin="1"/>
    <cellStyle name="Input" xfId="19" builtinId="20" customBuiltin="1"/>
    <cellStyle name="Linked Cell" xfId="22" builtinId="24" customBuiltin="1"/>
    <cellStyle name="Neutral 2" xfId="47" xr:uid="{5D54BD39-2293-4BD5-88A3-BB2FC177B637}"/>
    <cellStyle name="Normal" xfId="0" builtinId="0"/>
    <cellStyle name="Normal 2 10" xfId="57" xr:uid="{A35440C1-C8B7-413D-8B0D-CC11F0DBD54C}"/>
    <cellStyle name="Normal 2 2" xfId="2" xr:uid="{00000000-0005-0000-0000-000002000000}"/>
    <cellStyle name="Normal_Sheet1" xfId="4" xr:uid="{00000000-0005-0000-0000-000003000000}"/>
    <cellStyle name="Note" xfId="25" builtinId="10" customBuiltin="1"/>
    <cellStyle name="Output" xfId="20" builtinId="21" customBuiltin="1"/>
    <cellStyle name="Percent" xfId="1" builtinId="5"/>
    <cellStyle name="Percent 3 2" xfId="3" xr:uid="{00000000-0005-0000-0000-000005000000}"/>
    <cellStyle name="Title 2" xfId="46" xr:uid="{44A6B64B-87DD-411D-8E4F-E995C64CDF5A}"/>
    <cellStyle name="Total" xfId="27" builtinId="25" customBuiltin="1"/>
    <cellStyle name="Warning Text" xfId="24" builtinId="11" customBuiltin="1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1682115</xdr:colOff>
      <xdr:row>52</xdr:row>
      <xdr:rowOff>171450</xdr:rowOff>
    </xdr:from>
    <xdr:to>
      <xdr:col>9</xdr:col>
      <xdr:colOff>1044559</xdr:colOff>
      <xdr:row>83</xdr:row>
      <xdr:rowOff>53815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83D6E48-74BE-1AC9-2F08-AC1A4F28E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01365" y="10296525"/>
          <a:ext cx="7144369" cy="5486875"/>
        </a:xfrm>
        <a:prstGeom prst="rect">
          <a:avLst/>
        </a:prstGeom>
      </xdr:spPr>
    </xdr:pic>
    <xdr:clientData/>
  </xdr:twoCellAnchor>
  <xdr:twoCellAnchor editAs="oneCell">
    <xdr:from>
      <xdr:col>3</xdr:col>
      <xdr:colOff>340995</xdr:colOff>
      <xdr:row>43</xdr:row>
      <xdr:rowOff>21002</xdr:rowOff>
    </xdr:from>
    <xdr:to>
      <xdr:col>9</xdr:col>
      <xdr:colOff>134015</xdr:colOff>
      <xdr:row>50</xdr:row>
      <xdr:rowOff>114465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13ACF4-077C-4A04-5CF3-ECED211D7A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55720" y="8450627"/>
          <a:ext cx="5675660" cy="14079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730250</xdr:colOff>
      <xdr:row>47</xdr:row>
      <xdr:rowOff>177655</xdr:rowOff>
    </xdr:from>
    <xdr:to>
      <xdr:col>16</xdr:col>
      <xdr:colOff>495392</xdr:colOff>
      <xdr:row>63</xdr:row>
      <xdr:rowOff>9469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EF658A-2DCE-F23E-5CD6-5F341F95A6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47083" y="9236988"/>
          <a:ext cx="3807976" cy="27085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PwC">
  <a:themeElements>
    <a:clrScheme name="PwC Orange">
      <a:dk1>
        <a:srgbClr val="000000"/>
      </a:dk1>
      <a:lt1>
        <a:srgbClr val="FFFFFF"/>
      </a:lt1>
      <a:dk2>
        <a:srgbClr val="DC6900"/>
      </a:dk2>
      <a:lt2>
        <a:srgbClr val="FFFFFF"/>
      </a:lt2>
      <a:accent1>
        <a:srgbClr val="DC6900"/>
      </a:accent1>
      <a:accent2>
        <a:srgbClr val="FFB600"/>
      </a:accent2>
      <a:accent3>
        <a:srgbClr val="602320"/>
      </a:accent3>
      <a:accent4>
        <a:srgbClr val="E27588"/>
      </a:accent4>
      <a:accent5>
        <a:srgbClr val="A32020"/>
      </a:accent5>
      <a:accent6>
        <a:srgbClr val="E0301E"/>
      </a:accent6>
      <a:hlink>
        <a:srgbClr val="0000FF"/>
      </a:hlink>
      <a:folHlink>
        <a:srgbClr val="0000FF"/>
      </a:folHlink>
    </a:clrScheme>
    <a:fontScheme name="PwC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ltGray">
        <a:solidFill>
          <a:schemeClr val="tx2"/>
        </a:solidFill>
        <a:ln w="3175"/>
      </a:spPr>
      <a:bodyPr rtlCol="0" anchor="ctr"/>
      <a:lstStyle>
        <a:defPPr algn="ctr">
          <a:defRPr dirty="0" err="1" smtClean="0">
            <a:solidFill>
              <a:schemeClr val="bg1"/>
            </a:solidFill>
            <a:latin typeface="Georgia" pitchFamily="18" charset="0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noFill/>
      </a:spPr>
      <a:bodyPr wrap="square" lIns="0" tIns="0" rIns="0" bIns="0" rtlCol="0">
        <a:noAutofit/>
      </a:bodyPr>
      <a:lstStyle>
        <a:defPPr indent="-274320">
          <a:spcAft>
            <a:spcPts val="900"/>
          </a:spcAft>
          <a:defRPr sz="2000" dirty="0" err="1" smtClean="0">
            <a:latin typeface="Georgia" pitchFamily="18" charset="0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P51"/>
  <sheetViews>
    <sheetView showGridLines="0" tabSelected="1" topLeftCell="A35" zoomScaleNormal="100" zoomScaleSheetLayoutView="100" workbookViewId="0">
      <selection activeCell="C48" sqref="C48"/>
    </sheetView>
  </sheetViews>
  <sheetFormatPr defaultColWidth="9" defaultRowHeight="14.4" x14ac:dyDescent="0.35"/>
  <cols>
    <col min="1" max="1" width="2.69921875" style="9" customWidth="1"/>
    <col min="2" max="2" width="18.5" style="9" customWidth="1"/>
    <col min="3" max="3" width="24.8984375" style="9" bestFit="1" customWidth="1"/>
    <col min="4" max="5" width="12.19921875" style="9" customWidth="1"/>
    <col min="6" max="6" width="13.8984375" style="9" customWidth="1"/>
    <col min="7" max="8" width="12.59765625" style="9" customWidth="1"/>
    <col min="9" max="9" width="13.69921875" style="9" bestFit="1" customWidth="1"/>
    <col min="10" max="10" width="16.19921875" style="9" bestFit="1" customWidth="1"/>
    <col min="11" max="11" width="9" style="9"/>
    <col min="12" max="12" width="18.69921875" style="9" customWidth="1"/>
    <col min="13" max="13" width="13.8984375" style="9" bestFit="1" customWidth="1"/>
    <col min="14" max="14" width="12" style="9" bestFit="1" customWidth="1"/>
    <col min="15" max="15" width="13.69921875" style="9" bestFit="1" customWidth="1"/>
    <col min="16" max="16" width="13.8984375" style="9" bestFit="1" customWidth="1"/>
    <col min="17" max="16384" width="9" style="9"/>
  </cols>
  <sheetData>
    <row r="2" spans="2:16" x14ac:dyDescent="0.35">
      <c r="B2" s="24" t="s">
        <v>0</v>
      </c>
    </row>
    <row r="3" spans="2:16" x14ac:dyDescent="0.35">
      <c r="B3" s="24" t="s">
        <v>1</v>
      </c>
    </row>
    <row r="5" spans="2:16" x14ac:dyDescent="0.35">
      <c r="B5" s="24" t="s">
        <v>2</v>
      </c>
      <c r="C5" s="54" t="s">
        <v>3</v>
      </c>
    </row>
    <row r="6" spans="2:16" x14ac:dyDescent="0.35">
      <c r="B6" s="24" t="s">
        <v>4</v>
      </c>
      <c r="C6" s="48" t="s">
        <v>5</v>
      </c>
    </row>
    <row r="7" spans="2:16" x14ac:dyDescent="0.35">
      <c r="B7" s="24" t="s">
        <v>6</v>
      </c>
      <c r="C7" s="54"/>
    </row>
    <row r="8" spans="2:16" x14ac:dyDescent="0.35">
      <c r="B8" s="24" t="s">
        <v>7</v>
      </c>
      <c r="C8" s="99">
        <v>45626</v>
      </c>
    </row>
    <row r="9" spans="2:16" x14ac:dyDescent="0.35">
      <c r="B9" s="24" t="s">
        <v>8</v>
      </c>
      <c r="C9" s="46">
        <f ca="1">(TODAY())</f>
        <v>45631</v>
      </c>
      <c r="H9" s="15" t="s">
        <v>9</v>
      </c>
      <c r="I9" s="60">
        <v>4.4405000000000001</v>
      </c>
      <c r="J9" s="57" t="s">
        <v>10</v>
      </c>
    </row>
    <row r="11" spans="2:16" s="26" customFormat="1" ht="29.4" thickBot="1" x14ac:dyDescent="0.3">
      <c r="B11" s="25" t="s">
        <v>11</v>
      </c>
      <c r="C11" s="25" t="s">
        <v>12</v>
      </c>
      <c r="D11" s="16" t="s">
        <v>13</v>
      </c>
      <c r="E11" s="55" t="s">
        <v>14</v>
      </c>
      <c r="F11" s="55" t="s">
        <v>15</v>
      </c>
      <c r="G11" s="64" t="s">
        <v>16</v>
      </c>
      <c r="H11" s="16" t="s">
        <v>17</v>
      </c>
      <c r="I11" s="25" t="s">
        <v>18</v>
      </c>
      <c r="J11" s="16" t="s">
        <v>19</v>
      </c>
    </row>
    <row r="12" spans="2:16" s="26" customFormat="1" x14ac:dyDescent="0.25">
      <c r="B12" s="25"/>
      <c r="C12" s="27"/>
      <c r="D12" s="25"/>
      <c r="E12" s="28"/>
      <c r="F12" s="29"/>
      <c r="G12" s="70" t="str">
        <f>H12</f>
        <v>USD</v>
      </c>
      <c r="H12" s="17" t="str">
        <f>J9</f>
        <v>USD</v>
      </c>
      <c r="I12" s="17" t="str">
        <f>H12</f>
        <v>USD</v>
      </c>
      <c r="J12" s="17" t="str">
        <f>H12</f>
        <v>USD</v>
      </c>
      <c r="L12" s="68" t="s">
        <v>20</v>
      </c>
      <c r="M12" s="67" t="s">
        <v>21</v>
      </c>
      <c r="N12" s="61" t="s">
        <v>22</v>
      </c>
      <c r="O12" s="62" t="s">
        <v>23</v>
      </c>
      <c r="P12" s="63" t="s">
        <v>24</v>
      </c>
    </row>
    <row r="13" spans="2:16" ht="15" thickBot="1" x14ac:dyDescent="0.4">
      <c r="B13" s="3" t="s">
        <v>91</v>
      </c>
      <c r="C13" s="4">
        <v>44295</v>
      </c>
      <c r="D13" s="18">
        <f>ROUND((($C$8-C13)/365),1)</f>
        <v>3.6</v>
      </c>
      <c r="E13" s="57">
        <v>20</v>
      </c>
      <c r="F13" s="86">
        <f>C50</f>
        <v>8.7400000000000005E-2</v>
      </c>
      <c r="G13" s="71">
        <f>L13/I9</f>
        <v>0</v>
      </c>
      <c r="H13" s="72">
        <f>P13/I9</f>
        <v>1849867.2176556694</v>
      </c>
      <c r="I13" s="72">
        <f>N13/I9</f>
        <v>0</v>
      </c>
      <c r="J13" s="19">
        <f>H13-I13+G13</f>
        <v>1849867.2176556694</v>
      </c>
      <c r="L13" s="102">
        <v>0</v>
      </c>
      <c r="M13" s="103">
        <v>8214335.3799999999</v>
      </c>
      <c r="N13" s="104">
        <v>0</v>
      </c>
      <c r="O13" s="103">
        <v>0</v>
      </c>
      <c r="P13" s="105">
        <f>SUM(M13:O13)</f>
        <v>8214335.3799999999</v>
      </c>
    </row>
    <row r="14" spans="2:16" x14ac:dyDescent="0.35">
      <c r="B14" s="3"/>
      <c r="C14" s="4"/>
      <c r="D14" s="18">
        <f t="shared" ref="D14:D18" si="0">ROUND((($C$8-C14)/365),1)</f>
        <v>125</v>
      </c>
      <c r="E14" s="57"/>
      <c r="F14" s="58"/>
      <c r="G14" s="58"/>
      <c r="H14" s="5"/>
      <c r="I14" s="5"/>
      <c r="J14" s="19">
        <f t="shared" ref="J14:J18" si="1">H14-I14</f>
        <v>0</v>
      </c>
      <c r="L14" s="92"/>
    </row>
    <row r="15" spans="2:16" x14ac:dyDescent="0.35">
      <c r="B15" s="3"/>
      <c r="C15" s="4"/>
      <c r="D15" s="18">
        <f t="shared" si="0"/>
        <v>125</v>
      </c>
      <c r="E15" s="57"/>
      <c r="F15" s="59"/>
      <c r="G15" s="59"/>
      <c r="H15" s="5"/>
      <c r="I15" s="5"/>
      <c r="J15" s="19">
        <f t="shared" si="1"/>
        <v>0</v>
      </c>
      <c r="L15" s="92"/>
    </row>
    <row r="16" spans="2:16" x14ac:dyDescent="0.35">
      <c r="B16" s="3"/>
      <c r="C16" s="4"/>
      <c r="D16" s="18">
        <f t="shared" si="0"/>
        <v>125</v>
      </c>
      <c r="E16" s="57"/>
      <c r="F16" s="59"/>
      <c r="G16" s="59"/>
      <c r="H16" s="5"/>
      <c r="I16" s="5"/>
      <c r="J16" s="19">
        <f t="shared" si="1"/>
        <v>0</v>
      </c>
      <c r="L16" s="91"/>
    </row>
    <row r="17" spans="2:14" x14ac:dyDescent="0.35">
      <c r="B17" s="3"/>
      <c r="C17" s="4"/>
      <c r="D17" s="18">
        <f t="shared" si="0"/>
        <v>125</v>
      </c>
      <c r="E17" s="57"/>
      <c r="F17" s="59"/>
      <c r="G17" s="59"/>
      <c r="H17" s="5"/>
      <c r="I17" s="5"/>
      <c r="J17" s="19">
        <f t="shared" si="1"/>
        <v>0</v>
      </c>
      <c r="L17" s="92"/>
    </row>
    <row r="18" spans="2:14" x14ac:dyDescent="0.35">
      <c r="B18" s="3"/>
      <c r="C18" s="4"/>
      <c r="D18" s="18">
        <f t="shared" si="0"/>
        <v>125</v>
      </c>
      <c r="E18" s="57"/>
      <c r="F18" s="59"/>
      <c r="G18" s="59"/>
      <c r="H18" s="5"/>
      <c r="I18" s="5"/>
      <c r="J18" s="19">
        <f t="shared" si="1"/>
        <v>0</v>
      </c>
      <c r="L18" s="92"/>
    </row>
    <row r="19" spans="2:14" x14ac:dyDescent="0.35">
      <c r="B19" s="108" t="s">
        <v>25</v>
      </c>
      <c r="C19" s="109"/>
      <c r="D19" s="109"/>
      <c r="E19" s="109"/>
      <c r="F19" s="110"/>
      <c r="G19" s="69">
        <f>SUM(G13:G18)</f>
        <v>0</v>
      </c>
      <c r="H19" s="19">
        <f>SUM(H13:H18)</f>
        <v>1849867.2176556694</v>
      </c>
      <c r="I19" s="19">
        <f>SUM(I13:I18)</f>
        <v>0</v>
      </c>
      <c r="J19" s="19">
        <f>SUM(J13:J18)</f>
        <v>1849867.2176556694</v>
      </c>
      <c r="M19" s="92"/>
    </row>
    <row r="20" spans="2:14" x14ac:dyDescent="0.35">
      <c r="G20" s="65">
        <f>G19/J19</f>
        <v>0</v>
      </c>
      <c r="H20" s="65">
        <f>(H19-I19)/J19</f>
        <v>1</v>
      </c>
      <c r="I20" s="52">
        <f>J13-G13</f>
        <v>1849867.2176556694</v>
      </c>
      <c r="J20" s="66">
        <f>J19*I9</f>
        <v>8214335.3799999999</v>
      </c>
      <c r="M20" s="92"/>
    </row>
    <row r="22" spans="2:14" s="26" customFormat="1" ht="43.2" x14ac:dyDescent="0.35">
      <c r="B22" s="25" t="s">
        <v>26</v>
      </c>
      <c r="C22" s="111" t="s">
        <v>27</v>
      </c>
      <c r="D22" s="111"/>
      <c r="E22" s="111"/>
      <c r="F22" s="16" t="s">
        <v>28</v>
      </c>
      <c r="G22" s="25" t="s">
        <v>29</v>
      </c>
      <c r="H22" s="16" t="s">
        <v>30</v>
      </c>
      <c r="L22" s="9"/>
      <c r="M22" s="9"/>
      <c r="N22" s="74"/>
    </row>
    <row r="23" spans="2:14" s="26" customFormat="1" x14ac:dyDescent="0.35">
      <c r="B23" s="25"/>
      <c r="C23" s="112"/>
      <c r="D23" s="112"/>
      <c r="E23" s="112"/>
      <c r="F23" s="17" t="str">
        <f>H12</f>
        <v>USD</v>
      </c>
      <c r="G23" s="25"/>
      <c r="H23" s="17" t="str">
        <f>H12</f>
        <v>USD</v>
      </c>
      <c r="L23" s="9"/>
      <c r="M23" s="9"/>
    </row>
    <row r="24" spans="2:14" s="26" customFormat="1" x14ac:dyDescent="0.35">
      <c r="B24" s="55"/>
      <c r="C24" s="114" t="s">
        <v>31</v>
      </c>
      <c r="D24" s="115"/>
      <c r="E24" s="116"/>
      <c r="F24" s="56">
        <v>90091.66</v>
      </c>
      <c r="G24" s="94">
        <v>1</v>
      </c>
      <c r="H24" s="56">
        <f>F24</f>
        <v>90091.66</v>
      </c>
      <c r="I24" s="98" t="s">
        <v>92</v>
      </c>
      <c r="L24" s="9"/>
      <c r="M24" s="9"/>
    </row>
    <row r="25" spans="2:14" x14ac:dyDescent="0.35">
      <c r="B25" s="3" t="s">
        <v>32</v>
      </c>
      <c r="C25" s="113" t="str">
        <f>'Scenario 1'!C4</f>
        <v>Collateral Disposal</v>
      </c>
      <c r="D25" s="113"/>
      <c r="E25" s="113"/>
      <c r="F25" s="19">
        <f>'Scenario 1'!C20</f>
        <v>789832.55540044094</v>
      </c>
      <c r="G25" s="21">
        <f>'Scenario 1'!C5</f>
        <v>1</v>
      </c>
      <c r="H25" s="44">
        <f>F25*G25</f>
        <v>789832.55540044094</v>
      </c>
      <c r="I25" s="90"/>
    </row>
    <row r="26" spans="2:14" x14ac:dyDescent="0.35">
      <c r="B26" s="3" t="s">
        <v>33</v>
      </c>
      <c r="C26" s="113" t="str">
        <f>'Scenario 2'!C4</f>
        <v>Impaired &gt; 7 years</v>
      </c>
      <c r="D26" s="113"/>
      <c r="E26" s="113"/>
      <c r="F26" s="19">
        <f>'Scenario 2'!C20</f>
        <v>0</v>
      </c>
      <c r="G26" s="21">
        <f>'Scenario 2'!C5</f>
        <v>0</v>
      </c>
      <c r="H26" s="18">
        <f>F26*G26</f>
        <v>0</v>
      </c>
      <c r="L26" s="26"/>
      <c r="M26" s="26"/>
    </row>
    <row r="27" spans="2:14" x14ac:dyDescent="0.35">
      <c r="B27" s="107" t="s">
        <v>25</v>
      </c>
      <c r="C27" s="107"/>
      <c r="D27" s="107"/>
      <c r="E27" s="107"/>
      <c r="F27" s="19">
        <f>SUM(F24:F26)</f>
        <v>879924.21540044097</v>
      </c>
      <c r="G27" s="21">
        <f>SUM(G24:G26)</f>
        <v>2</v>
      </c>
      <c r="H27" s="19">
        <f>SUM(H24:H26)</f>
        <v>879924.21540044097</v>
      </c>
      <c r="J27" s="30" t="s">
        <v>34</v>
      </c>
      <c r="K27" s="22">
        <f>100%-G27</f>
        <v>-1</v>
      </c>
      <c r="L27" s="26"/>
      <c r="M27" s="26"/>
    </row>
    <row r="28" spans="2:14" ht="15" thickBot="1" x14ac:dyDescent="0.4">
      <c r="L28" s="26"/>
      <c r="M28" s="26"/>
    </row>
    <row r="29" spans="2:14" ht="15" thickBot="1" x14ac:dyDescent="0.4">
      <c r="B29" s="9" t="s">
        <v>35</v>
      </c>
      <c r="D29" s="50" t="str">
        <f>H12</f>
        <v>USD</v>
      </c>
      <c r="E29" s="23">
        <f>IF((J19-H27)&lt;0,0,(J19-H27))</f>
        <v>969943.00225522846</v>
      </c>
      <c r="F29" s="66">
        <f>E29*I9</f>
        <v>4307031.9015143421</v>
      </c>
      <c r="H29" s="9" t="s">
        <v>36</v>
      </c>
      <c r="I29" s="66">
        <f>G20*E29</f>
        <v>0</v>
      </c>
      <c r="J29" s="66">
        <f>I29*I9</f>
        <v>0</v>
      </c>
    </row>
    <row r="30" spans="2:14" ht="15" thickBot="1" x14ac:dyDescent="0.4">
      <c r="H30" s="9" t="s">
        <v>37</v>
      </c>
      <c r="I30" s="66">
        <f>H20*E29</f>
        <v>969943.00225522846</v>
      </c>
      <c r="J30" s="66">
        <f>I30*I9</f>
        <v>4307031.9015143421</v>
      </c>
    </row>
    <row r="31" spans="2:14" ht="15" thickBot="1" x14ac:dyDescent="0.4">
      <c r="B31" s="9" t="s">
        <v>38</v>
      </c>
      <c r="D31" s="50" t="str">
        <f>D29</f>
        <v>USD</v>
      </c>
      <c r="E31" s="100">
        <v>1006544.33</v>
      </c>
      <c r="F31" s="101" t="s">
        <v>93</v>
      </c>
      <c r="G31" s="54"/>
      <c r="H31" s="54"/>
    </row>
    <row r="32" spans="2:14" ht="15" thickBot="1" x14ac:dyDescent="0.4"/>
    <row r="33" spans="2:10" ht="15" thickBot="1" x14ac:dyDescent="0.4">
      <c r="B33" s="9" t="s">
        <v>39</v>
      </c>
      <c r="D33" s="50" t="str">
        <f>D29</f>
        <v>USD</v>
      </c>
      <c r="E33" s="23">
        <f>E29-E31</f>
        <v>-36601.327744771494</v>
      </c>
    </row>
    <row r="34" spans="2:10" x14ac:dyDescent="0.35">
      <c r="J34" s="95"/>
    </row>
    <row r="35" spans="2:10" x14ac:dyDescent="0.35">
      <c r="J35" s="97"/>
    </row>
    <row r="36" spans="2:10" x14ac:dyDescent="0.35">
      <c r="B36" s="24" t="s">
        <v>40</v>
      </c>
      <c r="C36" s="93" t="s">
        <v>41</v>
      </c>
      <c r="E36" s="24" t="s">
        <v>85</v>
      </c>
      <c r="F36" s="93" t="s">
        <v>41</v>
      </c>
      <c r="H36" s="24" t="s">
        <v>42</v>
      </c>
      <c r="I36" s="93" t="s">
        <v>41</v>
      </c>
    </row>
    <row r="38" spans="2:10" x14ac:dyDescent="0.35">
      <c r="B38" s="9" t="s">
        <v>43</v>
      </c>
      <c r="C38" s="6" t="s">
        <v>86</v>
      </c>
      <c r="E38" s="9" t="s">
        <v>43</v>
      </c>
      <c r="F38" s="6" t="s">
        <v>44</v>
      </c>
      <c r="H38" s="9" t="s">
        <v>43</v>
      </c>
      <c r="I38" s="6" t="s">
        <v>45</v>
      </c>
    </row>
    <row r="39" spans="2:10" x14ac:dyDescent="0.35">
      <c r="B39" s="9" t="s">
        <v>46</v>
      </c>
      <c r="C39" s="7" t="s">
        <v>87</v>
      </c>
      <c r="E39" s="9" t="s">
        <v>46</v>
      </c>
      <c r="F39" s="7" t="s">
        <v>47</v>
      </c>
      <c r="H39" s="9" t="s">
        <v>46</v>
      </c>
      <c r="I39" s="7" t="s">
        <v>90</v>
      </c>
    </row>
    <row r="40" spans="2:10" x14ac:dyDescent="0.35">
      <c r="B40" s="9" t="s">
        <v>48</v>
      </c>
      <c r="C40" s="8">
        <v>45630</v>
      </c>
      <c r="E40" s="9" t="s">
        <v>48</v>
      </c>
      <c r="F40" s="8">
        <v>45630</v>
      </c>
      <c r="H40" s="9" t="s">
        <v>48</v>
      </c>
      <c r="I40" s="8">
        <v>45630</v>
      </c>
    </row>
    <row r="43" spans="2:10" ht="15.6" thickBot="1" x14ac:dyDescent="0.4">
      <c r="C43" s="73"/>
      <c r="D43" s="74"/>
      <c r="E43" s="74"/>
      <c r="F43" s="74"/>
      <c r="G43" s="74"/>
      <c r="H43" s="74"/>
      <c r="I43" s="74"/>
      <c r="J43" s="74"/>
    </row>
    <row r="44" spans="2:10" ht="15" x14ac:dyDescent="0.35">
      <c r="B44" s="77" t="s">
        <v>49</v>
      </c>
      <c r="C44" s="78"/>
      <c r="D44" s="74"/>
      <c r="E44" s="74"/>
      <c r="F44" s="74"/>
      <c r="G44" s="74"/>
      <c r="H44" s="74"/>
      <c r="I44" s="74"/>
      <c r="J44" s="74"/>
    </row>
    <row r="45" spans="2:10" ht="15" x14ac:dyDescent="0.35">
      <c r="B45" s="79"/>
      <c r="C45" s="80"/>
      <c r="D45" s="106"/>
      <c r="E45" s="106"/>
      <c r="F45" s="106"/>
      <c r="G45" s="106"/>
      <c r="H45" s="75"/>
      <c r="I45" s="75"/>
      <c r="J45" s="75"/>
    </row>
    <row r="46" spans="2:10" ht="15" x14ac:dyDescent="0.35">
      <c r="B46" s="84" t="s">
        <v>50</v>
      </c>
      <c r="C46" s="76">
        <v>45626</v>
      </c>
      <c r="D46" s="75"/>
      <c r="E46" s="75"/>
      <c r="F46" s="75"/>
      <c r="G46" s="75"/>
      <c r="H46" s="75"/>
      <c r="I46" s="75"/>
      <c r="J46" s="75"/>
    </row>
    <row r="47" spans="2:10" ht="15" x14ac:dyDescent="0.35">
      <c r="B47" s="79"/>
      <c r="C47" s="80"/>
      <c r="D47" s="75"/>
      <c r="E47" s="75"/>
      <c r="F47" s="75"/>
      <c r="G47" s="75"/>
      <c r="H47" s="75"/>
      <c r="I47" s="75"/>
      <c r="J47" s="75"/>
    </row>
    <row r="48" spans="2:10" x14ac:dyDescent="0.35">
      <c r="B48" s="83" t="s">
        <v>88</v>
      </c>
      <c r="C48" s="85">
        <f>4.55%+1.08%+1.11%</f>
        <v>6.7400000000000002E-2</v>
      </c>
    </row>
    <row r="49" spans="2:3" x14ac:dyDescent="0.35">
      <c r="B49" s="83" t="s">
        <v>51</v>
      </c>
      <c r="C49" s="85">
        <v>0.02</v>
      </c>
    </row>
    <row r="50" spans="2:3" ht="15" thickBot="1" x14ac:dyDescent="0.4">
      <c r="B50" s="79"/>
      <c r="C50" s="87">
        <f>SUM(C48:C49)</f>
        <v>8.7400000000000005E-2</v>
      </c>
    </row>
    <row r="51" spans="2:3" ht="15.6" thickTop="1" thickBot="1" x14ac:dyDescent="0.4">
      <c r="B51" s="81"/>
      <c r="C51" s="82"/>
    </row>
  </sheetData>
  <sheetProtection algorithmName="SHA-512" hashValue="y1XtUZa6HUpUNTEPXa988LNX4BdpEwqv85nNCtwDTS+SbUScqKx3ad+/5klooUSSvKfvsB5/dXVzDAAH+Li2hQ==" saltValue="UlReWsKoboi8fkA/vXt8LQ==" spinCount="100000" sheet="1" formatCells="0" formatColumns="0" formatRows="0" insertColumns="0" insertRows="0" insertHyperlinks="0" deleteColumns="0" deleteRows="0" sort="0" autoFilter="0" pivotTables="0"/>
  <mergeCells count="8">
    <mergeCell ref="D45:G45"/>
    <mergeCell ref="B27:E27"/>
    <mergeCell ref="B19:F19"/>
    <mergeCell ref="C22:E22"/>
    <mergeCell ref="C23:E23"/>
    <mergeCell ref="C25:E25"/>
    <mergeCell ref="C26:E26"/>
    <mergeCell ref="C24:E24"/>
  </mergeCells>
  <pageMargins left="0.7" right="0.7" top="0.75" bottom="0.75" header="0.3" footer="0.3"/>
  <pageSetup paperSize="9" scale="78" fitToWidth="0" orientation="landscape" r:id="rId1"/>
  <rowBreaks count="1" manualBreakCount="1">
    <brk id="49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O58"/>
  <sheetViews>
    <sheetView showGridLines="0" topLeftCell="A34" zoomScale="90" zoomScaleNormal="90" workbookViewId="0">
      <selection activeCell="M47" sqref="M47"/>
    </sheetView>
  </sheetViews>
  <sheetFormatPr defaultColWidth="9" defaultRowHeight="14.4" x14ac:dyDescent="0.35"/>
  <cols>
    <col min="1" max="1" width="3" style="9" customWidth="1"/>
    <col min="2" max="2" width="24.09765625" style="9" customWidth="1"/>
    <col min="3" max="3" width="24.19921875" style="9" bestFit="1" customWidth="1"/>
    <col min="4" max="4" width="11.19921875" style="9" bestFit="1" customWidth="1"/>
    <col min="5" max="5" width="15.09765625" style="9" customWidth="1"/>
    <col min="6" max="6" width="24" style="9" bestFit="1" customWidth="1"/>
    <col min="7" max="7" width="9.69921875" style="9" customWidth="1"/>
    <col min="8" max="8" width="11.19921875" style="9" bestFit="1" customWidth="1"/>
    <col min="9" max="9" width="14" style="9" bestFit="1" customWidth="1"/>
    <col min="10" max="10" width="9" style="9" customWidth="1"/>
    <col min="11" max="11" width="10.3984375" style="9" bestFit="1" customWidth="1"/>
    <col min="12" max="12" width="11.19921875" style="9" bestFit="1" customWidth="1"/>
    <col min="13" max="13" width="10.3984375" style="9" bestFit="1" customWidth="1"/>
    <col min="14" max="14" width="11.8984375" style="9" bestFit="1" customWidth="1"/>
    <col min="15" max="15" width="10.3984375" style="9" bestFit="1" customWidth="1"/>
    <col min="16" max="16384" width="9" style="9"/>
  </cols>
  <sheetData>
    <row r="2" spans="2:15" x14ac:dyDescent="0.35">
      <c r="B2" s="24" t="s">
        <v>4</v>
      </c>
      <c r="C2" s="38" t="str">
        <f>Summary!C6</f>
        <v>HYRAX OIL SDN BHD</v>
      </c>
    </row>
    <row r="3" spans="2:15" x14ac:dyDescent="0.35">
      <c r="B3" s="24" t="s">
        <v>7</v>
      </c>
      <c r="C3" s="39">
        <f>Summary!C8</f>
        <v>45626</v>
      </c>
    </row>
    <row r="4" spans="2:15" x14ac:dyDescent="0.35">
      <c r="B4" s="24" t="s">
        <v>27</v>
      </c>
      <c r="C4" s="10" t="s">
        <v>52</v>
      </c>
      <c r="D4" s="90"/>
    </row>
    <row r="5" spans="2:15" x14ac:dyDescent="0.35">
      <c r="B5" s="24" t="s">
        <v>29</v>
      </c>
      <c r="C5" s="11">
        <v>1</v>
      </c>
      <c r="D5" s="89"/>
    </row>
    <row r="7" spans="2:15" ht="18" x14ac:dyDescent="0.65">
      <c r="B7" s="31" t="s">
        <v>28</v>
      </c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</row>
    <row r="8" spans="2:15" ht="18.600000000000001" thickBot="1" x14ac:dyDescent="0.7">
      <c r="B8" s="32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3"/>
    </row>
    <row r="9" spans="2:15" ht="18.600000000000001" thickBot="1" x14ac:dyDescent="0.7">
      <c r="B9" s="33" t="s">
        <v>53</v>
      </c>
      <c r="C9" s="53">
        <f>((Summary!F13*Summary!H13)+(Summary!F14*Summary!H14)+(Summary!F15*Summary!H15)+(Summary!F16*Summary!H16)+(Summary!F17*Summary!H17)+(Summary!F18*Summary!H18))/Summary!H19</f>
        <v>8.7400000000000005E-2</v>
      </c>
      <c r="D9" s="31"/>
      <c r="E9" s="31"/>
      <c r="F9" s="31"/>
      <c r="G9" s="31"/>
      <c r="H9" s="31"/>
      <c r="I9" s="31"/>
      <c r="J9" s="31"/>
      <c r="K9" s="31"/>
      <c r="L9" s="31"/>
      <c r="M9" s="31"/>
      <c r="N9" s="33"/>
    </row>
    <row r="10" spans="2:15" x14ac:dyDescent="0.35">
      <c r="D10" s="43">
        <f>YEAR($C$3)+D11</f>
        <v>2025</v>
      </c>
      <c r="E10" s="43">
        <f t="shared" ref="E10:M10" si="0">YEAR($C$3)+E11</f>
        <v>2026</v>
      </c>
      <c r="F10" s="43">
        <f t="shared" si="0"/>
        <v>2027</v>
      </c>
      <c r="G10" s="43">
        <f t="shared" si="0"/>
        <v>2028</v>
      </c>
      <c r="H10" s="43">
        <f t="shared" si="0"/>
        <v>2029</v>
      </c>
      <c r="I10" s="43">
        <f t="shared" si="0"/>
        <v>2030</v>
      </c>
      <c r="J10" s="43">
        <f t="shared" si="0"/>
        <v>2031</v>
      </c>
      <c r="K10" s="43">
        <f t="shared" si="0"/>
        <v>2032</v>
      </c>
      <c r="L10" s="43">
        <f t="shared" si="0"/>
        <v>2033</v>
      </c>
      <c r="M10" s="43">
        <f t="shared" si="0"/>
        <v>2034</v>
      </c>
      <c r="N10" s="33"/>
    </row>
    <row r="11" spans="2:15" x14ac:dyDescent="0.35">
      <c r="B11" s="33" t="s">
        <v>54</v>
      </c>
      <c r="C11" s="35">
        <v>0</v>
      </c>
      <c r="D11" s="35">
        <v>1</v>
      </c>
      <c r="E11" s="35">
        <v>2</v>
      </c>
      <c r="F11" s="35">
        <v>3</v>
      </c>
      <c r="G11" s="35">
        <v>4</v>
      </c>
      <c r="H11" s="35">
        <v>5</v>
      </c>
      <c r="I11" s="35">
        <v>6</v>
      </c>
      <c r="J11" s="35">
        <v>7</v>
      </c>
      <c r="K11" s="35">
        <v>8</v>
      </c>
      <c r="L11" s="35">
        <v>9</v>
      </c>
      <c r="M11" s="35">
        <v>10</v>
      </c>
      <c r="N11" s="134" t="s">
        <v>24</v>
      </c>
      <c r="O11" s="134"/>
    </row>
    <row r="12" spans="2:15" x14ac:dyDescent="0.35">
      <c r="B12" s="33" t="s">
        <v>55</v>
      </c>
      <c r="C12" s="40">
        <f>1/(1+$C$9)^C11</f>
        <v>1</v>
      </c>
      <c r="D12" s="40">
        <f t="shared" ref="D12:H12" si="1">1/(1+$C$9)^D11</f>
        <v>0.91962479308442158</v>
      </c>
      <c r="E12" s="40">
        <f t="shared" si="1"/>
        <v>0.8457097600555652</v>
      </c>
      <c r="F12" s="40">
        <f t="shared" si="1"/>
        <v>0.77773566310057496</v>
      </c>
      <c r="G12" s="40">
        <f t="shared" si="1"/>
        <v>0.71522499825324171</v>
      </c>
      <c r="H12" s="40">
        <f t="shared" si="1"/>
        <v>0.65773864102744317</v>
      </c>
      <c r="I12" s="40">
        <f t="shared" ref="I12" si="2">1/(1+$C$9)^I11</f>
        <v>0.60487276165849102</v>
      </c>
      <c r="J12" s="40">
        <f t="shared" ref="J12" si="3">1/(1+$C$9)^J11</f>
        <v>0.55625598828259248</v>
      </c>
      <c r="K12" s="40">
        <f t="shared" ref="K12" si="4">1/(1+$C$9)^K11</f>
        <v>0.51154679812634951</v>
      </c>
      <c r="L12" s="40">
        <f t="shared" ref="L12" si="5">1/(1+$C$9)^L11</f>
        <v>0.47043111837994261</v>
      </c>
      <c r="M12" s="40">
        <f t="shared" ref="M12" si="6">1/(1+$C$9)^M11</f>
        <v>0.43262011990062776</v>
      </c>
      <c r="N12" s="135"/>
      <c r="O12" s="135"/>
    </row>
    <row r="13" spans="2:15" x14ac:dyDescent="0.35"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117"/>
      <c r="O13" s="117"/>
    </row>
    <row r="14" spans="2:15" x14ac:dyDescent="0.35">
      <c r="B14" s="33" t="s">
        <v>56</v>
      </c>
      <c r="C14" s="12"/>
      <c r="D14" s="12"/>
      <c r="E14" s="12"/>
      <c r="G14" s="12"/>
      <c r="H14" s="12">
        <f>O43</f>
        <v>1200830.3999999999</v>
      </c>
      <c r="I14" s="12"/>
      <c r="J14" s="12"/>
      <c r="K14" s="12"/>
      <c r="L14" s="12"/>
      <c r="M14" s="12"/>
      <c r="N14" s="136">
        <f>SUM(C14:M14)</f>
        <v>1200830.3999999999</v>
      </c>
      <c r="O14" s="136"/>
    </row>
    <row r="15" spans="2:15" x14ac:dyDescent="0.35">
      <c r="B15" s="33" t="s">
        <v>57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36">
        <f t="shared" ref="N15" si="7">SUM(C15:M15)</f>
        <v>0</v>
      </c>
      <c r="O15" s="136"/>
    </row>
    <row r="16" spans="2:15" x14ac:dyDescent="0.35">
      <c r="B16" s="33" t="s">
        <v>58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6">
        <f>SUM(C16:M16)</f>
        <v>0</v>
      </c>
      <c r="O16" s="136"/>
    </row>
    <row r="17" spans="2:15" x14ac:dyDescent="0.35">
      <c r="B17" s="33" t="s">
        <v>24</v>
      </c>
      <c r="C17" s="41">
        <f t="shared" ref="C17:M17" si="8">SUM(C14:C16)</f>
        <v>0</v>
      </c>
      <c r="D17" s="41">
        <f t="shared" si="8"/>
        <v>0</v>
      </c>
      <c r="E17" s="41">
        <f t="shared" si="8"/>
        <v>0</v>
      </c>
      <c r="F17" s="41">
        <f t="shared" si="8"/>
        <v>0</v>
      </c>
      <c r="G17" s="41">
        <f t="shared" si="8"/>
        <v>0</v>
      </c>
      <c r="H17" s="41">
        <f>SUM(H14:H16)</f>
        <v>1200830.3999999999</v>
      </c>
      <c r="I17" s="41">
        <f t="shared" si="8"/>
        <v>0</v>
      </c>
      <c r="J17" s="41">
        <f t="shared" si="8"/>
        <v>0</v>
      </c>
      <c r="K17" s="41">
        <f t="shared" si="8"/>
        <v>0</v>
      </c>
      <c r="L17" s="41">
        <f t="shared" si="8"/>
        <v>0</v>
      </c>
      <c r="M17" s="41">
        <f t="shared" si="8"/>
        <v>0</v>
      </c>
      <c r="N17" s="136">
        <f>SUM(N14:N16)</f>
        <v>1200830.3999999999</v>
      </c>
      <c r="O17" s="136"/>
    </row>
    <row r="18" spans="2:15" x14ac:dyDescent="0.35">
      <c r="B18" s="33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33"/>
    </row>
    <row r="19" spans="2:15" ht="15" thickBot="1" x14ac:dyDescent="0.4">
      <c r="B19" s="33" t="s">
        <v>59</v>
      </c>
      <c r="C19" s="41">
        <f t="shared" ref="C19:M19" si="9">C12*C17</f>
        <v>0</v>
      </c>
      <c r="D19" s="41">
        <f t="shared" si="9"/>
        <v>0</v>
      </c>
      <c r="E19" s="41">
        <f t="shared" si="9"/>
        <v>0</v>
      </c>
      <c r="F19" s="41">
        <f t="shared" si="9"/>
        <v>0</v>
      </c>
      <c r="G19" s="41">
        <f t="shared" si="9"/>
        <v>0</v>
      </c>
      <c r="H19" s="41">
        <f t="shared" si="9"/>
        <v>789832.55540044094</v>
      </c>
      <c r="I19" s="41">
        <f t="shared" si="9"/>
        <v>0</v>
      </c>
      <c r="J19" s="41">
        <f t="shared" si="9"/>
        <v>0</v>
      </c>
      <c r="K19" s="41">
        <f t="shared" si="9"/>
        <v>0</v>
      </c>
      <c r="L19" s="41">
        <f t="shared" si="9"/>
        <v>0</v>
      </c>
      <c r="M19" s="41">
        <f t="shared" si="9"/>
        <v>0</v>
      </c>
      <c r="N19" s="117"/>
      <c r="O19" s="117"/>
    </row>
    <row r="20" spans="2:15" ht="15" thickBot="1" x14ac:dyDescent="0.4">
      <c r="B20" s="33" t="s">
        <v>60</v>
      </c>
      <c r="C20" s="42">
        <f>SUM(C19:M19)</f>
        <v>789832.55540044094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33"/>
    </row>
    <row r="22" spans="2:15" x14ac:dyDescent="0.35">
      <c r="B22" s="9" t="s">
        <v>61</v>
      </c>
    </row>
    <row r="23" spans="2:15" ht="15" customHeight="1" x14ac:dyDescent="0.35">
      <c r="B23" s="118" t="s">
        <v>62</v>
      </c>
      <c r="C23" s="118"/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</row>
    <row r="24" spans="2:15" x14ac:dyDescent="0.35">
      <c r="B24" s="118"/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</row>
    <row r="25" spans="2:15" x14ac:dyDescent="0.35">
      <c r="B25" s="123" t="s">
        <v>89</v>
      </c>
      <c r="C25" s="124"/>
      <c r="D25" s="124"/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25"/>
    </row>
    <row r="26" spans="2:15" x14ac:dyDescent="0.35">
      <c r="B26" s="126"/>
      <c r="C26" s="127"/>
      <c r="D26" s="127"/>
      <c r="E26" s="127"/>
      <c r="F26" s="127"/>
      <c r="G26" s="127"/>
      <c r="H26" s="127"/>
      <c r="I26" s="127"/>
      <c r="J26" s="127"/>
      <c r="K26" s="127"/>
      <c r="L26" s="127"/>
      <c r="M26" s="127"/>
      <c r="N26" s="127"/>
      <c r="O26" s="128"/>
    </row>
    <row r="27" spans="2:15" x14ac:dyDescent="0.35">
      <c r="B27" s="126"/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8"/>
    </row>
    <row r="28" spans="2:15" x14ac:dyDescent="0.35">
      <c r="B28" s="126"/>
      <c r="C28" s="127"/>
      <c r="D28" s="127"/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28"/>
    </row>
    <row r="29" spans="2:15" x14ac:dyDescent="0.35">
      <c r="B29" s="126"/>
      <c r="C29" s="127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8"/>
    </row>
    <row r="30" spans="2:15" x14ac:dyDescent="0.35">
      <c r="B30" s="126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8"/>
    </row>
    <row r="31" spans="2:15" x14ac:dyDescent="0.35">
      <c r="B31" s="126"/>
      <c r="C31" s="127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8"/>
    </row>
    <row r="32" spans="2:15" x14ac:dyDescent="0.35">
      <c r="B32" s="126"/>
      <c r="C32" s="127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8"/>
    </row>
    <row r="33" spans="2:15" x14ac:dyDescent="0.35">
      <c r="B33" s="129"/>
      <c r="C33" s="130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1"/>
    </row>
    <row r="34" spans="2:15" x14ac:dyDescent="0.35">
      <c r="C34" s="36"/>
    </row>
    <row r="35" spans="2:15" x14ac:dyDescent="0.35">
      <c r="B35" s="37" t="s">
        <v>63</v>
      </c>
    </row>
    <row r="37" spans="2:15" s="26" customFormat="1" ht="43.2" x14ac:dyDescent="0.25">
      <c r="B37" s="25" t="s">
        <v>64</v>
      </c>
      <c r="C37" s="16" t="s">
        <v>65</v>
      </c>
      <c r="D37" s="121" t="s">
        <v>66</v>
      </c>
      <c r="E37" s="122"/>
      <c r="F37" s="16" t="s">
        <v>67</v>
      </c>
      <c r="G37" s="16" t="s">
        <v>68</v>
      </c>
      <c r="H37" s="16" t="s">
        <v>69</v>
      </c>
      <c r="I37" s="16" t="s">
        <v>70</v>
      </c>
      <c r="J37" s="16" t="s">
        <v>71</v>
      </c>
      <c r="K37" s="16" t="s">
        <v>72</v>
      </c>
      <c r="L37" s="16" t="s">
        <v>73</v>
      </c>
      <c r="M37" s="16" t="s">
        <v>74</v>
      </c>
      <c r="N37" s="16" t="s">
        <v>75</v>
      </c>
      <c r="O37" s="16" t="s">
        <v>76</v>
      </c>
    </row>
    <row r="38" spans="2:15" x14ac:dyDescent="0.35">
      <c r="B38" s="88" t="s">
        <v>77</v>
      </c>
      <c r="C38" s="3" t="s">
        <v>78</v>
      </c>
      <c r="D38" s="132" t="s">
        <v>79</v>
      </c>
      <c r="E38" s="133"/>
      <c r="F38" s="14">
        <v>44372</v>
      </c>
      <c r="G38" s="49" t="str">
        <f>IF(F38&lt;&gt;"",Summary!$H$12,"")</f>
        <v>USD</v>
      </c>
      <c r="H38" s="5">
        <v>1138000</v>
      </c>
      <c r="I38" s="5">
        <f>166000000*M46</f>
        <v>567720</v>
      </c>
      <c r="J38" s="21">
        <f t="shared" ref="J38:J42" si="10">IF(DATEDIF(F38,$C$3,"y")&gt;=4,50%,IF(DATEDIF(F38,$C$3,"y")&gt;=3,40%,IF(DATEDIF(F38,$C$3,"y")&gt;=2,20%,0%)))</f>
        <v>0.4</v>
      </c>
      <c r="K38" s="19">
        <f>I38-(I38*J38)</f>
        <v>340632</v>
      </c>
      <c r="L38" s="5"/>
      <c r="M38" s="21">
        <f>IFERROR(VLOOKUP(C38,DisposalCost,2,FALSE),0%)</f>
        <v>0.05</v>
      </c>
      <c r="N38" s="47">
        <f>IF(L38&lt;&gt;"",L38*M38,K38*M38)</f>
        <v>17031.600000000002</v>
      </c>
      <c r="O38" s="19">
        <f>IF(L38&lt;&gt;"",L38-N38,K38-N38)</f>
        <v>323600.40000000002</v>
      </c>
    </row>
    <row r="39" spans="2:15" x14ac:dyDescent="0.35">
      <c r="B39" s="88" t="s">
        <v>80</v>
      </c>
      <c r="C39" s="3" t="s">
        <v>80</v>
      </c>
      <c r="D39" s="132" t="s">
        <v>79</v>
      </c>
      <c r="E39" s="133"/>
      <c r="F39" s="14">
        <v>44372</v>
      </c>
      <c r="G39" s="49" t="str">
        <f>IF(F39&lt;&gt;"",Summary!$H$12,"")</f>
        <v>USD</v>
      </c>
      <c r="H39" s="5">
        <v>3385000</v>
      </c>
      <c r="I39" s="5">
        <f>475000000*M46</f>
        <v>1624500</v>
      </c>
      <c r="J39" s="21">
        <f t="shared" si="10"/>
        <v>0.4</v>
      </c>
      <c r="K39" s="19">
        <f>I39-(I39*J39)</f>
        <v>974700</v>
      </c>
      <c r="L39" s="5"/>
      <c r="M39" s="21">
        <f>IFERROR(VLOOKUP(C39,DisposalCost,2,FALSE),0%)</f>
        <v>0.1</v>
      </c>
      <c r="N39" s="47">
        <f t="shared" ref="N39:N42" si="11">IF(L39&lt;&gt;"",L39*M39,K39*M39)</f>
        <v>97470</v>
      </c>
      <c r="O39" s="19">
        <f t="shared" ref="O39:O42" si="12">IF(L39&lt;&gt;"",L39-N39,K39-N39)</f>
        <v>877230</v>
      </c>
    </row>
    <row r="40" spans="2:15" x14ac:dyDescent="0.35">
      <c r="B40" s="3"/>
      <c r="C40" s="3"/>
      <c r="D40" s="119"/>
      <c r="E40" s="120"/>
      <c r="F40" s="14"/>
      <c r="G40" s="49" t="str">
        <f>IF(F40&lt;&gt;"",Summary!$H$12,"")</f>
        <v/>
      </c>
      <c r="H40" s="5"/>
      <c r="I40" s="5"/>
      <c r="J40" s="21">
        <f t="shared" si="10"/>
        <v>0.5</v>
      </c>
      <c r="K40" s="19">
        <f t="shared" ref="K40:K42" si="13">I40-(I40*J40)</f>
        <v>0</v>
      </c>
      <c r="L40" s="5"/>
      <c r="M40" s="21">
        <f>IFERROR(VLOOKUP(C40,DisposalCost,2,FALSE),0%)</f>
        <v>0</v>
      </c>
      <c r="N40" s="47">
        <f t="shared" si="11"/>
        <v>0</v>
      </c>
      <c r="O40" s="19">
        <f t="shared" si="12"/>
        <v>0</v>
      </c>
    </row>
    <row r="41" spans="2:15" x14ac:dyDescent="0.35">
      <c r="B41" s="3"/>
      <c r="C41" s="3"/>
      <c r="D41" s="119"/>
      <c r="E41" s="120"/>
      <c r="F41" s="14"/>
      <c r="G41" s="49" t="str">
        <f>IF(F41&lt;&gt;"",Summary!$H$12,"")</f>
        <v/>
      </c>
      <c r="H41" s="5"/>
      <c r="I41" s="5"/>
      <c r="J41" s="21">
        <f t="shared" si="10"/>
        <v>0.5</v>
      </c>
      <c r="K41" s="19">
        <f t="shared" si="13"/>
        <v>0</v>
      </c>
      <c r="L41" s="5"/>
      <c r="M41" s="21">
        <f>IFERROR(VLOOKUP(C41,DisposalCost,2,FALSE),0%)</f>
        <v>0</v>
      </c>
      <c r="N41" s="47">
        <f t="shared" si="11"/>
        <v>0</v>
      </c>
      <c r="O41" s="19">
        <f t="shared" si="12"/>
        <v>0</v>
      </c>
    </row>
    <row r="42" spans="2:15" x14ac:dyDescent="0.35">
      <c r="B42" s="3"/>
      <c r="C42" s="3"/>
      <c r="D42" s="119"/>
      <c r="E42" s="120"/>
      <c r="F42" s="14"/>
      <c r="G42" s="49" t="str">
        <f>IF(F42&lt;&gt;"",Summary!$H$12,"")</f>
        <v/>
      </c>
      <c r="H42" s="5"/>
      <c r="I42" s="5"/>
      <c r="J42" s="21">
        <f t="shared" si="10"/>
        <v>0.5</v>
      </c>
      <c r="K42" s="19">
        <f t="shared" si="13"/>
        <v>0</v>
      </c>
      <c r="L42" s="5"/>
      <c r="M42" s="21">
        <f>IFERROR(VLOOKUP(C42,DisposalCost,2,FALSE),0%)</f>
        <v>0</v>
      </c>
      <c r="N42" s="47">
        <f t="shared" si="11"/>
        <v>0</v>
      </c>
      <c r="O42" s="19">
        <f t="shared" si="12"/>
        <v>0</v>
      </c>
    </row>
    <row r="43" spans="2:15" ht="15" thickBot="1" x14ac:dyDescent="0.4">
      <c r="H43" s="51">
        <f t="shared" ref="H43:L43" si="14">SUM(H38:H42)</f>
        <v>4523000</v>
      </c>
      <c r="I43" s="51">
        <f t="shared" si="14"/>
        <v>2192220</v>
      </c>
      <c r="J43" s="52"/>
      <c r="K43" s="52"/>
      <c r="L43" s="51">
        <f t="shared" si="14"/>
        <v>0</v>
      </c>
      <c r="M43" s="52"/>
      <c r="N43" s="51">
        <f>SUM(N38:N42)</f>
        <v>114501.6</v>
      </c>
      <c r="O43" s="51">
        <f>SUM(O38:O42)</f>
        <v>1200830.3999999999</v>
      </c>
    </row>
    <row r="44" spans="2:15" ht="15" thickTop="1" x14ac:dyDescent="0.35">
      <c r="I44" s="91">
        <f>I43/M46</f>
        <v>641000000</v>
      </c>
    </row>
    <row r="45" spans="2:15" x14ac:dyDescent="0.35">
      <c r="B45" s="30" t="s">
        <v>81</v>
      </c>
      <c r="L45" s="15" t="s">
        <v>9</v>
      </c>
      <c r="M45" s="45">
        <f>Summary!I9</f>
        <v>4.4405000000000001</v>
      </c>
      <c r="N45" s="20" t="str">
        <f>Summary!J9</f>
        <v>USD</v>
      </c>
    </row>
    <row r="46" spans="2:15" x14ac:dyDescent="0.35">
      <c r="M46" s="9">
        <v>3.4199999999999999E-3</v>
      </c>
      <c r="N46" s="9" t="s">
        <v>82</v>
      </c>
    </row>
    <row r="58" spans="5:5" x14ac:dyDescent="0.35">
      <c r="E58" s="96"/>
    </row>
  </sheetData>
  <sheetProtection algorithmName="SHA-512" hashValue="Mzk+yEJyovnrJhcoqu9+EIPKO3aXn2Lq+BoImAvQXWnyIAmeEq1Wy1VduioH4H559g2pmjzO5rUfKzbGaHs1sg==" saltValue="365oruO5qNRzNCnSTT5K9Q==" spinCount="100000" sheet="1" formatCells="0" formatColumns="0" formatRows="0" insertColumns="0" insertRows="0" insertHyperlinks="0" deleteColumns="0" deleteRows="0" sort="0" autoFilter="0" pivotTables="0"/>
  <protectedRanges>
    <protectedRange algorithmName="SHA-512" hashValue="CewsHR2kMLHe38WHRDpjq4T/wl8HEwdz8MAQTeWn75TA92/lhdGJDJ1ssxNJRAFyhjh9dvmrHmiUgsG5nV71Sg==" saltValue="q+IMFUk6conh0oBs6EMdqA==" spinCount="100000" sqref="B25 L38:L42 B38:I42" name="Range1"/>
  </protectedRanges>
  <mergeCells count="16">
    <mergeCell ref="N11:O11"/>
    <mergeCell ref="N12:O12"/>
    <mergeCell ref="N13:O13"/>
    <mergeCell ref="N17:O17"/>
    <mergeCell ref="N16:O16"/>
    <mergeCell ref="N15:O15"/>
    <mergeCell ref="N14:O14"/>
    <mergeCell ref="N19:O19"/>
    <mergeCell ref="B23:O24"/>
    <mergeCell ref="D41:E41"/>
    <mergeCell ref="D42:E42"/>
    <mergeCell ref="D37:E37"/>
    <mergeCell ref="D40:E40"/>
    <mergeCell ref="B25:O33"/>
    <mergeCell ref="D38:E38"/>
    <mergeCell ref="D39:E39"/>
  </mergeCells>
  <dataValidations disablePrompts="1" count="1">
    <dataValidation type="list" showInputMessage="1" showErrorMessage="1" sqref="C38:C42" xr:uid="{00000000-0002-0000-0100-000000000000}">
      <formula1>Property</formula1>
    </dataValidation>
  </dataValidations>
  <pageMargins left="0.7" right="0.7" top="0.75" bottom="0.75" header="0.3" footer="0.3"/>
  <pageSetup paperSize="9" scale="61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O45"/>
  <sheetViews>
    <sheetView showGridLines="0" topLeftCell="A22" zoomScale="90" zoomScaleNormal="90" workbookViewId="0">
      <selection activeCell="L38" sqref="L38"/>
    </sheetView>
  </sheetViews>
  <sheetFormatPr defaultColWidth="9" defaultRowHeight="14.4" x14ac:dyDescent="0.35"/>
  <cols>
    <col min="1" max="1" width="3" style="9" customWidth="1"/>
    <col min="2" max="2" width="24.09765625" style="9" customWidth="1"/>
    <col min="3" max="3" width="23.69921875" style="9" bestFit="1" customWidth="1"/>
    <col min="4" max="4" width="9.8984375" style="9" bestFit="1" customWidth="1"/>
    <col min="5" max="5" width="17" style="9" customWidth="1"/>
    <col min="6" max="6" width="22.8984375" style="9" bestFit="1" customWidth="1"/>
    <col min="7" max="9" width="11.19921875" style="9" bestFit="1" customWidth="1"/>
    <col min="10" max="10" width="9.8984375" style="9" bestFit="1" customWidth="1"/>
    <col min="11" max="11" width="10.3984375" style="9" bestFit="1" customWidth="1"/>
    <col min="12" max="12" width="11.19921875" style="9" bestFit="1" customWidth="1"/>
    <col min="13" max="13" width="9" style="9" customWidth="1"/>
    <col min="14" max="14" width="11.8984375" style="9" bestFit="1" customWidth="1"/>
    <col min="15" max="15" width="10.3984375" style="9" bestFit="1" customWidth="1"/>
    <col min="16" max="16384" width="9" style="9"/>
  </cols>
  <sheetData>
    <row r="2" spans="2:15" x14ac:dyDescent="0.35">
      <c r="B2" s="24" t="s">
        <v>4</v>
      </c>
      <c r="C2" s="38" t="str">
        <f>Summary!C6</f>
        <v>HYRAX OIL SDN BHD</v>
      </c>
    </row>
    <row r="3" spans="2:15" x14ac:dyDescent="0.35">
      <c r="B3" s="24" t="s">
        <v>7</v>
      </c>
      <c r="C3" s="39">
        <f>Summary!C8</f>
        <v>45626</v>
      </c>
    </row>
    <row r="4" spans="2:15" x14ac:dyDescent="0.35">
      <c r="B4" s="24" t="s">
        <v>27</v>
      </c>
      <c r="C4" s="10" t="s">
        <v>83</v>
      </c>
    </row>
    <row r="5" spans="2:15" x14ac:dyDescent="0.35">
      <c r="B5" s="24" t="s">
        <v>29</v>
      </c>
      <c r="C5" s="11">
        <v>0</v>
      </c>
    </row>
    <row r="7" spans="2:15" ht="18" x14ac:dyDescent="0.65">
      <c r="B7" s="31" t="s">
        <v>28</v>
      </c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</row>
    <row r="8" spans="2:15" ht="18.600000000000001" thickBot="1" x14ac:dyDescent="0.7">
      <c r="B8" s="32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3"/>
    </row>
    <row r="9" spans="2:15" ht="18.600000000000001" thickBot="1" x14ac:dyDescent="0.7">
      <c r="B9" s="33" t="s">
        <v>53</v>
      </c>
      <c r="C9" s="34">
        <f>((Summary!F13*Summary!H13)+(Summary!F14*Summary!H14)+(Summary!F15*Summary!H15)+(Summary!F16*Summary!H16)+(Summary!F17*Summary!H17)+(Summary!F18*Summary!H18))/Summary!H19</f>
        <v>8.7400000000000005E-2</v>
      </c>
      <c r="D9" s="31"/>
      <c r="E9" s="31"/>
      <c r="F9" s="31"/>
      <c r="G9" s="31"/>
      <c r="H9" s="31"/>
      <c r="I9" s="31"/>
      <c r="J9" s="31"/>
      <c r="K9" s="31"/>
      <c r="L9" s="31"/>
      <c r="M9" s="31"/>
      <c r="N9" s="33"/>
    </row>
    <row r="10" spans="2:15" x14ac:dyDescent="0.35">
      <c r="D10" s="43">
        <f>YEAR($C$3)+D11</f>
        <v>2025</v>
      </c>
      <c r="E10" s="43">
        <f t="shared" ref="E10:M10" si="0">YEAR($C$3)+E11</f>
        <v>2026</v>
      </c>
      <c r="F10" s="43">
        <f t="shared" si="0"/>
        <v>2027</v>
      </c>
      <c r="G10" s="43">
        <f t="shared" si="0"/>
        <v>2028</v>
      </c>
      <c r="H10" s="43">
        <f t="shared" si="0"/>
        <v>2029</v>
      </c>
      <c r="I10" s="43">
        <f t="shared" si="0"/>
        <v>2030</v>
      </c>
      <c r="J10" s="43">
        <f t="shared" si="0"/>
        <v>2031</v>
      </c>
      <c r="K10" s="43">
        <f t="shared" si="0"/>
        <v>2032</v>
      </c>
      <c r="L10" s="43">
        <f t="shared" si="0"/>
        <v>2033</v>
      </c>
      <c r="M10" s="43">
        <f t="shared" si="0"/>
        <v>2034</v>
      </c>
      <c r="N10" s="33"/>
    </row>
    <row r="11" spans="2:15" x14ac:dyDescent="0.35">
      <c r="B11" s="33" t="s">
        <v>54</v>
      </c>
      <c r="C11" s="35">
        <v>0</v>
      </c>
      <c r="D11" s="35">
        <v>1</v>
      </c>
      <c r="E11" s="35">
        <v>2</v>
      </c>
      <c r="F11" s="35">
        <v>3</v>
      </c>
      <c r="G11" s="35">
        <v>4</v>
      </c>
      <c r="H11" s="35">
        <v>5</v>
      </c>
      <c r="I11" s="35">
        <v>6</v>
      </c>
      <c r="J11" s="35">
        <v>7</v>
      </c>
      <c r="K11" s="35">
        <v>8</v>
      </c>
      <c r="L11" s="35">
        <v>9</v>
      </c>
      <c r="M11" s="35">
        <v>10</v>
      </c>
      <c r="N11" s="134" t="s">
        <v>24</v>
      </c>
      <c r="O11" s="134"/>
    </row>
    <row r="12" spans="2:15" x14ac:dyDescent="0.35">
      <c r="B12" s="33" t="s">
        <v>55</v>
      </c>
      <c r="C12" s="40">
        <f>1/(1+$C$9)^C11</f>
        <v>1</v>
      </c>
      <c r="D12" s="40">
        <f t="shared" ref="D12:M12" si="1">1/(1+$C$9)^D11</f>
        <v>0.91962479308442158</v>
      </c>
      <c r="E12" s="40">
        <f t="shared" si="1"/>
        <v>0.8457097600555652</v>
      </c>
      <c r="F12" s="40">
        <f t="shared" si="1"/>
        <v>0.77773566310057496</v>
      </c>
      <c r="G12" s="40">
        <f t="shared" si="1"/>
        <v>0.71522499825324171</v>
      </c>
      <c r="H12" s="40">
        <f t="shared" si="1"/>
        <v>0.65773864102744317</v>
      </c>
      <c r="I12" s="40">
        <f t="shared" si="1"/>
        <v>0.60487276165849102</v>
      </c>
      <c r="J12" s="40">
        <f t="shared" si="1"/>
        <v>0.55625598828259248</v>
      </c>
      <c r="K12" s="40">
        <f t="shared" si="1"/>
        <v>0.51154679812634951</v>
      </c>
      <c r="L12" s="40">
        <f t="shared" si="1"/>
        <v>0.47043111837994261</v>
      </c>
      <c r="M12" s="40">
        <f t="shared" si="1"/>
        <v>0.43262011990062776</v>
      </c>
      <c r="N12" s="135"/>
      <c r="O12" s="135"/>
    </row>
    <row r="13" spans="2:15" x14ac:dyDescent="0.35"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117"/>
      <c r="O13" s="117"/>
    </row>
    <row r="14" spans="2:15" x14ac:dyDescent="0.35">
      <c r="B14" s="33" t="s">
        <v>56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36">
        <f>SUM(C14:M14)</f>
        <v>0</v>
      </c>
      <c r="O14" s="136"/>
    </row>
    <row r="15" spans="2:15" x14ac:dyDescent="0.35">
      <c r="B15" s="33" t="s">
        <v>57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36">
        <f t="shared" ref="N15" si="2">SUM(C15:M15)</f>
        <v>0</v>
      </c>
      <c r="O15" s="136"/>
    </row>
    <row r="16" spans="2:15" x14ac:dyDescent="0.35">
      <c r="B16" s="33" t="s">
        <v>58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6">
        <f>SUM(C16:M16)</f>
        <v>0</v>
      </c>
      <c r="O16" s="136"/>
    </row>
    <row r="17" spans="2:15" x14ac:dyDescent="0.35">
      <c r="B17" s="33" t="s">
        <v>24</v>
      </c>
      <c r="C17" s="41">
        <f t="shared" ref="C17:N17" si="3">SUM(C14:C16)</f>
        <v>0</v>
      </c>
      <c r="D17" s="41">
        <f t="shared" si="3"/>
        <v>0</v>
      </c>
      <c r="E17" s="41">
        <f t="shared" si="3"/>
        <v>0</v>
      </c>
      <c r="F17" s="41">
        <f t="shared" si="3"/>
        <v>0</v>
      </c>
      <c r="G17" s="41">
        <f t="shared" si="3"/>
        <v>0</v>
      </c>
      <c r="H17" s="41">
        <f t="shared" si="3"/>
        <v>0</v>
      </c>
      <c r="I17" s="41">
        <f t="shared" si="3"/>
        <v>0</v>
      </c>
      <c r="J17" s="41">
        <f t="shared" si="3"/>
        <v>0</v>
      </c>
      <c r="K17" s="41">
        <f t="shared" si="3"/>
        <v>0</v>
      </c>
      <c r="L17" s="41">
        <f t="shared" si="3"/>
        <v>0</v>
      </c>
      <c r="M17" s="41">
        <f t="shared" si="3"/>
        <v>0</v>
      </c>
      <c r="N17" s="136">
        <f t="shared" si="3"/>
        <v>0</v>
      </c>
      <c r="O17" s="136"/>
    </row>
    <row r="18" spans="2:15" x14ac:dyDescent="0.35">
      <c r="B18" s="33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33"/>
    </row>
    <row r="19" spans="2:15" ht="15" thickBot="1" x14ac:dyDescent="0.4">
      <c r="B19" s="33" t="s">
        <v>59</v>
      </c>
      <c r="C19" s="41">
        <f t="shared" ref="C19:M19" si="4">C12*C17</f>
        <v>0</v>
      </c>
      <c r="D19" s="41">
        <f t="shared" si="4"/>
        <v>0</v>
      </c>
      <c r="E19" s="41">
        <f t="shared" si="4"/>
        <v>0</v>
      </c>
      <c r="F19" s="41">
        <f t="shared" si="4"/>
        <v>0</v>
      </c>
      <c r="G19" s="41">
        <f t="shared" si="4"/>
        <v>0</v>
      </c>
      <c r="H19" s="41">
        <f t="shared" si="4"/>
        <v>0</v>
      </c>
      <c r="I19" s="41">
        <f t="shared" si="4"/>
        <v>0</v>
      </c>
      <c r="J19" s="41">
        <f t="shared" si="4"/>
        <v>0</v>
      </c>
      <c r="K19" s="41">
        <f t="shared" si="4"/>
        <v>0</v>
      </c>
      <c r="L19" s="41">
        <f t="shared" si="4"/>
        <v>0</v>
      </c>
      <c r="M19" s="41">
        <f t="shared" si="4"/>
        <v>0</v>
      </c>
      <c r="N19" s="117"/>
      <c r="O19" s="117"/>
    </row>
    <row r="20" spans="2:15" ht="15" thickBot="1" x14ac:dyDescent="0.4">
      <c r="B20" s="33" t="s">
        <v>60</v>
      </c>
      <c r="C20" s="42">
        <f>SUM(C19:M19)</f>
        <v>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33"/>
    </row>
    <row r="22" spans="2:15" x14ac:dyDescent="0.35">
      <c r="B22" s="9" t="s">
        <v>61</v>
      </c>
    </row>
    <row r="23" spans="2:15" ht="15" customHeight="1" x14ac:dyDescent="0.35">
      <c r="B23" s="118" t="s">
        <v>62</v>
      </c>
      <c r="C23" s="118"/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</row>
    <row r="24" spans="2:15" x14ac:dyDescent="0.35">
      <c r="B24" s="118"/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</row>
    <row r="25" spans="2:15" ht="15.75" customHeight="1" x14ac:dyDescent="0.35">
      <c r="B25" s="123"/>
      <c r="C25" s="124"/>
      <c r="D25" s="124"/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25"/>
    </row>
    <row r="26" spans="2:15" ht="15.75" customHeight="1" x14ac:dyDescent="0.35">
      <c r="B26" s="126"/>
      <c r="C26" s="127"/>
      <c r="D26" s="127"/>
      <c r="E26" s="127"/>
      <c r="F26" s="127"/>
      <c r="G26" s="127"/>
      <c r="H26" s="127"/>
      <c r="I26" s="127"/>
      <c r="J26" s="127"/>
      <c r="K26" s="127"/>
      <c r="L26" s="127"/>
      <c r="M26" s="127"/>
      <c r="N26" s="127"/>
      <c r="O26" s="128"/>
    </row>
    <row r="27" spans="2:15" ht="15.75" customHeight="1" x14ac:dyDescent="0.35">
      <c r="B27" s="126"/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8"/>
    </row>
    <row r="28" spans="2:15" ht="15.75" customHeight="1" x14ac:dyDescent="0.35">
      <c r="B28" s="126"/>
      <c r="C28" s="127"/>
      <c r="D28" s="127"/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28"/>
    </row>
    <row r="29" spans="2:15" ht="15.75" customHeight="1" x14ac:dyDescent="0.35">
      <c r="B29" s="126"/>
      <c r="C29" s="127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8"/>
    </row>
    <row r="30" spans="2:15" ht="15.75" customHeight="1" x14ac:dyDescent="0.35">
      <c r="B30" s="126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8"/>
    </row>
    <row r="31" spans="2:15" ht="15.75" customHeight="1" x14ac:dyDescent="0.35">
      <c r="B31" s="126"/>
      <c r="C31" s="127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8"/>
    </row>
    <row r="32" spans="2:15" ht="15.75" customHeight="1" x14ac:dyDescent="0.35">
      <c r="B32" s="126"/>
      <c r="C32" s="127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8"/>
    </row>
    <row r="33" spans="1:15" ht="15.75" customHeight="1" x14ac:dyDescent="0.35">
      <c r="B33" s="129"/>
      <c r="C33" s="130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1"/>
    </row>
    <row r="35" spans="1:15" x14ac:dyDescent="0.35">
      <c r="B35" s="37" t="s">
        <v>63</v>
      </c>
    </row>
    <row r="37" spans="1:15" ht="43.2" x14ac:dyDescent="0.35">
      <c r="A37" s="26"/>
      <c r="B37" s="25" t="s">
        <v>64</v>
      </c>
      <c r="C37" s="16" t="s">
        <v>65</v>
      </c>
      <c r="D37" s="121" t="s">
        <v>66</v>
      </c>
      <c r="E37" s="122"/>
      <c r="F37" s="16" t="s">
        <v>67</v>
      </c>
      <c r="G37" s="16" t="s">
        <v>68</v>
      </c>
      <c r="H37" s="16" t="s">
        <v>69</v>
      </c>
      <c r="I37" s="16" t="s">
        <v>70</v>
      </c>
      <c r="J37" s="16" t="s">
        <v>71</v>
      </c>
      <c r="K37" s="16" t="s">
        <v>72</v>
      </c>
      <c r="L37" s="16" t="s">
        <v>73</v>
      </c>
      <c r="M37" s="16" t="s">
        <v>74</v>
      </c>
      <c r="N37" s="16" t="s">
        <v>75</v>
      </c>
      <c r="O37" s="16" t="s">
        <v>76</v>
      </c>
    </row>
    <row r="38" spans="1:15" x14ac:dyDescent="0.35">
      <c r="B38" s="3"/>
      <c r="C38" s="3"/>
      <c r="D38" s="119"/>
      <c r="E38" s="120"/>
      <c r="F38" s="14"/>
      <c r="G38" s="49" t="str">
        <f>IF(F38&lt;&gt;"",Summary!$H$12,"")</f>
        <v/>
      </c>
      <c r="H38" s="5"/>
      <c r="I38" s="5"/>
      <c r="J38" s="21">
        <f>IF(DATEDIF(F38,$C$3,"y")&gt;=4,50%,IF(DATEDIF(F38,$C$3,"y")&gt;=3,40%,IF(DATEDIF(F38,$C$3,"y")&gt;=2,20%,0%)))</f>
        <v>0.5</v>
      </c>
      <c r="K38" s="19">
        <f>I38-(I38*J38)</f>
        <v>0</v>
      </c>
      <c r="L38" s="5"/>
      <c r="M38" s="21">
        <f>IFERROR(VLOOKUP(C38,DisposalCost,2,FALSE),0%)</f>
        <v>0</v>
      </c>
      <c r="N38" s="44">
        <f>IF(L38&lt;&gt;"",L38*M38,K38*M38)</f>
        <v>0</v>
      </c>
      <c r="O38" s="19">
        <f>IF(L38&lt;&gt;"",L38-N38,K38-N38)</f>
        <v>0</v>
      </c>
    </row>
    <row r="39" spans="1:15" x14ac:dyDescent="0.35">
      <c r="B39" s="3"/>
      <c r="C39" s="3"/>
      <c r="D39" s="119"/>
      <c r="E39" s="120"/>
      <c r="F39" s="14"/>
      <c r="G39" s="49" t="str">
        <f>IF(F39&lt;&gt;"",Summary!$H$12,"")</f>
        <v/>
      </c>
      <c r="H39" s="5"/>
      <c r="I39" s="5"/>
      <c r="J39" s="21">
        <f t="shared" ref="J39:J42" si="5">IF(DATEDIF(F39,$C$3,"y")&gt;=4,50%,IF(DATEDIF(F39,$C$3,"y")&gt;=3,40%,IF(DATEDIF(F39,$C$3,"y")&gt;=2,20%,0%)))</f>
        <v>0.5</v>
      </c>
      <c r="K39" s="19">
        <f t="shared" ref="K39:K42" si="6">I39-(I39*J39)</f>
        <v>0</v>
      </c>
      <c r="L39" s="5"/>
      <c r="M39" s="21">
        <f>IFERROR(VLOOKUP(C39,DisposalCost,2,FALSE),0%)</f>
        <v>0</v>
      </c>
      <c r="N39" s="44">
        <f t="shared" ref="N39:N42" si="7">IF(L39&lt;&gt;"",L39*M39,K39*M39)</f>
        <v>0</v>
      </c>
      <c r="O39" s="19">
        <f t="shared" ref="O39:O42" si="8">IF(L39&lt;&gt;"",L39-N39,K39-N39)</f>
        <v>0</v>
      </c>
    </row>
    <row r="40" spans="1:15" x14ac:dyDescent="0.35">
      <c r="B40" s="3"/>
      <c r="C40" s="3"/>
      <c r="D40" s="119"/>
      <c r="E40" s="120"/>
      <c r="F40" s="14"/>
      <c r="G40" s="49" t="str">
        <f>IF(F40&lt;&gt;"",Summary!$H$12,"")</f>
        <v/>
      </c>
      <c r="H40" s="5"/>
      <c r="I40" s="5"/>
      <c r="J40" s="21">
        <f t="shared" si="5"/>
        <v>0.5</v>
      </c>
      <c r="K40" s="19">
        <f t="shared" si="6"/>
        <v>0</v>
      </c>
      <c r="L40" s="5"/>
      <c r="M40" s="21">
        <f>IFERROR(VLOOKUP(C40,DisposalCost,2,FALSE),0%)</f>
        <v>0</v>
      </c>
      <c r="N40" s="44">
        <f t="shared" si="7"/>
        <v>0</v>
      </c>
      <c r="O40" s="19">
        <f t="shared" si="8"/>
        <v>0</v>
      </c>
    </row>
    <row r="41" spans="1:15" x14ac:dyDescent="0.35">
      <c r="B41" s="3"/>
      <c r="C41" s="3"/>
      <c r="D41" s="119"/>
      <c r="E41" s="120"/>
      <c r="F41" s="14"/>
      <c r="G41" s="49" t="str">
        <f>IF(F41&lt;&gt;"",Summary!$H$12,"")</f>
        <v/>
      </c>
      <c r="H41" s="5"/>
      <c r="I41" s="5"/>
      <c r="J41" s="21">
        <f t="shared" si="5"/>
        <v>0.5</v>
      </c>
      <c r="K41" s="19">
        <f t="shared" si="6"/>
        <v>0</v>
      </c>
      <c r="L41" s="5"/>
      <c r="M41" s="21">
        <f>IFERROR(VLOOKUP(C41,DisposalCost,2,FALSE),0%)</f>
        <v>0</v>
      </c>
      <c r="N41" s="44">
        <f t="shared" si="7"/>
        <v>0</v>
      </c>
      <c r="O41" s="19">
        <f t="shared" si="8"/>
        <v>0</v>
      </c>
    </row>
    <row r="42" spans="1:15" x14ac:dyDescent="0.35">
      <c r="B42" s="3"/>
      <c r="C42" s="3"/>
      <c r="D42" s="119"/>
      <c r="E42" s="120"/>
      <c r="F42" s="14"/>
      <c r="G42" s="49" t="str">
        <f>IF(F42&lt;&gt;"",Summary!$H$12,"")</f>
        <v/>
      </c>
      <c r="H42" s="5"/>
      <c r="I42" s="5"/>
      <c r="J42" s="21">
        <f t="shared" si="5"/>
        <v>0.5</v>
      </c>
      <c r="K42" s="19">
        <f t="shared" si="6"/>
        <v>0</v>
      </c>
      <c r="L42" s="5"/>
      <c r="M42" s="21">
        <f>IFERROR(VLOOKUP(C42,DisposalCost,2,FALSE),0%)</f>
        <v>0</v>
      </c>
      <c r="N42" s="44">
        <f t="shared" si="7"/>
        <v>0</v>
      </c>
      <c r="O42" s="19">
        <f t="shared" si="8"/>
        <v>0</v>
      </c>
    </row>
    <row r="45" spans="1:15" x14ac:dyDescent="0.35">
      <c r="B45" s="30" t="s">
        <v>81</v>
      </c>
      <c r="L45" s="15" t="s">
        <v>9</v>
      </c>
      <c r="M45" s="45">
        <f>Summary!I9</f>
        <v>4.4405000000000001</v>
      </c>
      <c r="N45" s="20" t="str">
        <f>Summary!J9</f>
        <v>USD</v>
      </c>
    </row>
  </sheetData>
  <sheetProtection algorithmName="SHA-512" hashValue="yjeI5ulHjRvH9XdIQ4CHmyxPpaUdqGatSNAGh9jmKkI3OCAd6K++TRk3hzYXLEfOHuvrzpufbxv1/tuOi8/Dpw==" saltValue="lBrkU8duoGe47wJcfdYK6w==" spinCount="100000" sheet="1" objects="1" scenarios="1" formatCells="0" formatColumns="0" formatRows="0" insertColumns="0" insertRows="0" insertHyperlinks="0" deleteColumns="0" deleteRows="0" sort="0" autoFilter="0" pivotTables="0"/>
  <mergeCells count="16">
    <mergeCell ref="N11:O11"/>
    <mergeCell ref="N12:O12"/>
    <mergeCell ref="N13:O13"/>
    <mergeCell ref="N14:O14"/>
    <mergeCell ref="N15:O15"/>
    <mergeCell ref="N16:O16"/>
    <mergeCell ref="N17:O17"/>
    <mergeCell ref="N19:O19"/>
    <mergeCell ref="B23:O24"/>
    <mergeCell ref="B25:O33"/>
    <mergeCell ref="D42:E42"/>
    <mergeCell ref="D37:E37"/>
    <mergeCell ref="D38:E38"/>
    <mergeCell ref="D39:E39"/>
    <mergeCell ref="D40:E40"/>
    <mergeCell ref="D41:E41"/>
  </mergeCells>
  <dataValidations count="1">
    <dataValidation type="list" showInputMessage="1" showErrorMessage="1" sqref="C38:C42" xr:uid="{00000000-0002-0000-0200-000000000000}">
      <formula1>Property</formula1>
    </dataValidation>
  </dataValidations>
  <pageMargins left="0.7" right="0.7" top="0.75" bottom="0.75" header="0.3" footer="0.3"/>
  <pageSetup paperSize="9" scale="61" fitToHeight="0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selection activeCell="I13" sqref="I13"/>
    </sheetView>
  </sheetViews>
  <sheetFormatPr defaultColWidth="9" defaultRowHeight="14.4" x14ac:dyDescent="0.35"/>
  <cols>
    <col min="1" max="16384" width="9" style="1"/>
  </cols>
  <sheetData>
    <row r="1" spans="1:2" x14ac:dyDescent="0.35">
      <c r="A1" s="1" t="s">
        <v>78</v>
      </c>
      <c r="B1" s="2">
        <v>0.05</v>
      </c>
    </row>
    <row r="2" spans="1:2" x14ac:dyDescent="0.35">
      <c r="A2" s="1" t="s">
        <v>80</v>
      </c>
      <c r="B2" s="2">
        <v>0.1</v>
      </c>
    </row>
    <row r="3" spans="1:2" x14ac:dyDescent="0.35">
      <c r="A3" s="1" t="s">
        <v>84</v>
      </c>
      <c r="B3" s="2">
        <v>0.2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9561875-a830-4c90-ba37-e8fa1ff650f8" xsi:nil="true"/>
    <lcf76f155ced4ddcb4097134ff3c332f xmlns="76c72855-1590-4beb-9185-7b4168383c1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7CEDB8B19D7944B69D079E39AB67DE" ma:contentTypeVersion="19" ma:contentTypeDescription="Create a new document." ma:contentTypeScope="" ma:versionID="94353777d606719b3e30851657c0aa1a">
  <xsd:schema xmlns:xsd="http://www.w3.org/2001/XMLSchema" xmlns:xs="http://www.w3.org/2001/XMLSchema" xmlns:p="http://schemas.microsoft.com/office/2006/metadata/properties" xmlns:ns2="76c72855-1590-4beb-9185-7b4168383c13" xmlns:ns3="69561875-a830-4c90-ba37-e8fa1ff650f8" targetNamespace="http://schemas.microsoft.com/office/2006/metadata/properties" ma:root="true" ma:fieldsID="ee02df4e3a809fea7f19e60533135550" ns2:_="" ns3:_="">
    <xsd:import namespace="76c72855-1590-4beb-9185-7b4168383c13"/>
    <xsd:import namespace="69561875-a830-4c90-ba37-e8fa1ff650f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TaxCatchAll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c72855-1590-4beb-9185-7b4168383c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1fbe647-114e-4184-936e-069e4df0e13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561875-a830-4c90-ba37-e8fa1ff650f8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7d55172-319b-480f-b9ab-40cdfdaf3794}" ma:internalName="TaxCatchAll" ma:showField="CatchAllData" ma:web="69561875-a830-4c90-ba37-e8fa1ff650f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0B7CED2-EABA-4729-91A7-20683D843D34}">
  <ds:schemaRefs>
    <ds:schemaRef ds:uri="http://schemas.microsoft.com/office/2006/metadata/properties"/>
    <ds:schemaRef ds:uri="http://schemas.microsoft.com/office/infopath/2007/PartnerControls"/>
    <ds:schemaRef ds:uri="69561875-a830-4c90-ba37-e8fa1ff650f8"/>
    <ds:schemaRef ds:uri="76c72855-1590-4beb-9185-7b4168383c13"/>
  </ds:schemaRefs>
</ds:datastoreItem>
</file>

<file path=customXml/itemProps2.xml><?xml version="1.0" encoding="utf-8"?>
<ds:datastoreItem xmlns:ds="http://schemas.openxmlformats.org/officeDocument/2006/customXml" ds:itemID="{689C762C-0FD0-4700-A008-940813DB8E3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D5697F5-9DFC-4601-9228-7645376354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c72855-1590-4beb-9185-7b4168383c13"/>
    <ds:schemaRef ds:uri="69561875-a830-4c90-ba37-e8fa1ff650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e3e0bd1-8a42-4fca-bd15-c152a08a9459}" enabled="1" method="Privileged" siteId="{d703bd9e-2913-4bf9-8dd7-49ce1b18bd1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Summary</vt:lpstr>
      <vt:lpstr>Scenario 1</vt:lpstr>
      <vt:lpstr>Scenario 2</vt:lpstr>
      <vt:lpstr>Drop down</vt:lpstr>
      <vt:lpstr>Collateraltype</vt:lpstr>
      <vt:lpstr>DisposalCost</vt:lpstr>
      <vt:lpstr>Summary!Print_Area</vt:lpstr>
      <vt:lpstr>Property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Nur Syahira ‘Atiqah Binti Ahmad Faisal</cp:lastModifiedBy>
  <cp:revision/>
  <dcterms:created xsi:type="dcterms:W3CDTF">2022-03-01T04:27:22Z</dcterms:created>
  <dcterms:modified xsi:type="dcterms:W3CDTF">2024-12-05T04:00:39Z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3e0bd1-8a42-4fca-bd15-c152a08a9459_Enabled">
    <vt:lpwstr>true</vt:lpwstr>
  </property>
  <property fmtid="{D5CDD505-2E9C-101B-9397-08002B2CF9AE}" pid="3" name="MSIP_Label_de3e0bd1-8a42-4fca-bd15-c152a08a9459_SetDate">
    <vt:lpwstr>2022-01-24T03:41:39Z</vt:lpwstr>
  </property>
  <property fmtid="{D5CDD505-2E9C-101B-9397-08002B2CF9AE}" pid="4" name="MSIP_Label_de3e0bd1-8a42-4fca-bd15-c152a08a9459_Method">
    <vt:lpwstr>Privileged</vt:lpwstr>
  </property>
  <property fmtid="{D5CDD505-2E9C-101B-9397-08002B2CF9AE}" pid="5" name="MSIP_Label_de3e0bd1-8a42-4fca-bd15-c152a08a9459_Name">
    <vt:lpwstr>Public</vt:lpwstr>
  </property>
  <property fmtid="{D5CDD505-2E9C-101B-9397-08002B2CF9AE}" pid="6" name="MSIP_Label_de3e0bd1-8a42-4fca-bd15-c152a08a9459_SiteId">
    <vt:lpwstr>d703bd9e-2913-4bf9-8dd7-49ce1b18bd11</vt:lpwstr>
  </property>
  <property fmtid="{D5CDD505-2E9C-101B-9397-08002B2CF9AE}" pid="7" name="MSIP_Label_de3e0bd1-8a42-4fca-bd15-c152a08a9459_ActionId">
    <vt:lpwstr>b53ba082-719a-4f53-b603-82abe0e5519c</vt:lpwstr>
  </property>
  <property fmtid="{D5CDD505-2E9C-101B-9397-08002B2CF9AE}" pid="8" name="MSIP_Label_de3e0bd1-8a42-4fca-bd15-c152a08a9459_ContentBits">
    <vt:lpwstr>0</vt:lpwstr>
  </property>
  <property fmtid="{D5CDD505-2E9C-101B-9397-08002B2CF9AE}" pid="9" name="ContentTypeId">
    <vt:lpwstr>0x0101002E7CEDB8B19D7944B69D079E39AB67DE</vt:lpwstr>
  </property>
  <property fmtid="{D5CDD505-2E9C-101B-9397-08002B2CF9AE}" pid="10" name="MediaServiceImageTags">
    <vt:lpwstr/>
  </property>
</Properties>
</file>