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hap Pembobotan AHP" sheetId="1" r:id="rId4"/>
    <sheet state="visible" name="Kota terbaik" sheetId="2" r:id="rId5"/>
    <sheet state="visible" name="Kota terbaik Dengan Tarif Ojol" sheetId="3" r:id="rId6"/>
    <sheet state="visible" name="Perhitungan SAW Surabaya" sheetId="4" r:id="rId7"/>
    <sheet state="visible" name="Perhitungan SAW Medan"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UMR jelas lebih penting dari Waktu Tempuh, namun tidak semutlak itu karena ada berbagai jenis orang yaitu:
- yang rela bayar mahal untuk waktu cepat
- yang rela bangun pagi untuk biaya murah</t>
      </text>
    </comment>
    <comment authorId="0" ref="D5">
      <text>
        <t xml:space="preserve">tidak mau menunggu sediit lebih lama untuk dapat promo, melainkan mending bayar sedikit lebih mahal (tidak yang mahal banget), asalkan dapat driver cepat
</t>
      </text>
    </comment>
    <comment authorId="0" ref="E5">
      <text>
        <t xml:space="preserve">orang yang mengincar keterjangkauan, pasti akan naik ojol dan tidak mau punya kendaraan pribadi. Namun, buat orang yang punya modal untuk beli kendaraan pribadi di awal, dia akan merasa kendaraan pribadi jauh lebih terjangkau daripada ojol. Maka ini hanya sedikit lebih penting dari C4
</t>
      </text>
    </comment>
    <comment authorId="0" ref="D6">
      <text>
        <t xml:space="preserve">kedua ini sebenarnya linear karena semakin banyak jumlah armada, semakin cepat waktu tempuh (termasuk waktu tunggu), namun karena AHP tidak bisa 1 di bagian ini, jadi dicari yang sedikit lebih penting yaitu waktu tempuh</t>
      </text>
    </comment>
    <comment authorId="0" ref="E6">
      <text>
        <t xml:space="preserve">semakin tinggi waktu tempuh (macet, hujan, badai), orang akan semakin malas untuk menggunakan kendaraan pribadi. Namun, ada saja orang-orang yang tetap kekeuh pakai kendaraan pribadi meski tau waktu tempuh panjang</t>
      </text>
    </comment>
    <comment authorId="0" ref="E7">
      <text>
        <t xml:space="preserve">jumlah armada akan lebih penting dari jumlah kendaraan pribadi, karena semakin banyak armada, orang-orang prefer untuk naik transum. Namun, tidak signifikan, karena setelah COVID-19 habbit orang-orang berubah untuk tidak sering menggunakan barang publik sprti helm dan ada masalah keamanan (security), takut diculik</t>
      </text>
    </comment>
  </commentList>
</comments>
</file>

<file path=xl/sharedStrings.xml><?xml version="1.0" encoding="utf-8"?>
<sst xmlns="http://schemas.openxmlformats.org/spreadsheetml/2006/main" count="382" uniqueCount="172">
  <si>
    <t>Tahap pertama metode AHP</t>
  </si>
  <si>
    <t>Alasan perbandingan kriteria ada di notes tabel dibawah</t>
  </si>
  <si>
    <t>Column 1</t>
  </si>
  <si>
    <t>C1 (Keterjangkauan/UMR)</t>
  </si>
  <si>
    <t>C2 (Waktu Tempuh)</t>
  </si>
  <si>
    <t>C3 (Jumlah Armada)</t>
  </si>
  <si>
    <t>C4 (Jumlah Kendaraan Pribadi)</t>
  </si>
  <si>
    <t>Kedua kriteria sama penting</t>
  </si>
  <si>
    <t>5 (C1)</t>
  </si>
  <si>
    <t>1/3 (C3)</t>
  </si>
  <si>
    <t>3 (C1)</t>
  </si>
  <si>
    <t>Satu kriteria sedikit lebih penting dari yang lain</t>
  </si>
  <si>
    <t>3 (C2)</t>
  </si>
  <si>
    <t>5 (C2)</t>
  </si>
  <si>
    <t>Satu kriteria jelas lebih penting dari yang lain</t>
  </si>
  <si>
    <t>3 (C3)</t>
  </si>
  <si>
    <t>Satu kriteria sangat jelas lebih penting dari yang lain</t>
  </si>
  <si>
    <t>Satu kriteria mutlak lebih penting dari yang lain</t>
  </si>
  <si>
    <t>Tahap kedua metode AHP</t>
  </si>
  <si>
    <t>C1</t>
  </si>
  <si>
    <t>C2</t>
  </si>
  <si>
    <t>C3</t>
  </si>
  <si>
    <t>C4</t>
  </si>
  <si>
    <t>TOTAL</t>
  </si>
  <si>
    <t>Referensi: 1. Percentage 50% (1.5 kali lipat) dan 100% (2 kali lipat)</t>
  </si>
  <si>
    <t>Hasil Pembobotan Kriteria menggunakan metode AHP</t>
  </si>
  <si>
    <t>Normalisasi</t>
  </si>
  <si>
    <t>Bobot Kriteria</t>
  </si>
  <si>
    <t>sum</t>
  </si>
  <si>
    <t>Hasil Normalisasi Matriks Keputusan</t>
  </si>
  <si>
    <t>Hasil Perhitungan Rinci dan Perangkingan</t>
  </si>
  <si>
    <t>Alternatif</t>
  </si>
  <si>
    <t>C1: UMR (IDR)</t>
  </si>
  <si>
    <t>C2: Tingkat Kemacetan (detik)</t>
  </si>
  <si>
    <t>C3: Armada Online</t>
  </si>
  <si>
    <t>C4: Kendaraan Pribadi (unit) tahun 2024/2025</t>
  </si>
  <si>
    <t>A1: Bandung</t>
  </si>
  <si>
    <t>Benefit</t>
  </si>
  <si>
    <t>Cost</t>
  </si>
  <si>
    <t>A2: Medan</t>
  </si>
  <si>
    <t>C2 (Waktu Tempuh) Detik</t>
  </si>
  <si>
    <t>Skor Preferensi Akhir (Vi)</t>
  </si>
  <si>
    <t>Peringkat</t>
  </si>
  <si>
    <t>Bandung sebagai Acuan</t>
  </si>
  <si>
    <t>A3: Palembang</t>
  </si>
  <si>
    <t>A4: Surabaya</t>
  </si>
  <si>
    <t>A5: Jakarta</t>
  </si>
  <si>
    <t>Normalisasi Matriks Keputusan</t>
  </si>
  <si>
    <t>Perhitungan Rinci Nilai Preferensi</t>
  </si>
  <si>
    <t>C1(Benefit)</t>
  </si>
  <si>
    <t>max = 5,396,761</t>
  </si>
  <si>
    <t>V(Bandung)</t>
  </si>
  <si>
    <t>A1(Bandung) 4,209,309 / 5,396,761 =</t>
  </si>
  <si>
    <t>v1 = (0.33×0.78)+(0.31×0.78)+(0.29×0.3)+(0.06×0.69)</t>
  </si>
  <si>
    <t>A2(Medan) 3,769,082 / 5,396,761 =</t>
  </si>
  <si>
    <t>A3(Palembang) 3,677,591 / 5,396,761 =</t>
  </si>
  <si>
    <t>V(Medan)</t>
  </si>
  <si>
    <t>A4(Surabaya) 4,725,479/ 5,396,761</t>
  </si>
  <si>
    <t>v2 = (0.33×0.70)+(0.31×0.80)+(0.29×0.002)+(0.06×0.44)</t>
  </si>
  <si>
    <t>A5(Jakarta) 5,396,761/ 5,396,761 =</t>
  </si>
  <si>
    <t>C2(Cost)</t>
  </si>
  <si>
    <t>min = 1531</t>
  </si>
  <si>
    <t>V(Palembang)</t>
  </si>
  <si>
    <t>A1(Bandung) 1531 / 1957 =</t>
  </si>
  <si>
    <t>v2 = (0.33×0.68)+(0.31×0.91)+(0.29×0.025)+(0.06×1)</t>
  </si>
  <si>
    <t>A2(Medan) 1531 / 1923 =</t>
  </si>
  <si>
    <t>A3(Palembang) 1531 / 1675 =</t>
  </si>
  <si>
    <t>V(Surabaya)</t>
  </si>
  <si>
    <t>A4(Surabaya) 1531/ 1619</t>
  </si>
  <si>
    <t>v2 = (0.33×0.88)+(0.31×0.95)+(0.29×0.015)+(0.06×0.43)</t>
  </si>
  <si>
    <t>A5(Jakarta) 1531/ 1531 =</t>
  </si>
  <si>
    <t>C3(Benefit)</t>
  </si>
  <si>
    <t>max = 1000000</t>
  </si>
  <si>
    <t>V(Jakarta)</t>
  </si>
  <si>
    <t>A1(Bandung) 30000 / 1000000 =</t>
  </si>
  <si>
    <t>v2 = (0.33×1)+(0.31×1)+(0.29×1)+(0.06×0.07)</t>
  </si>
  <si>
    <t>A2(Medan) 2000 / 1000000 =</t>
  </si>
  <si>
    <t>A3(Palembang) 25000 / 1000000 =</t>
  </si>
  <si>
    <t>A4(Surabaya) 15350/ 1000000</t>
  </si>
  <si>
    <t>A5(Jakarta) 1000000/ 1000000 =</t>
  </si>
  <si>
    <t>C4(Cost)</t>
  </si>
  <si>
    <t>min = 1,640,000</t>
  </si>
  <si>
    <t>A1(Bandung) 1,640,000 / 2,360,000 =</t>
  </si>
  <si>
    <t>A2(Medan) 1,640,000 / 3,690,000 =</t>
  </si>
  <si>
    <t>A3(Palembang) 1,640,000 / 1,640,000 =</t>
  </si>
  <si>
    <t>A4(Surabaya) 1,640,000/ 3,810,000</t>
  </si>
  <si>
    <t>A5(Jakarta) 1,640,000/ 24,356,669 =</t>
  </si>
  <si>
    <t>C1: UMR (IDR) / Tarif minimum ojol</t>
  </si>
  <si>
    <t>C2: Waktu Tempuh (detik)</t>
  </si>
  <si>
    <t>Jakarta sebagai Acuan</t>
  </si>
  <si>
    <t>Harga Minimum Aktual</t>
  </si>
  <si>
    <t>Harga Minimum Rekomendasi</t>
  </si>
  <si>
    <t>max = 591</t>
  </si>
  <si>
    <t>A1(Bandung) 526 / 591 =</t>
  </si>
  <si>
    <t>v1 = (0.33×0.89)+(0.31×0.78)+(0.29×0.3)+(0.06×0.69)</t>
  </si>
  <si>
    <t>City</t>
  </si>
  <si>
    <t>Minimum Recommended Value</t>
  </si>
  <si>
    <t>Minimum Actual Value</t>
  </si>
  <si>
    <t>A2(Medan) 471 / 591 =</t>
  </si>
  <si>
    <t>Bandung</t>
  </si>
  <si>
    <t>A3(Palembang) 460 / 591 =</t>
  </si>
  <si>
    <t>Medan</t>
  </si>
  <si>
    <t>A4(Surabaya) 591/ 591</t>
  </si>
  <si>
    <t>v2 = (0.33×0.80)+(0.31×0.80)+(0.29×0.002)+(0.06×0.44)</t>
  </si>
  <si>
    <t>Palembang</t>
  </si>
  <si>
    <t>A5(Jakarta) 514/ 591 =</t>
  </si>
  <si>
    <t>Surabaya</t>
  </si>
  <si>
    <t>Jakarta</t>
  </si>
  <si>
    <t>v2 = (0.33×0.78)+(0.31×0.91)+(0.29×0.025)+(0.06×1)</t>
  </si>
  <si>
    <t>v2 = (0.33×1)+(0.31×0.95)+(0.29×0.015)+(0.06×0.43)</t>
  </si>
  <si>
    <t>v2 = (0.33×0.87)+(0.31×1)+(0.29×1)+(0.06×0.07)</t>
  </si>
  <si>
    <t>Perhitungan SAW Kota Surabaya</t>
  </si>
  <si>
    <t>Data Surabaya</t>
  </si>
  <si>
    <t>Matriks Keputusan Awal</t>
  </si>
  <si>
    <t>Data Dasar/Statis</t>
  </si>
  <si>
    <t>Rp4.961.753,00/bulan</t>
  </si>
  <si>
    <t>26 Menit 59 detik/10 Km</t>
  </si>
  <si>
    <t>memiliki jumlah driver sekitar 14.000 di Surabaya</t>
  </si>
  <si>
    <t>Statis</t>
  </si>
  <si>
    <t>Dinamis Tinggi</t>
  </si>
  <si>
    <t>3.81 Juta Kendaraan pribadi</t>
  </si>
  <si>
    <t>Dinamis Rendah</t>
  </si>
  <si>
    <t>Rumus Nilai kinerja yang ada pada Matriks Keuputusan Awal</t>
  </si>
  <si>
    <t>Untuk C1 UMR kota dibagi dengan alternatif Harga</t>
  </si>
  <si>
    <t>Untuk C2 Waktu macet kota untuk A1 data statis untuk C2 dari data statis dibagi 1.5 lalu C3 data statis dibagi 2</t>
  </si>
  <si>
    <t>Untuk C3 sama dengan C2 tetapi dikali 1.5 dan 2</t>
  </si>
  <si>
    <t>max = 708.8218571</t>
  </si>
  <si>
    <t>V(Statis)</t>
  </si>
  <si>
    <t>Untuk C4 sama dengan C2</t>
  </si>
  <si>
    <t>A1(Statis) 708.8218571 / 708.8218571 =</t>
  </si>
  <si>
    <t>v1 = (0.33×1)+(0.31×0.5)+(0.29×0.5)+(0.06×0.5)</t>
  </si>
  <si>
    <t>A2(Dinamis Rendah) 472.5479048 / 708.8218571 =</t>
  </si>
  <si>
    <t>A3(Dinamis Tinggi) 354.4109286 / 708.8218571 =</t>
  </si>
  <si>
    <t>min = 809.5</t>
  </si>
  <si>
    <t>V(Dinamis Rendah)</t>
  </si>
  <si>
    <t>A1(Statis) 809.5 / 1619 =</t>
  </si>
  <si>
    <t>v2 = (0.33×0.67)+(0.31×0.75)+(0.29×0.75)+(0.06×0.75)</t>
  </si>
  <si>
    <t>A2(Dinamis Rendah) 809.5 / 1079.333333 =</t>
  </si>
  <si>
    <t>A3(Dinamis Tinggi) 809.5 / 809.5 =</t>
  </si>
  <si>
    <t>max = 28000</t>
  </si>
  <si>
    <t>V(Dinamis Tinggi)</t>
  </si>
  <si>
    <t>A1(Statis) 14000 / 28000 =</t>
  </si>
  <si>
    <t>v2 = (0.33×0.50)+(0.31×1)+(0.29×1)+(0.06×1)</t>
  </si>
  <si>
    <t>A2(Dinamis Rendah) 21000 / 28000 =</t>
  </si>
  <si>
    <t>A3(Dinamis Tinggi) 28000 / 28000 =</t>
  </si>
  <si>
    <t>min = 1905000</t>
  </si>
  <si>
    <t>A1(Statis) 1905000 / 3810000 =</t>
  </si>
  <si>
    <t>A2(Dinamis Rendah) 1905000 / 2540000 =</t>
  </si>
  <si>
    <t>A3(Dinamis Tinggi) 1905000 / 1905000 =</t>
  </si>
  <si>
    <t>Perhitungan SAW Kota Medan</t>
  </si>
  <si>
    <t>Data Medan</t>
  </si>
  <si>
    <t>Rp2.499.000,00/bulan</t>
  </si>
  <si>
    <t>32 Menit 03 detik/10 Km</t>
  </si>
  <si>
    <t>memiliki jumlah driver sekitar 2.000 di Surabaya</t>
  </si>
  <si>
    <t>3.69 Juta Kendaraan pribadi</t>
  </si>
  <si>
    <t>Perhitungan Rinci Skor Preferensi</t>
  </si>
  <si>
    <t>max = 357</t>
  </si>
  <si>
    <t>A1(Statis) 357 / 357 =</t>
  </si>
  <si>
    <t>A2(Dinamis Rendah) 238 / 357 =</t>
  </si>
  <si>
    <t>A3(Dinamis Tinggi) 178.5 / 357 =</t>
  </si>
  <si>
    <t>min = 961.5</t>
  </si>
  <si>
    <t>A1(Statis) 961.5 / 1923 =</t>
  </si>
  <si>
    <t>A2(Dinamis Rendah) 961.5 / 1282 =</t>
  </si>
  <si>
    <t>A3(Dinamis Tinggi) 961.5 / 961.5 =</t>
  </si>
  <si>
    <t>max = 4000</t>
  </si>
  <si>
    <t>A1(Statis) 2000 / 4000 =</t>
  </si>
  <si>
    <t>A2(Dinamis Rendah) 3000 / 4000 =</t>
  </si>
  <si>
    <t>A3(Dinamis Tinggi) 4000 / 4000 =</t>
  </si>
  <si>
    <t>min = 1845000</t>
  </si>
  <si>
    <t>A1(Statis) 1845000 / 3690000 =</t>
  </si>
  <si>
    <t>A2(Dinamis Rendah) 1845000 / 2460000 =</t>
  </si>
  <si>
    <t>A3(Dinamis Tinggi) 1845000 / 1845000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</si>
</sst>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0000"/>
    <numFmt numFmtId="166" formatCode="0.000"/>
  </numFmts>
  <fonts count="11">
    <font>
      <sz val="10.0"/>
      <color rgb="FF000000"/>
      <name val="Arial"/>
      <scheme val="minor"/>
    </font>
    <font>
      <b/>
      <color theme="1"/>
      <name val="Arial"/>
      <scheme val="minor"/>
    </font>
    <font>
      <color theme="1"/>
      <name val="Arial"/>
      <scheme val="minor"/>
    </font>
    <font>
      <color theme="1"/>
      <name val="Arial"/>
    </font>
    <font>
      <b/>
      <color theme="1"/>
      <name val="Roboto"/>
    </font>
    <font>
      <color theme="1"/>
      <name val="Roboto"/>
    </font>
    <font>
      <b/>
      <color rgb="FF434343"/>
      <name val="Arial"/>
    </font>
    <font>
      <b/>
      <color rgb="FF434343"/>
      <name val="Roboto"/>
    </font>
    <font>
      <color rgb="FF434343"/>
      <name val="Arial"/>
    </font>
    <font>
      <color rgb="FF434343"/>
      <name val="Roboto"/>
    </font>
    <font>
      <b/>
      <color rgb="FF000000"/>
      <name val="&quot;Google Sans&quot;"/>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s>
  <borders count="1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wrapText="1"/>
    </xf>
    <xf borderId="1"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6" fillId="2" fontId="2" numFmtId="0" xfId="0" applyAlignment="1" applyBorder="1" applyFill="1" applyFont="1">
      <alignment readingOrder="0" shrinkToFit="0" vertical="center" wrapText="1"/>
    </xf>
    <xf borderId="7" fillId="2"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9" fillId="0" fontId="2" numFmtId="164" xfId="0" applyAlignment="1" applyBorder="1" applyFont="1" applyNumberFormat="1">
      <alignment horizontal="center" readingOrder="0" shrinkToFit="0" vertical="center" wrapText="1"/>
    </xf>
    <xf borderId="9"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10" fillId="0" fontId="2" numFmtId="0" xfId="0" applyAlignment="1" applyBorder="1" applyFont="1">
      <alignment horizontal="center" readingOrder="0" shrinkToFit="0" vertical="center" wrapText="1"/>
    </xf>
    <xf borderId="11" fillId="0" fontId="2" numFmtId="164" xfId="0" applyAlignment="1" applyBorder="1" applyFont="1" applyNumberFormat="1">
      <alignment horizontal="center" readingOrder="0" shrinkToFit="0" vertical="center" wrapText="1"/>
    </xf>
    <xf borderId="11" fillId="0" fontId="2" numFmtId="0" xfId="0" applyAlignment="1" applyBorder="1" applyFont="1">
      <alignment readingOrder="0" shrinkToFit="0" vertical="center" wrapText="1"/>
    </xf>
    <xf borderId="11" fillId="0" fontId="2" numFmtId="164" xfId="0" applyAlignment="1" applyBorder="1" applyFont="1" applyNumberFormat="1">
      <alignment readingOrder="0" shrinkToFit="0" vertical="center" wrapText="1"/>
    </xf>
    <xf borderId="12" fillId="0" fontId="2"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165" xfId="0" applyAlignment="1" applyBorder="1" applyFont="1" applyNumberFormat="1">
      <alignment readingOrder="0" shrinkToFit="0" vertical="center" wrapText="0"/>
    </xf>
    <xf borderId="13" fillId="0" fontId="1" numFmtId="165"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165" xfId="0" applyAlignment="1" applyBorder="1" applyFont="1" applyNumberFormat="1">
      <alignment shrinkToFit="0" vertical="center" wrapText="0"/>
    </xf>
    <xf borderId="9" fillId="0" fontId="1" numFmtId="165" xfId="0" applyAlignment="1" applyBorder="1" applyFont="1" applyNumberFormat="1">
      <alignment readingOrder="0" shrinkToFit="0" vertical="center" wrapText="0"/>
    </xf>
    <xf borderId="14" fillId="0" fontId="1" numFmtId="165" xfId="0" applyAlignment="1" applyBorder="1" applyFont="1" applyNumberFormat="1">
      <alignment readingOrder="0" shrinkToFit="0" vertical="center" wrapText="0"/>
    </xf>
    <xf borderId="5" fillId="0" fontId="1" numFmtId="165" xfId="0" applyAlignment="1" applyBorder="1" applyFont="1" applyNumberFormat="1">
      <alignment shrinkToFit="0" vertical="center" wrapText="0"/>
    </xf>
    <xf borderId="15" fillId="0" fontId="1" numFmtId="0" xfId="0" applyAlignment="1" applyBorder="1" applyFont="1">
      <alignment readingOrder="0" shrinkToFit="0" vertical="center" wrapText="0"/>
    </xf>
    <xf borderId="16" fillId="0" fontId="1" numFmtId="165" xfId="0" applyAlignment="1" applyBorder="1" applyFont="1" applyNumberFormat="1">
      <alignment shrinkToFit="0" vertical="center" wrapText="0"/>
    </xf>
    <xf borderId="17" fillId="0" fontId="1" numFmtId="165" xfId="0" applyAlignment="1" applyBorder="1" applyFont="1" applyNumberFormat="1">
      <alignment shrinkToFit="0" vertical="center" wrapText="0"/>
    </xf>
    <xf borderId="0" fillId="0" fontId="2" numFmtId="0" xfId="0" applyAlignment="1" applyFont="1">
      <alignment readingOrder="0"/>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5" fillId="0" fontId="2" numFmtId="165" xfId="0" applyAlignment="1" applyBorder="1" applyFont="1" applyNumberFormat="1">
      <alignment readingOrder="0" shrinkToFit="0" vertical="center" wrapText="0"/>
    </xf>
    <xf borderId="13" fillId="0" fontId="2" numFmtId="4" xfId="0" applyAlignment="1" applyBorder="1" applyFont="1" applyNumberFormat="1">
      <alignment shrinkToFit="0" vertical="center" wrapText="0"/>
    </xf>
    <xf borderId="8" fillId="0" fontId="2" numFmtId="0" xfId="0" applyAlignment="1" applyBorder="1" applyFont="1">
      <alignment readingOrder="0" shrinkToFit="0" vertical="center" wrapText="0"/>
    </xf>
    <xf borderId="9" fillId="0" fontId="2" numFmtId="165" xfId="0" applyAlignment="1" applyBorder="1" applyFont="1" applyNumberFormat="1">
      <alignment readingOrder="0" shrinkToFit="0" vertical="center" wrapText="0"/>
    </xf>
    <xf borderId="14" fillId="0" fontId="2" numFmtId="4" xfId="0" applyAlignment="1" applyBorder="1" applyFont="1" applyNumberFormat="1">
      <alignment shrinkToFit="0" vertical="center" wrapText="0"/>
    </xf>
    <xf borderId="15" fillId="0" fontId="2" numFmtId="0" xfId="0" applyAlignment="1" applyBorder="1" applyFont="1">
      <alignment readingOrder="0" shrinkToFit="0" vertical="center" wrapText="0"/>
    </xf>
    <xf borderId="16" fillId="0" fontId="2" numFmtId="165" xfId="0" applyAlignment="1" applyBorder="1" applyFont="1" applyNumberFormat="1">
      <alignment shrinkToFit="0" vertical="center" wrapText="0"/>
    </xf>
    <xf borderId="17" fillId="0" fontId="2" numFmtId="4" xfId="0" applyAlignment="1" applyBorder="1" applyFont="1" applyNumberFormat="1">
      <alignment shrinkToFit="0" vertical="center" wrapText="0"/>
    </xf>
    <xf borderId="1" fillId="0" fontId="3" numFmtId="0" xfId="0" applyAlignment="1" applyBorder="1" applyFont="1">
      <alignment horizontal="left" readingOrder="0" shrinkToFit="0" vertical="bottom" wrapText="0"/>
    </xf>
    <xf borderId="2" fillId="0" fontId="3" numFmtId="0" xfId="0" applyAlignment="1" applyBorder="1" applyFont="1">
      <alignment horizontal="left" readingOrder="0" shrinkToFit="0" vertical="bottom" wrapText="0"/>
    </xf>
    <xf borderId="3" fillId="0" fontId="3" numFmtId="0" xfId="0" applyAlignment="1" applyBorder="1" applyFont="1">
      <alignment horizontal="left" readingOrder="0" shrinkToFit="0" vertical="bottom" wrapText="0"/>
    </xf>
    <xf borderId="4" fillId="0" fontId="3" numFmtId="0" xfId="0" applyAlignment="1" applyBorder="1" applyFont="1">
      <alignment shrinkToFit="0" vertical="bottom" wrapText="0"/>
    </xf>
    <xf borderId="5" fillId="0" fontId="3" numFmtId="3" xfId="0" applyAlignment="1" applyBorder="1" applyFont="1" applyNumberFormat="1">
      <alignment shrinkToFit="0" vertical="bottom" wrapText="0"/>
    </xf>
    <xf borderId="5" fillId="0" fontId="3" numFmtId="0" xfId="0" applyAlignment="1" applyBorder="1" applyFont="1">
      <alignment horizontal="right" shrinkToFit="0" vertical="bottom" wrapText="0"/>
    </xf>
    <xf borderId="5" fillId="0" fontId="3" numFmtId="0" xfId="0" applyAlignment="1" applyBorder="1" applyFont="1">
      <alignment horizontal="right" readingOrder="0" shrinkToFit="0" vertical="bottom" wrapText="0"/>
    </xf>
    <xf borderId="13" fillId="0" fontId="3" numFmtId="3" xfId="0" applyAlignment="1" applyBorder="1" applyFont="1" applyNumberFormat="1">
      <alignment readingOrder="0" shrinkToFit="0" vertical="bottom" wrapText="0"/>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8" fillId="0" fontId="3" numFmtId="0" xfId="0" applyAlignment="1" applyBorder="1" applyFont="1">
      <alignment shrinkToFit="0" vertical="bottom" wrapText="0"/>
    </xf>
    <xf borderId="9" fillId="0" fontId="3" numFmtId="3" xfId="0" applyAlignment="1" applyBorder="1" applyFont="1" applyNumberFormat="1">
      <alignment shrinkToFit="0" vertical="bottom" wrapText="0"/>
    </xf>
    <xf borderId="9" fillId="0" fontId="3" numFmtId="0" xfId="0" applyAlignment="1" applyBorder="1" applyFont="1">
      <alignment horizontal="right" shrinkToFit="0" vertical="bottom" wrapText="0"/>
    </xf>
    <xf borderId="9" fillId="0" fontId="3" numFmtId="0" xfId="0" applyAlignment="1" applyBorder="1" applyFont="1">
      <alignment horizontal="right" readingOrder="0" shrinkToFit="0" vertical="bottom" wrapText="0"/>
    </xf>
    <xf borderId="14" fillId="0" fontId="3" numFmtId="3" xfId="0" applyAlignment="1" applyBorder="1" applyFont="1" applyNumberFormat="1">
      <alignment readingOrder="0" shrinkToFit="0" vertical="bottom" wrapText="0"/>
    </xf>
    <xf borderId="4" fillId="0" fontId="2" numFmtId="0" xfId="0" applyAlignment="1" applyBorder="1" applyFont="1">
      <alignment readingOrder="0" shrinkToFit="0" vertical="center" wrapText="1"/>
    </xf>
    <xf borderId="5" fillId="0" fontId="2" numFmtId="2" xfId="0" applyAlignment="1" applyBorder="1" applyFont="1" applyNumberFormat="1">
      <alignment readingOrder="0" shrinkToFit="0" vertical="center" wrapText="1"/>
    </xf>
    <xf borderId="13" fillId="0" fontId="2" numFmtId="2" xfId="0" applyAlignment="1" applyBorder="1" applyFont="1" applyNumberFormat="1">
      <alignment readingOrder="0" shrinkToFit="0" vertical="center" wrapText="1"/>
    </xf>
    <xf borderId="3" fillId="0" fontId="2" numFmtId="0" xfId="0" applyAlignment="1" applyBorder="1" applyFont="1">
      <alignment horizontal="left" readingOrder="0" shrinkToFit="0" vertical="center" wrapText="1"/>
    </xf>
    <xf borderId="4" fillId="0" fontId="3" numFmtId="0" xfId="0" applyAlignment="1" applyBorder="1" applyFont="1">
      <alignment shrinkToFit="0" vertical="bottom" wrapText="0"/>
    </xf>
    <xf borderId="5" fillId="0" fontId="2" numFmtId="0" xfId="0" applyAlignment="1" applyBorder="1" applyFont="1">
      <alignment readingOrder="0" shrinkToFit="0" vertical="center" wrapText="0"/>
    </xf>
    <xf borderId="8" fillId="0" fontId="3" numFmtId="0" xfId="0" applyAlignment="1" applyBorder="1" applyFont="1">
      <alignment shrinkToFit="0" vertical="bottom" wrapText="0"/>
    </xf>
    <xf borderId="9" fillId="0" fontId="2" numFmtId="4" xfId="0" applyAlignment="1" applyBorder="1" applyFont="1" applyNumberFormat="1">
      <alignment readingOrder="0" shrinkToFit="0" vertical="center" wrapText="1"/>
    </xf>
    <xf borderId="9" fillId="0" fontId="2" numFmtId="2" xfId="0" applyAlignment="1" applyBorder="1" applyFont="1" applyNumberFormat="1">
      <alignment readingOrder="0" shrinkToFit="0" vertical="center" wrapText="1"/>
    </xf>
    <xf borderId="14" fillId="0" fontId="2" numFmtId="2" xfId="0" applyAlignment="1" applyBorder="1" applyFont="1" applyNumberFormat="1">
      <alignment readingOrder="0" shrinkToFit="0" vertical="center" wrapText="1"/>
    </xf>
    <xf borderId="5" fillId="0" fontId="2" numFmtId="0" xfId="0" applyAlignment="1" applyBorder="1" applyFont="1">
      <alignment shrinkToFit="0" vertical="center" wrapText="0"/>
    </xf>
    <xf borderId="13" fillId="0" fontId="2" numFmtId="0" xfId="0" applyAlignment="1" applyBorder="1" applyFont="1">
      <alignment shrinkToFit="0" vertical="center" wrapText="0"/>
    </xf>
    <xf borderId="5" fillId="0" fontId="2" numFmtId="4" xfId="0" applyAlignment="1" applyBorder="1" applyFont="1" applyNumberFormat="1">
      <alignment shrinkToFit="0" vertical="center" wrapText="1"/>
    </xf>
    <xf borderId="5" fillId="0" fontId="2" numFmtId="0" xfId="0" applyAlignment="1" applyBorder="1" applyFont="1">
      <alignment shrinkToFit="0" vertical="center" wrapText="1"/>
    </xf>
    <xf borderId="13" fillId="0" fontId="2" numFmtId="2" xfId="0" applyAlignment="1" applyBorder="1" applyFont="1" applyNumberFormat="1">
      <alignment shrinkToFit="0" vertical="center" wrapText="1"/>
    </xf>
    <xf borderId="9" fillId="0" fontId="2" numFmtId="0" xfId="0" applyAlignment="1" applyBorder="1" applyFont="1">
      <alignment shrinkToFit="0" vertical="center" wrapText="0"/>
    </xf>
    <xf borderId="14" fillId="0" fontId="2" numFmtId="0" xfId="0" applyAlignment="1" applyBorder="1" applyFont="1">
      <alignment shrinkToFit="0" vertical="center" wrapText="0"/>
    </xf>
    <xf borderId="15" fillId="0" fontId="3" numFmtId="0" xfId="0" applyAlignment="1" applyBorder="1" applyFont="1">
      <alignment shrinkToFit="0" vertical="bottom" wrapText="0"/>
    </xf>
    <xf borderId="16" fillId="0" fontId="3" numFmtId="3" xfId="0" applyAlignment="1" applyBorder="1" applyFont="1" applyNumberFormat="1">
      <alignment readingOrder="0" shrinkToFit="0" vertical="bottom" wrapText="0"/>
    </xf>
    <xf borderId="16" fillId="0" fontId="3" numFmtId="0" xfId="0" applyAlignment="1" applyBorder="1" applyFont="1">
      <alignment horizontal="right" shrinkToFit="0" vertical="bottom" wrapText="0"/>
    </xf>
    <xf borderId="16" fillId="0" fontId="3" numFmtId="0" xfId="0" applyAlignment="1" applyBorder="1" applyFont="1">
      <alignment horizontal="right" readingOrder="0" shrinkToFit="0" vertical="bottom" wrapText="0"/>
    </xf>
    <xf borderId="17" fillId="0" fontId="3" numFmtId="3" xfId="0" applyAlignment="1" applyBorder="1" applyFont="1" applyNumberFormat="1">
      <alignment readingOrder="0" shrinkToFit="0" vertical="bottom" wrapText="0"/>
    </xf>
    <xf borderId="9" fillId="0" fontId="2" numFmtId="4" xfId="0" applyAlignment="1" applyBorder="1" applyFont="1" applyNumberFormat="1">
      <alignment shrinkToFit="0" vertical="center" wrapText="1"/>
    </xf>
    <xf borderId="9" fillId="0" fontId="2" numFmtId="2" xfId="0" applyAlignment="1" applyBorder="1" applyFont="1" applyNumberFormat="1">
      <alignment shrinkToFit="0" vertical="center" wrapText="1"/>
    </xf>
    <xf borderId="9" fillId="0" fontId="2" numFmtId="0" xfId="0" applyAlignment="1" applyBorder="1" applyFont="1">
      <alignment shrinkToFit="0" vertical="center" wrapText="1"/>
    </xf>
    <xf borderId="14" fillId="0" fontId="2" numFmtId="2" xfId="0" applyAlignment="1" applyBorder="1" applyFont="1" applyNumberFormat="1">
      <alignment shrinkToFit="0" vertical="center" wrapText="1"/>
    </xf>
    <xf borderId="5" fillId="0" fontId="2" numFmtId="2" xfId="0" applyAlignment="1" applyBorder="1" applyFont="1" applyNumberFormat="1">
      <alignment shrinkToFit="0" vertical="center" wrapText="1"/>
    </xf>
    <xf borderId="9" fillId="0" fontId="2" numFmtId="0" xfId="0" applyAlignment="1" applyBorder="1" applyFont="1">
      <alignment shrinkToFit="0" vertical="center" wrapText="0"/>
    </xf>
    <xf borderId="9"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0" fillId="0" fontId="3" numFmtId="0" xfId="0" applyAlignment="1" applyBorder="1" applyFont="1">
      <alignment shrinkToFit="0" vertical="bottom" wrapText="0"/>
    </xf>
    <xf borderId="11" fillId="0" fontId="2" numFmtId="4" xfId="0" applyAlignment="1" applyBorder="1" applyFont="1" applyNumberFormat="1">
      <alignment shrinkToFit="0" vertical="center" wrapText="1"/>
    </xf>
    <xf borderId="11" fillId="0" fontId="2" numFmtId="2" xfId="0" applyAlignment="1" applyBorder="1" applyFont="1" applyNumberFormat="1">
      <alignment shrinkToFit="0" vertical="center" wrapText="1"/>
    </xf>
    <xf borderId="11" fillId="0" fontId="2" numFmtId="0" xfId="0" applyAlignment="1" applyBorder="1" applyFont="1">
      <alignment shrinkToFit="0" vertical="center" wrapText="1"/>
    </xf>
    <xf borderId="12" fillId="0" fontId="2" numFmtId="2" xfId="0" applyAlignment="1" applyBorder="1" applyFont="1" applyNumberFormat="1">
      <alignment shrinkToFit="0" vertical="center" wrapText="1"/>
    </xf>
    <xf borderId="16" fillId="0" fontId="2" numFmtId="0" xfId="0" applyAlignment="1" applyBorder="1" applyFont="1">
      <alignment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0" fillId="0" fontId="1" numFmtId="0" xfId="0" applyFont="1"/>
    <xf borderId="0" fillId="0" fontId="1" numFmtId="0" xfId="0" applyAlignment="1" applyFont="1">
      <alignment shrinkToFit="0" wrapText="1"/>
    </xf>
    <xf borderId="0" fillId="0" fontId="1" numFmtId="0" xfId="0" applyAlignment="1" applyFont="1">
      <alignment horizontal="left" readingOrder="0"/>
    </xf>
    <xf borderId="0" fillId="0" fontId="1" numFmtId="0" xfId="0" applyAlignment="1" applyFont="1">
      <alignment horizontal="left"/>
    </xf>
    <xf borderId="9" fillId="0" fontId="3" numFmtId="3" xfId="0" applyAlignment="1" applyBorder="1" applyFont="1" applyNumberFormat="1">
      <alignment readingOrder="0" shrinkToFit="0" vertical="bottom" wrapText="0"/>
    </xf>
    <xf borderId="2" fillId="0" fontId="2" numFmtId="0" xfId="0" applyAlignment="1" applyBorder="1" applyFont="1">
      <alignment horizontal="left" readingOrder="0" shrinkToFit="0" vertical="center" wrapText="1"/>
    </xf>
    <xf borderId="9" fillId="0" fontId="2" numFmtId="166" xfId="0" applyAlignment="1" applyBorder="1" applyFont="1" applyNumberFormat="1">
      <alignment readingOrder="0" shrinkToFit="0" vertical="center" wrapText="1"/>
    </xf>
    <xf borderId="5" fillId="0" fontId="2" numFmtId="166" xfId="0" applyAlignment="1" applyBorder="1" applyFont="1" applyNumberFormat="1">
      <alignment shrinkToFit="0" vertical="center" wrapText="0"/>
    </xf>
    <xf borderId="5" fillId="0" fontId="2" numFmtId="0" xfId="0" applyAlignment="1" applyBorder="1" applyFont="1">
      <alignment shrinkToFit="0" vertical="center" wrapText="0"/>
    </xf>
    <xf borderId="13" fillId="0" fontId="2" numFmtId="0" xfId="0" applyAlignment="1" applyBorder="1" applyFont="1">
      <alignment readingOrder="0" shrinkToFit="0" vertical="center" wrapText="0"/>
    </xf>
    <xf borderId="5" fillId="0" fontId="2" numFmtId="4" xfId="0" applyAlignment="1" applyBorder="1" applyFont="1" applyNumberFormat="1">
      <alignment shrinkToFit="0" vertical="center" wrapText="0"/>
    </xf>
    <xf borderId="13" fillId="0" fontId="2" numFmtId="4" xfId="0" applyAlignment="1" applyBorder="1" applyFont="1" applyNumberFormat="1">
      <alignment readingOrder="0" shrinkToFit="0" vertical="center" wrapText="0"/>
    </xf>
    <xf borderId="5" fillId="0" fontId="2" numFmtId="166" xfId="0" applyAlignment="1" applyBorder="1" applyFont="1" applyNumberFormat="1">
      <alignment shrinkToFit="0" vertical="center" wrapText="1"/>
    </xf>
    <xf borderId="9" fillId="0" fontId="2" numFmtId="166" xfId="0" applyAlignment="1" applyBorder="1" applyFont="1" applyNumberFormat="1">
      <alignment shrinkToFit="0" vertical="center" wrapText="0"/>
    </xf>
    <xf borderId="14" fillId="0" fontId="2" numFmtId="0" xfId="0" applyAlignment="1" applyBorder="1" applyFont="1">
      <alignment readingOrder="0" shrinkToFit="0" vertical="center" wrapText="0"/>
    </xf>
    <xf borderId="9" fillId="0" fontId="2" numFmtId="4" xfId="0" applyAlignment="1" applyBorder="1" applyFont="1" applyNumberFormat="1">
      <alignment shrinkToFit="0" vertical="center" wrapText="0"/>
    </xf>
    <xf borderId="14" fillId="0" fontId="2" numFmtId="4" xfId="0" applyAlignment="1" applyBorder="1" applyFont="1" applyNumberFormat="1">
      <alignment readingOrder="0" shrinkToFit="0" vertical="center" wrapText="0"/>
    </xf>
    <xf borderId="9" fillId="0" fontId="2" numFmtId="166" xfId="0" applyAlignment="1" applyBorder="1" applyFont="1" applyNumberFormat="1">
      <alignment shrinkToFit="0" vertical="center" wrapText="1"/>
    </xf>
    <xf borderId="9" fillId="0" fontId="2" numFmtId="166" xfId="0" applyAlignment="1" applyBorder="1" applyFont="1" applyNumberFormat="1">
      <alignment shrinkToFit="0" vertical="center" wrapText="0"/>
    </xf>
    <xf borderId="9" fillId="0" fontId="2" numFmtId="0" xfId="0" applyAlignment="1" applyBorder="1" applyFont="1">
      <alignment readingOrder="0" shrinkToFit="0" vertical="center" wrapText="0"/>
    </xf>
    <xf borderId="9" fillId="0" fontId="2" numFmtId="4" xfId="0" applyAlignment="1" applyBorder="1" applyFont="1" applyNumberFormat="1">
      <alignment readingOrder="0" shrinkToFit="0" vertical="center" wrapText="0"/>
    </xf>
    <xf borderId="11" fillId="0" fontId="2" numFmtId="166" xfId="0" applyAlignment="1" applyBorder="1" applyFont="1" applyNumberFormat="1">
      <alignment shrinkToFit="0" vertical="center" wrapText="1"/>
    </xf>
    <xf borderId="16" fillId="0" fontId="2" numFmtId="166" xfId="0" applyAlignment="1" applyBorder="1" applyFont="1" applyNumberFormat="1">
      <alignment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6" fillId="0" fontId="2" numFmtId="4" xfId="0" applyAlignment="1" applyBorder="1" applyFont="1" applyNumberFormat="1">
      <alignment readingOrder="0" shrinkToFit="0" vertical="center" wrapText="0"/>
    </xf>
    <xf borderId="17" fillId="0" fontId="2" numFmtId="4" xfId="0" applyAlignment="1" applyBorder="1" applyFont="1" applyNumberFormat="1">
      <alignment readingOrder="0" shrinkToFit="0" vertical="center" wrapText="0"/>
    </xf>
    <xf borderId="0" fillId="0" fontId="2" numFmtId="0" xfId="0" applyFont="1"/>
    <xf borderId="0" fillId="0" fontId="1" numFmtId="166" xfId="0" applyAlignment="1" applyFont="1" applyNumberFormat="1">
      <alignment readingOrder="0" shrinkToFit="0" wrapText="1"/>
    </xf>
    <xf borderId="1" fillId="0" fontId="4" numFmtId="0" xfId="0" applyAlignment="1" applyBorder="1" applyFont="1">
      <alignment horizontal="center" readingOrder="0" shrinkToFit="0" vertical="center" wrapText="0"/>
    </xf>
    <xf borderId="2" fillId="0" fontId="4"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0"/>
    </xf>
    <xf borderId="2" fillId="0" fontId="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1"/>
    </xf>
    <xf borderId="0" fillId="0" fontId="1" numFmtId="166" xfId="0" applyFont="1" applyNumberFormat="1"/>
    <xf borderId="0" fillId="0" fontId="1" numFmtId="166" xfId="0" applyAlignment="1" applyFont="1" applyNumberFormat="1">
      <alignment horizontal="left" readingOrder="0"/>
    </xf>
    <xf borderId="4" fillId="3" fontId="6" numFmtId="0" xfId="0" applyAlignment="1" applyBorder="1" applyFill="1" applyFont="1">
      <alignment horizontal="center" readingOrder="0" shrinkToFit="0" vertical="bottom" wrapText="0"/>
    </xf>
    <xf borderId="5" fillId="3" fontId="7" numFmtId="3" xfId="0" applyAlignment="1" applyBorder="1" applyFont="1" applyNumberFormat="1">
      <alignment horizontal="center" shrinkToFit="0" vertical="center" wrapText="0"/>
    </xf>
    <xf borderId="13" fillId="3" fontId="7" numFmtId="3" xfId="0" applyAlignment="1" applyBorder="1" applyFont="1" applyNumberFormat="1">
      <alignment horizontal="center" shrinkToFit="0" vertical="center" wrapText="0"/>
    </xf>
    <xf borderId="4" fillId="3" fontId="8" numFmtId="0" xfId="0" applyAlignment="1" applyBorder="1" applyFont="1">
      <alignment readingOrder="0" shrinkToFit="0" vertical="bottom" wrapText="0"/>
    </xf>
    <xf borderId="5" fillId="3" fontId="9" numFmtId="3" xfId="0" applyAlignment="1" applyBorder="1" applyFont="1" applyNumberFormat="1">
      <alignment shrinkToFit="0" vertical="center" wrapText="0"/>
    </xf>
    <xf borderId="13" fillId="3" fontId="9" numFmtId="3" xfId="0" applyAlignment="1" applyBorder="1" applyFont="1" applyNumberFormat="1">
      <alignment shrinkToFit="0" vertical="center" wrapText="0"/>
    </xf>
    <xf borderId="8" fillId="4" fontId="6" numFmtId="0" xfId="0" applyAlignment="1" applyBorder="1" applyFill="1" applyFont="1">
      <alignment horizontal="center" readingOrder="0" shrinkToFit="0" vertical="bottom" wrapText="0"/>
    </xf>
    <xf borderId="9" fillId="4" fontId="7" numFmtId="3" xfId="0" applyAlignment="1" applyBorder="1" applyFont="1" applyNumberFormat="1">
      <alignment horizontal="center" shrinkToFit="0" vertical="center" wrapText="0"/>
    </xf>
    <xf borderId="14" fillId="4" fontId="7" numFmtId="3" xfId="0" applyAlignment="1" applyBorder="1" applyFont="1" applyNumberFormat="1">
      <alignment horizontal="center" shrinkToFit="0" vertical="center" wrapText="0"/>
    </xf>
    <xf borderId="8" fillId="4" fontId="8" numFmtId="0" xfId="0" applyAlignment="1" applyBorder="1" applyFont="1">
      <alignment readingOrder="0" shrinkToFit="0" vertical="bottom" wrapText="0"/>
    </xf>
    <xf borderId="9" fillId="4" fontId="9" numFmtId="3" xfId="0" applyAlignment="1" applyBorder="1" applyFont="1" applyNumberFormat="1">
      <alignment shrinkToFit="0" vertical="center" wrapText="0"/>
    </xf>
    <xf borderId="14" fillId="4" fontId="9" numFmtId="3" xfId="0" applyAlignment="1" applyBorder="1" applyFont="1" applyNumberFormat="1">
      <alignment shrinkToFit="0" vertical="center" wrapText="0"/>
    </xf>
    <xf borderId="9" fillId="4" fontId="7" numFmtId="3" xfId="0" applyAlignment="1" applyBorder="1" applyFont="1" applyNumberFormat="1">
      <alignment horizontal="center" readingOrder="0" shrinkToFit="0" vertical="center" wrapText="0"/>
    </xf>
    <xf borderId="9" fillId="4" fontId="9" numFmtId="3" xfId="0" applyAlignment="1" applyBorder="1" applyFont="1" applyNumberFormat="1">
      <alignment readingOrder="0" shrinkToFit="0" vertical="center" wrapText="0"/>
    </xf>
    <xf borderId="15" fillId="3" fontId="6" numFmtId="0" xfId="0" applyAlignment="1" applyBorder="1" applyFont="1">
      <alignment horizontal="center" readingOrder="0" shrinkToFit="0" vertical="bottom" wrapText="0"/>
    </xf>
    <xf borderId="16" fillId="3" fontId="7" numFmtId="3" xfId="0" applyAlignment="1" applyBorder="1" applyFont="1" applyNumberFormat="1">
      <alignment horizontal="center" readingOrder="0" shrinkToFit="0" vertical="center" wrapText="0"/>
    </xf>
    <xf borderId="17" fillId="3" fontId="7" numFmtId="3" xfId="0" applyAlignment="1" applyBorder="1" applyFont="1" applyNumberFormat="1">
      <alignment horizontal="center" shrinkToFit="0" vertical="center" wrapText="0"/>
    </xf>
    <xf borderId="15" fillId="3" fontId="8" numFmtId="0" xfId="0" applyAlignment="1" applyBorder="1" applyFont="1">
      <alignment readingOrder="0" shrinkToFit="0" vertical="bottom" wrapText="0"/>
    </xf>
    <xf borderId="16" fillId="3" fontId="9" numFmtId="3" xfId="0" applyAlignment="1" applyBorder="1" applyFont="1" applyNumberFormat="1">
      <alignment readingOrder="0" shrinkToFit="0" vertical="center" wrapText="0"/>
    </xf>
    <xf borderId="17" fillId="3" fontId="9" numFmtId="3" xfId="0" applyAlignment="1" applyBorder="1" applyFont="1" applyNumberFormat="1">
      <alignment shrinkToFit="0" vertical="center" wrapText="0"/>
    </xf>
    <xf borderId="0" fillId="0" fontId="1" numFmtId="166" xfId="0" applyAlignment="1" applyFont="1" applyNumberFormat="1">
      <alignment horizontal="left"/>
    </xf>
    <xf borderId="0" fillId="0" fontId="2" numFmtId="0" xfId="0" applyAlignment="1" applyFont="1">
      <alignment readingOrder="0" shrinkToFit="0" wrapText="1"/>
    </xf>
    <xf borderId="0" fillId="3" fontId="10" numFmtId="0" xfId="0" applyAlignment="1" applyFont="1">
      <alignment readingOrder="0" shrinkToFit="0" wrapText="0"/>
    </xf>
    <xf borderId="0" fillId="0" fontId="2" numFmtId="3" xfId="0" applyAlignment="1" applyFont="1" applyNumberFormat="1">
      <alignment readingOrder="0" shrinkToFit="0" wrapText="1"/>
    </xf>
    <xf borderId="1" fillId="0" fontId="2" numFmtId="0" xfId="0" applyAlignment="1" applyBorder="1" applyFont="1">
      <alignment horizontal="left" readingOrder="0" shrinkToFit="0" vertical="center" wrapText="1"/>
    </xf>
    <xf borderId="13"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14" fillId="0" fontId="2" numFmtId="0" xfId="0" applyAlignment="1" applyBorder="1" applyFont="1">
      <alignment readingOrder="0" shrinkToFit="0" vertical="center" wrapText="1"/>
    </xf>
    <xf borderId="13" fillId="0" fontId="2" numFmtId="0" xfId="0" applyAlignment="1" applyBorder="1" applyFont="1">
      <alignment readingOrder="0" shrinkToFit="0" vertical="center" wrapText="0"/>
    </xf>
    <xf borderId="4" fillId="0" fontId="2" numFmtId="0" xfId="0" applyAlignment="1" applyBorder="1" applyFont="1">
      <alignment shrinkToFit="0" vertical="center" wrapText="1"/>
    </xf>
    <xf borderId="5" fillId="0" fontId="2" numFmtId="0" xfId="0" applyAlignment="1" applyBorder="1" applyFont="1">
      <alignment shrinkToFit="0" vertical="center" wrapText="1"/>
    </xf>
    <xf borderId="13" fillId="0" fontId="2" numFmtId="0" xfId="0" applyAlignment="1" applyBorder="1" applyFont="1">
      <alignment shrinkToFit="0" vertical="center" wrapText="1"/>
    </xf>
    <xf borderId="14" fillId="0" fontId="2" numFmtId="0" xfId="0" applyAlignment="1" applyBorder="1" applyFont="1">
      <alignment readingOrder="0" shrinkToFit="0" vertical="center" wrapText="0"/>
    </xf>
    <xf borderId="10" fillId="0" fontId="2" numFmtId="0" xfId="0" applyAlignment="1" applyBorder="1" applyFont="1">
      <alignment shrinkToFit="0" vertical="center" wrapText="1"/>
    </xf>
    <xf borderId="11" fillId="0" fontId="2" numFmtId="0" xfId="0" applyAlignment="1" applyBorder="1" applyFont="1">
      <alignment shrinkToFit="0" vertical="center" wrapText="1"/>
    </xf>
    <xf borderId="12" fillId="0" fontId="2" numFmtId="0" xfId="0" applyAlignment="1" applyBorder="1" applyFont="1">
      <alignment shrinkToFit="0" vertical="center" wrapText="1"/>
    </xf>
    <xf borderId="10" fillId="0" fontId="2" numFmtId="0" xfId="0" applyAlignment="1" applyBorder="1" applyFont="1">
      <alignment readingOrder="0" shrinkToFit="0" vertical="center" wrapText="1"/>
    </xf>
    <xf borderId="16" fillId="0" fontId="2" numFmtId="0" xfId="0" applyAlignment="1" applyBorder="1" applyFont="1">
      <alignment shrinkToFit="0" vertical="center" wrapText="0"/>
    </xf>
    <xf borderId="17" fillId="0" fontId="2"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8">
    <tableStyle count="3" pivot="0" name="Tahap Pembobotan AHP-style">
      <tableStyleElement dxfId="1" type="headerRow"/>
      <tableStyleElement dxfId="2" type="firstRowStripe"/>
      <tableStyleElement dxfId="3" type="secondRowStripe"/>
    </tableStyle>
    <tableStyle count="3" pivot="0" name="Tahap Pembobotan AHP-style 2">
      <tableStyleElement dxfId="1" type="headerRow"/>
      <tableStyleElement dxfId="2" type="firstRowStripe"/>
      <tableStyleElement dxfId="3" type="secondRowStripe"/>
    </tableStyle>
    <tableStyle count="3" pivot="0" name="Tahap Pembobotan AHP-style 3">
      <tableStyleElement dxfId="1" type="headerRow"/>
      <tableStyleElement dxfId="2" type="firstRowStripe"/>
      <tableStyleElement dxfId="3" type="secondRowStripe"/>
    </tableStyle>
    <tableStyle count="3" pivot="0" name="Kota terbaik-style">
      <tableStyleElement dxfId="1" type="headerRow"/>
      <tableStyleElement dxfId="2" type="firstRowStripe"/>
      <tableStyleElement dxfId="3" type="secondRowStripe"/>
    </tableStyle>
    <tableStyle count="3" pivot="0" name="Kota terbaik-style 2">
      <tableStyleElement dxfId="1" type="headerRow"/>
      <tableStyleElement dxfId="2" type="firstRowStripe"/>
      <tableStyleElement dxfId="3" type="secondRowStripe"/>
    </tableStyle>
    <tableStyle count="3" pivot="0" name="Kota terbaik-style 3">
      <tableStyleElement dxfId="1" type="headerRow"/>
      <tableStyleElement dxfId="2" type="firstRowStripe"/>
      <tableStyleElement dxfId="3" type="secondRowStripe"/>
    </tableStyle>
    <tableStyle count="3" pivot="0" name="Kota terbaik Dengan Tarif Ojol-style">
      <tableStyleElement dxfId="1" type="headerRow"/>
      <tableStyleElement dxfId="2" type="firstRowStripe"/>
      <tableStyleElement dxfId="3" type="secondRowStripe"/>
    </tableStyle>
    <tableStyle count="3" pivot="0" name="Kota terbaik Dengan Tarif Ojol-style 2">
      <tableStyleElement dxfId="1" type="headerRow"/>
      <tableStyleElement dxfId="2" type="firstRowStripe"/>
      <tableStyleElement dxfId="3" type="secondRowStripe"/>
    </tableStyle>
    <tableStyle count="3" pivot="0" name="Kota terbaik Dengan Tarif Ojol-style 3">
      <tableStyleElement dxfId="1" type="headerRow"/>
      <tableStyleElement dxfId="2" type="firstRowStripe"/>
      <tableStyleElement dxfId="3" type="secondRowStripe"/>
    </tableStyle>
    <tableStyle count="3" pivot="0" name="Kota terbaik Dengan Tarif Ojol-style 4">
      <tableStyleElement dxfId="1" type="headerRow"/>
      <tableStyleElement dxfId="2" type="firstRowStripe"/>
      <tableStyleElement dxfId="3" type="secondRowStripe"/>
    </tableStyle>
    <tableStyle count="3" pivot="0" name="Kota terbaik Dengan Tarif Ojol-style 5">
      <tableStyleElement dxfId="1" type="headerRow"/>
      <tableStyleElement dxfId="2" type="firstRowStripe"/>
      <tableStyleElement dxfId="3" type="secondRowStripe"/>
    </tableStyle>
    <tableStyle count="3" pivot="0" name="Kota terbaik Dengan Tarif Ojol-style 6">
      <tableStyleElement dxfId="1" type="headerRow"/>
      <tableStyleElement dxfId="2" type="firstRowStripe"/>
      <tableStyleElement dxfId="3" type="secondRowStripe"/>
    </tableStyle>
    <tableStyle count="3" pivot="0" name="Perhitungan SAW Surabaya-style">
      <tableStyleElement dxfId="1" type="headerRow"/>
      <tableStyleElement dxfId="2" type="firstRowStripe"/>
      <tableStyleElement dxfId="3" type="secondRowStripe"/>
    </tableStyle>
    <tableStyle count="3" pivot="0" name="Perhitungan SAW Surabaya-style 2">
      <tableStyleElement dxfId="1" type="headerRow"/>
      <tableStyleElement dxfId="2" type="firstRowStripe"/>
      <tableStyleElement dxfId="3" type="secondRowStripe"/>
    </tableStyle>
    <tableStyle count="3" pivot="0" name="Perhitungan SAW Surabaya-style 3">
      <tableStyleElement dxfId="1" type="headerRow"/>
      <tableStyleElement dxfId="2" type="firstRowStripe"/>
      <tableStyleElement dxfId="3" type="secondRowStripe"/>
    </tableStyle>
    <tableStyle count="3" pivot="0" name="Perhitungan SAW Medan-style">
      <tableStyleElement dxfId="1" type="headerRow"/>
      <tableStyleElement dxfId="2" type="firstRowStripe"/>
      <tableStyleElement dxfId="3" type="secondRowStripe"/>
    </tableStyle>
    <tableStyle count="3" pivot="0" name="Perhitungan SAW Medan-style 2">
      <tableStyleElement dxfId="1" type="headerRow"/>
      <tableStyleElement dxfId="2" type="firstRowStripe"/>
      <tableStyleElement dxfId="3" type="secondRowStripe"/>
    </tableStyle>
    <tableStyle count="3" pivot="0" name="Perhitungan SAW Medan-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Recommended Minimum Price with Reference to Actual Minimum Price in Bandung</a:t>
            </a:r>
          </a:p>
        </c:rich>
      </c:tx>
      <c:overlay val="0"/>
    </c:title>
    <c:plotArea>
      <c:layout/>
      <c:barChart>
        <c:barDir val="col"/>
        <c:ser>
          <c:idx val="0"/>
          <c:order val="0"/>
          <c:tx>
            <c:strRef>
              <c:f>'Kota terbaik Dengan Tarif Ojol'!$P$13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'Kota terbaik Dengan Tarif Ojol'!$O$14:$O$18</c:f>
            </c:strRef>
          </c:cat>
          <c:val>
            <c:numRef>
              <c:f>'Kota terbaik Dengan Tarif Ojol'!$P$14:$P$18</c:f>
              <c:numCache/>
            </c:numRef>
          </c:val>
        </c:ser>
        <c:ser>
          <c:idx val="1"/>
          <c:order val="1"/>
          <c:tx>
            <c:strRef>
              <c:f>'Kota terbaik Dengan Tarif Ojol'!$Q$13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'Kota terbaik Dengan Tarif Ojol'!$O$14:$O$18</c:f>
            </c:strRef>
          </c:cat>
          <c:val>
            <c:numRef>
              <c:f>'Kota terbaik Dengan Tarif Ojol'!$Q$14:$Q$18</c:f>
              <c:numCache/>
            </c:numRef>
          </c:val>
        </c:ser>
        <c:axId val="1656915716"/>
        <c:axId val="115348097"/>
      </c:barChart>
      <c:catAx>
        <c:axId val="16569157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115348097"/>
      </c:catAx>
      <c:valAx>
        <c:axId val="1153480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691571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Recommended Minimum Price with Reference to Actual Minimum Price in Jakarta</a:t>
            </a:r>
          </a:p>
        </c:rich>
      </c:tx>
      <c:overlay val="0"/>
    </c:title>
    <c:plotArea>
      <c:layout/>
      <c:barChart>
        <c:barDir val="col"/>
        <c:ser>
          <c:idx val="0"/>
          <c:order val="0"/>
          <c:tx>
            <c:strRef>
              <c:f>'Kota terbaik Dengan Tarif Ojol'!$T$13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'Kota terbaik Dengan Tarif Ojol'!$S$14:$S$18</c:f>
            </c:strRef>
          </c:cat>
          <c:val>
            <c:numRef>
              <c:f>'Kota terbaik Dengan Tarif Ojol'!$T$14:$T$18</c:f>
              <c:numCache/>
            </c:numRef>
          </c:val>
        </c:ser>
        <c:ser>
          <c:idx val="1"/>
          <c:order val="1"/>
          <c:tx>
            <c:strRef>
              <c:f>'Kota terbaik Dengan Tarif Ojol'!$U$13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'Kota terbaik Dengan Tarif Ojol'!$S$14:$S$18</c:f>
            </c:strRef>
          </c:cat>
          <c:val>
            <c:numRef>
              <c:f>'Kota terbaik Dengan Tarif Ojol'!$U$14:$U$18</c:f>
              <c:numCache/>
            </c:numRef>
          </c:val>
        </c:ser>
        <c:axId val="1431807374"/>
        <c:axId val="1940756628"/>
      </c:barChart>
      <c:catAx>
        <c:axId val="1431807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1940756628"/>
      </c:catAx>
      <c:valAx>
        <c:axId val="1940756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180737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828675</xdr:colOff>
      <xdr:row>18</xdr:row>
      <xdr:rowOff>161925</xdr:rowOff>
    </xdr:from>
    <xdr:ext cx="81534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476250</xdr:colOff>
      <xdr:row>18</xdr:row>
      <xdr:rowOff>161925</xdr:rowOff>
    </xdr:from>
    <xdr:ext cx="81534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E8" displayName="Matriks_Perbandingan_Berpasangan_Antar_Kriteria" name="Matriks_Perbandingan_Berpasangan_Antar_Kriteria" id="1">
  <tableColumns count="5">
    <tableColumn name="Column 1" id="1"/>
    <tableColumn name="C1 (Keterjangkauan/UMR)" id="2"/>
    <tableColumn name="C2 (Waktu Tempuh)" id="3"/>
    <tableColumn name="C3 (Jumlah Armada)" id="4"/>
    <tableColumn name="C4 (Jumlah Kendaraan Pribadi)" id="5"/>
  </tableColumns>
  <tableStyleInfo name="Tahap Pembobotan AHP-style" showColumnStripes="0" showFirstColumn="1" showLastColumn="1" showRowStripes="1"/>
</table>
</file>

<file path=xl/tables/table10.xml><?xml version="1.0" encoding="utf-8"?>
<table xmlns="http://schemas.openxmlformats.org/spreadsheetml/2006/main" ref="T4:W9" displayName="Table6" name="Table6" id="10">
  <tableColumns count="4">
    <tableColumn name="Alternatif" id="1"/>
    <tableColumn name="Skor Preferensi Akhir (Vi)" id="2"/>
    <tableColumn name="Harga Minimum Rekomendasi" id="3"/>
    <tableColumn name="Harga Minimum Aktual" id="4"/>
  </tableColumns>
  <tableStyleInfo name="Kota terbaik Dengan Tarif Ojol-style 4" showColumnStripes="0" showFirstColumn="1" showLastColumn="1" showRowStripes="1"/>
</table>
</file>

<file path=xl/tables/table11.xml><?xml version="1.0" encoding="utf-8"?>
<table xmlns="http://schemas.openxmlformats.org/spreadsheetml/2006/main" ref="O13:Q18" displayName="Bandung" name="Bandung" id="11">
  <tableColumns count="3">
    <tableColumn name="City" id="1"/>
    <tableColumn name="Minimum Recommended Value" id="2"/>
    <tableColumn name="Minimum Actual Value" id="3"/>
  </tableColumns>
  <tableStyleInfo name="Kota terbaik Dengan Tarif Ojol-style 5" showColumnStripes="0" showFirstColumn="1" showLastColumn="1" showRowStripes="1"/>
</table>
</file>

<file path=xl/tables/table12.xml><?xml version="1.0" encoding="utf-8"?>
<table xmlns="http://schemas.openxmlformats.org/spreadsheetml/2006/main" ref="S13:U18" displayName="Jakarta" name="Jakarta" id="12">
  <tableColumns count="3">
    <tableColumn name="City" id="1"/>
    <tableColumn name="Minimum Recommended Value" id="2"/>
    <tableColumn name="Minimum Actual Value" id="3"/>
  </tableColumns>
  <tableStyleInfo name="Kota terbaik Dengan Tarif Ojol-style 6" showColumnStripes="0" showFirstColumn="1" showLastColumn="1" showRowStripes="1"/>
</table>
</file>

<file path=xl/tables/table13.xml><?xml version="1.0" encoding="utf-8"?>
<table xmlns="http://schemas.openxmlformats.org/spreadsheetml/2006/main" headerRowCount="0" ref="E5:H9" displayName="Matriks_Keputusan_Awal_Surabaya" name="Matriks_Keputusan_Awal_Surabaya" id="13">
  <tableColumns count="4">
    <tableColumn name="Column1" id="1"/>
    <tableColumn name="Column2" id="2"/>
    <tableColumn name="Column3" id="3"/>
    <tableColumn name="Column4" id="4"/>
  </tableColumns>
  <tableStyleInfo name="Perhitungan SAW Surabaya-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J5:N9" displayName="Perhitungan_SAW_dan_Perangkingan_Akhir" name="Perhitungan_SAW_dan_Perangkingan_Akhir" id="14">
  <tableColumns count="5">
    <tableColumn name="Column1" id="1"/>
    <tableColumn name="Column2" id="2"/>
    <tableColumn name="Column3" id="3"/>
    <tableColumn name="Column4" id="4"/>
    <tableColumn name="Column5" id="5"/>
  </tableColumns>
  <tableStyleInfo name="Perhitungan SAW Surabaya-style 2"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ref="P6:R9" displayName="Peringkat_Akhir" name="Peringkat_Akhir" id="15">
  <tableColumns count="3">
    <tableColumn name="Alternatif" id="1"/>
    <tableColumn name="Skor Preferensi Akhir (Vi)" id="2"/>
    <tableColumn name="Peringkat" id="3"/>
  </tableColumns>
  <tableStyleInfo name="Perhitungan SAW Surabaya-style 3" showColumnStripes="0" showFirstColumn="1" showLastColumn="1" showRowStripes="1"/>
</table>
</file>

<file path=xl/tables/table16.xml><?xml version="1.0" encoding="utf-8"?>
<table xmlns="http://schemas.openxmlformats.org/spreadsheetml/2006/main" headerRowCount="0" ref="G5:K9" displayName="Matriks_Keputusan_Awal_Medan" name="Matriks_Keputusan_Awal_Medan" id="16">
  <tableColumns count="5">
    <tableColumn name="Column1" id="1"/>
    <tableColumn name="Column2" id="2"/>
    <tableColumn name="Column3" id="3"/>
    <tableColumn name="Column4" id="4"/>
    <tableColumn name="Column5" id="5"/>
  </tableColumns>
  <tableStyleInfo name="Perhitungan SAW Medan-style"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M5:Q9" displayName="Table2" name="Table2" id="17">
  <tableColumns count="5">
    <tableColumn name="Column1" id="1"/>
    <tableColumn name="Column2" id="2"/>
    <tableColumn name="Column3" id="3"/>
    <tableColumn name="Column4" id="4"/>
    <tableColumn name="Column5" id="5"/>
  </tableColumns>
  <tableStyleInfo name="Perhitungan SAW Medan-style 2"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ref="S6:U9" displayName="Table3" name="Table3" id="18">
  <tableColumns count="3">
    <tableColumn name="Alternatif" id="1"/>
    <tableColumn name="Skor Preferensi Akhir (Vi)" id="2"/>
    <tableColumn name="Peringkat" id="3"/>
  </tableColumns>
  <tableStyleInfo name="Perhitungan SAW Medan-style 3" showColumnStripes="0" showFirstColumn="1" showLastColumn="1" showRowStripes="1"/>
</table>
</file>

<file path=xl/tables/table2.xml><?xml version="1.0" encoding="utf-8"?>
<table xmlns="http://schemas.openxmlformats.org/spreadsheetml/2006/main" ref="A12:E17" displayName="Perhitungan_Bobot_Kriteria_metode_AHP" name="Perhitungan_Bobot_Kriteria_metode_AHP" id="2">
  <tableColumns count="5">
    <tableColumn name="Column 1" id="1"/>
    <tableColumn name="C1" id="2"/>
    <tableColumn name="C2" id="3"/>
    <tableColumn name="C3" id="4"/>
    <tableColumn name="C4" id="5"/>
  </tableColumns>
  <tableStyleInfo name="Tahap Pembobotan AHP-style 2" showColumnStripes="0" showFirstColumn="1" showLastColumn="1" showRowStripes="1"/>
</table>
</file>

<file path=xl/tables/table3.xml><?xml version="1.0" encoding="utf-8"?>
<table xmlns="http://schemas.openxmlformats.org/spreadsheetml/2006/main" ref="A22:F27" displayName="Table1" name="Table1" id="3">
  <tableColumns count="6">
    <tableColumn name="Normalisasi" id="1"/>
    <tableColumn name="C1" id="2"/>
    <tableColumn name="C2" id="3"/>
    <tableColumn name="C3" id="4"/>
    <tableColumn name="C4" id="5"/>
    <tableColumn name="Bobot Kriteria" id="6"/>
  </tableColumns>
  <tableStyleInfo name="Tahap Pembobotan AHP-style 3" showColumnStripes="0" showFirstColumn="1" showLastColumn="1" showRowStripes="1"/>
</table>
</file>

<file path=xl/tables/table4.xml><?xml version="1.0" encoding="utf-8"?>
<table xmlns="http://schemas.openxmlformats.org/spreadsheetml/2006/main" ref="A2:E7" displayName="MAtriks_Keputusan_Awal" name="MAtriks_Keputusan_Awal" id="4">
  <tableColumns count="5">
    <tableColumn name="Alternatif" id="1"/>
    <tableColumn name="C1: UMR (IDR)" id="2"/>
    <tableColumn name="C2: Tingkat Kemacetan (detik)" id="3"/>
    <tableColumn name="C3: Armada Online" id="4"/>
    <tableColumn name="C4: Kendaraan Pribadi (unit) tahun 2024/2025" id="5"/>
  </tableColumns>
  <tableStyleInfo name="Kota terbaik-style" showColumnStripes="0" showFirstColumn="1" showLastColumn="1" showRowStripes="1"/>
</table>
</file>

<file path=xl/tables/table5.xml><?xml version="1.0" encoding="utf-8"?>
<table xmlns="http://schemas.openxmlformats.org/spreadsheetml/2006/main" headerRowCount="0" ref="G3:K9" displayName="Table4" name="Table4" id="5">
  <tableColumns count="5">
    <tableColumn name="Column1" id="1"/>
    <tableColumn name="Column2" id="2"/>
    <tableColumn name="Column3" id="3"/>
    <tableColumn name="Column4" id="4"/>
    <tableColumn name="Column5" id="5"/>
  </tableColumns>
  <tableStyleInfo name="Kota terbaik-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M4:P9" displayName="Table5" name="Table5" id="6">
  <tableColumns count="4">
    <tableColumn name="Alternatif" id="1"/>
    <tableColumn name="Skor Preferensi Akhir (Vi)" id="2"/>
    <tableColumn name="Peringkat" id="3"/>
    <tableColumn name="Bandung sebagai Acuan" id="4"/>
  </tableColumns>
  <tableStyleInfo name="Kota terbaik-style 3" showColumnStripes="0" showFirstColumn="1" showLastColumn="1" showRowStripes="1"/>
</table>
</file>

<file path=xl/tables/table7.xml><?xml version="1.0" encoding="utf-8"?>
<table xmlns="http://schemas.openxmlformats.org/spreadsheetml/2006/main" ref="A2:E7" displayName="MAtriks_Keputusan_Awal_2" name="MAtriks_Keputusan_Awal_2" id="7">
  <tableColumns count="5">
    <tableColumn name="Alternatif" id="1"/>
    <tableColumn name="C1: UMR (IDR) / Tarif minimum ojol" id="2"/>
    <tableColumn name="C2: Waktu Tempuh (detik)" id="3"/>
    <tableColumn name="C3: Armada Online" id="4"/>
    <tableColumn name="C4: Kendaraan Pribadi (unit) tahun 2024/2025" id="5"/>
  </tableColumns>
  <tableStyleInfo name="Kota terbaik Dengan Tarif Ojol-style" showColumnStripes="0" showFirstColumn="1" showLastColumn="1" showRowStripes="1"/>
</table>
</file>

<file path=xl/tables/table8.xml><?xml version="1.0" encoding="utf-8"?>
<table xmlns="http://schemas.openxmlformats.org/spreadsheetml/2006/main" headerRowCount="0" ref="G3:K9" displayName="Table4_2" name="Table4_2" id="8">
  <tableColumns count="5">
    <tableColumn name="Column1" id="1"/>
    <tableColumn name="Column2" id="2"/>
    <tableColumn name="Column3" id="3"/>
    <tableColumn name="Column4" id="4"/>
    <tableColumn name="Column5" id="5"/>
  </tableColumns>
  <tableStyleInfo name="Kota terbaik Dengan Tarif Ojol-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ref="M4:R9" displayName="Table5_2" name="Table5_2" id="9">
  <tableColumns count="6">
    <tableColumn name="Alternatif" id="1"/>
    <tableColumn name="Skor Preferensi Akhir (Vi)" id="2"/>
    <tableColumn name="Peringkat" id="3"/>
    <tableColumn name="Bandung sebagai Acuan" id="4"/>
    <tableColumn name="Jakarta sebagai Acuan" id="5"/>
    <tableColumn name="Harga Minimum Aktual" id="6"/>
  </tableColumns>
  <tableStyleInfo name="Kota terbaik Dengan Tarif Ojol-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13" Type="http://schemas.openxmlformats.org/officeDocument/2006/relationships/table" Target="../tables/table12.xml"/><Relationship Id="rId12" Type="http://schemas.openxmlformats.org/officeDocument/2006/relationships/table" Target="../tables/table11.xml"/><Relationship Id="rId9" Type="http://schemas.openxmlformats.org/officeDocument/2006/relationships/table" Target="../tables/table8.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3.xml"/><Relationship Id="rId6" Type="http://schemas.openxmlformats.org/officeDocument/2006/relationships/table" Target="../tables/table14.xml"/><Relationship Id="rId7"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5" Type="http://schemas.openxmlformats.org/officeDocument/2006/relationships/table" Target="../tables/table16.xml"/><Relationship Id="rId6" Type="http://schemas.openxmlformats.org/officeDocument/2006/relationships/table" Target="../tables/table17.xml"/><Relationship Id="rId7"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13"/>
    <col customWidth="1" min="3" max="3" width="16.38"/>
    <col customWidth="1" min="4" max="4" width="15.25"/>
    <col customWidth="1" min="5" max="5" width="15.88"/>
  </cols>
  <sheetData>
    <row r="2">
      <c r="A2" s="1" t="s">
        <v>0</v>
      </c>
      <c r="B2" s="2" t="s">
        <v>1</v>
      </c>
    </row>
    <row r="3">
      <c r="A3" s="3"/>
      <c r="B3" s="3"/>
      <c r="C3" s="3"/>
      <c r="D3" s="3"/>
      <c r="E3" s="3"/>
    </row>
    <row r="4">
      <c r="A4" s="4" t="s">
        <v>2</v>
      </c>
      <c r="B4" s="5" t="s">
        <v>3</v>
      </c>
      <c r="C4" s="5" t="s">
        <v>4</v>
      </c>
      <c r="D4" s="5" t="s">
        <v>5</v>
      </c>
      <c r="E4" s="6" t="s">
        <v>6</v>
      </c>
      <c r="G4" s="7">
        <v>1.0</v>
      </c>
      <c r="H4" s="8" t="s">
        <v>7</v>
      </c>
    </row>
    <row r="5">
      <c r="A5" s="9" t="s">
        <v>3</v>
      </c>
      <c r="B5" s="10">
        <v>1.0</v>
      </c>
      <c r="C5" s="11" t="s">
        <v>8</v>
      </c>
      <c r="D5" s="11" t="s">
        <v>9</v>
      </c>
      <c r="E5" s="12" t="s">
        <v>10</v>
      </c>
      <c r="G5" s="7">
        <v>3.0</v>
      </c>
      <c r="H5" s="8" t="s">
        <v>11</v>
      </c>
    </row>
    <row r="6">
      <c r="A6" s="13" t="s">
        <v>4</v>
      </c>
      <c r="B6" s="14">
        <v>45662.0</v>
      </c>
      <c r="C6" s="15">
        <v>1.0</v>
      </c>
      <c r="D6" s="11" t="s">
        <v>12</v>
      </c>
      <c r="E6" s="12" t="s">
        <v>13</v>
      </c>
      <c r="G6" s="7">
        <v>5.0</v>
      </c>
      <c r="H6" s="8" t="s">
        <v>14</v>
      </c>
    </row>
    <row r="7">
      <c r="A7" s="9" t="s">
        <v>5</v>
      </c>
      <c r="B7" s="10">
        <v>3.0</v>
      </c>
      <c r="C7" s="16">
        <v>45660.0</v>
      </c>
      <c r="D7" s="16">
        <v>1.0</v>
      </c>
      <c r="E7" s="12" t="s">
        <v>15</v>
      </c>
      <c r="G7" s="7">
        <v>7.0</v>
      </c>
      <c r="H7" s="8" t="s">
        <v>16</v>
      </c>
    </row>
    <row r="8">
      <c r="A8" s="17" t="s">
        <v>6</v>
      </c>
      <c r="B8" s="18">
        <v>45660.0</v>
      </c>
      <c r="C8" s="19">
        <v>45662.0</v>
      </c>
      <c r="D8" s="20">
        <v>45660.0</v>
      </c>
      <c r="E8" s="21">
        <v>1.0</v>
      </c>
      <c r="G8" s="7">
        <v>9.0</v>
      </c>
      <c r="H8" s="8" t="s">
        <v>17</v>
      </c>
    </row>
    <row r="10">
      <c r="A10" s="2" t="s">
        <v>18</v>
      </c>
    </row>
    <row r="12">
      <c r="A12" s="22" t="s">
        <v>2</v>
      </c>
      <c r="B12" s="23" t="s">
        <v>19</v>
      </c>
      <c r="C12" s="23" t="s">
        <v>20</v>
      </c>
      <c r="D12" s="23" t="s">
        <v>21</v>
      </c>
      <c r="E12" s="24" t="s">
        <v>22</v>
      </c>
    </row>
    <row r="13">
      <c r="A13" s="25" t="s">
        <v>19</v>
      </c>
      <c r="B13" s="26">
        <v>1.0</v>
      </c>
      <c r="C13" s="26">
        <v>5.0</v>
      </c>
      <c r="D13" s="26">
        <v>0.33</v>
      </c>
      <c r="E13" s="27">
        <v>3.0</v>
      </c>
    </row>
    <row r="14">
      <c r="A14" s="28" t="s">
        <v>20</v>
      </c>
      <c r="B14" s="29">
        <f>1/5</f>
        <v>0.2</v>
      </c>
      <c r="C14" s="30">
        <v>1.0</v>
      </c>
      <c r="D14" s="30">
        <v>3.0</v>
      </c>
      <c r="E14" s="31">
        <v>5.0</v>
      </c>
    </row>
    <row r="15">
      <c r="A15" s="25" t="s">
        <v>21</v>
      </c>
      <c r="B15" s="26">
        <v>3.0</v>
      </c>
      <c r="C15" s="32">
        <f>1/3</f>
        <v>0.3333333333</v>
      </c>
      <c r="D15" s="26">
        <v>1.0</v>
      </c>
      <c r="E15" s="27">
        <v>3.0</v>
      </c>
    </row>
    <row r="16">
      <c r="A16" s="28" t="s">
        <v>22</v>
      </c>
      <c r="B16" s="29">
        <f>1/3</f>
        <v>0.3333333333</v>
      </c>
      <c r="C16" s="29">
        <f>1/5</f>
        <v>0.2</v>
      </c>
      <c r="D16" s="29">
        <f>1/3</f>
        <v>0.3333333333</v>
      </c>
      <c r="E16" s="31">
        <v>1.0</v>
      </c>
    </row>
    <row r="17">
      <c r="A17" s="33" t="s">
        <v>23</v>
      </c>
      <c r="B17" s="34">
        <f t="shared" ref="B17:E17" si="1">SUM(B13:B16)</f>
        <v>4.533333333</v>
      </c>
      <c r="C17" s="34">
        <f t="shared" si="1"/>
        <v>6.533333333</v>
      </c>
      <c r="D17" s="34">
        <f t="shared" si="1"/>
        <v>4.663333333</v>
      </c>
      <c r="E17" s="35">
        <f t="shared" si="1"/>
        <v>12</v>
      </c>
    </row>
    <row r="18">
      <c r="G18" s="36" t="s">
        <v>24</v>
      </c>
    </row>
    <row r="20">
      <c r="A20" s="2" t="s">
        <v>25</v>
      </c>
    </row>
    <row r="22">
      <c r="A22" s="37" t="s">
        <v>26</v>
      </c>
      <c r="B22" s="38" t="s">
        <v>19</v>
      </c>
      <c r="C22" s="38" t="s">
        <v>20</v>
      </c>
      <c r="D22" s="38" t="s">
        <v>21</v>
      </c>
      <c r="E22" s="38" t="s">
        <v>22</v>
      </c>
      <c r="F22" s="39" t="s">
        <v>27</v>
      </c>
    </row>
    <row r="23">
      <c r="A23" s="40" t="s">
        <v>19</v>
      </c>
      <c r="B23" s="41">
        <f t="shared" ref="B23:B26" si="2">B13/$B$17</f>
        <v>0.2205882353</v>
      </c>
      <c r="C23" s="41">
        <f t="shared" ref="C23:C26" si="3">C13/$C$17</f>
        <v>0.7653061224</v>
      </c>
      <c r="D23" s="41">
        <f t="shared" ref="D23:D26" si="4">D13/$D$17</f>
        <v>0.07076483202</v>
      </c>
      <c r="E23" s="41">
        <f t="shared" ref="E23:E26" si="5">E13/$E$17</f>
        <v>0.25</v>
      </c>
      <c r="F23" s="42">
        <f t="shared" ref="F23:F26" si="6">average(B23:E23)</f>
        <v>0.3266647974</v>
      </c>
      <c r="G23" s="36" t="s">
        <v>3</v>
      </c>
    </row>
    <row r="24">
      <c r="A24" s="43" t="s">
        <v>20</v>
      </c>
      <c r="B24" s="44">
        <f t="shared" si="2"/>
        <v>0.04411764706</v>
      </c>
      <c r="C24" s="44">
        <f t="shared" si="3"/>
        <v>0.1530612245</v>
      </c>
      <c r="D24" s="44">
        <f t="shared" si="4"/>
        <v>0.6433166548</v>
      </c>
      <c r="E24" s="44">
        <f t="shared" si="5"/>
        <v>0.4166666667</v>
      </c>
      <c r="F24" s="45">
        <f t="shared" si="6"/>
        <v>0.3142905482</v>
      </c>
      <c r="G24" s="36" t="s">
        <v>4</v>
      </c>
    </row>
    <row r="25">
      <c r="A25" s="40" t="s">
        <v>21</v>
      </c>
      <c r="B25" s="41">
        <f t="shared" si="2"/>
        <v>0.6617647059</v>
      </c>
      <c r="C25" s="41">
        <f t="shared" si="3"/>
        <v>0.05102040816</v>
      </c>
      <c r="D25" s="41">
        <f t="shared" si="4"/>
        <v>0.2144388849</v>
      </c>
      <c r="E25" s="41">
        <f t="shared" si="5"/>
        <v>0.25</v>
      </c>
      <c r="F25" s="42">
        <f t="shared" si="6"/>
        <v>0.2943059997</v>
      </c>
      <c r="G25" s="36" t="s">
        <v>5</v>
      </c>
    </row>
    <row r="26">
      <c r="A26" s="43" t="s">
        <v>22</v>
      </c>
      <c r="B26" s="44">
        <f t="shared" si="2"/>
        <v>0.07352941176</v>
      </c>
      <c r="C26" s="44">
        <f t="shared" si="3"/>
        <v>0.0306122449</v>
      </c>
      <c r="D26" s="44">
        <f t="shared" si="4"/>
        <v>0.07147962831</v>
      </c>
      <c r="E26" s="44">
        <f t="shared" si="5"/>
        <v>0.08333333333</v>
      </c>
      <c r="F26" s="45">
        <f t="shared" si="6"/>
        <v>0.06473865458</v>
      </c>
      <c r="G26" s="36" t="s">
        <v>6</v>
      </c>
    </row>
    <row r="27">
      <c r="A27" s="46" t="s">
        <v>28</v>
      </c>
      <c r="B27" s="47">
        <f t="shared" ref="B27:E27" si="7">sum(B23:B26)</f>
        <v>1</v>
      </c>
      <c r="C27" s="47">
        <f t="shared" si="7"/>
        <v>1</v>
      </c>
      <c r="D27" s="47">
        <f t="shared" si="7"/>
        <v>1</v>
      </c>
      <c r="E27" s="47">
        <f t="shared" si="7"/>
        <v>1</v>
      </c>
      <c r="F27" s="48">
        <f>SUM(F23:F26)</f>
        <v>1</v>
      </c>
    </row>
    <row r="31">
      <c r="D31" s="3"/>
      <c r="E31" s="3"/>
    </row>
    <row r="32">
      <c r="D32" s="3"/>
      <c r="E32" s="3"/>
    </row>
    <row r="33">
      <c r="D33" s="3"/>
      <c r="E33" s="3"/>
    </row>
    <row r="34">
      <c r="D34" s="3"/>
      <c r="E34" s="3"/>
    </row>
    <row r="35">
      <c r="D35" s="3"/>
      <c r="E35" s="3"/>
    </row>
    <row r="36">
      <c r="D36" s="3"/>
      <c r="E36" s="3"/>
    </row>
    <row r="37">
      <c r="A37" s="3"/>
      <c r="B37" s="3"/>
      <c r="C37" s="3"/>
      <c r="D37" s="3"/>
      <c r="E37" s="3"/>
    </row>
    <row r="38">
      <c r="D38" s="3"/>
      <c r="E38" s="3"/>
    </row>
    <row r="39">
      <c r="D39" s="3"/>
      <c r="E39" s="3"/>
    </row>
    <row r="40">
      <c r="D40" s="3"/>
      <c r="E40" s="3"/>
    </row>
    <row r="41">
      <c r="D41" s="3"/>
      <c r="E41" s="3"/>
    </row>
    <row r="42">
      <c r="D42" s="3"/>
      <c r="E42" s="3"/>
    </row>
    <row r="4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row r="1001">
      <c r="A1001" s="3"/>
      <c r="B1001" s="3"/>
      <c r="C1001" s="3"/>
      <c r="D1001" s="3"/>
      <c r="E1001" s="3"/>
    </row>
  </sheetData>
  <mergeCells count="5">
    <mergeCell ref="H4:J4"/>
    <mergeCell ref="H5:J5"/>
    <mergeCell ref="H6:J6"/>
    <mergeCell ref="H7:J7"/>
    <mergeCell ref="H8:J8"/>
  </mergeCells>
  <dataValidations>
    <dataValidation type="custom" allowBlank="1" showDropDown="1" sqref="D5:D8">
      <formula1>OR(NOT(ISERROR(DATEVALUE(D5))), AND(ISNUMBER(D5), LEFT(CELL("format", D5))="D"))</formula1>
    </dataValidation>
    <dataValidation type="custom" allowBlank="1" showDropDown="1" sqref="B13:E17 B23:F27">
      <formula1>AND(ISNUMBER(B13),(NOT(OR(NOT(ISERROR(DATEVALUE(B13))), AND(ISNUMBER(B13), LEFT(CELL("format", B13))="D")))))</formula1>
    </dataValidation>
  </dataValidations>
  <drawing r:id="rId2"/>
  <legacyDrawing r:id="rId3"/>
  <tableParts count="3">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20.0"/>
    <col customWidth="1" min="3" max="3" width="28.0"/>
    <col customWidth="1" min="4" max="4" width="29.75"/>
    <col customWidth="1" min="5" max="5" width="29.88"/>
  </cols>
  <sheetData>
    <row r="1">
      <c r="G1" s="2" t="s">
        <v>29</v>
      </c>
      <c r="M1" s="2" t="s">
        <v>30</v>
      </c>
    </row>
    <row r="2">
      <c r="A2" s="49" t="s">
        <v>31</v>
      </c>
      <c r="B2" s="50" t="s">
        <v>32</v>
      </c>
      <c r="C2" s="50" t="s">
        <v>33</v>
      </c>
      <c r="D2" s="50" t="s">
        <v>34</v>
      </c>
      <c r="E2" s="51" t="s">
        <v>35</v>
      </c>
    </row>
    <row r="3">
      <c r="A3" s="52" t="s">
        <v>36</v>
      </c>
      <c r="B3" s="53">
        <v>4209309.0</v>
      </c>
      <c r="C3" s="54">
        <v>1957.0</v>
      </c>
      <c r="D3" s="55">
        <v>30000.0</v>
      </c>
      <c r="E3" s="56">
        <v>2360000.0</v>
      </c>
      <c r="G3" s="57" t="s">
        <v>2</v>
      </c>
      <c r="H3" s="58" t="s">
        <v>37</v>
      </c>
      <c r="I3" s="58" t="s">
        <v>38</v>
      </c>
      <c r="J3" s="58" t="s">
        <v>37</v>
      </c>
      <c r="K3" s="59" t="s">
        <v>38</v>
      </c>
    </row>
    <row r="4">
      <c r="A4" s="60" t="s">
        <v>39</v>
      </c>
      <c r="B4" s="61">
        <v>3769082.0</v>
      </c>
      <c r="C4" s="62">
        <v>1923.0</v>
      </c>
      <c r="D4" s="63">
        <v>2000.0</v>
      </c>
      <c r="E4" s="64">
        <v>3690000.0</v>
      </c>
      <c r="G4" s="65" t="s">
        <v>31</v>
      </c>
      <c r="H4" s="66" t="s">
        <v>3</v>
      </c>
      <c r="I4" s="66" t="s">
        <v>40</v>
      </c>
      <c r="J4" s="16" t="s">
        <v>5</v>
      </c>
      <c r="K4" s="67" t="s">
        <v>6</v>
      </c>
      <c r="M4" s="37" t="s">
        <v>31</v>
      </c>
      <c r="N4" s="38" t="s">
        <v>41</v>
      </c>
      <c r="O4" s="38" t="s">
        <v>42</v>
      </c>
      <c r="P4" s="68" t="s">
        <v>43</v>
      </c>
    </row>
    <row r="5">
      <c r="A5" s="69" t="s">
        <v>44</v>
      </c>
      <c r="B5" s="53">
        <v>3677591.0</v>
      </c>
      <c r="C5" s="54">
        <v>1675.0</v>
      </c>
      <c r="D5" s="70">
        <v>25000.0</v>
      </c>
      <c r="E5" s="56">
        <v>1640000.0</v>
      </c>
      <c r="G5" s="71" t="s">
        <v>36</v>
      </c>
      <c r="H5" s="72">
        <f t="shared" ref="H5:H9" si="1">C13</f>
        <v>0.7799695039</v>
      </c>
      <c r="I5" s="73">
        <f t="shared" ref="I5:I9" si="2">C19</f>
        <v>0.7823198774</v>
      </c>
      <c r="J5" s="15">
        <f t="shared" ref="J5:J9" si="3">C25</f>
        <v>0.03</v>
      </c>
      <c r="K5" s="74">
        <f t="shared" ref="K5:K9" si="4">C31</f>
        <v>0.6949152542</v>
      </c>
      <c r="M5" s="52" t="s">
        <v>36</v>
      </c>
      <c r="N5" s="75">
        <f>E14</f>
        <v>0.5544813818</v>
      </c>
      <c r="O5" s="75">
        <f t="shared" ref="O5:O9" si="5">RANK(N5,$N$5:$N$9,0)
</f>
        <v>4</v>
      </c>
      <c r="P5" s="76">
        <f>N5/N5*8000</f>
        <v>8000</v>
      </c>
    </row>
    <row r="6">
      <c r="A6" s="60" t="s">
        <v>45</v>
      </c>
      <c r="B6" s="61">
        <v>4725479.0</v>
      </c>
      <c r="C6" s="62">
        <v>1619.0</v>
      </c>
      <c r="D6" s="63">
        <v>15350.0</v>
      </c>
      <c r="E6" s="64">
        <v>3810000.0</v>
      </c>
      <c r="G6" s="69" t="s">
        <v>39</v>
      </c>
      <c r="H6" s="77">
        <f t="shared" si="1"/>
        <v>0.698397057</v>
      </c>
      <c r="I6" s="66">
        <f t="shared" si="2"/>
        <v>0.7961518461</v>
      </c>
      <c r="J6" s="78">
        <f t="shared" si="3"/>
        <v>0.002</v>
      </c>
      <c r="K6" s="79">
        <f t="shared" si="4"/>
        <v>0.4444444444</v>
      </c>
      <c r="M6" s="60" t="s">
        <v>39</v>
      </c>
      <c r="N6" s="80">
        <f>E17</f>
        <v>0.5077260807</v>
      </c>
      <c r="O6" s="80">
        <f t="shared" si="5"/>
        <v>5</v>
      </c>
      <c r="P6" s="81"/>
    </row>
    <row r="7">
      <c r="A7" s="82" t="s">
        <v>46</v>
      </c>
      <c r="B7" s="83">
        <v>5396761.0</v>
      </c>
      <c r="C7" s="84">
        <v>1531.0</v>
      </c>
      <c r="D7" s="85">
        <v>1000000.0</v>
      </c>
      <c r="E7" s="86">
        <v>2.4356669E7</v>
      </c>
      <c r="G7" s="60" t="s">
        <v>44</v>
      </c>
      <c r="H7" s="87">
        <f t="shared" si="1"/>
        <v>0.6814441106</v>
      </c>
      <c r="I7" s="88">
        <f t="shared" si="2"/>
        <v>0.9140298507</v>
      </c>
      <c r="J7" s="89">
        <f t="shared" si="3"/>
        <v>0.025</v>
      </c>
      <c r="K7" s="90">
        <f t="shared" si="4"/>
        <v>1</v>
      </c>
      <c r="M7" s="69" t="s">
        <v>44</v>
      </c>
      <c r="N7" s="75">
        <f>E20</f>
        <v>0.5819710498</v>
      </c>
      <c r="O7" s="75">
        <f t="shared" si="5"/>
        <v>3</v>
      </c>
      <c r="P7" s="76"/>
    </row>
    <row r="8">
      <c r="G8" s="69" t="s">
        <v>45</v>
      </c>
      <c r="H8" s="77">
        <f t="shared" si="1"/>
        <v>0.8756139099</v>
      </c>
      <c r="I8" s="91">
        <f t="shared" si="2"/>
        <v>0.9456454602</v>
      </c>
      <c r="J8" s="78">
        <f t="shared" si="3"/>
        <v>0.01535</v>
      </c>
      <c r="K8" s="79">
        <f t="shared" si="4"/>
        <v>0.4304461942</v>
      </c>
      <c r="M8" s="60" t="s">
        <v>45</v>
      </c>
      <c r="N8" s="92">
        <f>E23</f>
        <v>0.6156237752</v>
      </c>
      <c r="O8" s="93">
        <f t="shared" si="5"/>
        <v>2</v>
      </c>
      <c r="P8" s="94"/>
    </row>
    <row r="9">
      <c r="G9" s="95" t="s">
        <v>46</v>
      </c>
      <c r="H9" s="96">
        <f t="shared" si="1"/>
        <v>1</v>
      </c>
      <c r="I9" s="97">
        <f t="shared" si="2"/>
        <v>1</v>
      </c>
      <c r="J9" s="98">
        <f t="shared" si="3"/>
        <v>1</v>
      </c>
      <c r="K9" s="99">
        <f t="shared" si="4"/>
        <v>0.06733268823</v>
      </c>
      <c r="M9" s="82" t="s">
        <v>46</v>
      </c>
      <c r="N9" s="100">
        <f>E26</f>
        <v>0.9396203731</v>
      </c>
      <c r="O9" s="101">
        <f t="shared" si="5"/>
        <v>1</v>
      </c>
      <c r="P9" s="102"/>
    </row>
    <row r="11">
      <c r="A11" s="2" t="s">
        <v>47</v>
      </c>
      <c r="E11" s="2" t="s">
        <v>48</v>
      </c>
    </row>
    <row r="12">
      <c r="A12" s="2" t="s">
        <v>49</v>
      </c>
      <c r="B12" s="2" t="s">
        <v>50</v>
      </c>
      <c r="C12" s="103"/>
      <c r="E12" s="2" t="s">
        <v>51</v>
      </c>
    </row>
    <row r="13">
      <c r="A13" s="103"/>
      <c r="B13" s="1" t="s">
        <v>52</v>
      </c>
      <c r="C13" s="104">
        <f>B3/B7</f>
        <v>0.7799695039</v>
      </c>
      <c r="E13" s="2" t="s">
        <v>53</v>
      </c>
    </row>
    <row r="14">
      <c r="A14" s="103"/>
      <c r="B14" s="1" t="s">
        <v>54</v>
      </c>
      <c r="C14" s="103">
        <f>B4/B7</f>
        <v>0.698397057</v>
      </c>
      <c r="E14" s="105">
        <f>('Tahap Pembobotan AHP'!F23*H5) + ('Tahap Pembobotan AHP'!F24*I5) + ('Tahap Pembobotan AHP'!F25*J5) + ('Tahap Pembobotan AHP'!F26*K5)</f>
        <v>0.5544813818</v>
      </c>
    </row>
    <row r="15">
      <c r="A15" s="103"/>
      <c r="B15" s="1" t="s">
        <v>55</v>
      </c>
      <c r="C15" s="103">
        <f>B5/B7</f>
        <v>0.6814441106</v>
      </c>
      <c r="E15" s="2" t="s">
        <v>56</v>
      </c>
    </row>
    <row r="16">
      <c r="B16" s="1" t="s">
        <v>57</v>
      </c>
      <c r="C16" s="103">
        <f>B6/B7</f>
        <v>0.8756139099</v>
      </c>
      <c r="E16" s="2" t="s">
        <v>58</v>
      </c>
    </row>
    <row r="17">
      <c r="B17" s="1" t="s">
        <v>59</v>
      </c>
      <c r="C17" s="103">
        <f>B7/B7</f>
        <v>1</v>
      </c>
      <c r="E17" s="105">
        <f>('Tahap Pembobotan AHP'!F23*H6) + ('Tahap Pembobotan AHP'!F24*I6) + ('Tahap Pembobotan AHP'!F25*J6) + ('Tahap Pembobotan AHP'!F26*K6)</f>
        <v>0.5077260807</v>
      </c>
    </row>
    <row r="18">
      <c r="A18" s="2" t="s">
        <v>60</v>
      </c>
      <c r="B18" s="2" t="s">
        <v>61</v>
      </c>
      <c r="C18" s="103"/>
      <c r="E18" s="2" t="s">
        <v>62</v>
      </c>
    </row>
    <row r="19">
      <c r="A19" s="103"/>
      <c r="B19" s="1" t="s">
        <v>63</v>
      </c>
      <c r="C19" s="103">
        <f>C7/C3</f>
        <v>0.7823198774</v>
      </c>
      <c r="E19" s="2" t="s">
        <v>64</v>
      </c>
    </row>
    <row r="20">
      <c r="A20" s="103"/>
      <c r="B20" s="1" t="s">
        <v>65</v>
      </c>
      <c r="C20" s="103">
        <f>C7/C4</f>
        <v>0.7961518461</v>
      </c>
      <c r="E20" s="106">
        <f>('Tahap Pembobotan AHP'!F23*H7) + ('Tahap Pembobotan AHP'!F24*I7) + ('Tahap Pembobotan AHP'!F25*J7) + ('Tahap Pembobotan AHP'!F26*K7)</f>
        <v>0.5819710498</v>
      </c>
    </row>
    <row r="21">
      <c r="A21" s="103"/>
      <c r="B21" s="1" t="s">
        <v>66</v>
      </c>
      <c r="C21" s="103">
        <f>C7/C5</f>
        <v>0.9140298507</v>
      </c>
      <c r="E21" s="2" t="s">
        <v>67</v>
      </c>
    </row>
    <row r="22">
      <c r="B22" s="1" t="s">
        <v>68</v>
      </c>
      <c r="C22" s="103">
        <f>C7/C6</f>
        <v>0.9456454602</v>
      </c>
      <c r="E22" s="2" t="s">
        <v>69</v>
      </c>
    </row>
    <row r="23">
      <c r="B23" s="1" t="s">
        <v>70</v>
      </c>
      <c r="C23" s="103">
        <f>C7/C7</f>
        <v>1</v>
      </c>
      <c r="E23" s="106">
        <f>('Tahap Pembobotan AHP'!F23*H8) + ('Tahap Pembobotan AHP'!F24*I8) + ('Tahap Pembobotan AHP'!F25*J8) + ('Tahap Pembobotan AHP'!F26*K8)</f>
        <v>0.6156237752</v>
      </c>
    </row>
    <row r="24">
      <c r="A24" s="2" t="s">
        <v>71</v>
      </c>
      <c r="B24" s="2" t="s">
        <v>72</v>
      </c>
      <c r="C24" s="103"/>
      <c r="E24" s="2" t="s">
        <v>73</v>
      </c>
    </row>
    <row r="25">
      <c r="A25" s="103"/>
      <c r="B25" s="1" t="s">
        <v>74</v>
      </c>
      <c r="C25" s="103">
        <f>D3/D7</f>
        <v>0.03</v>
      </c>
      <c r="E25" s="2" t="s">
        <v>75</v>
      </c>
    </row>
    <row r="26">
      <c r="A26" s="103"/>
      <c r="B26" s="1" t="s">
        <v>76</v>
      </c>
      <c r="C26" s="103">
        <f>D4/D7</f>
        <v>0.002</v>
      </c>
      <c r="E26" s="106">
        <f>('Tahap Pembobotan AHP'!F23*H9) + ('Tahap Pembobotan AHP'!F24*I9) + ('Tahap Pembobotan AHP'!F25*J9) + ('Tahap Pembobotan AHP'!F26*K9)</f>
        <v>0.9396203731</v>
      </c>
    </row>
    <row r="27">
      <c r="A27" s="103"/>
      <c r="B27" s="1" t="s">
        <v>77</v>
      </c>
      <c r="C27" s="103">
        <f>D5/D7</f>
        <v>0.025</v>
      </c>
    </row>
    <row r="28">
      <c r="B28" s="1" t="s">
        <v>78</v>
      </c>
      <c r="C28" s="103">
        <f>D6/D7</f>
        <v>0.01535</v>
      </c>
    </row>
    <row r="29">
      <c r="B29" s="1" t="s">
        <v>79</v>
      </c>
      <c r="C29" s="103">
        <f>D7/D7</f>
        <v>1</v>
      </c>
    </row>
    <row r="30">
      <c r="A30" s="2" t="s">
        <v>80</v>
      </c>
      <c r="B30" s="2" t="s">
        <v>81</v>
      </c>
      <c r="C30" s="103"/>
    </row>
    <row r="31">
      <c r="A31" s="103"/>
      <c r="B31" s="1" t="s">
        <v>82</v>
      </c>
      <c r="C31" s="103">
        <f>E5/E3</f>
        <v>0.6949152542</v>
      </c>
    </row>
    <row r="32">
      <c r="A32" s="103"/>
      <c r="B32" s="1" t="s">
        <v>83</v>
      </c>
      <c r="C32" s="103">
        <f>E5/E4</f>
        <v>0.4444444444</v>
      </c>
    </row>
    <row r="33">
      <c r="A33" s="103"/>
      <c r="B33" s="1" t="s">
        <v>84</v>
      </c>
      <c r="C33" s="103">
        <f>E5/E5</f>
        <v>1</v>
      </c>
    </row>
    <row r="34">
      <c r="B34" s="1" t="s">
        <v>85</v>
      </c>
      <c r="C34" s="103">
        <f>E5/E6</f>
        <v>0.4304461942</v>
      </c>
    </row>
    <row r="35">
      <c r="B35" s="1" t="s">
        <v>86</v>
      </c>
      <c r="C35" s="103">
        <f>E5/E7</f>
        <v>0.06733268823</v>
      </c>
    </row>
  </sheetData>
  <dataValidations>
    <dataValidation type="custom" allowBlank="1" showDropDown="1" sqref="B3:B7 E3:E7 H4:H9">
      <formula1>AND(ISNUMBER(B3),(NOT(OR(NOT(ISERROR(DATEVALUE(B3))), AND(ISNUMBER(B3), LEFT(CELL("format", B3))="D")))))</formula1>
    </dataValidation>
  </dataValidations>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20.0"/>
    <col customWidth="1" min="3" max="3" width="28.0"/>
    <col customWidth="1" min="4" max="4" width="29.75"/>
    <col customWidth="1" min="5" max="5" width="29.88"/>
    <col customWidth="1" min="16" max="16" width="16.63"/>
    <col customWidth="1" min="20" max="20" width="16.88"/>
    <col customWidth="1" min="22" max="22" width="20.63"/>
    <col customWidth="1" min="23" max="23" width="15.75"/>
  </cols>
  <sheetData>
    <row r="1">
      <c r="G1" s="2" t="s">
        <v>29</v>
      </c>
      <c r="M1" s="2" t="s">
        <v>30</v>
      </c>
    </row>
    <row r="2">
      <c r="A2" s="49" t="s">
        <v>31</v>
      </c>
      <c r="B2" s="50" t="s">
        <v>87</v>
      </c>
      <c r="C2" s="50" t="s">
        <v>88</v>
      </c>
      <c r="D2" s="50" t="s">
        <v>34</v>
      </c>
      <c r="E2" s="51" t="s">
        <v>35</v>
      </c>
    </row>
    <row r="3">
      <c r="A3" s="52" t="s">
        <v>36</v>
      </c>
      <c r="B3" s="53">
        <f>4209309/8000</f>
        <v>526.163625</v>
      </c>
      <c r="C3" s="54">
        <v>1957.0</v>
      </c>
      <c r="D3" s="55">
        <v>30000.0</v>
      </c>
      <c r="E3" s="56">
        <v>2360000.0</v>
      </c>
      <c r="G3" s="57" t="s">
        <v>2</v>
      </c>
      <c r="H3" s="58" t="s">
        <v>37</v>
      </c>
      <c r="I3" s="58" t="s">
        <v>38</v>
      </c>
      <c r="J3" s="58" t="s">
        <v>37</v>
      </c>
      <c r="K3" s="59" t="s">
        <v>38</v>
      </c>
    </row>
    <row r="4">
      <c r="A4" s="60" t="s">
        <v>39</v>
      </c>
      <c r="B4" s="107">
        <f>3769082/8000</f>
        <v>471.13525</v>
      </c>
      <c r="C4" s="62">
        <v>1923.0</v>
      </c>
      <c r="D4" s="63">
        <v>2000.0</v>
      </c>
      <c r="E4" s="64">
        <v>3690000.0</v>
      </c>
      <c r="G4" s="65" t="s">
        <v>31</v>
      </c>
      <c r="H4" s="66" t="s">
        <v>3</v>
      </c>
      <c r="I4" s="66" t="s">
        <v>40</v>
      </c>
      <c r="J4" s="16" t="s">
        <v>5</v>
      </c>
      <c r="K4" s="67" t="s">
        <v>6</v>
      </c>
      <c r="M4" s="37" t="s">
        <v>31</v>
      </c>
      <c r="N4" s="38" t="s">
        <v>41</v>
      </c>
      <c r="O4" s="38" t="s">
        <v>42</v>
      </c>
      <c r="P4" s="108" t="s">
        <v>43</v>
      </c>
      <c r="Q4" s="108" t="s">
        <v>89</v>
      </c>
      <c r="R4" s="68" t="s">
        <v>90</v>
      </c>
      <c r="T4" s="37" t="s">
        <v>31</v>
      </c>
      <c r="U4" s="38" t="s">
        <v>41</v>
      </c>
      <c r="V4" s="108" t="s">
        <v>91</v>
      </c>
      <c r="W4" s="68" t="s">
        <v>90</v>
      </c>
    </row>
    <row r="5">
      <c r="A5" s="69" t="s">
        <v>44</v>
      </c>
      <c r="B5" s="53">
        <f>3677591/8000</f>
        <v>459.698875</v>
      </c>
      <c r="C5" s="54">
        <v>1675.0</v>
      </c>
      <c r="D5" s="70">
        <v>25000.0</v>
      </c>
      <c r="E5" s="56">
        <v>1640000.0</v>
      </c>
      <c r="G5" s="71" t="s">
        <v>36</v>
      </c>
      <c r="H5" s="72">
        <f t="shared" ref="H5:H9" si="1">C13</f>
        <v>0.8907687453</v>
      </c>
      <c r="I5" s="73">
        <f t="shared" ref="I5:I9" si="2">C19</f>
        <v>0.7823198774</v>
      </c>
      <c r="J5" s="109">
        <f t="shared" ref="J5:J9" si="3">C25</f>
        <v>0.03</v>
      </c>
      <c r="K5" s="74">
        <f t="shared" ref="K5:K9" si="4">C31</f>
        <v>0.6949152542</v>
      </c>
      <c r="M5" s="52" t="s">
        <v>36</v>
      </c>
      <c r="N5" s="110">
        <f>E14</f>
        <v>0.5906755935</v>
      </c>
      <c r="O5" s="75">
        <f t="shared" ref="O5:O9" si="5">RANK(N5,$N$5:$N$9,0)
</f>
        <v>4</v>
      </c>
      <c r="P5" s="111">
        <f t="shared" ref="P5:P9" si="6">N5/$N$5*8000</f>
        <v>8000</v>
      </c>
      <c r="Q5" s="111">
        <f t="shared" ref="Q5:Q9" si="7">N5/$N$9*10500</f>
        <v>6912.729484</v>
      </c>
      <c r="R5" s="112">
        <v>8000.0</v>
      </c>
      <c r="T5" s="52" t="s">
        <v>36</v>
      </c>
      <c r="U5" s="110">
        <f t="shared" ref="U5:U9" si="8">N5</f>
        <v>0.5906755935</v>
      </c>
      <c r="V5" s="113">
        <v>6912.729484008014</v>
      </c>
      <c r="W5" s="114">
        <v>8000.0</v>
      </c>
    </row>
    <row r="6">
      <c r="A6" s="60" t="s">
        <v>45</v>
      </c>
      <c r="B6" s="107">
        <f>4725479/8000</f>
        <v>590.684875</v>
      </c>
      <c r="C6" s="62">
        <v>1619.0</v>
      </c>
      <c r="D6" s="63">
        <v>15350.0</v>
      </c>
      <c r="E6" s="64">
        <v>3810000.0</v>
      </c>
      <c r="G6" s="69" t="s">
        <v>39</v>
      </c>
      <c r="H6" s="77">
        <f t="shared" si="1"/>
        <v>0.7976084541</v>
      </c>
      <c r="I6" s="66">
        <f t="shared" si="2"/>
        <v>0.7961518461</v>
      </c>
      <c r="J6" s="115">
        <f t="shared" si="3"/>
        <v>0.002</v>
      </c>
      <c r="K6" s="79">
        <f t="shared" si="4"/>
        <v>0.4444444444</v>
      </c>
      <c r="M6" s="60" t="s">
        <v>39</v>
      </c>
      <c r="N6" s="116">
        <f>E17</f>
        <v>0.5401349516</v>
      </c>
      <c r="O6" s="80">
        <f t="shared" si="5"/>
        <v>5</v>
      </c>
      <c r="P6" s="92">
        <f t="shared" si="6"/>
        <v>7315.486979</v>
      </c>
      <c r="Q6" s="92">
        <f t="shared" si="7"/>
        <v>6321.247816</v>
      </c>
      <c r="R6" s="117">
        <v>8000.0</v>
      </c>
      <c r="T6" s="60" t="s">
        <v>39</v>
      </c>
      <c r="U6" s="116">
        <f t="shared" si="8"/>
        <v>0.5401349516</v>
      </c>
      <c r="V6" s="118">
        <v>6321.247816128413</v>
      </c>
      <c r="W6" s="119">
        <v>8000.0</v>
      </c>
    </row>
    <row r="7">
      <c r="A7" s="82" t="s">
        <v>46</v>
      </c>
      <c r="B7" s="83">
        <f>5396761/10500</f>
        <v>513.9772381</v>
      </c>
      <c r="C7" s="84">
        <v>1531.0</v>
      </c>
      <c r="D7" s="85">
        <v>1000000.0</v>
      </c>
      <c r="E7" s="86">
        <v>2.4356669E7</v>
      </c>
      <c r="G7" s="60" t="s">
        <v>44</v>
      </c>
      <c r="H7" s="87">
        <f t="shared" si="1"/>
        <v>0.7782472422</v>
      </c>
      <c r="I7" s="88">
        <f t="shared" si="2"/>
        <v>0.9140298507</v>
      </c>
      <c r="J7" s="120">
        <f t="shared" si="3"/>
        <v>0.025</v>
      </c>
      <c r="K7" s="90">
        <f t="shared" si="4"/>
        <v>1</v>
      </c>
      <c r="M7" s="69" t="s">
        <v>44</v>
      </c>
      <c r="N7" s="110">
        <f>E20</f>
        <v>0.6135932252</v>
      </c>
      <c r="O7" s="75">
        <f t="shared" si="5"/>
        <v>3</v>
      </c>
      <c r="P7" s="111">
        <f t="shared" si="6"/>
        <v>8310.392127</v>
      </c>
      <c r="Q7" s="111">
        <f t="shared" si="7"/>
        <v>7180.936585</v>
      </c>
      <c r="R7" s="112">
        <v>8000.0</v>
      </c>
      <c r="T7" s="69" t="s">
        <v>44</v>
      </c>
      <c r="U7" s="110">
        <f t="shared" si="8"/>
        <v>0.6135932252</v>
      </c>
      <c r="V7" s="113">
        <v>7180.936584593126</v>
      </c>
      <c r="W7" s="114">
        <v>8000.0</v>
      </c>
    </row>
    <row r="8">
      <c r="G8" s="69" t="s">
        <v>45</v>
      </c>
      <c r="H8" s="77">
        <f t="shared" si="1"/>
        <v>1</v>
      </c>
      <c r="I8" s="91">
        <f t="shared" si="2"/>
        <v>0.9456454602</v>
      </c>
      <c r="J8" s="115">
        <f t="shared" si="3"/>
        <v>0.01535</v>
      </c>
      <c r="K8" s="79">
        <f t="shared" si="4"/>
        <v>0.4304461942</v>
      </c>
      <c r="M8" s="60" t="s">
        <v>45</v>
      </c>
      <c r="N8" s="121">
        <f>E23</f>
        <v>0.6562563321</v>
      </c>
      <c r="O8" s="93">
        <f t="shared" si="5"/>
        <v>2</v>
      </c>
      <c r="P8" s="122">
        <f t="shared" si="6"/>
        <v>8888.213284</v>
      </c>
      <c r="Q8" s="122">
        <f t="shared" si="7"/>
        <v>7680.226754</v>
      </c>
      <c r="R8" s="117">
        <v>8000.0</v>
      </c>
      <c r="T8" s="60" t="s">
        <v>45</v>
      </c>
      <c r="U8" s="121">
        <f t="shared" si="8"/>
        <v>0.6562563321</v>
      </c>
      <c r="V8" s="123">
        <v>7680.226753895526</v>
      </c>
      <c r="W8" s="119">
        <v>8000.0</v>
      </c>
    </row>
    <row r="9">
      <c r="G9" s="95" t="s">
        <v>46</v>
      </c>
      <c r="H9" s="96">
        <f t="shared" si="1"/>
        <v>0.8701378008</v>
      </c>
      <c r="I9" s="97">
        <f t="shared" si="2"/>
        <v>1</v>
      </c>
      <c r="J9" s="124">
        <f t="shared" si="3"/>
        <v>1</v>
      </c>
      <c r="K9" s="99">
        <f t="shared" si="4"/>
        <v>0.06733268823</v>
      </c>
      <c r="M9" s="82" t="s">
        <v>46</v>
      </c>
      <c r="N9" s="125">
        <f>E26</f>
        <v>0.8971989641</v>
      </c>
      <c r="O9" s="101">
        <f t="shared" si="5"/>
        <v>1</v>
      </c>
      <c r="P9" s="126">
        <f t="shared" si="6"/>
        <v>12151.49532</v>
      </c>
      <c r="Q9" s="126">
        <f t="shared" si="7"/>
        <v>10500</v>
      </c>
      <c r="R9" s="127">
        <v>10500.0</v>
      </c>
      <c r="T9" s="82" t="s">
        <v>46</v>
      </c>
      <c r="U9" s="125">
        <f t="shared" si="8"/>
        <v>0.8971989641</v>
      </c>
      <c r="V9" s="128">
        <v>10500.0</v>
      </c>
      <c r="W9" s="129">
        <v>10500.0</v>
      </c>
    </row>
    <row r="11">
      <c r="A11" s="2" t="s">
        <v>47</v>
      </c>
      <c r="E11" s="2" t="s">
        <v>48</v>
      </c>
    </row>
    <row r="12">
      <c r="A12" s="2" t="s">
        <v>49</v>
      </c>
      <c r="B12" s="2" t="s">
        <v>92</v>
      </c>
      <c r="C12" s="103"/>
      <c r="E12" s="2" t="s">
        <v>51</v>
      </c>
      <c r="W12" s="130"/>
      <c r="X12" s="130"/>
    </row>
    <row r="13">
      <c r="A13" s="103"/>
      <c r="B13" s="1" t="s">
        <v>93</v>
      </c>
      <c r="C13" s="131">
        <f>B3/B6</f>
        <v>0.8907687453</v>
      </c>
      <c r="E13" s="2" t="s">
        <v>94</v>
      </c>
      <c r="O13" s="132" t="s">
        <v>95</v>
      </c>
      <c r="P13" s="133" t="s">
        <v>96</v>
      </c>
      <c r="Q13" s="134" t="s">
        <v>97</v>
      </c>
      <c r="S13" s="135" t="s">
        <v>95</v>
      </c>
      <c r="T13" s="136" t="s">
        <v>96</v>
      </c>
      <c r="U13" s="137" t="s">
        <v>97</v>
      </c>
      <c r="W13" s="130"/>
      <c r="X13" s="130"/>
    </row>
    <row r="14">
      <c r="A14" s="103"/>
      <c r="B14" s="1" t="s">
        <v>98</v>
      </c>
      <c r="C14" s="138">
        <f>B4/B6</f>
        <v>0.7976084541</v>
      </c>
      <c r="E14" s="139">
        <f>('Tahap Pembobotan AHP'!F23*H5) + ('Tahap Pembobotan AHP'!F24*I5) + ('Tahap Pembobotan AHP'!F25*J5) + ('Tahap Pembobotan AHP'!F26*K5)</f>
        <v>0.5906755935</v>
      </c>
      <c r="O14" s="140"/>
      <c r="P14" s="141"/>
      <c r="Q14" s="142"/>
      <c r="S14" s="143" t="s">
        <v>99</v>
      </c>
      <c r="T14" s="144">
        <v>6912.729484008014</v>
      </c>
      <c r="U14" s="145">
        <v>8000.0</v>
      </c>
      <c r="W14" s="130"/>
      <c r="X14" s="130"/>
    </row>
    <row r="15">
      <c r="A15" s="103"/>
      <c r="B15" s="1" t="s">
        <v>100</v>
      </c>
      <c r="C15" s="138">
        <f>B5/B6</f>
        <v>0.7782472422</v>
      </c>
      <c r="E15" s="2" t="s">
        <v>56</v>
      </c>
      <c r="O15" s="146" t="s">
        <v>101</v>
      </c>
      <c r="P15" s="147">
        <v>7315.486978915706</v>
      </c>
      <c r="Q15" s="148">
        <v>8000.0</v>
      </c>
      <c r="S15" s="149" t="s">
        <v>101</v>
      </c>
      <c r="T15" s="150">
        <v>6321.247816128413</v>
      </c>
      <c r="U15" s="151">
        <v>8000.0</v>
      </c>
      <c r="W15" s="130"/>
      <c r="X15" s="130"/>
    </row>
    <row r="16">
      <c r="B16" s="1" t="s">
        <v>102</v>
      </c>
      <c r="C16" s="138">
        <f>B6/B6</f>
        <v>1</v>
      </c>
      <c r="E16" s="2" t="s">
        <v>103</v>
      </c>
      <c r="O16" s="140" t="s">
        <v>104</v>
      </c>
      <c r="P16" s="141">
        <v>8310.392126531884</v>
      </c>
      <c r="Q16" s="142">
        <v>8000.0</v>
      </c>
      <c r="S16" s="143" t="s">
        <v>104</v>
      </c>
      <c r="T16" s="144">
        <v>7180.936584593126</v>
      </c>
      <c r="U16" s="145">
        <v>8000.0</v>
      </c>
      <c r="W16" s="130"/>
      <c r="X16" s="130"/>
    </row>
    <row r="17">
      <c r="B17" s="1" t="s">
        <v>105</v>
      </c>
      <c r="C17" s="138">
        <f>B7/B6</f>
        <v>0.8701378008</v>
      </c>
      <c r="E17" s="139">
        <f>('Tahap Pembobotan AHP'!F23*H6) + ('Tahap Pembobotan AHP'!F24*I6) + ('Tahap Pembobotan AHP'!F25*J6) + ('Tahap Pembobotan AHP'!F26*K6)</f>
        <v>0.5401349516</v>
      </c>
      <c r="O17" s="146" t="s">
        <v>106</v>
      </c>
      <c r="P17" s="152">
        <v>8888.21328439141</v>
      </c>
      <c r="Q17" s="148">
        <v>8000.0</v>
      </c>
      <c r="S17" s="149" t="s">
        <v>106</v>
      </c>
      <c r="T17" s="153">
        <v>7680.226753895526</v>
      </c>
      <c r="U17" s="151">
        <v>8000.0</v>
      </c>
      <c r="W17" s="130"/>
      <c r="X17" s="130"/>
    </row>
    <row r="18">
      <c r="A18" s="2" t="s">
        <v>60</v>
      </c>
      <c r="B18" s="2" t="s">
        <v>61</v>
      </c>
      <c r="C18" s="138"/>
      <c r="E18" s="2" t="s">
        <v>62</v>
      </c>
      <c r="O18" s="154" t="s">
        <v>107</v>
      </c>
      <c r="P18" s="155">
        <v>12151.495323855293</v>
      </c>
      <c r="Q18" s="156">
        <v>10500.0</v>
      </c>
      <c r="S18" s="157"/>
      <c r="T18" s="158"/>
      <c r="U18" s="159"/>
    </row>
    <row r="19">
      <c r="A19" s="103"/>
      <c r="B19" s="1" t="s">
        <v>63</v>
      </c>
      <c r="C19" s="138">
        <f>C7/C3</f>
        <v>0.7823198774</v>
      </c>
      <c r="E19" s="2" t="s">
        <v>108</v>
      </c>
    </row>
    <row r="20">
      <c r="A20" s="103"/>
      <c r="B20" s="1" t="s">
        <v>65</v>
      </c>
      <c r="C20" s="138">
        <f>C7/C4</f>
        <v>0.7961518461</v>
      </c>
      <c r="E20" s="160">
        <f>('Tahap Pembobotan AHP'!F23*H7) + ('Tahap Pembobotan AHP'!F24*I7) + ('Tahap Pembobotan AHP'!F25*J7) + ('Tahap Pembobotan AHP'!F26*K7)</f>
        <v>0.6135932252</v>
      </c>
    </row>
    <row r="21">
      <c r="A21" s="103"/>
      <c r="B21" s="1" t="s">
        <v>66</v>
      </c>
      <c r="C21" s="138">
        <f>C7/C5</f>
        <v>0.9140298507</v>
      </c>
      <c r="E21" s="2" t="s">
        <v>67</v>
      </c>
    </row>
    <row r="22">
      <c r="B22" s="1" t="s">
        <v>68</v>
      </c>
      <c r="C22" s="138">
        <f>C7/C6</f>
        <v>0.9456454602</v>
      </c>
      <c r="E22" s="2" t="s">
        <v>109</v>
      </c>
    </row>
    <row r="23">
      <c r="B23" s="1" t="s">
        <v>70</v>
      </c>
      <c r="C23" s="138">
        <f>C7/C7</f>
        <v>1</v>
      </c>
      <c r="E23" s="160">
        <f>('Tahap Pembobotan AHP'!F23*H8) + ('Tahap Pembobotan AHP'!F24*I8) + ('Tahap Pembobotan AHP'!F25*J8) + ('Tahap Pembobotan AHP'!F26*K8)</f>
        <v>0.6562563321</v>
      </c>
    </row>
    <row r="24">
      <c r="A24" s="2" t="s">
        <v>71</v>
      </c>
      <c r="B24" s="2" t="s">
        <v>72</v>
      </c>
      <c r="C24" s="138"/>
      <c r="E24" s="2" t="s">
        <v>73</v>
      </c>
    </row>
    <row r="25">
      <c r="A25" s="103"/>
      <c r="B25" s="1" t="s">
        <v>74</v>
      </c>
      <c r="C25" s="138">
        <f>D3/D7</f>
        <v>0.03</v>
      </c>
      <c r="E25" s="2" t="s">
        <v>110</v>
      </c>
    </row>
    <row r="26">
      <c r="A26" s="103"/>
      <c r="B26" s="1" t="s">
        <v>76</v>
      </c>
      <c r="C26" s="138">
        <f>D4/D7</f>
        <v>0.002</v>
      </c>
      <c r="E26" s="160">
        <f>('Tahap Pembobotan AHP'!F23*H9) + ('Tahap Pembobotan AHP'!F24*I9) + ('Tahap Pembobotan AHP'!F25*J9) + ('Tahap Pembobotan AHP'!F26*K9)</f>
        <v>0.8971989641</v>
      </c>
    </row>
    <row r="27">
      <c r="A27" s="103"/>
      <c r="B27" s="1" t="s">
        <v>77</v>
      </c>
      <c r="C27" s="138">
        <f>D5/D7</f>
        <v>0.025</v>
      </c>
    </row>
    <row r="28">
      <c r="B28" s="1" t="s">
        <v>78</v>
      </c>
      <c r="C28" s="138">
        <f>D6/D7</f>
        <v>0.01535</v>
      </c>
    </row>
    <row r="29">
      <c r="B29" s="1" t="s">
        <v>79</v>
      </c>
      <c r="C29" s="138">
        <f>D7/D7</f>
        <v>1</v>
      </c>
    </row>
    <row r="30">
      <c r="A30" s="2" t="s">
        <v>80</v>
      </c>
      <c r="B30" s="2" t="s">
        <v>81</v>
      </c>
      <c r="C30" s="138"/>
    </row>
    <row r="31">
      <c r="A31" s="103"/>
      <c r="B31" s="1" t="s">
        <v>82</v>
      </c>
      <c r="C31" s="138">
        <f>E5/E3</f>
        <v>0.6949152542</v>
      </c>
    </row>
    <row r="32">
      <c r="A32" s="103"/>
      <c r="B32" s="1" t="s">
        <v>83</v>
      </c>
      <c r="C32" s="138">
        <f>E5/E4</f>
        <v>0.4444444444</v>
      </c>
    </row>
    <row r="33">
      <c r="A33" s="103"/>
      <c r="B33" s="1" t="s">
        <v>84</v>
      </c>
      <c r="C33" s="138">
        <f>E5/E5</f>
        <v>1</v>
      </c>
    </row>
    <row r="34">
      <c r="B34" s="1" t="s">
        <v>85</v>
      </c>
      <c r="C34" s="138">
        <f>E5/E6</f>
        <v>0.4304461942</v>
      </c>
    </row>
    <row r="35">
      <c r="B35" s="1" t="s">
        <v>86</v>
      </c>
      <c r="C35" s="138">
        <f>E5/E7</f>
        <v>0.06733268823</v>
      </c>
    </row>
  </sheetData>
  <dataValidations>
    <dataValidation type="custom" allowBlank="1" showDropDown="1" sqref="B3:B7 E3:E7 H4:H9 V5:W9">
      <formula1>AND(ISNUMBER(B3),(NOT(OR(NOT(ISERROR(DATEVALUE(B3))), AND(ISNUMBER(B3), LEFT(CELL("format", B3))="D")))))</formula1>
    </dataValidation>
  </dataValidations>
  <drawing r:id="rId1"/>
  <tableParts count="6">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6" max="16" width="14.5"/>
  </cols>
  <sheetData>
    <row r="1">
      <c r="A1" s="2" t="s">
        <v>111</v>
      </c>
    </row>
    <row r="2">
      <c r="E2" s="1" t="s">
        <v>106</v>
      </c>
    </row>
    <row r="3">
      <c r="A3" s="161" t="s">
        <v>112</v>
      </c>
      <c r="B3" s="3"/>
      <c r="C3" s="3"/>
      <c r="E3" s="162" t="s">
        <v>113</v>
      </c>
      <c r="F3" s="3"/>
      <c r="G3" s="3"/>
      <c r="H3" s="3"/>
      <c r="I3" s="3"/>
      <c r="J3" s="2" t="s">
        <v>29</v>
      </c>
    </row>
    <row r="4">
      <c r="B4" s="161" t="s">
        <v>114</v>
      </c>
      <c r="C4" s="3"/>
      <c r="E4" s="161"/>
      <c r="F4" s="161"/>
      <c r="G4" s="161"/>
      <c r="H4" s="161"/>
      <c r="P4" s="2" t="s">
        <v>30</v>
      </c>
    </row>
    <row r="5">
      <c r="A5" s="161" t="s">
        <v>19</v>
      </c>
      <c r="B5" s="161" t="s">
        <v>115</v>
      </c>
      <c r="C5" s="163">
        <v>4961753.0</v>
      </c>
      <c r="E5" s="164" t="s">
        <v>37</v>
      </c>
      <c r="F5" s="58" t="s">
        <v>38</v>
      </c>
      <c r="G5" s="58" t="s">
        <v>37</v>
      </c>
      <c r="H5" s="59" t="s">
        <v>38</v>
      </c>
      <c r="J5" s="57" t="s">
        <v>2</v>
      </c>
      <c r="K5" s="58" t="s">
        <v>37</v>
      </c>
      <c r="L5" s="58" t="s">
        <v>38</v>
      </c>
      <c r="M5" s="58" t="s">
        <v>37</v>
      </c>
      <c r="N5" s="59" t="s">
        <v>38</v>
      </c>
    </row>
    <row r="6">
      <c r="A6" s="161" t="s">
        <v>20</v>
      </c>
      <c r="B6" s="161" t="s">
        <v>116</v>
      </c>
      <c r="C6" s="161">
        <v>1619.0</v>
      </c>
      <c r="E6" s="65" t="s">
        <v>3</v>
      </c>
      <c r="F6" s="16" t="s">
        <v>40</v>
      </c>
      <c r="G6" s="16" t="s">
        <v>5</v>
      </c>
      <c r="H6" s="165" t="s">
        <v>6</v>
      </c>
      <c r="J6" s="65" t="s">
        <v>31</v>
      </c>
      <c r="K6" s="66" t="s">
        <v>3</v>
      </c>
      <c r="L6" s="16" t="s">
        <v>40</v>
      </c>
      <c r="M6" s="16" t="s">
        <v>5</v>
      </c>
      <c r="N6" s="165" t="s">
        <v>6</v>
      </c>
      <c r="P6" s="37" t="s">
        <v>31</v>
      </c>
      <c r="Q6" s="38" t="s">
        <v>41</v>
      </c>
      <c r="R6" s="39" t="s">
        <v>42</v>
      </c>
    </row>
    <row r="7">
      <c r="A7" s="161" t="s">
        <v>21</v>
      </c>
      <c r="B7" s="161" t="s">
        <v>117</v>
      </c>
      <c r="C7" s="161">
        <v>14000.0</v>
      </c>
      <c r="E7" s="166">
        <f>'Perhitungan SAW Surabaya'!C5/7000</f>
        <v>708.8218571</v>
      </c>
      <c r="F7" s="15">
        <f>'Perhitungan SAW Surabaya'!C6</f>
        <v>1619</v>
      </c>
      <c r="G7" s="15">
        <f>'Perhitungan SAW Surabaya'!C7</f>
        <v>14000</v>
      </c>
      <c r="H7" s="167">
        <f>'Perhitungan SAW Surabaya'!C8</f>
        <v>3810000</v>
      </c>
      <c r="J7" s="166" t="s">
        <v>118</v>
      </c>
      <c r="K7" s="72">
        <f t="shared" ref="K7:K9" si="1">G15</f>
        <v>1</v>
      </c>
      <c r="L7" s="15">
        <f t="shared" ref="L7:L9" si="2">G19</f>
        <v>0.5</v>
      </c>
      <c r="M7" s="15">
        <f t="shared" ref="M7:M9" si="3">G23</f>
        <v>0.5</v>
      </c>
      <c r="N7" s="167">
        <f t="shared" ref="N7:N9" si="4">G27</f>
        <v>0.5</v>
      </c>
      <c r="P7" s="40" t="s">
        <v>119</v>
      </c>
      <c r="Q7" s="75">
        <f>I24</f>
        <v>0.8366676013</v>
      </c>
      <c r="R7" s="168">
        <v>1.0</v>
      </c>
    </row>
    <row r="8">
      <c r="A8" s="161" t="s">
        <v>22</v>
      </c>
      <c r="B8" s="161" t="s">
        <v>120</v>
      </c>
      <c r="C8" s="161">
        <v>3810000.0</v>
      </c>
      <c r="E8" s="169">
        <f>'Perhitungan SAW Surabaya'!C5/10500</f>
        <v>472.5479048</v>
      </c>
      <c r="F8" s="16">
        <f>F7/1.5</f>
        <v>1079.333333</v>
      </c>
      <c r="G8" s="170">
        <f>G7*1.5</f>
        <v>21000</v>
      </c>
      <c r="H8" s="171">
        <f>H7/1.5</f>
        <v>2540000</v>
      </c>
      <c r="J8" s="65" t="s">
        <v>121</v>
      </c>
      <c r="K8" s="77">
        <f t="shared" si="1"/>
        <v>0.6666666667</v>
      </c>
      <c r="L8" s="16">
        <f t="shared" si="2"/>
        <v>0.75</v>
      </c>
      <c r="M8" s="170">
        <f t="shared" si="3"/>
        <v>0.75</v>
      </c>
      <c r="N8" s="171">
        <f t="shared" si="4"/>
        <v>0.75</v>
      </c>
      <c r="P8" s="43" t="s">
        <v>121</v>
      </c>
      <c r="Q8" s="80">
        <f>I20</f>
        <v>0.7227779335</v>
      </c>
      <c r="R8" s="172">
        <v>2.0</v>
      </c>
    </row>
    <row r="9">
      <c r="E9" s="173">
        <f>'Perhitungan SAW Surabaya'!C5/14000</f>
        <v>354.4109286</v>
      </c>
      <c r="F9" s="174">
        <f>F7/2</f>
        <v>809.5</v>
      </c>
      <c r="G9" s="174">
        <f>G7*2</f>
        <v>28000</v>
      </c>
      <c r="H9" s="175">
        <f>H7/2</f>
        <v>1905000</v>
      </c>
      <c r="J9" s="176" t="s">
        <v>119</v>
      </c>
      <c r="K9" s="96">
        <f t="shared" si="1"/>
        <v>0.5</v>
      </c>
      <c r="L9" s="174">
        <f t="shared" si="2"/>
        <v>1</v>
      </c>
      <c r="M9" s="174">
        <f t="shared" si="3"/>
        <v>1</v>
      </c>
      <c r="N9" s="175">
        <f t="shared" si="4"/>
        <v>1</v>
      </c>
      <c r="P9" s="46" t="s">
        <v>118</v>
      </c>
      <c r="Q9" s="177">
        <f>I16</f>
        <v>0.6633323987</v>
      </c>
      <c r="R9" s="178">
        <v>3.0</v>
      </c>
    </row>
    <row r="11">
      <c r="A11" s="2" t="s">
        <v>122</v>
      </c>
    </row>
    <row r="12">
      <c r="A12" s="2" t="s">
        <v>123</v>
      </c>
    </row>
    <row r="13">
      <c r="A13" s="1" t="s">
        <v>124</v>
      </c>
      <c r="E13" s="2" t="s">
        <v>47</v>
      </c>
      <c r="I13" s="2" t="s">
        <v>48</v>
      </c>
    </row>
    <row r="14">
      <c r="A14" s="2" t="s">
        <v>125</v>
      </c>
      <c r="E14" s="2" t="s">
        <v>49</v>
      </c>
      <c r="F14" s="2" t="s">
        <v>126</v>
      </c>
      <c r="G14" s="103"/>
      <c r="I14" s="2" t="s">
        <v>127</v>
      </c>
    </row>
    <row r="15">
      <c r="A15" s="2" t="s">
        <v>128</v>
      </c>
      <c r="E15" s="103"/>
      <c r="F15" s="1" t="s">
        <v>129</v>
      </c>
      <c r="G15" s="104">
        <f>E7/E7</f>
        <v>1</v>
      </c>
      <c r="I15" s="2" t="s">
        <v>130</v>
      </c>
    </row>
    <row r="16">
      <c r="E16" s="103"/>
      <c r="F16" s="1" t="s">
        <v>131</v>
      </c>
      <c r="G16" s="103">
        <f>E8/E7</f>
        <v>0.6666666667</v>
      </c>
      <c r="I16" s="2">
        <f>('Tahap Pembobotan AHP'!F23*K7) + ('Tahap Pembobotan AHP'!F24*L7) + ('Tahap Pembobotan AHP'!F25*M7) + ('Tahap Pembobotan AHP'!F26*N7)</f>
        <v>0.6633323987</v>
      </c>
    </row>
    <row r="17">
      <c r="E17" s="103"/>
      <c r="F17" s="1" t="s">
        <v>132</v>
      </c>
      <c r="G17" s="103">
        <f>E9/E7</f>
        <v>0.5</v>
      </c>
    </row>
    <row r="18">
      <c r="E18" s="2" t="s">
        <v>60</v>
      </c>
      <c r="F18" s="2" t="s">
        <v>133</v>
      </c>
      <c r="G18" s="103"/>
      <c r="I18" s="2" t="s">
        <v>134</v>
      </c>
    </row>
    <row r="19">
      <c r="E19" s="103"/>
      <c r="F19" s="1" t="s">
        <v>135</v>
      </c>
      <c r="G19" s="103">
        <f>F9/F7</f>
        <v>0.5</v>
      </c>
      <c r="I19" s="2" t="s">
        <v>136</v>
      </c>
    </row>
    <row r="20">
      <c r="E20" s="103"/>
      <c r="F20" s="1" t="s">
        <v>137</v>
      </c>
      <c r="G20" s="103">
        <f>F9/F8</f>
        <v>0.75</v>
      </c>
      <c r="I20" s="103">
        <f>('Tahap Pembobotan AHP'!F23*K8) + ('Tahap Pembobotan AHP'!F24*L8) + ('Tahap Pembobotan AHP'!F25*M8) + ('Tahap Pembobotan AHP'!F26*N8)</f>
        <v>0.7227779335</v>
      </c>
    </row>
    <row r="21">
      <c r="E21" s="103"/>
      <c r="F21" s="1" t="s">
        <v>138</v>
      </c>
      <c r="G21" s="103">
        <f>F9/F9</f>
        <v>1</v>
      </c>
    </row>
    <row r="22">
      <c r="E22" s="2" t="s">
        <v>71</v>
      </c>
      <c r="F22" s="2" t="s">
        <v>139</v>
      </c>
      <c r="G22" s="103"/>
      <c r="I22" s="2" t="s">
        <v>140</v>
      </c>
    </row>
    <row r="23">
      <c r="E23" s="103"/>
      <c r="F23" s="1" t="s">
        <v>141</v>
      </c>
      <c r="G23" s="103">
        <f>G7/G9</f>
        <v>0.5</v>
      </c>
      <c r="I23" s="2" t="s">
        <v>142</v>
      </c>
    </row>
    <row r="24">
      <c r="E24" s="103"/>
      <c r="F24" s="1" t="s">
        <v>143</v>
      </c>
      <c r="G24" s="103">
        <f>G8/G9</f>
        <v>0.75</v>
      </c>
      <c r="I24" s="103">
        <f>('Tahap Pembobotan AHP'!F23*K9) + ('Tahap Pembobotan AHP'!F24*L9) + ('Tahap Pembobotan AHP'!F25*M9) + ('Tahap Pembobotan AHP'!F26*N9)</f>
        <v>0.8366676013</v>
      </c>
    </row>
    <row r="25">
      <c r="E25" s="103"/>
      <c r="F25" s="1" t="s">
        <v>144</v>
      </c>
      <c r="G25" s="103">
        <f>G9/G9</f>
        <v>1</v>
      </c>
    </row>
    <row r="26">
      <c r="E26" s="2" t="s">
        <v>80</v>
      </c>
      <c r="F26" s="2" t="s">
        <v>145</v>
      </c>
      <c r="G26" s="103"/>
    </row>
    <row r="27">
      <c r="E27" s="103"/>
      <c r="F27" s="1" t="s">
        <v>146</v>
      </c>
      <c r="G27" s="103">
        <f>H9/H7</f>
        <v>0.5</v>
      </c>
    </row>
    <row r="28">
      <c r="E28" s="103"/>
      <c r="F28" s="1" t="s">
        <v>147</v>
      </c>
      <c r="G28" s="103">
        <f>H9/H8</f>
        <v>0.75</v>
      </c>
    </row>
    <row r="29">
      <c r="E29" s="103"/>
      <c r="F29" s="1" t="s">
        <v>148</v>
      </c>
      <c r="G29" s="103">
        <f>H9/H9</f>
        <v>1</v>
      </c>
    </row>
  </sheetData>
  <dataValidations>
    <dataValidation type="custom" allowBlank="1" showDropDown="1" sqref="K6:K9">
      <formula1>AND(ISNUMBER(K6),(NOT(OR(NOT(ISERROR(DATEVALUE(K6))), AND(ISNUMBER(K6), LEFT(CELL("format", K6))="D")))))</formula1>
    </dataValidation>
  </dataValidations>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0" max="20" width="14.25"/>
  </cols>
  <sheetData>
    <row r="1">
      <c r="A1" s="2" t="s">
        <v>149</v>
      </c>
    </row>
    <row r="2">
      <c r="G2" s="2" t="s">
        <v>101</v>
      </c>
    </row>
    <row r="3">
      <c r="A3" s="161" t="s">
        <v>150</v>
      </c>
      <c r="B3" s="3"/>
      <c r="C3" s="3"/>
      <c r="G3" s="162" t="s">
        <v>113</v>
      </c>
      <c r="H3" s="3"/>
      <c r="I3" s="3"/>
      <c r="J3" s="3"/>
      <c r="K3" s="3"/>
      <c r="M3" s="2" t="s">
        <v>29</v>
      </c>
      <c r="S3" s="2"/>
    </row>
    <row r="4">
      <c r="B4" s="161" t="s">
        <v>114</v>
      </c>
      <c r="C4" s="3"/>
      <c r="G4" s="3"/>
      <c r="H4" s="161"/>
      <c r="I4" s="161"/>
      <c r="J4" s="161"/>
      <c r="K4" s="161"/>
      <c r="S4" s="2" t="s">
        <v>30</v>
      </c>
    </row>
    <row r="5">
      <c r="A5" s="161" t="s">
        <v>3</v>
      </c>
      <c r="B5" s="161" t="s">
        <v>151</v>
      </c>
      <c r="C5" s="163">
        <v>2499000.0</v>
      </c>
      <c r="G5" s="57" t="s">
        <v>2</v>
      </c>
      <c r="H5" s="58" t="s">
        <v>37</v>
      </c>
      <c r="I5" s="58" t="s">
        <v>38</v>
      </c>
      <c r="J5" s="58" t="s">
        <v>37</v>
      </c>
      <c r="K5" s="59" t="s">
        <v>38</v>
      </c>
      <c r="M5" s="57" t="s">
        <v>2</v>
      </c>
      <c r="N5" s="58" t="s">
        <v>37</v>
      </c>
      <c r="O5" s="58" t="s">
        <v>38</v>
      </c>
      <c r="P5" s="58" t="s">
        <v>37</v>
      </c>
      <c r="Q5" s="59" t="s">
        <v>38</v>
      </c>
    </row>
    <row r="6">
      <c r="A6" s="161" t="s">
        <v>40</v>
      </c>
      <c r="B6" s="161" t="s">
        <v>152</v>
      </c>
      <c r="C6" s="161">
        <v>1923.0</v>
      </c>
      <c r="G6" s="65" t="s">
        <v>31</v>
      </c>
      <c r="H6" s="16" t="s">
        <v>3</v>
      </c>
      <c r="I6" s="16" t="s">
        <v>40</v>
      </c>
      <c r="J6" s="16" t="s">
        <v>5</v>
      </c>
      <c r="K6" s="165" t="s">
        <v>6</v>
      </c>
      <c r="M6" s="65" t="s">
        <v>31</v>
      </c>
      <c r="N6" s="66" t="s">
        <v>3</v>
      </c>
      <c r="O6" s="16" t="s">
        <v>40</v>
      </c>
      <c r="P6" s="16" t="s">
        <v>5</v>
      </c>
      <c r="Q6" s="165" t="s">
        <v>6</v>
      </c>
      <c r="S6" s="37" t="s">
        <v>31</v>
      </c>
      <c r="T6" s="38" t="s">
        <v>41</v>
      </c>
      <c r="U6" s="39" t="s">
        <v>42</v>
      </c>
    </row>
    <row r="7">
      <c r="A7" s="161" t="s">
        <v>5</v>
      </c>
      <c r="B7" s="161" t="s">
        <v>153</v>
      </c>
      <c r="C7" s="161">
        <v>2000.0</v>
      </c>
      <c r="G7" s="166" t="s">
        <v>118</v>
      </c>
      <c r="H7" s="15">
        <f>'Perhitungan SAW Medan'!C5/7000</f>
        <v>357</v>
      </c>
      <c r="I7" s="15">
        <f>'Perhitungan SAW Medan'!C6</f>
        <v>1923</v>
      </c>
      <c r="J7" s="15">
        <f>'Perhitungan SAW Medan'!C7</f>
        <v>2000</v>
      </c>
      <c r="K7" s="167">
        <f>'Perhitungan SAW Medan'!C8</f>
        <v>3690000</v>
      </c>
      <c r="M7" s="166" t="s">
        <v>118</v>
      </c>
      <c r="N7" s="72">
        <f t="shared" ref="N7:N9" si="1">I15</f>
        <v>1</v>
      </c>
      <c r="O7" s="15">
        <f t="shared" ref="O7:O9" si="2">I19</f>
        <v>0.5</v>
      </c>
      <c r="P7" s="15">
        <f t="shared" ref="P7:P9" si="3">I23</f>
        <v>0.5</v>
      </c>
      <c r="Q7" s="167">
        <f t="shared" ref="Q7:Q9" si="4">I27</f>
        <v>0.5</v>
      </c>
      <c r="S7" s="40" t="s">
        <v>119</v>
      </c>
      <c r="T7" s="75">
        <f>K24</f>
        <v>0.8366676013</v>
      </c>
      <c r="U7" s="168">
        <v>1.0</v>
      </c>
    </row>
    <row r="8">
      <c r="A8" s="161" t="s">
        <v>6</v>
      </c>
      <c r="B8" s="161" t="s">
        <v>154</v>
      </c>
      <c r="C8" s="161">
        <v>3690000.0</v>
      </c>
      <c r="G8" s="65" t="s">
        <v>121</v>
      </c>
      <c r="H8" s="170">
        <f>'Perhitungan SAW Medan'!C5/10500</f>
        <v>238</v>
      </c>
      <c r="I8" s="16">
        <f>I7/1.5</f>
        <v>1282</v>
      </c>
      <c r="J8" s="170">
        <f>J7*1.5</f>
        <v>3000</v>
      </c>
      <c r="K8" s="171">
        <f>K7/1.5</f>
        <v>2460000</v>
      </c>
      <c r="M8" s="65" t="s">
        <v>121</v>
      </c>
      <c r="N8" s="77">
        <f t="shared" si="1"/>
        <v>0.6666666667</v>
      </c>
      <c r="O8" s="16">
        <f t="shared" si="2"/>
        <v>0.75</v>
      </c>
      <c r="P8" s="170">
        <f t="shared" si="3"/>
        <v>0.75</v>
      </c>
      <c r="Q8" s="171">
        <f t="shared" si="4"/>
        <v>0.75</v>
      </c>
      <c r="S8" s="43" t="s">
        <v>121</v>
      </c>
      <c r="T8" s="80">
        <f>K20</f>
        <v>0.7227779335</v>
      </c>
      <c r="U8" s="172">
        <v>2.0</v>
      </c>
    </row>
    <row r="9">
      <c r="G9" s="176" t="s">
        <v>119</v>
      </c>
      <c r="H9" s="174">
        <f>'Perhitungan SAW Medan'!C5/14000</f>
        <v>178.5</v>
      </c>
      <c r="I9" s="174">
        <f>I7/2</f>
        <v>961.5</v>
      </c>
      <c r="J9" s="174">
        <f>J7*2</f>
        <v>4000</v>
      </c>
      <c r="K9" s="175">
        <f>K7/2</f>
        <v>1845000</v>
      </c>
      <c r="M9" s="176" t="s">
        <v>119</v>
      </c>
      <c r="N9" s="96">
        <f t="shared" si="1"/>
        <v>0.5</v>
      </c>
      <c r="O9" s="174">
        <f t="shared" si="2"/>
        <v>1</v>
      </c>
      <c r="P9" s="174">
        <f t="shared" si="3"/>
        <v>1</v>
      </c>
      <c r="Q9" s="175">
        <f t="shared" si="4"/>
        <v>1</v>
      </c>
      <c r="S9" s="46" t="s">
        <v>118</v>
      </c>
      <c r="T9" s="177">
        <f>K16</f>
        <v>0.6633323987</v>
      </c>
      <c r="U9" s="178">
        <v>3.0</v>
      </c>
    </row>
    <row r="12">
      <c r="A12" s="2" t="s">
        <v>122</v>
      </c>
    </row>
    <row r="13">
      <c r="A13" s="2" t="s">
        <v>123</v>
      </c>
      <c r="G13" s="2" t="s">
        <v>47</v>
      </c>
      <c r="K13" s="2" t="s">
        <v>155</v>
      </c>
    </row>
    <row r="14">
      <c r="A14" s="1" t="s">
        <v>124</v>
      </c>
      <c r="G14" s="2" t="s">
        <v>49</v>
      </c>
      <c r="H14" s="2" t="s">
        <v>156</v>
      </c>
      <c r="I14" s="103"/>
      <c r="K14" s="2" t="s">
        <v>127</v>
      </c>
    </row>
    <row r="15">
      <c r="A15" s="2" t="s">
        <v>125</v>
      </c>
      <c r="G15" s="103"/>
      <c r="H15" s="1" t="s">
        <v>157</v>
      </c>
      <c r="I15" s="103">
        <f>H7/H7</f>
        <v>1</v>
      </c>
      <c r="K15" s="2" t="s">
        <v>130</v>
      </c>
    </row>
    <row r="16">
      <c r="A16" s="2" t="s">
        <v>128</v>
      </c>
      <c r="G16" s="103"/>
      <c r="H16" s="1" t="s">
        <v>158</v>
      </c>
      <c r="I16" s="103">
        <f>H8/H7</f>
        <v>0.6666666667</v>
      </c>
      <c r="K16" s="2">
        <f>('Tahap Pembobotan AHP'!F23*N7) + ('Tahap Pembobotan AHP'!F24*O7) + ('Tahap Pembobotan AHP'!F25*P7) + ('Tahap Pembobotan AHP'!F26*Q7)</f>
        <v>0.6633323987</v>
      </c>
    </row>
    <row r="17">
      <c r="G17" s="103"/>
      <c r="H17" s="1" t="s">
        <v>159</v>
      </c>
      <c r="I17" s="103">
        <f>H9/H7</f>
        <v>0.5</v>
      </c>
    </row>
    <row r="18">
      <c r="G18" s="2" t="s">
        <v>60</v>
      </c>
      <c r="H18" s="2" t="s">
        <v>160</v>
      </c>
      <c r="I18" s="103"/>
      <c r="K18" s="2" t="s">
        <v>134</v>
      </c>
    </row>
    <row r="19">
      <c r="G19" s="103"/>
      <c r="H19" s="1" t="s">
        <v>161</v>
      </c>
      <c r="I19" s="103">
        <f>I9/I7</f>
        <v>0.5</v>
      </c>
      <c r="K19" s="2" t="s">
        <v>136</v>
      </c>
    </row>
    <row r="20">
      <c r="G20" s="103"/>
      <c r="H20" s="1" t="s">
        <v>162</v>
      </c>
      <c r="I20" s="103">
        <f>I9/I8</f>
        <v>0.75</v>
      </c>
      <c r="K20" s="103">
        <f>('Tahap Pembobotan AHP'!F23*N8) + ('Tahap Pembobotan AHP'!F24*O8) + ('Tahap Pembobotan AHP'!F25*P8) + ('Tahap Pembobotan AHP'!F26*Q8)</f>
        <v>0.7227779335</v>
      </c>
    </row>
    <row r="21">
      <c r="G21" s="103"/>
      <c r="H21" s="1" t="s">
        <v>163</v>
      </c>
      <c r="I21" s="103">
        <f>I9/I9</f>
        <v>1</v>
      </c>
    </row>
    <row r="22">
      <c r="G22" s="2" t="s">
        <v>71</v>
      </c>
      <c r="H22" s="2" t="s">
        <v>164</v>
      </c>
      <c r="I22" s="103"/>
      <c r="K22" s="2" t="s">
        <v>140</v>
      </c>
    </row>
    <row r="23">
      <c r="G23" s="103"/>
      <c r="H23" s="1" t="s">
        <v>165</v>
      </c>
      <c r="I23" s="103">
        <f>J7/J9</f>
        <v>0.5</v>
      </c>
      <c r="K23" s="2" t="s">
        <v>142</v>
      </c>
    </row>
    <row r="24">
      <c r="G24" s="103"/>
      <c r="H24" s="1" t="s">
        <v>166</v>
      </c>
      <c r="I24" s="103">
        <f>J8/J9</f>
        <v>0.75</v>
      </c>
      <c r="K24" s="103">
        <f>('Tahap Pembobotan AHP'!F23*N9) + ('Tahap Pembobotan AHP'!F24*O9) + ('Tahap Pembobotan AHP'!F25*P9) + ('Tahap Pembobotan AHP'!F26*Q9)</f>
        <v>0.8366676013</v>
      </c>
    </row>
    <row r="25">
      <c r="G25" s="103"/>
      <c r="H25" s="1" t="s">
        <v>167</v>
      </c>
      <c r="I25" s="103">
        <f>J9/J9</f>
        <v>1</v>
      </c>
    </row>
    <row r="26">
      <c r="G26" s="2" t="s">
        <v>80</v>
      </c>
      <c r="H26" s="2" t="s">
        <v>168</v>
      </c>
      <c r="I26" s="103"/>
    </row>
    <row r="27">
      <c r="G27" s="103"/>
      <c r="H27" s="1" t="s">
        <v>169</v>
      </c>
      <c r="I27" s="103">
        <f>K9/K7</f>
        <v>0.5</v>
      </c>
    </row>
    <row r="28">
      <c r="G28" s="103"/>
      <c r="H28" s="1" t="s">
        <v>170</v>
      </c>
      <c r="I28" s="103">
        <f>K9/K8</f>
        <v>0.75</v>
      </c>
    </row>
    <row r="29">
      <c r="G29" s="103"/>
      <c r="H29" s="1" t="s">
        <v>171</v>
      </c>
      <c r="I29" s="103">
        <f>K9/K9</f>
        <v>1</v>
      </c>
    </row>
  </sheetData>
  <dataValidations>
    <dataValidation type="custom" allowBlank="1" showDropDown="1" sqref="N6:N9">
      <formula1>AND(ISNUMBER(N6),(NOT(OR(NOT(ISERROR(DATEVALUE(N6))), AND(ISNUMBER(N6), LEFT(CELL("format", N6))="D")))))</formula1>
    </dataValidation>
  </dataValidations>
  <drawing r:id="rId1"/>
  <tableParts count="3">
    <tablePart r:id="rId5"/>
    <tablePart r:id="rId6"/>
    <tablePart r:id="rId7"/>
  </tableParts>
</worksheet>
</file>