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141CD7D2-270D-4DCE-9AE9-83F72C805FEE}" xr6:coauthVersionLast="47" xr6:coauthVersionMax="47" xr10:uidLastSave="{00000000-0000-0000-0000-000000000000}"/>
  <bookViews>
    <workbookView xWindow="-23148" yWindow="-108" windowWidth="23256" windowHeight="12456" tabRatio="618" firstSheet="5" activeTab="10" xr2:uid="{00000000-000D-0000-FFFF-FFFF00000000}"/>
  </bookViews>
  <sheets>
    <sheet name="Indicator" sheetId="66" r:id="rId1"/>
    <sheet name="AutoIncrement" sheetId="14" r:id="rId2"/>
    <sheet name="TC09-Create New User" sheetId="18" r:id="rId3"/>
    <sheet name="TC14n15" sheetId="65" r:id="rId4"/>
    <sheet name="TC019-Activate User" sheetId="61" r:id="rId5"/>
    <sheet name="TC021-Forget Password" sheetId="59" r:id="rId6"/>
    <sheet name="TC033" sheetId="19" r:id="rId7"/>
    <sheet name="TC033_ETAnWeek" sheetId="20" r:id="rId8"/>
    <sheet name="TC34" sheetId="9" r:id="rId9"/>
    <sheet name="TC35-Contract Parts Info" sheetId="6" r:id="rId10"/>
    <sheet name="TC35" sheetId="3" r:id="rId11"/>
    <sheet name="TC038" sheetId="21" r:id="rId12"/>
    <sheet name="TC039" sheetId="23" r:id="rId13"/>
    <sheet name="S13_TC40" sheetId="44" r:id="rId14"/>
    <sheet name="TC041 - Place Order (Regular)" sheetId="2" r:id="rId15"/>
    <sheet name="TC041-Inbound Date" sheetId="13" r:id="rId16"/>
    <sheet name="TC42" sheetId="4" r:id="rId17"/>
    <sheet name="TC44" sheetId="5" r:id="rId18"/>
    <sheet name="TC47-Change Order" sheetId="7" r:id="rId19"/>
    <sheet name="TC47-Change Inbound Dates" sheetId="8" r:id="rId20"/>
    <sheet name="TC48" sheetId="10" r:id="rId21"/>
    <sheet name="TC049" sheetId="24" r:id="rId22"/>
    <sheet name="TC050" sheetId="25" r:id="rId23"/>
    <sheet name="TC52-Download Obound Form" sheetId="11" r:id="rId24"/>
    <sheet name="TC52-Upload Obound Form" sheetId="12" r:id="rId25"/>
    <sheet name="TC52-Upload Obound Setup" sheetId="17" r:id="rId26"/>
    <sheet name="TC52-Autogen Outbound Data" sheetId="57" r:id="rId27"/>
    <sheet name="TC053" sheetId="26" r:id="rId28"/>
    <sheet name="TC054" sheetId="27" r:id="rId29"/>
    <sheet name="TC55" sheetId="22" r:id="rId30"/>
    <sheet name="TC56-Custom Invoice Exp" sheetId="15" r:id="rId31"/>
    <sheet name="TC57-Custom Invoice Imp" sheetId="16" r:id="rId32"/>
    <sheet name="TC58n59" sheetId="28" r:id="rId33"/>
    <sheet name="TC62" sheetId="51" r:id="rId34"/>
    <sheet name="TC62-Setup Data" sheetId="55" r:id="rId35"/>
    <sheet name="TC063" sheetId="29" r:id="rId36"/>
    <sheet name="TC64n65_ForecastContainer" sheetId="37" r:id="rId37"/>
    <sheet name="TC64n65_ForecastContainer-Manua" sheetId="47" r:id="rId38"/>
    <sheet name="TC64n65_NonFContainer" sheetId="38" r:id="rId39"/>
    <sheet name="TC067" sheetId="30" r:id="rId40"/>
    <sheet name="TC068" sheetId="31" r:id="rId41"/>
    <sheet name="TC069" sheetId="52" r:id="rId42"/>
    <sheet name="TC070" sheetId="54" r:id="rId43"/>
    <sheet name="TC072" sheetId="45" r:id="rId44"/>
    <sheet name="TC073n074_ForecastContainer" sheetId="32" r:id="rId45"/>
    <sheet name="TC073n074_Forecast-Manual" sheetId="48" r:id="rId46"/>
    <sheet name="TC073n074_NonFContainer" sheetId="39" r:id="rId47"/>
    <sheet name="TC075" sheetId="46" r:id="rId48"/>
    <sheet name="TC076n077_ForecastContainer" sheetId="40" r:id="rId49"/>
    <sheet name="TC076n077_Forecast-Manaul" sheetId="49" r:id="rId50"/>
    <sheet name="TC076n077_NonFContainer" sheetId="41" r:id="rId51"/>
    <sheet name="TC078" sheetId="58" r:id="rId52"/>
    <sheet name="TC079" sheetId="34" r:id="rId53"/>
    <sheet name="TC080" sheetId="35" r:id="rId54"/>
    <sheet name="TC82-New Buyer GR Invoice" sheetId="64" r:id="rId55"/>
    <sheet name="TC83-Inbound Shipping Details" sheetId="56" r:id="rId56"/>
    <sheet name="TC084n085_ForecastContainer" sheetId="42" r:id="rId57"/>
    <sheet name="TC084n085_Forecast-Manual" sheetId="50" r:id="rId58"/>
    <sheet name="TC084n085_NonFContainer" sheetId="43" r:id="rId59"/>
    <sheet name="TC086" sheetId="62" r:id="rId60"/>
  </sheets>
  <definedNames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UOM_COD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J3" i="35"/>
  <c r="J4" i="35"/>
  <c r="J2" i="35"/>
  <c r="J3" i="30"/>
  <c r="J4" i="30"/>
  <c r="J2" i="30"/>
  <c r="J3" i="26"/>
  <c r="J4" i="26"/>
  <c r="J2" i="26"/>
  <c r="C2" i="11"/>
  <c r="B2" i="11"/>
  <c r="J3" i="25"/>
  <c r="J4" i="25"/>
  <c r="J2" i="25"/>
  <c r="D2" i="44"/>
  <c r="G3" i="23"/>
  <c r="G4" i="23"/>
  <c r="G2" i="23"/>
  <c r="T2" i="3"/>
  <c r="J2" i="19"/>
  <c r="M2" i="3" l="1"/>
  <c r="A2" i="19"/>
  <c r="D4" i="6"/>
  <c r="D3" i="6"/>
  <c r="D2" i="6"/>
  <c r="C4" i="6"/>
  <c r="C3" i="6"/>
  <c r="C2" i="6"/>
  <c r="B4" i="6"/>
  <c r="B3" i="6"/>
  <c r="B2" i="6"/>
  <c r="A4" i="21"/>
  <c r="A2" i="21"/>
  <c r="A3" i="21"/>
  <c r="K2" i="3"/>
  <c r="B2" i="17"/>
  <c r="B2" i="65"/>
  <c r="A2" i="65"/>
  <c r="E2" i="18"/>
  <c r="C2" i="65"/>
  <c r="D2" i="18"/>
  <c r="F2" i="18" s="1"/>
  <c r="D2" i="65" l="1"/>
  <c r="G3" i="58"/>
  <c r="G4" i="58"/>
  <c r="G2" i="58"/>
  <c r="F3" i="58"/>
  <c r="F4" i="58"/>
  <c r="F2" i="58"/>
  <c r="B3" i="12"/>
  <c r="B4" i="12"/>
  <c r="B2" i="12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J2" i="51"/>
  <c r="H2" i="51"/>
  <c r="G2" i="51"/>
  <c r="B3" i="51"/>
  <c r="G3" i="51"/>
  <c r="H3" i="51"/>
  <c r="J3" i="51"/>
  <c r="B2" i="15"/>
  <c r="B2" i="10"/>
  <c r="B2" i="5"/>
  <c r="B2" i="4"/>
  <c r="H4" i="23"/>
  <c r="C3" i="62"/>
  <c r="C2" i="62"/>
  <c r="P2" i="3" l="1"/>
  <c r="H4" i="21"/>
  <c r="H2" i="23"/>
  <c r="H3" i="21"/>
  <c r="H2" i="21"/>
  <c r="H3" i="23"/>
  <c r="J4" i="51"/>
  <c r="H4" i="51"/>
  <c r="G4" i="51"/>
  <c r="A4" i="23" l="1"/>
  <c r="A3" i="23"/>
  <c r="A2" i="23"/>
  <c r="B2" i="1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D2" i="37"/>
  <c r="B2" i="52"/>
  <c r="C2" i="58" s="1"/>
  <c r="E2" i="11"/>
  <c r="B2" i="19"/>
  <c r="C2" i="12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E2" i="42"/>
  <c r="D2" i="42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E2" i="40"/>
  <c r="D2" i="40"/>
  <c r="B2" i="40"/>
  <c r="B2" i="46"/>
  <c r="B2" i="39"/>
  <c r="E2" i="32"/>
  <c r="D2" i="32"/>
  <c r="B2" i="32"/>
  <c r="B2" i="45"/>
  <c r="E2" i="37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3" i="25"/>
  <c r="F4" i="25"/>
  <c r="F2" i="25"/>
  <c r="F2" i="24"/>
  <c r="F3" i="24"/>
  <c r="F4" i="24"/>
  <c r="C3" i="23"/>
  <c r="C4" i="23"/>
  <c r="C2" i="23"/>
  <c r="C2" i="21"/>
  <c r="C3" i="21"/>
  <c r="C4" i="21"/>
  <c r="B3" i="21"/>
  <c r="B4" i="21"/>
  <c r="B2" i="38"/>
  <c r="B2" i="37"/>
  <c r="B3" i="28"/>
  <c r="I4" i="26"/>
  <c r="I3" i="26"/>
  <c r="I2" i="26"/>
  <c r="I2" i="25"/>
  <c r="C2" i="3"/>
  <c r="E2" i="21" s="1"/>
  <c r="O2" i="20"/>
  <c r="X2" i="19"/>
  <c r="O2" i="19"/>
  <c r="A2" i="29"/>
  <c r="B3" i="23"/>
  <c r="B4" i="23"/>
  <c r="B2" i="23"/>
  <c r="B2" i="21"/>
  <c r="B2" i="16"/>
  <c r="E4" i="12"/>
  <c r="E3" i="12"/>
  <c r="E2" i="12"/>
  <c r="C3" i="58"/>
  <c r="C2" i="8"/>
  <c r="B2" i="8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C4" i="12"/>
  <c r="C3" i="12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<sst xmlns="http://schemas.openxmlformats.org/spreadsheetml/2006/main" count="1240" uniqueCount="303">
  <si>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</si>
  <si>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</si>
  <si>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</si>
  <si>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</si>
  <si>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</si>
  <si>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</si>
  <si>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</si>
  <si>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</si>
  <si>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</si>
  <si>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</si>
  <si>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</si>
  <si>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</si>
  <si>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</si>
  <si>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</si>
  <si>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</si>
  <si>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</si>
  <si>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</si>
  <si>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</si>
  <si>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</si>
  <si>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</si>
  <si>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</si>
  <si>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</si>
  <si>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</si>
  <si>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</si>
  <si>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</si>
  <si>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</si>
  <si>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</si>
  <si>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</si>
  <si>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</si>
  <si>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</si>
  <si>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</si>
  <si>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</si>
  <si>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</si>
  <si>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</si>
  <si>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</si>
  <si>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</si>
  <si>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</si>
  <si>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</si>
  <si>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</si>
  <si>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</si>
  <si>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</si>
  <si>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</si>
  <si>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</si>
  <si>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</si>
  <si>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</si>
  <si>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</si>
  <si>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</si>
  <si>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</si>
  <si>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</si>
  <si>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</si>
  <si>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</si>
  <si>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</si>
  <si>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</si>
  <si>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</si>
  <si>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</si>
  <si>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</si>
  <si>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</si>
  <si>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</si>
  <si>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</si>
  <si>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</si>
  <si>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</si>
  <si>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</si>
  <si>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</si>
  <si>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</si>
  <si>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</si>
  <si>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</si>
  <si>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</si>
  <si>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</si>
  <si>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PK-CUS-POC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</si>
  <si>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</si>
  <si>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</si>
  <si>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</si>
  <si>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</si>
  <si>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</si>
  <si>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</si>
  <si>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</si>
  <si>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</si>
  <si>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</si>
  <si>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</si>
  <si>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</si>
  <si>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</si>
  <si>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</si>
  <si>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</si>
  <si>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</si>
  <si>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</si>
  <si>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</si>
  <si>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</si>
  <si>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</si>
  <si>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</si>
  <si>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</si>
  <si>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</si>
  <si>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</si>
  <si>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</si>
  <si>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</si>
  <si>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</si>
  <si>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</si>
  <si>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</si>
  <si>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</si>
  <si>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</si>
  <si>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</si>
  <si>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</si>
  <si>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</si>
  <si>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</si>
  <si>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</si>
  <si>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</si>
  <si>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</si>
  <si>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</si>
  <si>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</si>
  <si>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</si>
  <si>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</si>
  <si>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</si>
  <si>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</si>
  <si>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</si>
  <si>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</si>
  <si>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</si>
  <si>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</si>
  <si>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</si>
  <si>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</si>
  <si>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</si>
  <si>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</si>
  <si>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</si>
  <si>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</si>
  <si>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</si>
  <si>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</si>
  <si>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</si>
  <si>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</si>
  <si>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</si>
  <si>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</si>
  <si>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</si>
  <si>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</si>
  <si>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</si>
  <si>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</si>
  <si>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</si>
  <si>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</si>
  <si>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</si>
  <si>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</si>
  <si>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</si>
  <si>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</si>
  <si>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</si>
  <si>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</si>
  <si>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</si>
  <si>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</si>
  <si>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</si>
  <si>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</si>
  <si>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</si>
  <si>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</si>
  <si>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</si>
  <si>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</si>
  <si>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</si>
  <si>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</si>
  <si>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</si>
  <si>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</si>
  <si>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</si>
  <si>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</si>
  <si>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</si>
  <si>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</si>
  <si>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</si>
  <si>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</si>
  <si>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</si>
  <si>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</si>
  <si>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</si>
  <si>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</si>
  <si>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</si>
  <si>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</si>
  <si>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</si>
  <si>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</si>
  <si>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</si>
  <si>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</si>
  <si>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</si>
  <si>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</si>
  <si>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</si>
  <si>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</si>
  <si>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</si>
  <si>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</si>
  <si>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</si>
  <si>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</si>
  <si>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</si>
  <si>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</si>
  <si>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</si>
  <si>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</si>
  <si>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</si>
  <si>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</si>
  <si>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</si>
  <si>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</si>
  <si>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</si>
  <si>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</si>
  <si>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</si>
  <si>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</si>
  <si>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</si>
  <si>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</si>
  <si>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</si>
  <si>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</si>
  <si>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</si>
  <si>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</si>
  <si>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</si>
  <si>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</si>
  <si>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</si>
  <si>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</si>
  <si>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</si>
  <si>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</si>
  <si>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</si>
  <si>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</si>
  <si>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</si>
  <si>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</si>
  <si>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</si>
  <si>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</si>
  <si>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</si>
  <si>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</si>
  <si>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</si>
  <si>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</si>
  <si>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</si>
  <si>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o-CNTW-SUP-POC-230927001</t>
  </si>
  <si>
    <t>Oct 9, 2023</t>
  </si>
  <si>
    <t>Oct 19, 2023</t>
  </si>
  <si>
    <t>Completed</t>
  </si>
  <si>
    <t>Processing</t>
  </si>
  <si>
    <t>InvoiveNo</t>
  </si>
  <si>
    <t>TW12309001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</si>
  <si>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</si>
  <si>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</si>
  <si>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</si>
  <si>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</si>
  <si>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</si>
  <si>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</si>
  <si>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</si>
  <si>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</si>
  <si>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</si>
  <si>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</si>
  <si>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</si>
  <si>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</si>
  <si>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</si>
  <si>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</si>
  <si>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</si>
  <si>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</si>
  <si>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</si>
  <si>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</si>
  <si>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</si>
  <si>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</si>
  <si>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</si>
  <si>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</si>
  <si>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</si>
  <si>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</si>
  <si>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</si>
  <si>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</si>
  <si>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Forecast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</si>
  <si>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</si>
  <si>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</si>
  <si>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</si>
  <si>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</si>
  <si>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</si>
  <si>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</si>
  <si>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</si>
  <si>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</si>
  <si>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</si>
  <si>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</si>
  <si>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</si>
  <si>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</si>
  <si>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</si>
  <si>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</si>
  <si>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</si>
  <si>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</si>
  <si>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</si>
  <si>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</si>
  <si>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</si>
  <si>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</si>
  <si>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</si>
  <si>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</si>
  <si>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</si>
  <si>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</si>
  <si>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</si>
  <si>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</si>
  <si>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</si>
  <si>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</si>
  <si>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</si>
  <si>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</si>
  <si>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</si>
  <si>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</si>
  <si>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</si>
  <si>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</si>
  <si>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</si>
  <si>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</si>
  <si>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</si>
  <si>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</si>
  <si>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</si>
  <si>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</si>
  <si>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i-PK-CUS-POC-230927001</t>
  </si>
  <si>
    <t>pls arrange as desired scenario</t>
  </si>
  <si>
    <t>i-PK-CUS-POC-230927002</t>
  </si>
  <si>
    <t>i-PK-CUS-POC-230927003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</si>
  <si>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</si>
  <si>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</si>
  <si>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</si>
  <si>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</si>
  <si>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</si>
  <si>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</si>
  <si>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</si>
  <si>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</si>
  <si>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</si>
  <si>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</si>
  <si>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</si>
  <si>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10</t>
  </si>
  <si>
    <t>TBA</t>
  </si>
  <si>
    <t>CR-PK-CUS-POC-S13-5-2311001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</si>
</sst>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9" fillId="0" borderId="0"/>
  </cellStyleXfs>
  <cellXfs count="173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5" borderId="0" xfId="0" applyFont="1" applyFill="1"/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8" fillId="0" borderId="10" xfId="0" applyFont="1" applyBorder="1"/>
    <xf numFmtId="0" fontId="8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4" fillId="16" borderId="12" xfId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8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4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21" xfId="0" applyFont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3" xfId="2" xr:uid="{5BE18606-4F8F-4CCD-9137-17B790CEBD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A1:D6"/>
  <sheetViews>
    <sheetView workbookViewId="0">
      <selection activeCell="E19" sqref="E19"/>
    </sheetView>
  </sheetViews>
  <sheetFormatPr defaultRowHeight="14.4" x14ac:dyDescent="0.3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 x14ac:dyDescent="0.35"/>
    <row r="2" spans="2:4" ht="15" thickBot="1" x14ac:dyDescent="0.35">
      <c r="B2" s="107" t="s">
        <v>0</v>
      </c>
      <c r="C2" s="110" t="s">
        <v>1</v>
      </c>
      <c r="D2" s="167" t="s">
        <v>2</v>
      </c>
    </row>
    <row r="3" spans="2:4" x14ac:dyDescent="0.3">
      <c r="B3" s="108"/>
      <c r="C3" s="111" t="s">
        <v>3</v>
      </c>
      <c r="D3" s="166" t="s">
        <v>4</v>
      </c>
    </row>
    <row r="4" spans="2:4" x14ac:dyDescent="0.3">
      <c r="B4" s="109"/>
      <c r="C4" s="112" t="s">
        <v>5</v>
      </c>
      <c r="D4" s="164" t="s">
        <v>6</v>
      </c>
    </row>
    <row r="5" spans="2:4" x14ac:dyDescent="0.3">
      <c r="B5" s="161"/>
      <c r="C5" s="112" t="s">
        <v>7</v>
      </c>
      <c r="D5" s="164" t="s">
        <v>8</v>
      </c>
    </row>
    <row r="6" spans="2:4" ht="15" thickBot="1" x14ac:dyDescent="0.35">
      <c r="B6" s="162"/>
      <c r="C6" s="163" t="s">
        <v>9</v>
      </c>
      <c r="D6" s="165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D4"/>
  <sheetViews>
    <sheetView workbookViewId="0">
      <selection activeCell="D2" sqref="D2:D4"/>
    </sheetView>
  </sheetViews>
  <sheetFormatPr defaultRowHeight="14.4" x14ac:dyDescent="0.3"/>
  <cols>
    <col min="1" max="1" width="3.44140625" bestFit="1" customWidth="1" collapsed="1"/>
    <col min="2" max="2" width="51.6640625" customWidth="1" collapsed="1"/>
    <col min="3" max="3" width="34.44140625" bestFit="1" customWidth="1" collapsed="1"/>
    <col min="4" max="4" width="37.33203125" bestFit="1" customWidth="1" collapsed="1"/>
  </cols>
  <sheetData>
    <row r="1" spans="1:4" ht="15" thickBot="1" x14ac:dyDescent="0.35">
      <c r="A1" s="11" t="s">
        <v>33</v>
      </c>
      <c r="B1" s="44" t="s">
        <v>89</v>
      </c>
      <c r="C1" s="45" t="s">
        <v>90</v>
      </c>
      <c r="D1" s="46" t="s">
        <v>91</v>
      </c>
    </row>
    <row r="2" spans="1:4" x14ac:dyDescent="0.3">
      <c r="A2" s="8">
        <v>1</v>
      </c>
      <c r="B2" s="170" t="str">
        <f>AutoIncrement!$C$2&amp;"scenario1320230614011"</f>
        <v>TBAscenario1320230614011</v>
      </c>
      <c r="C2" s="171" t="str">
        <f>"PK-CUS-"&amp;AutoIncrement!$C$2&amp;"-scenario13-20230604-001"</f>
        <v>PK-CUS-TBA-scenario13-20230604-001</v>
      </c>
      <c r="D2" s="172" t="str">
        <f>"CNTW-SUP-"&amp;AutoIncrement!$C$2&amp;"-scenario13-20230604-001"</f>
        <v>CNTW-SUP-TBA-scenario13-20230604-001</v>
      </c>
    </row>
    <row r="3" spans="1:4" x14ac:dyDescent="0.3">
      <c r="A3" s="9">
        <v>2</v>
      </c>
      <c r="B3" s="170" t="str">
        <f>AutoIncrement!$C$2&amp;"scenario1320230614012"</f>
        <v>TBAscenario1320230614012</v>
      </c>
      <c r="C3" s="171" t="str">
        <f>"PK-CUS-"&amp;AutoIncrement!$C$2&amp;"-scenario13-20230604-002"</f>
        <v>PK-CUS-TBA-scenario13-20230604-002</v>
      </c>
      <c r="D3" s="172" t="str">
        <f>"CNTW-SUP-"&amp;AutoIncrement!$C$2&amp;"-scenario13-20230604-002"</f>
        <v>CNTW-SUP-TBA-scenario13-20230604-002</v>
      </c>
    </row>
    <row r="4" spans="1:4" ht="15" thickBot="1" x14ac:dyDescent="0.35">
      <c r="A4" s="10">
        <v>3</v>
      </c>
      <c r="B4" s="170" t="str">
        <f>AutoIncrement!$C$2&amp;"scenario1320230614013"</f>
        <v>TBAscenario1320230614013</v>
      </c>
      <c r="C4" s="171" t="str">
        <f>"PK-CUS-"&amp;AutoIncrement!$C$2&amp;"-scenario13-20230604-003"</f>
        <v>PK-CUS-TBA-scenario13-20230604-003</v>
      </c>
      <c r="D4" s="172" t="str">
        <f>"CNTW-SUP-"&amp;AutoIncrement!$C$2&amp;"-scenario13-20230604-003"</f>
        <v>CNTW-SUP-TBA-scenario13-20230604-003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sheetPr>
    <tabColor rgb="FFFFFF00"/>
  </sheetPr>
  <dimension ref="A1:X2"/>
  <sheetViews>
    <sheetView tabSelected="1" zoomScale="115" zoomScaleNormal="115" workbookViewId="0">
      <selection activeCell="M2" sqref="M2"/>
    </sheetView>
  </sheetViews>
  <sheetFormatPr defaultRowHeight="14.4" x14ac:dyDescent="0.3"/>
  <cols>
    <col min="1" max="1" width="3.6640625" bestFit="1" customWidth="1" collapsed="1"/>
    <col min="2" max="2" width="25.6640625" bestFit="1" customWidth="1" collapsed="1"/>
    <col min="3" max="3" width="28.33203125" bestFit="1" customWidth="1" collapsed="1"/>
    <col min="4" max="4" width="13.44140625" bestFit="1" customWidth="1" collapsed="1"/>
    <col min="5" max="5" width="16.5546875" bestFit="1" customWidth="1" collapsed="1"/>
    <col min="6" max="6" width="16.6640625" bestFit="1" customWidth="1" collapsed="1"/>
    <col min="7" max="7" width="16.33203125" bestFit="1" customWidth="1" collapsed="1"/>
    <col min="8" max="8" width="23.44140625" bestFit="1" customWidth="1" collapsed="1"/>
    <col min="9" max="9" width="10.109375" bestFit="1" customWidth="1" collapsed="1"/>
    <col min="10" max="10" width="23.33203125" bestFit="1" customWidth="1" collapsed="1"/>
    <col min="11" max="11" width="26.33203125" bestFit="1" customWidth="1" collapsed="1"/>
    <col min="12" max="12" width="27.33203125" bestFit="1" customWidth="1" collapsed="1"/>
    <col min="13" max="13" width="68.44140625" customWidth="1" collapsed="1"/>
    <col min="14" max="14" width="9.88671875" bestFit="1" customWidth="1" collapsed="1"/>
    <col min="15" max="15" width="14.88671875" bestFit="1" customWidth="1" collapsed="1"/>
    <col min="16" max="16" width="44.88671875" bestFit="1" customWidth="1" collapsed="1"/>
    <col min="17" max="17" width="23.44140625" bestFit="1" customWidth="1" collapsed="1"/>
    <col min="18" max="18" width="17.33203125" bestFit="1" customWidth="1" collapsed="1"/>
    <col min="19" max="19" width="27.33203125" bestFit="1" customWidth="1" collapsed="1"/>
    <col min="20" max="20" width="21" bestFit="1" customWidth="1" collapsed="1"/>
    <col min="21" max="21" width="17.6640625" bestFit="1" customWidth="1" collapsed="1"/>
    <col min="22" max="22" width="15.44140625" bestFit="1" customWidth="1" collapsed="1"/>
    <col min="23" max="23" width="16" bestFit="1" customWidth="1" collapsed="1"/>
    <col min="24" max="24" width="27.109375" bestFit="1" customWidth="1" collapsed="1"/>
  </cols>
  <sheetData>
    <row r="1" spans="1:24" ht="15" thickBot="1" x14ac:dyDescent="0.35">
      <c r="A1" s="11" t="s">
        <v>33</v>
      </c>
      <c r="B1" s="116" t="s">
        <v>92</v>
      </c>
      <c r="C1" s="114" t="s">
        <v>93</v>
      </c>
      <c r="D1" s="12" t="s">
        <v>94</v>
      </c>
      <c r="E1" s="12" t="s">
        <v>95</v>
      </c>
      <c r="F1" s="12" t="s">
        <v>96</v>
      </c>
      <c r="G1" s="12" t="s">
        <v>97</v>
      </c>
      <c r="H1" s="12" t="s">
        <v>98</v>
      </c>
      <c r="I1" s="12" t="s">
        <v>99</v>
      </c>
      <c r="J1" s="12" t="s">
        <v>100</v>
      </c>
      <c r="K1" s="114" t="s">
        <v>13</v>
      </c>
      <c r="L1" s="114" t="s">
        <v>101</v>
      </c>
      <c r="M1" s="44" t="s">
        <v>102</v>
      </c>
      <c r="N1" s="12" t="s">
        <v>103</v>
      </c>
      <c r="O1" s="12" t="s">
        <v>104</v>
      </c>
      <c r="P1" s="114" t="s">
        <v>39</v>
      </c>
      <c r="Q1" s="114" t="s">
        <v>105</v>
      </c>
      <c r="R1" s="12" t="s">
        <v>106</v>
      </c>
      <c r="S1" s="12" t="s">
        <v>107</v>
      </c>
      <c r="T1" s="12" t="s">
        <v>108</v>
      </c>
      <c r="U1" s="12" t="s">
        <v>109</v>
      </c>
      <c r="V1" s="12" t="s">
        <v>110</v>
      </c>
      <c r="W1" s="12" t="s">
        <v>111</v>
      </c>
      <c r="X1" s="48" t="s">
        <v>112</v>
      </c>
    </row>
    <row r="2" spans="1:24" ht="15" thickBot="1" x14ac:dyDescent="0.35">
      <c r="A2" s="31">
        <v>1</v>
      </c>
      <c r="B2" t="s">
        <v>299</v>
      </c>
      <c r="C2" s="23" t="str">
        <f>"CNTWSUP-PKCUS-"&amp;'TC35'!K2&amp;"-0"&amp;AutoIncrement!A2</f>
        <v>CNTWSUP-PKCUS-TBA-010</v>
      </c>
      <c r="D2" s="23" t="s">
        <v>113</v>
      </c>
      <c r="E2" s="23" t="s">
        <v>114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TBA</v>
      </c>
      <c r="L2" s="23" t="str">
        <f>"CD-05-"&amp;K2&amp;AutoIncrement!A2</f>
        <v>CD-05-TBA10</v>
      </c>
      <c r="M2" s="23" t="str">
        <f>"TB60BL"&amp;AutoIncrement!$A$2&amp;"(T/T REMITTANCE AT 60 DAYS FROM THE END OF B/L MONTH)"</f>
        <v>TB60BL10(T/T REMITTANCE AT 60 DAYS FROM THE END OF B/L MONTH)</v>
      </c>
      <c r="N2" s="23" t="s">
        <v>115</v>
      </c>
      <c r="O2" s="23" t="s">
        <v>116</v>
      </c>
      <c r="P2" s="23" t="str">
        <f>'TC033'!A2&amp;"("&amp;'TC033'!A2&amp;")"</f>
        <v>CNTWSUP-PKCUS TBA(CNTWSUP-PKCUS TBA)</v>
      </c>
      <c r="Q2" s="23" t="str">
        <f>"RD-05-"&amp;K2&amp;AutoIncrement!A2</f>
        <v>RD-05-TBA10</v>
      </c>
      <c r="R2" s="23" t="s">
        <v>117</v>
      </c>
      <c r="S2" s="23" t="s">
        <v>67</v>
      </c>
      <c r="T2" s="23" t="str">
        <f>TC14n15!$D$2</f>
        <v>PK-CUS-POC-S13-5</v>
      </c>
      <c r="U2" s="23" t="s">
        <v>118</v>
      </c>
      <c r="V2" s="23" t="s">
        <v>119</v>
      </c>
      <c r="W2" s="23" t="s">
        <v>120</v>
      </c>
      <c r="X2" t="s">
        <v>302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E20" sqref="E20"/>
    </sheetView>
  </sheetViews>
  <sheetFormatPr defaultRowHeight="14.4" x14ac:dyDescent="0.3"/>
  <cols>
    <col min="1" max="2" width="24.33203125" bestFit="1" customWidth="1" collapsed="1"/>
    <col min="3" max="3" width="33.33203125" bestFit="1" customWidth="1" collapsed="1"/>
    <col min="4" max="4" width="14.33203125" bestFit="1" customWidth="1" collapsed="1"/>
    <col min="5" max="5" width="23.33203125" bestFit="1" customWidth="1" collapsed="1"/>
    <col min="6" max="6" width="10.33203125" bestFit="1" customWidth="1" collapsed="1"/>
    <col min="7" max="7" width="14.33203125" bestFit="1" customWidth="1" collapsed="1"/>
    <col min="8" max="8" width="18.109375" bestFit="1" customWidth="1" collapsed="1"/>
  </cols>
  <sheetData>
    <row r="1" spans="1:8" ht="15" thickBot="1" x14ac:dyDescent="0.35">
      <c r="A1" s="123" t="s">
        <v>121</v>
      </c>
      <c r="B1" s="91" t="s">
        <v>122</v>
      </c>
      <c r="C1" s="91" t="s">
        <v>123</v>
      </c>
      <c r="D1" s="49" t="s">
        <v>124</v>
      </c>
      <c r="E1" s="91" t="s">
        <v>125</v>
      </c>
      <c r="F1" s="49" t="s">
        <v>126</v>
      </c>
      <c r="G1" s="124" t="s">
        <v>127</v>
      </c>
      <c r="H1" s="125" t="s">
        <v>128</v>
      </c>
    </row>
    <row r="2" spans="1:8" ht="19.5" customHeight="1" x14ac:dyDescent="0.3">
      <c r="A2" s="65" t="str">
        <f>'TC35'!X2</f>
        <v>CR-PK-CUS-POC-S13-5-2311001</v>
      </c>
      <c r="B2" s="56" t="str">
        <f>'TC35-Contract Parts Info'!B2</f>
        <v>TBAscenario1320230614011</v>
      </c>
      <c r="C2" s="56" t="str">
        <f>'TC35-Contract Parts Info'!C2</f>
        <v>PK-CUS-TBA-scenario13-20230604-001</v>
      </c>
      <c r="D2" s="57" t="s">
        <v>67</v>
      </c>
      <c r="E2" s="57" t="str">
        <f>'TC35'!C2</f>
        <v>CNTWSUP-PKCUS-TBA-010</v>
      </c>
      <c r="F2" s="57" t="s">
        <v>116</v>
      </c>
      <c r="G2" s="57" t="s">
        <v>67</v>
      </c>
      <c r="H2" s="71" t="str">
        <f>'TC033'!$A$2</f>
        <v>CNTWSUP-PKCUS TBA</v>
      </c>
    </row>
    <row r="3" spans="1:8" ht="27" customHeight="1" x14ac:dyDescent="0.3">
      <c r="A3" s="65" t="str">
        <f>'TC35'!X2</f>
        <v>CR-PK-CUS-POC-S13-5-2311001</v>
      </c>
      <c r="B3" s="52" t="str">
        <f>'TC35-Contract Parts Info'!B3</f>
        <v>TBAscenario1320230614012</v>
      </c>
      <c r="C3" s="52" t="str">
        <f>'TC35-Contract Parts Info'!C3</f>
        <v>PK-CUS-TBA-scenario13-20230604-002</v>
      </c>
      <c r="D3" s="51" t="s">
        <v>67</v>
      </c>
      <c r="E3" s="51" t="str">
        <f>'TC35'!C2</f>
        <v>CNTWSUP-PKCUS-TBA-010</v>
      </c>
      <c r="F3" s="51" t="s">
        <v>116</v>
      </c>
      <c r="G3" s="51" t="s">
        <v>67</v>
      </c>
      <c r="H3" s="67" t="str">
        <f>'TC033'!$A$2</f>
        <v>CNTWSUP-PKCUS TBA</v>
      </c>
    </row>
    <row r="4" spans="1:8" ht="30" customHeight="1" thickBot="1" x14ac:dyDescent="0.35">
      <c r="A4" s="34" t="str">
        <f>'TC35'!X2</f>
        <v>CR-PK-CUS-POC-S13-5-2311001</v>
      </c>
      <c r="B4" s="53" t="str">
        <f>'TC35-Contract Parts Info'!B4</f>
        <v>TBAscenario1320230614013</v>
      </c>
      <c r="C4" s="53" t="str">
        <f>'TC35-Contract Parts Info'!C4</f>
        <v>PK-CUS-TBA-scenario13-20230604-003</v>
      </c>
      <c r="D4" s="35" t="s">
        <v>67</v>
      </c>
      <c r="E4" s="35" t="str">
        <f>'TC35'!C2</f>
        <v>CNTWSUP-PKCUS-TBA-010</v>
      </c>
      <c r="F4" s="35" t="s">
        <v>116</v>
      </c>
      <c r="G4" s="35" t="s">
        <v>67</v>
      </c>
      <c r="H4" s="36" t="str">
        <f>'TC033'!$A$2</f>
        <v>CNTWSUP-PKCUS TBA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zoomScaleNormal="100" workbookViewId="0">
      <selection activeCell="G2" sqref="G2:G4"/>
    </sheetView>
  </sheetViews>
  <sheetFormatPr defaultRowHeight="14.4" x14ac:dyDescent="0.3"/>
  <cols>
    <col min="1" max="1" width="28.6640625" customWidth="1" collapsed="1"/>
    <col min="2" max="2" width="28.44140625" bestFit="1" customWidth="1" collapsed="1"/>
    <col min="3" max="3" width="45" bestFit="1" customWidth="1" collapsed="1"/>
    <col min="4" max="4" width="14.88671875" bestFit="1" customWidth="1" collapsed="1"/>
    <col min="5" max="5" width="29.5546875" bestFit="1" customWidth="1" collapsed="1"/>
    <col min="6" max="6" width="14" bestFit="1" customWidth="1" collapsed="1"/>
    <col min="7" max="7" width="18.44140625" bestFit="1" customWidth="1" collapsed="1"/>
    <col min="8" max="8" width="22.6640625" bestFit="1" customWidth="1" collapsed="1"/>
  </cols>
  <sheetData>
    <row r="1" spans="1:8" ht="15" thickBot="1" x14ac:dyDescent="0.35">
      <c r="A1" s="123" t="s">
        <v>121</v>
      </c>
      <c r="B1" s="91" t="s">
        <v>122</v>
      </c>
      <c r="C1" s="91" t="s">
        <v>129</v>
      </c>
      <c r="D1" s="49" t="s">
        <v>130</v>
      </c>
      <c r="E1" s="91" t="s">
        <v>125</v>
      </c>
      <c r="F1" s="49" t="s">
        <v>126</v>
      </c>
      <c r="G1" s="49" t="s">
        <v>131</v>
      </c>
      <c r="H1" s="126" t="s">
        <v>128</v>
      </c>
    </row>
    <row r="2" spans="1:8" ht="12" customHeight="1" x14ac:dyDescent="0.3">
      <c r="A2" s="69" t="str">
        <f>'TC35'!X2</f>
        <v>CR-PK-CUS-POC-S13-5-2311001</v>
      </c>
      <c r="B2" s="56" t="str">
        <f>'TC35-Contract Parts Info'!B2</f>
        <v>TBAscenario1320230614011</v>
      </c>
      <c r="C2" s="56" t="str">
        <f>'TC35-Contract Parts Info'!D2</f>
        <v>CNTW-SUP-TBA-scenario13-20230604-001</v>
      </c>
      <c r="D2" s="57" t="s">
        <v>68</v>
      </c>
      <c r="E2" s="57" t="str">
        <f>'TC35'!C2</f>
        <v>CNTWSUP-PKCUS-TBA-010</v>
      </c>
      <c r="F2" s="57" t="s">
        <v>116</v>
      </c>
      <c r="G2" s="57" t="str">
        <f>TC14n15!$D$2</f>
        <v>PK-CUS-POC-S13-5</v>
      </c>
      <c r="H2" s="71" t="str">
        <f>'TC033'!$A$2</f>
        <v>CNTWSUP-PKCUS TBA</v>
      </c>
    </row>
    <row r="3" spans="1:8" x14ac:dyDescent="0.3">
      <c r="A3" s="65" t="str">
        <f>'TC35'!X2</f>
        <v>CR-PK-CUS-POC-S13-5-2311001</v>
      </c>
      <c r="B3" s="52" t="str">
        <f>'TC35-Contract Parts Info'!B3</f>
        <v>TBAscenario1320230614012</v>
      </c>
      <c r="C3" s="52" t="str">
        <f>'TC35-Contract Parts Info'!D3</f>
        <v>CNTW-SUP-TBA-scenario13-20230604-002</v>
      </c>
      <c r="D3" s="51" t="s">
        <v>68</v>
      </c>
      <c r="E3" s="51" t="str">
        <f>'TC35'!C2</f>
        <v>CNTWSUP-PKCUS-TBA-010</v>
      </c>
      <c r="F3" s="51" t="s">
        <v>116</v>
      </c>
      <c r="G3" s="57" t="str">
        <f>TC14n15!$D$2</f>
        <v>PK-CUS-POC-S13-5</v>
      </c>
      <c r="H3" s="67" t="str">
        <f>'TC033'!$A$2</f>
        <v>CNTWSUP-PKCUS TBA</v>
      </c>
    </row>
    <row r="4" spans="1:8" ht="16.5" customHeight="1" thickBot="1" x14ac:dyDescent="0.35">
      <c r="A4" s="34" t="str">
        <f>'TC35'!X2</f>
        <v>CR-PK-CUS-POC-S13-5-2311001</v>
      </c>
      <c r="B4" s="53" t="str">
        <f>'TC35-Contract Parts Info'!B4</f>
        <v>TBAscenario1320230614013</v>
      </c>
      <c r="C4" s="53" t="str">
        <f>'TC35-Contract Parts Info'!D4</f>
        <v>CNTW-SUP-TBA-scenario13-20230604-003</v>
      </c>
      <c r="D4" s="35" t="s">
        <v>68</v>
      </c>
      <c r="E4" s="35" t="str">
        <f>'TC35'!C2</f>
        <v>CNTWSUP-PKCUS-TBA-010</v>
      </c>
      <c r="F4" s="35" t="s">
        <v>116</v>
      </c>
      <c r="G4" s="57" t="str">
        <f>TC14n15!$D$2</f>
        <v>PK-CUS-POC-S13-5</v>
      </c>
      <c r="H4" s="36" t="str">
        <f>'TC033'!$A$2</f>
        <v>CNTWSUP-PKCUS TBA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F2"/>
  <sheetViews>
    <sheetView zoomScale="85" zoomScaleNormal="85" workbookViewId="0">
      <selection activeCell="D3" sqref="D3"/>
    </sheetView>
  </sheetViews>
  <sheetFormatPr defaultRowHeight="14.4" x14ac:dyDescent="0.3"/>
  <cols>
    <col min="1" max="1" width="14.6640625" bestFit="1" customWidth="1" collapsed="1"/>
    <col min="2" max="2" width="19.44140625" bestFit="1" customWidth="1" collapsed="1"/>
    <col min="3" max="3" width="39.44140625" bestFit="1" customWidth="1" collapsed="1"/>
    <col min="4" max="4" width="14" bestFit="1" customWidth="1" collapsed="1"/>
    <col min="5" max="5" width="11.88671875" bestFit="1" customWidth="1" collapsed="1"/>
    <col min="6" max="6" width="23.6640625" bestFit="1" customWidth="1" collapsed="1"/>
  </cols>
  <sheetData>
    <row r="1" spans="1:6" ht="15" thickBot="1" x14ac:dyDescent="0.35">
      <c r="A1" s="40" t="s">
        <v>132</v>
      </c>
      <c r="B1" s="49" t="s">
        <v>133</v>
      </c>
      <c r="C1" s="91" t="s">
        <v>134</v>
      </c>
      <c r="D1" s="49" t="s">
        <v>135</v>
      </c>
      <c r="E1" s="49" t="s">
        <v>136</v>
      </c>
      <c r="F1" s="126" t="s">
        <v>137</v>
      </c>
    </row>
    <row r="2" spans="1:6" ht="15" thickBot="1" x14ac:dyDescent="0.35">
      <c r="A2" s="37" t="s">
        <v>67</v>
      </c>
      <c r="B2" s="38" t="s">
        <v>138</v>
      </c>
      <c r="C2" s="38" t="str">
        <f>"Cargo Status Setting for PK-CUS-POC-"&amp;'TC35'!K2&amp;"-"&amp;AutoIncrement!A2</f>
        <v>Cargo Status Setting for PK-CUS-POC-TBA-10</v>
      </c>
      <c r="D2" s="38" t="str">
        <f>TC14n15!$D$2</f>
        <v>PK-CUS-POC-S13-5</v>
      </c>
      <c r="E2" s="38" t="s">
        <v>139</v>
      </c>
      <c r="F2" s="39" t="str">
        <f>'TC35'!C2</f>
        <v>CNTWSUP-PKCUS-TBA-010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G13" sqref="G13:G14"/>
    </sheetView>
  </sheetViews>
  <sheetFormatPr defaultRowHeight="14.4" x14ac:dyDescent="0.3"/>
  <cols>
    <col min="1" max="1" width="3.44140625" style="1" bestFit="1" customWidth="1" collapsed="1"/>
    <col min="2" max="2" width="4.6640625" bestFit="1" customWidth="1" collapsed="1"/>
    <col min="3" max="3" width="12.33203125" bestFit="1" customWidth="1" collapsed="1"/>
    <col min="4" max="4" width="18.33203125" bestFit="1" customWidth="1" collapsed="1"/>
  </cols>
  <sheetData>
    <row r="1" spans="1:4" ht="15" thickBot="1" x14ac:dyDescent="0.35">
      <c r="A1" s="64" t="s">
        <v>33</v>
      </c>
      <c r="B1" s="12" t="s">
        <v>113</v>
      </c>
      <c r="C1" s="12" t="s">
        <v>140</v>
      </c>
      <c r="D1" s="13" t="s">
        <v>141</v>
      </c>
    </row>
    <row r="2" spans="1:4" x14ac:dyDescent="0.3">
      <c r="A2" s="61">
        <v>1</v>
      </c>
      <c r="B2" s="62">
        <v>100</v>
      </c>
      <c r="C2" s="62">
        <v>200</v>
      </c>
      <c r="D2" s="63">
        <v>100</v>
      </c>
    </row>
    <row r="3" spans="1:4" x14ac:dyDescent="0.3">
      <c r="A3" s="58">
        <v>2</v>
      </c>
      <c r="B3" s="28">
        <v>100</v>
      </c>
      <c r="C3" s="28">
        <v>200</v>
      </c>
      <c r="D3" s="59">
        <v>100</v>
      </c>
    </row>
    <row r="4" spans="1:4" ht="15" thickBot="1" x14ac:dyDescent="0.35">
      <c r="A4" s="60">
        <v>3</v>
      </c>
      <c r="B4" s="29">
        <v>100</v>
      </c>
      <c r="C4" s="29">
        <v>200</v>
      </c>
      <c r="D4" s="30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B2"/>
  <sheetViews>
    <sheetView zoomScale="70" zoomScaleNormal="70" workbookViewId="0">
      <selection activeCell="Q30" sqref="Q30"/>
    </sheetView>
  </sheetViews>
  <sheetFormatPr defaultRowHeight="14.4" x14ac:dyDescent="0.3"/>
  <cols>
    <col min="2" max="2" width="14.5546875" bestFit="1" customWidth="1" collapsed="1"/>
  </cols>
  <sheetData>
    <row r="1" spans="1:2" ht="15" thickBot="1" x14ac:dyDescent="0.35">
      <c r="A1" s="43" t="s">
        <v>33</v>
      </c>
      <c r="B1" s="127" t="s">
        <v>142</v>
      </c>
    </row>
    <row r="2" spans="1:2" ht="15" thickBot="1" x14ac:dyDescent="0.35">
      <c r="A2" s="41">
        <v>1</v>
      </c>
      <c r="B2" s="42" t="str">
        <f ca="1">TEXT(DATE(YEAR(TODAY()), MONTH(TODAY())+2, DAY(TODAY())), "dd MMM yyyy")</f>
        <v>01 Jan 2024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B2"/>
  <sheetViews>
    <sheetView workbookViewId="0">
      <selection activeCell="G12" sqref="G12"/>
    </sheetView>
  </sheetViews>
  <sheetFormatPr defaultRowHeight="14.4" x14ac:dyDescent="0.3"/>
  <cols>
    <col min="2" max="2" width="16.109375" bestFit="1" customWidth="1" collapsed="1"/>
  </cols>
  <sheetData>
    <row r="1" spans="1:2" x14ac:dyDescent="0.3">
      <c r="A1" s="47" t="s">
        <v>33</v>
      </c>
      <c r="B1" s="128" t="s">
        <v>143</v>
      </c>
    </row>
    <row r="2" spans="1:2" ht="15" thickBot="1" x14ac:dyDescent="0.35">
      <c r="A2" s="10">
        <v>1</v>
      </c>
      <c r="B2" s="30" t="str">
        <f ca="1">"c"&amp;'TC35'!K2&amp;"-23"&amp;TEXT(TODAY(), "mm")&amp;"001"</f>
        <v>cTBA-2311001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B2"/>
  <sheetViews>
    <sheetView workbookViewId="0">
      <selection activeCell="I16" sqref="I16"/>
    </sheetView>
  </sheetViews>
  <sheetFormatPr defaultRowHeight="14.4" x14ac:dyDescent="0.3"/>
  <cols>
    <col min="2" max="2" width="13" bestFit="1" customWidth="1" collapsed="1"/>
  </cols>
  <sheetData>
    <row r="1" spans="1:2" ht="15" thickBot="1" x14ac:dyDescent="0.35">
      <c r="A1" s="11" t="s">
        <v>33</v>
      </c>
      <c r="B1" s="115" t="s">
        <v>144</v>
      </c>
    </row>
    <row r="2" spans="1:2" ht="15" thickBot="1" x14ac:dyDescent="0.35">
      <c r="A2" s="31">
        <v>1</v>
      </c>
      <c r="B2" s="32" t="str">
        <f ca="1">"s" &amp; 'TC35'!K2 &amp; "-23"&amp;TEXT(TODAY(), "mm")&amp;"001"</f>
        <v>sTBA-2311001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D4"/>
  <sheetViews>
    <sheetView workbookViewId="0">
      <selection activeCell="D8" sqref="D8"/>
    </sheetView>
  </sheetViews>
  <sheetFormatPr defaultRowHeight="14.4" x14ac:dyDescent="0.3"/>
  <cols>
    <col min="3" max="4" width="21.109375" bestFit="1" customWidth="1" collapsed="1"/>
  </cols>
  <sheetData>
    <row r="1" spans="1:4" ht="15" thickBot="1" x14ac:dyDescent="0.35">
      <c r="A1" s="11" t="s">
        <v>33</v>
      </c>
      <c r="B1" s="12" t="s">
        <v>145</v>
      </c>
      <c r="C1" s="12" t="s">
        <v>146</v>
      </c>
      <c r="D1" s="13" t="s">
        <v>147</v>
      </c>
    </row>
    <row r="2" spans="1:4" x14ac:dyDescent="0.3">
      <c r="A2" s="8">
        <v>1</v>
      </c>
      <c r="B2" s="62">
        <v>150</v>
      </c>
      <c r="C2" s="62">
        <v>150</v>
      </c>
      <c r="D2" s="63"/>
    </row>
    <row r="3" spans="1:4" x14ac:dyDescent="0.3">
      <c r="A3" s="9">
        <v>2</v>
      </c>
      <c r="B3" s="28">
        <v>150</v>
      </c>
      <c r="C3" s="28">
        <v>100</v>
      </c>
      <c r="D3" s="59">
        <v>50</v>
      </c>
    </row>
    <row r="4" spans="1:4" ht="15" thickBot="1" x14ac:dyDescent="0.35">
      <c r="A4" s="10">
        <v>3</v>
      </c>
      <c r="B4" s="29">
        <v>50</v>
      </c>
      <c r="C4" s="29">
        <v>0</v>
      </c>
      <c r="D4" s="30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C2"/>
  <sheetViews>
    <sheetView workbookViewId="0">
      <selection activeCell="C7" sqref="C7"/>
    </sheetView>
  </sheetViews>
  <sheetFormatPr defaultRowHeight="14.4" x14ac:dyDescent="0.3"/>
  <cols>
    <col min="1" max="1" width="21.5546875" bestFit="1" customWidth="1" collapsed="1"/>
    <col min="2" max="2" width="35.33203125" customWidth="1" collapsed="1"/>
    <col min="3" max="3" width="26.33203125" bestFit="1" customWidth="1" collapsed="1"/>
  </cols>
  <sheetData>
    <row r="1" spans="1:3" ht="15" thickBot="1" x14ac:dyDescent="0.35">
      <c r="A1" s="103" t="s">
        <v>11</v>
      </c>
      <c r="B1" s="104" t="s">
        <v>12</v>
      </c>
      <c r="C1" s="168" t="s">
        <v>13</v>
      </c>
    </row>
    <row r="2" spans="1:3" ht="15" thickBot="1" x14ac:dyDescent="0.35">
      <c r="A2" s="102" t="s">
        <v>300</v>
      </c>
      <c r="B2" s="32">
        <v>5</v>
      </c>
      <c r="C2" s="169" t="s">
        <v>301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C2"/>
  <sheetViews>
    <sheetView workbookViewId="0">
      <selection activeCell="B1" sqref="B1:C1"/>
    </sheetView>
  </sheetViews>
  <sheetFormatPr defaultRowHeight="14.4" x14ac:dyDescent="0.3"/>
  <cols>
    <col min="1" max="1" width="3.44140625" bestFit="1" customWidth="1" collapsed="1"/>
    <col min="2" max="2" width="17" bestFit="1" customWidth="1" collapsed="1"/>
    <col min="3" max="3" width="16.44140625" bestFit="1" customWidth="1" collapsed="1"/>
  </cols>
  <sheetData>
    <row r="1" spans="1:3" ht="15" thickBot="1" x14ac:dyDescent="0.35">
      <c r="A1" s="11" t="s">
        <v>33</v>
      </c>
      <c r="B1" s="114" t="s">
        <v>148</v>
      </c>
      <c r="C1" s="115" t="s">
        <v>149</v>
      </c>
    </row>
    <row r="2" spans="1:3" ht="15" thickBot="1" x14ac:dyDescent="0.35">
      <c r="A2" s="31">
        <v>1</v>
      </c>
      <c r="B2" s="23" t="str">
        <f ca="1">TEXT(DATE(YEAR(TODAY()), MONTH(TODAY())+2, DAY(TODAY())+3), "dd MMM yyyy")</f>
        <v>04 Jan 2024</v>
      </c>
      <c r="C2" s="32" t="str">
        <f ca="1">TEXT(DATE(YEAR(TODAY()), MONTH(TODAY())+2, DAY(TODAY())+5), "dd MMM yyyy")</f>
        <v>06 Jan 2024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B2"/>
  <sheetViews>
    <sheetView workbookViewId="0">
      <selection activeCell="K20" sqref="K20"/>
    </sheetView>
  </sheetViews>
  <sheetFormatPr defaultRowHeight="14.4" x14ac:dyDescent="0.3"/>
  <cols>
    <col min="2" max="2" width="16.109375" bestFit="1" customWidth="1" collapsed="1"/>
  </cols>
  <sheetData>
    <row r="1" spans="1:2" ht="15" thickBot="1" x14ac:dyDescent="0.35">
      <c r="A1" s="11" t="s">
        <v>33</v>
      </c>
      <c r="B1" s="115" t="s">
        <v>150</v>
      </c>
    </row>
    <row r="2" spans="1:2" ht="15" thickBot="1" x14ac:dyDescent="0.35">
      <c r="A2" s="31">
        <v>1</v>
      </c>
      <c r="B2" s="32" t="str">
        <f ca="1">"rc" &amp; 'TC35'!K2 &amp; "-23"&amp;TEXT(TODAY(), "mm")&amp;"001"</f>
        <v>rcTBA-2311001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X4"/>
  <sheetViews>
    <sheetView topLeftCell="E1" zoomScale="70" zoomScaleNormal="70" workbookViewId="0">
      <selection activeCell="X3" sqref="X3"/>
    </sheetView>
  </sheetViews>
  <sheetFormatPr defaultRowHeight="14.4" x14ac:dyDescent="0.3"/>
  <cols>
    <col min="1" max="1" width="13.5546875" bestFit="1" customWidth="1" collapsed="1"/>
    <col min="2" max="2" width="10.109375" bestFit="1" customWidth="1" collapsed="1"/>
    <col min="3" max="3" width="11.88671875" bestFit="1" customWidth="1" collapsed="1"/>
    <col min="4" max="4" width="17.33203125" bestFit="1" customWidth="1" collapsed="1"/>
    <col min="5" max="5" width="25.5546875" bestFit="1" customWidth="1" collapsed="1"/>
    <col min="6" max="6" width="26.6640625" bestFit="1" customWidth="1" collapsed="1"/>
    <col min="7" max="7" width="35.6640625" bestFit="1" customWidth="1" collapsed="1"/>
    <col min="8" max="8" width="7.88671875" bestFit="1" customWidth="1" collapsed="1"/>
    <col min="9" max="9" width="13.5546875" bestFit="1" customWidth="1" collapsed="1"/>
    <col min="10" max="10" width="14.6640625" bestFit="1" customWidth="1" collapsed="1"/>
    <col min="11" max="11" width="4.5546875" bestFit="1" customWidth="1" collapsed="1"/>
    <col min="12" max="12" width="9" bestFit="1" customWidth="1" collapsed="1"/>
    <col min="13" max="13" width="9.6640625" bestFit="1" customWidth="1" collapsed="1"/>
    <col min="14" max="14" width="17.5546875" bestFit="1" customWidth="1" collapsed="1"/>
    <col min="15" max="15" width="9.6640625" bestFit="1" customWidth="1" collapsed="1"/>
    <col min="18" max="18" width="11.5546875" bestFit="1" customWidth="1" collapsed="1"/>
    <col min="19" max="19" width="17.6640625" bestFit="1" customWidth="1" collapsed="1"/>
    <col min="20" max="20" width="16" bestFit="1" customWidth="1" collapsed="1"/>
    <col min="21" max="21" width="17.6640625" bestFit="1" customWidth="1" collapsed="1"/>
    <col min="22" max="22" width="16" bestFit="1" customWidth="1" collapsed="1"/>
    <col min="23" max="24" width="21.33203125" bestFit="1" customWidth="1" collapsed="1"/>
  </cols>
  <sheetData>
    <row r="1" spans="1:24" ht="15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49" t="s">
        <v>171</v>
      </c>
      <c r="X1" s="50" t="s">
        <v>172</v>
      </c>
    </row>
    <row r="2" spans="1:24" ht="13.5" customHeight="1" x14ac:dyDescent="0.3">
      <c r="A2" s="69" t="str">
        <f ca="1">'TC42'!B2</f>
        <v>cTBA-2311001</v>
      </c>
      <c r="B2" s="57" t="s">
        <v>173</v>
      </c>
      <c r="C2" s="57"/>
      <c r="D2" s="57"/>
      <c r="E2" s="57"/>
      <c r="F2" s="56" t="str">
        <f>'TC35-Contract Parts Info'!B2</f>
        <v>TBAscenario1320230614011</v>
      </c>
      <c r="G2" s="70" t="str">
        <f>'TC35-Contract Parts Info'!C2</f>
        <v>PK-CUS-TBA-scenario13-20230604-001</v>
      </c>
      <c r="H2" s="57" t="s">
        <v>174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173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57">
        <v>150</v>
      </c>
      <c r="X2" s="71"/>
    </row>
    <row r="3" spans="1:24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66" t="str">
        <f>'TC35-Contract Parts Info'!C3</f>
        <v>PK-CUS-TBA-scenario13-20230604-002</v>
      </c>
      <c r="H3" s="51" t="s">
        <v>176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173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51">
        <v>150</v>
      </c>
      <c r="X3" s="67"/>
    </row>
    <row r="4" spans="1:24" ht="1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68" t="str">
        <f>'TC35-Contract Parts Info'!C4</f>
        <v>PK-CUS-TBA-scenario13-20230604-003</v>
      </c>
      <c r="H4" s="35" t="s">
        <v>177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173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5">
        <v>50</v>
      </c>
      <c r="X4" s="3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Y4"/>
  <sheetViews>
    <sheetView topLeftCell="G1" zoomScale="85" zoomScaleNormal="85" workbookViewId="0">
      <selection activeCell="J2" sqref="J2:J4"/>
    </sheetView>
  </sheetViews>
  <sheetFormatPr defaultRowHeight="14.4" x14ac:dyDescent="0.3"/>
  <cols>
    <col min="1" max="1" width="14.88671875" bestFit="1" customWidth="1" collapsed="1"/>
    <col min="2" max="2" width="10.6640625" bestFit="1" customWidth="1" collapsed="1"/>
    <col min="3" max="3" width="12.6640625" bestFit="1" customWidth="1" collapsed="1"/>
    <col min="4" max="4" width="18.33203125" bestFit="1" customWidth="1" collapsed="1"/>
    <col min="5" max="5" width="27" bestFit="1" customWidth="1" collapsed="1"/>
    <col min="6" max="6" width="28.44140625" bestFit="1" customWidth="1" collapsed="1"/>
    <col min="7" max="7" width="43.33203125" customWidth="1" collapsed="1"/>
    <col min="8" max="8" width="9" bestFit="1" customWidth="1" collapsed="1"/>
    <col min="9" max="9" width="22.6640625" bestFit="1" customWidth="1" collapsed="1"/>
    <col min="10" max="10" width="18.6640625" bestFit="1" customWidth="1" collapsed="1"/>
    <col min="12" max="12" width="11.44140625" bestFit="1" customWidth="1" collapsed="1"/>
    <col min="13" max="13" width="12.44140625" bestFit="1" customWidth="1" collapsed="1"/>
    <col min="15" max="15" width="11.6640625" bestFit="1" customWidth="1" collapsed="1"/>
    <col min="16" max="16" width="10.6640625" bestFit="1" customWidth="1" collapsed="1"/>
    <col min="17" max="17" width="16.44140625" bestFit="1" customWidth="1" collapsed="1"/>
    <col min="18" max="18" width="15.44140625" bestFit="1" customWidth="1" collapsed="1"/>
    <col min="25" max="25" width="26" bestFit="1" customWidth="1" collapsed="1"/>
  </cols>
  <sheetData>
    <row r="1" spans="1:25" x14ac:dyDescent="0.3">
      <c r="A1" s="129" t="s">
        <v>178</v>
      </c>
      <c r="B1" s="54" t="s">
        <v>179</v>
      </c>
      <c r="C1" s="54" t="s">
        <v>153</v>
      </c>
      <c r="D1" s="54" t="s">
        <v>154</v>
      </c>
      <c r="E1" s="54" t="s">
        <v>155</v>
      </c>
      <c r="F1" s="90" t="s">
        <v>122</v>
      </c>
      <c r="G1" s="90" t="s">
        <v>156</v>
      </c>
      <c r="H1" s="54" t="s">
        <v>157</v>
      </c>
      <c r="I1" s="90" t="s">
        <v>180</v>
      </c>
      <c r="J1" s="54" t="s">
        <v>181</v>
      </c>
      <c r="K1" s="54" t="s">
        <v>160</v>
      </c>
      <c r="L1" s="54" t="s">
        <v>161</v>
      </c>
      <c r="M1" s="54" t="s">
        <v>162</v>
      </c>
      <c r="N1" s="54" t="s">
        <v>164</v>
      </c>
      <c r="O1" s="54" t="s">
        <v>103</v>
      </c>
      <c r="P1" s="54" t="s">
        <v>165</v>
      </c>
      <c r="Q1" s="54" t="s">
        <v>182</v>
      </c>
      <c r="R1" s="54" t="s">
        <v>183</v>
      </c>
      <c r="S1" s="54" t="s">
        <v>184</v>
      </c>
      <c r="T1" s="54" t="s">
        <v>185</v>
      </c>
      <c r="U1" s="54" t="s">
        <v>186</v>
      </c>
      <c r="V1" s="54" t="s">
        <v>187</v>
      </c>
      <c r="W1" s="54" t="s">
        <v>188</v>
      </c>
      <c r="X1" s="54" t="s">
        <v>189</v>
      </c>
      <c r="Y1" s="55" t="s">
        <v>190</v>
      </c>
    </row>
    <row r="2" spans="1:25" ht="15.75" customHeight="1" x14ac:dyDescent="0.3">
      <c r="A2" s="65" t="str">
        <f ca="1">'TC44'!B2</f>
        <v>sTBA-2311001</v>
      </c>
      <c r="B2" s="51" t="s">
        <v>173</v>
      </c>
      <c r="C2" s="51"/>
      <c r="D2" s="51"/>
      <c r="E2" s="51"/>
      <c r="F2" s="52" t="str">
        <f>'TC35-Contract Parts Info'!B2</f>
        <v>TBAscenario1320230614011</v>
      </c>
      <c r="G2" s="52" t="str">
        <f>'TC35-Contract Parts Info'!D2</f>
        <v>CNTW-SUP-TBA-scenario13-20230604-001</v>
      </c>
      <c r="H2" s="51" t="s">
        <v>174</v>
      </c>
      <c r="I2" s="51" t="str">
        <f ca="1">'TC42'!B2</f>
        <v>cTBA-2311001</v>
      </c>
      <c r="J2" s="52" t="str">
        <f>TC14n15!$D$2</f>
        <v>PK-CUS-POC-S13-5</v>
      </c>
      <c r="K2" s="51">
        <v>10</v>
      </c>
      <c r="L2" s="51">
        <v>10</v>
      </c>
      <c r="M2" s="51">
        <v>150</v>
      </c>
      <c r="N2" s="51">
        <v>2.0499999999999998</v>
      </c>
      <c r="O2" s="51" t="s">
        <v>115</v>
      </c>
      <c r="P2" s="51" t="s">
        <v>173</v>
      </c>
      <c r="Q2" s="51">
        <v>0</v>
      </c>
      <c r="R2" s="51">
        <v>0</v>
      </c>
      <c r="S2" s="51">
        <v>0</v>
      </c>
      <c r="T2" s="51">
        <v>150</v>
      </c>
      <c r="U2" s="51" t="s">
        <v>175</v>
      </c>
      <c r="V2" s="51">
        <v>0</v>
      </c>
      <c r="W2" s="51" t="s">
        <v>175</v>
      </c>
      <c r="X2" s="51">
        <v>150</v>
      </c>
      <c r="Y2" s="67"/>
    </row>
    <row r="3" spans="1:25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176</v>
      </c>
      <c r="I3" s="51" t="str">
        <f ca="1">'TC42'!B2</f>
        <v>cTBA-2311001</v>
      </c>
      <c r="J3" s="52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173</v>
      </c>
      <c r="Q3" s="51">
        <v>0</v>
      </c>
      <c r="R3" s="51">
        <v>0</v>
      </c>
      <c r="S3" s="51">
        <v>0</v>
      </c>
      <c r="T3" s="51">
        <v>100</v>
      </c>
      <c r="U3" s="51" t="s">
        <v>175</v>
      </c>
      <c r="V3" s="51">
        <v>50</v>
      </c>
      <c r="W3" s="51" t="s">
        <v>175</v>
      </c>
      <c r="X3" s="51">
        <v>150</v>
      </c>
      <c r="Y3" s="67"/>
    </row>
    <row r="4" spans="1:25" ht="1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177</v>
      </c>
      <c r="I4" s="35" t="str">
        <f ca="1">'TC42'!B2</f>
        <v>cTBA-2311001</v>
      </c>
      <c r="J4" s="52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173</v>
      </c>
      <c r="Q4" s="35">
        <v>0</v>
      </c>
      <c r="R4" s="35">
        <v>0</v>
      </c>
      <c r="S4" s="35">
        <v>0</v>
      </c>
      <c r="T4" s="35">
        <v>0</v>
      </c>
      <c r="U4" s="35" t="s">
        <v>175</v>
      </c>
      <c r="V4" s="35">
        <v>50</v>
      </c>
      <c r="W4" s="35" t="s">
        <v>175</v>
      </c>
      <c r="X4" s="35">
        <v>50</v>
      </c>
      <c r="Y4" s="3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B2" sqref="B2:C2"/>
    </sheetView>
  </sheetViews>
  <sheetFormatPr defaultRowHeight="14.4" x14ac:dyDescent="0.3"/>
  <cols>
    <col min="1" max="1" width="3.44140625" bestFit="1" customWidth="1" collapsed="1"/>
    <col min="2" max="2" width="11.109375" bestFit="1" customWidth="1" collapsed="1"/>
    <col min="3" max="3" width="20.33203125" customWidth="1" collapsed="1"/>
    <col min="4" max="5" width="13.109375" bestFit="1" customWidth="1" collapsed="1"/>
    <col min="6" max="6" width="13.44140625" bestFit="1" customWidth="1" collapsed="1"/>
  </cols>
  <sheetData>
    <row r="1" spans="1:6" ht="15" thickBot="1" x14ac:dyDescent="0.35">
      <c r="A1" s="11" t="s">
        <v>33</v>
      </c>
      <c r="B1" s="12" t="s">
        <v>191</v>
      </c>
      <c r="C1" s="12" t="s">
        <v>192</v>
      </c>
      <c r="D1" s="12" t="s">
        <v>193</v>
      </c>
      <c r="E1" s="114" t="s">
        <v>194</v>
      </c>
      <c r="F1" s="13" t="s">
        <v>42</v>
      </c>
    </row>
    <row r="2" spans="1:6" ht="15" thickBot="1" x14ac:dyDescent="0.35">
      <c r="A2" s="31">
        <v>1</v>
      </c>
      <c r="B2" s="23" t="str">
        <f>TC14n15!$D$2</f>
        <v>PK-CUS-POC-S13-5</v>
      </c>
      <c r="C2" s="23" t="str">
        <f>TC14n15!$D$2</f>
        <v>PK-CUS-POC-S13-5</v>
      </c>
      <c r="D2" s="23" t="s">
        <v>195</v>
      </c>
      <c r="E2" s="72" t="str">
        <f ca="1">TEXT(TODAY(),"dd/m/yyyy")</f>
        <v>01/11/2023</v>
      </c>
      <c r="F2" s="32" t="s">
        <v>196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topLeftCell="B1" zoomScaleNormal="100" workbookViewId="0">
      <selection activeCell="E16" sqref="E16"/>
    </sheetView>
  </sheetViews>
  <sheetFormatPr defaultRowHeight="14.4" x14ac:dyDescent="0.3"/>
  <cols>
    <col min="1" max="1" width="3.44140625" bestFit="1" customWidth="1" collapsed="1"/>
    <col min="2" max="2" width="25.88671875" bestFit="1" customWidth="1" collapsed="1"/>
    <col min="3" max="3" width="17.33203125" bestFit="1" customWidth="1" collapsed="1"/>
    <col min="4" max="4" width="14.5546875" bestFit="1" customWidth="1" collapsed="1"/>
    <col min="5" max="5" width="15.44140625" bestFit="1" customWidth="1" collapsed="1"/>
    <col min="6" max="6" width="21.33203125" bestFit="1" customWidth="1" collapsed="1"/>
    <col min="7" max="7" width="9.33203125" bestFit="1" customWidth="1" collapsed="1"/>
  </cols>
  <sheetData>
    <row r="1" spans="1:7" ht="15" thickBot="1" x14ac:dyDescent="0.35">
      <c r="A1" s="11" t="s">
        <v>33</v>
      </c>
      <c r="B1" s="114" t="s">
        <v>197</v>
      </c>
      <c r="C1" s="114" t="s">
        <v>198</v>
      </c>
      <c r="D1" s="12" t="s">
        <v>199</v>
      </c>
      <c r="E1" s="114" t="s">
        <v>200</v>
      </c>
      <c r="F1" s="12" t="s">
        <v>201</v>
      </c>
      <c r="G1" s="13" t="s">
        <v>202</v>
      </c>
    </row>
    <row r="2" spans="1:7" x14ac:dyDescent="0.3">
      <c r="A2" s="8">
        <v>1</v>
      </c>
      <c r="B2" s="130" t="str">
        <f ca="1">"o-CNTW-SUP-POC-"&amp;TEXT(TODAY(),"yymmdd") &amp; "-" &amp; AutoIncrement!A$2</f>
        <v>o-CNTW-SUP-POC-231101-10</v>
      </c>
      <c r="C2" s="131" t="str">
        <f ca="1">'TC52-Upload Obound Setup'!B2</f>
        <v>B-231101-TBA-10</v>
      </c>
      <c r="D2" s="131" t="s">
        <v>203</v>
      </c>
      <c r="E2" s="131" t="str">
        <f ca="1">"O-"&amp;TEXT(TODAY(),"yymmdd")&amp; "-" &amp; AutoIncrement!A2</f>
        <v>O-231101-10</v>
      </c>
      <c r="F2" s="131" t="s">
        <v>204</v>
      </c>
      <c r="G2" s="132" t="s">
        <v>205</v>
      </c>
    </row>
    <row r="3" spans="1:7" x14ac:dyDescent="0.3">
      <c r="A3" s="9">
        <v>2</v>
      </c>
      <c r="B3" s="133" t="str">
        <f ca="1">"o-CNTW-SUP-POC-"&amp;TEXT(TODAY(),"yymmdd") &amp; "-" &amp; AutoIncrement!A$2</f>
        <v>o-CNTW-SUP-POC-231101-10</v>
      </c>
      <c r="C3" s="134" t="str">
        <f ca="1">'TC52-Upload Obound Setup'!B2</f>
        <v>B-231101-TBA-10</v>
      </c>
      <c r="D3" s="134" t="s">
        <v>206</v>
      </c>
      <c r="E3" s="134" t="str">
        <f ca="1">"O-"&amp;TEXT(TODAY(),"yymmdd")&amp; "-" &amp; AutoIncrement!A2</f>
        <v>O-231101-10</v>
      </c>
      <c r="F3" s="134" t="s">
        <v>207</v>
      </c>
      <c r="G3" s="135" t="s">
        <v>33</v>
      </c>
    </row>
    <row r="4" spans="1:7" ht="15" thickBot="1" x14ac:dyDescent="0.35">
      <c r="A4" s="10">
        <v>3</v>
      </c>
      <c r="B4" s="136" t="str">
        <f ca="1">"o-CNTW-SUP-POC-"&amp;TEXT(TODAY(),"yymmdd") &amp; "-" &amp; AutoIncrement!A$2</f>
        <v>o-CNTW-SUP-POC-231101-10</v>
      </c>
      <c r="C4" s="137" t="str">
        <f ca="1">'TC52-Upload Obound Setup'!B2</f>
        <v>B-231101-TBA-10</v>
      </c>
      <c r="D4" s="136"/>
      <c r="E4" s="137" t="str">
        <f ca="1">"O-"&amp;TEXT(TODAY(),"yymmdd")&amp; "-" &amp; AutoIncrement!A2</f>
        <v>O-231101-10</v>
      </c>
      <c r="F4" s="137" t="s">
        <v>204</v>
      </c>
      <c r="G4" s="138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C2"/>
  <sheetViews>
    <sheetView workbookViewId="0">
      <selection activeCell="F13" sqref="F13"/>
    </sheetView>
  </sheetViews>
  <sheetFormatPr defaultRowHeight="14.4" x14ac:dyDescent="0.3"/>
  <cols>
    <col min="1" max="1" width="3.44140625" bestFit="1" customWidth="1" collapsed="1"/>
    <col min="2" max="2" width="15.33203125" bestFit="1" customWidth="1" collapsed="1"/>
    <col min="3" max="3" width="22.33203125" customWidth="1" collapsed="1"/>
  </cols>
  <sheetData>
    <row r="1" spans="1:2" ht="15" thickBot="1" x14ac:dyDescent="0.35">
      <c r="A1" s="11" t="s">
        <v>33</v>
      </c>
      <c r="B1" s="115" t="s">
        <v>198</v>
      </c>
    </row>
    <row r="2" spans="1:2" ht="15" thickBot="1" x14ac:dyDescent="0.35">
      <c r="A2" s="31">
        <v>1</v>
      </c>
      <c r="B2" s="32" t="str">
        <f ca="1">"B-"&amp;TEXT(TODAY(),"yymmdd") &amp; "-"&amp; 'TC35'!K2 &amp;"-"&amp; AutoIncrement!A2</f>
        <v>B-231101-TBA-10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K14" sqref="K14"/>
    </sheetView>
  </sheetViews>
  <sheetFormatPr defaultRowHeight="14.4" x14ac:dyDescent="0.3"/>
  <cols>
    <col min="1" max="1" width="3.44140625" bestFit="1" customWidth="1" collapsed="1"/>
    <col min="2" max="2" width="26.109375" bestFit="1" customWidth="1" collapsed="1"/>
    <col min="3" max="3" width="12.109375" bestFit="1" customWidth="1" collapsed="1"/>
    <col min="4" max="4" width="12" bestFit="1" customWidth="1" collapsed="1"/>
  </cols>
  <sheetData>
    <row r="1" spans="1:4" ht="15" thickBot="1" x14ac:dyDescent="0.35">
      <c r="A1" s="11" t="s">
        <v>33</v>
      </c>
      <c r="B1" s="12" t="s">
        <v>208</v>
      </c>
      <c r="C1" s="116" t="s">
        <v>209</v>
      </c>
      <c r="D1" s="139" t="s">
        <v>210</v>
      </c>
    </row>
    <row r="2" spans="1:4" ht="15" thickBot="1" x14ac:dyDescent="0.35">
      <c r="A2" s="31">
        <v>1</v>
      </c>
      <c r="B2" s="23" t="s">
        <v>211</v>
      </c>
      <c r="C2" s="23" t="s">
        <v>212</v>
      </c>
      <c r="D2" s="32" t="s">
        <v>213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W4"/>
  <sheetViews>
    <sheetView topLeftCell="F1" zoomScale="70" zoomScaleNormal="70" workbookViewId="0">
      <selection activeCell="J2" sqref="J2:J4"/>
    </sheetView>
  </sheetViews>
  <sheetFormatPr defaultRowHeight="14.4" x14ac:dyDescent="0.3"/>
  <cols>
    <col min="1" max="1" width="13.6640625" bestFit="1" customWidth="1" collapsed="1"/>
    <col min="2" max="2" width="11.33203125" bestFit="1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10" max="10" width="14.33203125" bestFit="1" customWidth="1" collapsed="1"/>
    <col min="21" max="21" width="17.33203125" customWidth="1" collapsed="1"/>
    <col min="23" max="23" width="24" bestFit="1" customWidth="1" collapsed="1"/>
  </cols>
  <sheetData>
    <row r="1" spans="1:23" ht="15" thickBot="1" x14ac:dyDescent="0.35">
      <c r="A1" s="123" t="s">
        <v>178</v>
      </c>
      <c r="B1" s="73" t="s">
        <v>179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74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r="2" spans="1:23" ht="15.75" customHeight="1" x14ac:dyDescent="0.3">
      <c r="A2" s="69" t="str">
        <f ca="1">'TC44'!B2</f>
        <v>sTBA-2311001</v>
      </c>
      <c r="B2" s="57" t="s">
        <v>214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174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150</v>
      </c>
      <c r="S2" s="57">
        <v>0</v>
      </c>
      <c r="T2" s="57">
        <v>150</v>
      </c>
      <c r="U2" s="57" t="s">
        <v>175</v>
      </c>
      <c r="V2" s="57">
        <v>0</v>
      </c>
      <c r="W2" s="71" t="s">
        <v>175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176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150</v>
      </c>
      <c r="S3" s="51">
        <v>0</v>
      </c>
      <c r="T3" s="51">
        <v>100</v>
      </c>
      <c r="U3" s="51" t="s">
        <v>175</v>
      </c>
      <c r="V3" s="51">
        <v>50</v>
      </c>
      <c r="W3" s="67" t="s">
        <v>175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177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50</v>
      </c>
      <c r="S4" s="35">
        <v>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zoomScale="85" zoomScaleNormal="85" workbookViewId="0">
      <selection activeCell="G20" sqref="G20"/>
    </sheetView>
  </sheetViews>
  <sheetFormatPr defaultRowHeight="14.4" x14ac:dyDescent="0.3"/>
  <cols>
    <col min="1" max="1" width="15.109375" bestFit="1" customWidth="1" collapsed="1"/>
    <col min="2" max="3" width="12.6640625" bestFit="1" customWidth="1" collapsed="1"/>
    <col min="4" max="4" width="18.33203125" bestFit="1" customWidth="1" collapsed="1"/>
    <col min="5" max="5" width="27" customWidth="1" collapsed="1"/>
    <col min="6" max="6" width="28.44140625" bestFit="1" customWidth="1" collapsed="1"/>
    <col min="7" max="7" width="35.33203125" customWidth="1" collapsed="1"/>
    <col min="9" max="9" width="14.88671875" customWidth="1" collapsed="1"/>
    <col min="10" max="10" width="18.109375" bestFit="1" customWidth="1" collapsed="1"/>
    <col min="11" max="11" width="5.6640625" bestFit="1" customWidth="1" collapsed="1"/>
    <col min="12" max="12" width="9.33203125" bestFit="1" customWidth="1" collapsed="1"/>
    <col min="13" max="13" width="10.33203125" bestFit="1" customWidth="1" collapsed="1"/>
    <col min="14" max="14" width="19.33203125" customWidth="1" collapsed="1"/>
    <col min="15" max="15" width="12.6640625" bestFit="1" customWidth="1" collapsed="1"/>
    <col min="16" max="16" width="11.6640625" bestFit="1" customWidth="1" collapsed="1"/>
    <col min="19" max="19" width="18.109375" bestFit="1" customWidth="1" collapsed="1"/>
    <col min="20" max="20" width="16.88671875" bestFit="1" customWidth="1" collapsed="1"/>
    <col min="23" max="23" width="22.109375" bestFit="1" customWidth="1" collapsed="1"/>
  </cols>
  <sheetData>
    <row r="1" spans="1:23" ht="15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74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75" t="s">
        <v>171</v>
      </c>
    </row>
    <row r="2" spans="1:23" ht="15" customHeight="1" x14ac:dyDescent="0.3">
      <c r="A2" s="69" t="str">
        <f ca="1">'TC42'!B2</f>
        <v>cTBA-2311001</v>
      </c>
      <c r="B2" s="57" t="s">
        <v>173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174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215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71">
        <v>150</v>
      </c>
    </row>
    <row r="3" spans="1:23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176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215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67">
        <v>150</v>
      </c>
    </row>
    <row r="4" spans="1:23" ht="1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177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215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6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zoomScale="70" zoomScaleNormal="70" workbookViewId="0">
      <selection activeCell="D2" sqref="D2"/>
    </sheetView>
  </sheetViews>
  <sheetFormatPr defaultRowHeight="14.4" x14ac:dyDescent="0.3"/>
  <cols>
    <col min="1" max="2" width="12.44140625" bestFit="1" customWidth="1" collapsed="1"/>
    <col min="3" max="3" width="25.6640625" bestFit="1" customWidth="1" collapsed="1"/>
    <col min="4" max="4" width="17.6640625" bestFit="1" customWidth="1" collapsed="1"/>
    <col min="5" max="5" width="22.33203125" bestFit="1" customWidth="1" collapsed="1"/>
    <col min="6" max="6" width="41.6640625" bestFit="1" customWidth="1" collapsed="1"/>
    <col min="7" max="7" width="8.88671875" bestFit="1" customWidth="1" collapsed="1"/>
    <col min="8" max="8" width="21.5546875" bestFit="1" customWidth="1" collapsed="1"/>
    <col min="9" max="9" width="18.33203125" bestFit="1" customWidth="1" collapsed="1"/>
    <col min="10" max="10" width="48.44140625" customWidth="1" collapsed="1"/>
  </cols>
  <sheetData>
    <row r="1" spans="1:10" ht="15" thickBot="1" x14ac:dyDescent="0.35">
      <c r="A1" s="14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r="2" spans="1:10" ht="58.2" thickBot="1" x14ac:dyDescent="0.35">
      <c r="A2" s="20" t="s">
        <v>24</v>
      </c>
      <c r="B2" s="21" t="s">
        <v>24</v>
      </c>
      <c r="C2" s="22" t="s">
        <v>25</v>
      </c>
      <c r="D2" s="21" t="str">
        <f>"PK-CUS-POC-S13-"&amp;AutoIncrement!B2</f>
        <v>PK-CUS-POC-S13-5</v>
      </c>
      <c r="E2" s="21" t="str">
        <f>"PK-CUS by Upload S13-"&amp;AutoIncrement!B2</f>
        <v>PK-CUS by Upload S13-5</v>
      </c>
      <c r="F2" s="21" t="str">
        <f>D2&amp;" ( PK-CUS by Upload S13-"&amp;AutoIncrement!B2&amp;"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topLeftCell="B1" workbookViewId="0">
      <selection activeCell="B1" sqref="B1"/>
    </sheetView>
  </sheetViews>
  <sheetFormatPr defaultRowHeight="14.4" x14ac:dyDescent="0.3"/>
  <cols>
    <col min="2" max="2" width="17.33203125" customWidth="1" collapsed="1"/>
  </cols>
  <sheetData>
    <row r="1" spans="1:2" ht="15" thickBot="1" x14ac:dyDescent="0.35">
      <c r="A1" s="11" t="s">
        <v>33</v>
      </c>
      <c r="B1" s="139" t="s">
        <v>216</v>
      </c>
    </row>
    <row r="2" spans="1:2" ht="15" thickBot="1" x14ac:dyDescent="0.35">
      <c r="A2" s="31">
        <v>1</v>
      </c>
      <c r="B2" s="32" t="s">
        <v>217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H12" sqref="H12"/>
    </sheetView>
  </sheetViews>
  <sheetFormatPr defaultRowHeight="14.4" x14ac:dyDescent="0.3"/>
  <cols>
    <col min="2" max="2" width="24.33203125" customWidth="1" collapsed="1"/>
  </cols>
  <sheetData>
    <row r="1" spans="1:2" ht="15" thickBot="1" x14ac:dyDescent="0.35">
      <c r="A1" s="11" t="s">
        <v>33</v>
      </c>
      <c r="B1" s="115" t="s">
        <v>218</v>
      </c>
    </row>
    <row r="2" spans="1:2" ht="15" thickBot="1" x14ac:dyDescent="0.35">
      <c r="A2" s="31">
        <v>1</v>
      </c>
      <c r="B2" s="106" t="str">
        <f>'TC55'!B2</f>
        <v>TW12309001</v>
      </c>
    </row>
  </sheetData>
  <pageMargins left="0.7" right="0.7" top="0.75" bottom="0.75" header="0.3" footer="0.3"/>
  <pageSetup orientation="portrait" horizontalDpi="30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1" sqref="B1"/>
    </sheetView>
  </sheetViews>
  <sheetFormatPr defaultRowHeight="14.4" x14ac:dyDescent="0.3"/>
  <cols>
    <col min="2" max="2" width="11.6640625" bestFit="1" customWidth="1" collapsed="1"/>
  </cols>
  <sheetData>
    <row r="1" spans="1:2" ht="15" thickBot="1" x14ac:dyDescent="0.35">
      <c r="A1" s="11" t="s">
        <v>33</v>
      </c>
      <c r="B1" s="115" t="s">
        <v>218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V4"/>
  <sheetViews>
    <sheetView zoomScale="70" zoomScaleNormal="70" workbookViewId="0">
      <selection activeCell="T16" sqref="T16"/>
    </sheetView>
  </sheetViews>
  <sheetFormatPr defaultRowHeight="14.4" x14ac:dyDescent="0.3"/>
  <cols>
    <col min="1" max="1" width="16.33203125" bestFit="1" customWidth="1" collapsed="1"/>
    <col min="2" max="2" width="12.44140625" bestFit="1" customWidth="1" collapsed="1"/>
    <col min="3" max="3" width="11.6640625" bestFit="1" customWidth="1" collapsed="1"/>
    <col min="4" max="4" width="16.33203125" bestFit="1" customWidth="1" collapsed="1"/>
    <col min="5" max="5" width="16.6640625" bestFit="1" customWidth="1" collapsed="1"/>
    <col min="6" max="6" width="30.5546875" bestFit="1" customWidth="1" collapsed="1"/>
    <col min="7" max="7" width="14.44140625" bestFit="1" customWidth="1" collapsed="1"/>
    <col min="8" max="8" width="23.33203125" bestFit="1" customWidth="1" collapsed="1"/>
    <col min="9" max="9" width="25.88671875" bestFit="1" customWidth="1" collapsed="1"/>
    <col min="10" max="10" width="28.109375" bestFit="1" customWidth="1" collapsed="1"/>
    <col min="11" max="11" width="22.33203125" bestFit="1" customWidth="1" collapsed="1"/>
    <col min="12" max="12" width="28.6640625" customWidth="1" collapsed="1"/>
    <col min="13" max="13" width="26.109375" bestFit="1" customWidth="1" collapsed="1"/>
    <col min="14" max="14" width="28.109375" customWidth="1" collapsed="1"/>
    <col min="15" max="15" width="25.5546875" customWidth="1" collapsed="1"/>
    <col min="16" max="16" width="25.33203125" bestFit="1" customWidth="1" collapsed="1"/>
    <col min="17" max="17" width="25.33203125" customWidth="1" collapsed="1"/>
    <col min="18" max="18" width="28.109375" customWidth="1" collapsed="1"/>
    <col min="19" max="19" width="31" customWidth="1" collapsed="1"/>
    <col min="20" max="20" width="29.6640625" customWidth="1" collapsed="1"/>
    <col min="21" max="21" width="33.44140625" customWidth="1" collapsed="1"/>
    <col min="22" max="22" width="19.33203125" bestFit="1" customWidth="1" collapsed="1"/>
  </cols>
  <sheetData>
    <row r="1" spans="1:22" s="7" customFormat="1" ht="18.75" customHeight="1" thickBot="1" x14ac:dyDescent="0.35">
      <c r="A1" s="123" t="s">
        <v>219</v>
      </c>
      <c r="B1" s="91" t="s">
        <v>199</v>
      </c>
      <c r="C1" s="49" t="s">
        <v>220</v>
      </c>
      <c r="D1" s="49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Form'!C2</f>
        <v>B-231101-TBA-10</v>
      </c>
      <c r="B2" s="57" t="str">
        <f>'TC52-Upload Obound Form'!D2</f>
        <v>SEGU5069987</v>
      </c>
      <c r="C2" s="140" t="s">
        <v>240</v>
      </c>
      <c r="D2" s="57" t="s">
        <v>241</v>
      </c>
      <c r="E2" s="57" t="s">
        <v>242</v>
      </c>
      <c r="F2" s="57" t="s">
        <v>242</v>
      </c>
      <c r="G2" s="57" t="s">
        <v>242</v>
      </c>
      <c r="H2" s="57" t="s">
        <v>242</v>
      </c>
      <c r="I2" s="57" t="s">
        <v>242</v>
      </c>
      <c r="J2" s="57" t="s">
        <v>242</v>
      </c>
      <c r="K2" s="57" t="s">
        <v>242</v>
      </c>
      <c r="L2" s="57" t="s">
        <v>242</v>
      </c>
      <c r="M2" s="57" t="s">
        <v>242</v>
      </c>
      <c r="N2" s="57" t="s">
        <v>242</v>
      </c>
      <c r="O2" s="57" t="s">
        <v>242</v>
      </c>
      <c r="P2" s="57" t="s">
        <v>242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r="3" spans="1:22" s="7" customFormat="1" x14ac:dyDescent="0.3">
      <c r="A3" s="65" t="str">
        <f ca="1">'TC52-Upload Obound Form'!C3</f>
        <v>B-231101-TBA-10</v>
      </c>
      <c r="B3" s="51" t="str">
        <f>'TC52-Upload Obound Form'!D3</f>
        <v>CNO1234</v>
      </c>
      <c r="C3" s="51" t="s">
        <v>240</v>
      </c>
      <c r="D3" s="51" t="s">
        <v>241</v>
      </c>
      <c r="E3" s="51" t="s">
        <v>242</v>
      </c>
      <c r="F3" s="51" t="s">
        <v>242</v>
      </c>
      <c r="G3" s="51" t="s">
        <v>242</v>
      </c>
      <c r="H3" s="51" t="s">
        <v>242</v>
      </c>
      <c r="I3" s="51" t="s">
        <v>242</v>
      </c>
      <c r="J3" s="51" t="s">
        <v>242</v>
      </c>
      <c r="K3" s="51" t="s">
        <v>242</v>
      </c>
      <c r="L3" s="51" t="s">
        <v>242</v>
      </c>
      <c r="M3" s="51" t="s">
        <v>242</v>
      </c>
      <c r="N3" s="51" t="s">
        <v>242</v>
      </c>
      <c r="O3" s="51" t="s">
        <v>242</v>
      </c>
      <c r="P3" s="51" t="s">
        <v>242</v>
      </c>
      <c r="Q3" s="51" t="s">
        <v>242</v>
      </c>
      <c r="R3" s="51" t="s">
        <v>242</v>
      </c>
      <c r="S3" s="51" t="s">
        <v>242</v>
      </c>
      <c r="T3" s="51" t="s">
        <v>242</v>
      </c>
      <c r="U3" s="51" t="s">
        <v>242</v>
      </c>
      <c r="V3" s="67" t="s">
        <v>242</v>
      </c>
    </row>
    <row r="4" spans="1:22" s="7" customFormat="1" ht="15" thickBot="1" x14ac:dyDescent="0.35">
      <c r="A4" s="34" t="str">
        <f ca="1">'TC52-Upload Obound Form'!C4</f>
        <v>B-231101-TBA-10</v>
      </c>
      <c r="B4" s="35"/>
      <c r="C4" s="35" t="s">
        <v>240</v>
      </c>
      <c r="D4" s="35" t="s">
        <v>241</v>
      </c>
      <c r="E4" s="35" t="s">
        <v>242</v>
      </c>
      <c r="F4" s="35" t="s">
        <v>242</v>
      </c>
      <c r="G4" s="35" t="s">
        <v>242</v>
      </c>
      <c r="H4" s="35" t="s">
        <v>242</v>
      </c>
      <c r="I4" s="35" t="s">
        <v>242</v>
      </c>
      <c r="J4" s="35" t="s">
        <v>242</v>
      </c>
      <c r="K4" s="35" t="s">
        <v>242</v>
      </c>
      <c r="L4" s="35" t="s">
        <v>242</v>
      </c>
      <c r="M4" s="35" t="s">
        <v>242</v>
      </c>
      <c r="N4" s="35" t="s">
        <v>242</v>
      </c>
      <c r="O4" s="35" t="s">
        <v>242</v>
      </c>
      <c r="P4" s="35" t="s">
        <v>242</v>
      </c>
      <c r="Q4" s="35" t="s">
        <v>242</v>
      </c>
      <c r="R4" s="35" t="s">
        <v>242</v>
      </c>
      <c r="S4" s="35" t="s">
        <v>242</v>
      </c>
      <c r="T4" s="35" t="s">
        <v>242</v>
      </c>
      <c r="U4" s="35" t="s">
        <v>242</v>
      </c>
      <c r="V4" s="36" t="s">
        <v>242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zoomScale="70" zoomScaleNormal="70" workbookViewId="0">
      <selection activeCell="J16" sqref="J16"/>
    </sheetView>
  </sheetViews>
  <sheetFormatPr defaultRowHeight="14.4" x14ac:dyDescent="0.3"/>
  <cols>
    <col min="1" max="1" width="16.33203125" bestFit="1" customWidth="1" collapsed="1"/>
    <col min="2" max="2" width="13.33203125" bestFit="1" customWidth="1" collapsed="1"/>
    <col min="3" max="3" width="21.33203125" bestFit="1" customWidth="1" collapsed="1"/>
    <col min="4" max="4" width="8.5546875" bestFit="1" customWidth="1" collapsed="1"/>
    <col min="5" max="5" width="31.109375" bestFit="1" customWidth="1" collapsed="1"/>
    <col min="6" max="6" width="33.6640625" customWidth="1" collapsed="1"/>
    <col min="7" max="7" width="21.33203125" customWidth="1" collapsed="1"/>
    <col min="8" max="8" width="16.5546875" customWidth="1" collapsed="1"/>
    <col min="10" max="10" width="15.33203125" customWidth="1" collapsed="1"/>
    <col min="11" max="11" width="11" bestFit="1" customWidth="1" collapsed="1"/>
    <col min="15" max="15" width="15.33203125" customWidth="1" collapsed="1"/>
  </cols>
  <sheetData>
    <row r="1" spans="1:15" ht="15" thickBot="1" x14ac:dyDescent="0.35">
      <c r="A1" s="123" t="s">
        <v>219</v>
      </c>
      <c r="B1" s="91" t="s">
        <v>199</v>
      </c>
      <c r="C1" s="86" t="s">
        <v>243</v>
      </c>
      <c r="D1" s="49" t="s">
        <v>244</v>
      </c>
      <c r="E1" s="49" t="s">
        <v>245</v>
      </c>
      <c r="F1" s="12" t="s">
        <v>246</v>
      </c>
      <c r="G1" s="141" t="s">
        <v>247</v>
      </c>
      <c r="H1" s="141" t="s">
        <v>248</v>
      </c>
      <c r="I1" s="86" t="s">
        <v>249</v>
      </c>
      <c r="J1" s="86" t="s">
        <v>250</v>
      </c>
      <c r="K1" s="86" t="s">
        <v>251</v>
      </c>
      <c r="L1" s="86" t="s">
        <v>252</v>
      </c>
      <c r="M1" s="86" t="s">
        <v>253</v>
      </c>
      <c r="N1" s="86" t="s">
        <v>254</v>
      </c>
      <c r="O1" s="87" t="s">
        <v>255</v>
      </c>
    </row>
    <row r="2" spans="1:15" x14ac:dyDescent="0.3">
      <c r="A2" s="69" t="str">
        <f ca="1">'TC52-Upload Obound Form'!C3</f>
        <v>B-231101-TBA-10</v>
      </c>
      <c r="B2" s="57" t="str">
        <f>'TC52-Upload Obound Form'!D2</f>
        <v>SEGU5069987</v>
      </c>
      <c r="C2" s="83" t="s">
        <v>87</v>
      </c>
      <c r="D2" s="57" t="s">
        <v>205</v>
      </c>
      <c r="E2" s="57" t="s">
        <v>87</v>
      </c>
      <c r="F2" s="62" t="s">
        <v>256</v>
      </c>
      <c r="G2" s="84">
        <f ca="1">TODAY()-2</f>
        <v>45229</v>
      </c>
      <c r="H2" s="84">
        <f ca="1">TODAY()</f>
        <v>45231</v>
      </c>
      <c r="I2" s="83" t="s">
        <v>257</v>
      </c>
      <c r="J2" s="84">
        <f ca="1">TODAY()-2</f>
        <v>45229</v>
      </c>
      <c r="K2" s="83" t="s">
        <v>258</v>
      </c>
      <c r="L2" s="83" t="s">
        <v>259</v>
      </c>
      <c r="M2" s="83">
        <v>1</v>
      </c>
      <c r="N2" s="83">
        <v>1</v>
      </c>
      <c r="O2" s="85">
        <v>1</v>
      </c>
    </row>
    <row r="3" spans="1:15" x14ac:dyDescent="0.3">
      <c r="A3" s="65" t="str">
        <f ca="1">'TC52-Upload Obound Form'!C3</f>
        <v>B-231101-TBA-10</v>
      </c>
      <c r="B3" s="51" t="str">
        <f>'TC52-Upload Obound Form'!D3</f>
        <v>CNO1234</v>
      </c>
      <c r="C3" s="77" t="s">
        <v>260</v>
      </c>
      <c r="D3" s="51" t="s">
        <v>33</v>
      </c>
      <c r="E3" s="51" t="s">
        <v>260</v>
      </c>
      <c r="F3" s="28" t="s">
        <v>224</v>
      </c>
      <c r="G3" s="78">
        <f ca="1">TODAY()-2</f>
        <v>45229</v>
      </c>
      <c r="H3" s="78">
        <f ca="1">TODAY()</f>
        <v>45231</v>
      </c>
      <c r="I3" s="77" t="s">
        <v>257</v>
      </c>
      <c r="J3" s="78">
        <f ca="1">TODAY()-2</f>
        <v>45229</v>
      </c>
      <c r="K3" s="77" t="s">
        <v>258</v>
      </c>
      <c r="L3" s="77" t="s">
        <v>259</v>
      </c>
      <c r="M3" s="77">
        <v>1</v>
      </c>
      <c r="N3" s="77">
        <v>1</v>
      </c>
      <c r="O3" s="79">
        <v>1</v>
      </c>
    </row>
    <row r="4" spans="1:15" ht="15" thickBot="1" x14ac:dyDescent="0.35">
      <c r="A4" s="34" t="str">
        <f ca="1">'TC52-Upload Obound Form'!C4</f>
        <v>B-231101-TBA-10</v>
      </c>
      <c r="B4" s="35"/>
      <c r="C4" s="80" t="s">
        <v>260</v>
      </c>
      <c r="D4" s="35" t="s">
        <v>33</v>
      </c>
      <c r="E4" s="35" t="s">
        <v>260</v>
      </c>
      <c r="F4" s="29" t="s">
        <v>224</v>
      </c>
      <c r="G4" s="81">
        <f ca="1">TODAY()-2</f>
        <v>45229</v>
      </c>
      <c r="H4" s="81">
        <f ca="1">TODAY()</f>
        <v>45231</v>
      </c>
      <c r="I4" s="80" t="s">
        <v>257</v>
      </c>
      <c r="J4" s="81">
        <f ca="1">TODAY()-2</f>
        <v>45229</v>
      </c>
      <c r="K4" s="80" t="s">
        <v>258</v>
      </c>
      <c r="L4" s="80" t="s">
        <v>259</v>
      </c>
      <c r="M4" s="80">
        <v>1</v>
      </c>
      <c r="N4" s="80">
        <v>1</v>
      </c>
      <c r="O4" s="82">
        <v>1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F2" sqref="F2"/>
    </sheetView>
  </sheetViews>
  <sheetFormatPr defaultRowHeight="14.4" x14ac:dyDescent="0.3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ht="15" thickBot="1" x14ac:dyDescent="0.35">
      <c r="A1" s="11" t="s">
        <v>249</v>
      </c>
      <c r="B1" s="12" t="s">
        <v>251</v>
      </c>
      <c r="C1" s="12" t="s">
        <v>252</v>
      </c>
      <c r="D1" s="12" t="s">
        <v>253</v>
      </c>
      <c r="E1" s="12" t="s">
        <v>254</v>
      </c>
      <c r="F1" s="13" t="s">
        <v>255</v>
      </c>
    </row>
    <row r="2" spans="1:6" ht="15" thickBot="1" x14ac:dyDescent="0.35">
      <c r="A2" s="31" t="s">
        <v>257</v>
      </c>
      <c r="B2" s="23" t="s">
        <v>258</v>
      </c>
      <c r="C2" s="23" t="s">
        <v>259</v>
      </c>
      <c r="D2" s="23">
        <v>1</v>
      </c>
      <c r="E2" s="23">
        <v>1</v>
      </c>
      <c r="F2" s="32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E2"/>
  <sheetViews>
    <sheetView workbookViewId="0">
      <selection activeCell="E9" sqref="E9"/>
    </sheetView>
  </sheetViews>
  <sheetFormatPr defaultRowHeight="14.4" x14ac:dyDescent="0.3"/>
  <cols>
    <col min="1" max="1" width="25.109375" customWidth="1" collapsed="1"/>
    <col min="2" max="2" width="26.88671875" style="2" customWidth="1" collapsed="1"/>
    <col min="3" max="3" width="27.5546875" style="2" customWidth="1" collapsed="1"/>
    <col min="4" max="4" width="26.6640625" customWidth="1" collapsed="1"/>
    <col min="5" max="5" width="29.109375" customWidth="1" collapsed="1"/>
  </cols>
  <sheetData>
    <row r="1" spans="1:5" ht="15" thickBot="1" x14ac:dyDescent="0.35">
      <c r="A1" s="123" t="s">
        <v>261</v>
      </c>
      <c r="B1" s="142" t="s">
        <v>262</v>
      </c>
      <c r="C1" s="142" t="s">
        <v>263</v>
      </c>
      <c r="D1" s="143" t="s">
        <v>264</v>
      </c>
    </row>
    <row r="2" spans="1:5" ht="15" thickBot="1" x14ac:dyDescent="0.35">
      <c r="A2" s="37" t="str">
        <f>'TC52-Upload Obound Form'!D2</f>
        <v>SEGU5069987</v>
      </c>
      <c r="B2" s="23" t="s">
        <v>265</v>
      </c>
      <c r="C2" s="23" t="s">
        <v>265</v>
      </c>
      <c r="D2" s="32" t="s">
        <v>266</v>
      </c>
      <c r="E2" s="5" t="s">
        <v>267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Q2"/>
  <sheetViews>
    <sheetView topLeftCell="D1" zoomScale="70" zoomScaleNormal="70" workbookViewId="0">
      <selection activeCell="F20" sqref="F20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15" width="24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="55" zoomScaleNormal="55" workbookViewId="0">
      <selection activeCell="F21" sqref="F21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9" width="19.88671875" bestFit="1" customWidth="1" collapsed="1"/>
    <col min="10" max="10" width="17.44140625" bestFit="1" customWidth="1" collapsed="1"/>
    <col min="11" max="11" width="22.109375" bestFit="1" customWidth="1" collapsed="1"/>
    <col min="12" max="12" width="20.33203125" bestFit="1" customWidth="1" collapsed="1"/>
    <col min="13" max="13" width="19.33203125" bestFit="1" customWidth="1" collapsed="1"/>
    <col min="14" max="14" width="17.44140625" bestFit="1" customWidth="1" collapsed="1"/>
    <col min="15" max="15" width="18.88671875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zoomScale="55" zoomScaleNormal="55" workbookViewId="0">
      <selection activeCell="Q38" sqref="Q3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6640625" customWidth="1" collapsed="1"/>
    <col min="7" max="7" width="29.6640625" customWidth="1" collapsed="1"/>
    <col min="8" max="8" width="23.6640625" customWidth="1" collapsed="1"/>
    <col min="9" max="9" width="18.44140625" customWidth="1" collapsed="1"/>
    <col min="21" max="21" width="40.5546875" bestFit="1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241</v>
      </c>
      <c r="I2" s="57" t="s">
        <v>242</v>
      </c>
      <c r="J2" s="57" t="s">
        <v>242</v>
      </c>
      <c r="K2" s="57" t="s">
        <v>242</v>
      </c>
      <c r="L2" s="57" t="s">
        <v>242</v>
      </c>
      <c r="M2" s="57" t="s">
        <v>242</v>
      </c>
      <c r="N2" s="57" t="s">
        <v>242</v>
      </c>
      <c r="O2" s="57" t="s">
        <v>242</v>
      </c>
      <c r="P2" s="57" t="s">
        <v>242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r="3" spans="1:22" s="7" customFormat="1" ht="15" thickBot="1" x14ac:dyDescent="0.35">
      <c r="A3" s="34" t="str">
        <f ca="1">'TC52-Upload Obound Form'!C4</f>
        <v>B-231101-TBA-10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241</v>
      </c>
      <c r="I3" s="35" t="s">
        <v>242</v>
      </c>
      <c r="J3" s="35" t="s">
        <v>242</v>
      </c>
      <c r="K3" s="35" t="s">
        <v>242</v>
      </c>
      <c r="L3" s="35" t="s">
        <v>242</v>
      </c>
      <c r="M3" s="35" t="s">
        <v>242</v>
      </c>
      <c r="N3" s="35" t="s">
        <v>242</v>
      </c>
      <c r="O3" s="35" t="s">
        <v>242</v>
      </c>
      <c r="P3" s="35" t="s">
        <v>242</v>
      </c>
      <c r="Q3" s="35" t="s">
        <v>242</v>
      </c>
      <c r="R3" s="35" t="s">
        <v>242</v>
      </c>
      <c r="S3" s="35" t="s">
        <v>242</v>
      </c>
      <c r="T3" s="35" t="s">
        <v>242</v>
      </c>
      <c r="U3" s="35" t="s">
        <v>242</v>
      </c>
      <c r="V3" s="36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activeCell="D2" sqref="D2"/>
    </sheetView>
  </sheetViews>
  <sheetFormatPr defaultRowHeight="14.4" x14ac:dyDescent="0.3"/>
  <cols>
    <col min="1" max="2" width="39.33203125" customWidth="1" collapsed="1"/>
    <col min="3" max="3" width="29.5546875" customWidth="1" collapsed="1"/>
    <col min="4" max="4" width="17.88671875" customWidth="1" collapsed="1"/>
  </cols>
  <sheetData>
    <row r="1" spans="1:4" ht="15" thickBot="1" x14ac:dyDescent="0.35">
      <c r="A1" s="14" t="s">
        <v>30</v>
      </c>
      <c r="B1" s="15" t="s">
        <v>31</v>
      </c>
      <c r="C1" s="26" t="s">
        <v>18</v>
      </c>
      <c r="D1" s="26" t="s">
        <v>17</v>
      </c>
    </row>
    <row r="2" spans="1:4" ht="15" thickBot="1" x14ac:dyDescent="0.35">
      <c r="A2" s="20" t="str">
        <f>"PK-SUP-POC-"&amp;AutoIncrement!B2</f>
        <v>PK-SUP-POC-5</v>
      </c>
      <c r="B2" s="21" t="str">
        <f>"PK-BU-POC-"&amp;AutoIncrement!B2</f>
        <v>PK-BU-POC-5</v>
      </c>
      <c r="C2" s="25" t="str">
        <f>"PK-CUS by Upload S13-"&amp;AutoIncrement!B2</f>
        <v>PK-CUS by Upload S13-5</v>
      </c>
      <c r="D2" t="str">
        <f>'TC09-Create New User'!$D$2</f>
        <v>PK-CUS-POC-S13-5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W4"/>
  <sheetViews>
    <sheetView topLeftCell="B1" zoomScale="85" zoomScaleNormal="85" workbookViewId="0">
      <selection activeCell="J2" sqref="J2:J4"/>
    </sheetView>
  </sheetViews>
  <sheetFormatPr defaultRowHeight="14.4" x14ac:dyDescent="0.3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  <col min="10" max="10" width="15.77734375" customWidth="1" collapsed="1"/>
    <col min="23" max="23" width="18.109375" bestFit="1" customWidth="1" collapsed="1"/>
  </cols>
  <sheetData>
    <row r="1" spans="1:23" ht="15" thickBot="1" x14ac:dyDescent="0.35">
      <c r="A1" s="147" t="s">
        <v>178</v>
      </c>
      <c r="B1" s="49" t="s">
        <v>179</v>
      </c>
      <c r="C1" s="49" t="s">
        <v>153</v>
      </c>
      <c r="D1" s="49" t="s">
        <v>154</v>
      </c>
      <c r="E1" s="49" t="s">
        <v>155</v>
      </c>
      <c r="F1" s="148" t="s">
        <v>122</v>
      </c>
      <c r="G1" s="148" t="s">
        <v>156</v>
      </c>
      <c r="H1" s="49" t="s">
        <v>157</v>
      </c>
      <c r="I1" s="148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74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r="2" spans="1:23" ht="15.75" customHeight="1" x14ac:dyDescent="0.3">
      <c r="A2" s="69" t="str">
        <f ca="1">'TC44'!B2</f>
        <v>sTBA-2311001</v>
      </c>
      <c r="B2" s="57" t="s">
        <v>214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174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150</v>
      </c>
      <c r="S2" s="57">
        <v>0</v>
      </c>
      <c r="T2" s="57">
        <v>150</v>
      </c>
      <c r="U2" s="57" t="s">
        <v>175</v>
      </c>
      <c r="V2" s="57">
        <v>0</v>
      </c>
      <c r="W2" s="71" t="s">
        <v>175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176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150</v>
      </c>
      <c r="S3" s="51">
        <v>0</v>
      </c>
      <c r="T3" s="51">
        <v>100</v>
      </c>
      <c r="U3" s="51" t="s">
        <v>175</v>
      </c>
      <c r="V3" s="51">
        <v>50</v>
      </c>
      <c r="W3" s="67" t="s">
        <v>175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177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50</v>
      </c>
      <c r="S4" s="35">
        <v>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workbookViewId="0">
      <selection activeCell="W1" sqref="W1"/>
    </sheetView>
  </sheetViews>
  <sheetFormatPr defaultRowHeight="14.4" x14ac:dyDescent="0.3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  <col min="22" max="22" width="14.6640625" bestFit="1" customWidth="1" collapsed="1"/>
    <col min="23" max="23" width="19.6640625" bestFit="1" customWidth="1" collapsed="1"/>
  </cols>
  <sheetData>
    <row r="1" spans="1:23" ht="15" thickBot="1" x14ac:dyDescent="0.35">
      <c r="A1" s="3" t="s">
        <v>151</v>
      </c>
      <c r="B1" s="3" t="s">
        <v>152</v>
      </c>
      <c r="C1" s="3" t="s">
        <v>153</v>
      </c>
      <c r="D1" s="3" t="s">
        <v>154</v>
      </c>
      <c r="E1" s="3" t="s">
        <v>155</v>
      </c>
      <c r="F1" s="3" t="s">
        <v>122</v>
      </c>
      <c r="G1" s="6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3" t="s">
        <v>161</v>
      </c>
      <c r="M1" s="40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50" t="s">
        <v>171</v>
      </c>
    </row>
    <row r="2" spans="1:23" ht="15" customHeight="1" x14ac:dyDescent="0.3">
      <c r="A2" s="3" t="str">
        <f ca="1">'TC42'!B2</f>
        <v>cTBA-2311001</v>
      </c>
      <c r="B2" s="3" t="s">
        <v>215</v>
      </c>
      <c r="C2" s="3"/>
      <c r="D2" s="3"/>
      <c r="E2" s="3"/>
      <c r="F2" s="4" t="str">
        <f>'TC35-Contract Parts Info'!B2</f>
        <v>TBAscenario1320230614011</v>
      </c>
      <c r="G2" s="4" t="str">
        <f>'TC35-Contract Parts Info'!C2</f>
        <v>PK-CUS-TBA-scenario13-20230604-001</v>
      </c>
      <c r="H2" s="3" t="s">
        <v>174</v>
      </c>
      <c r="I2" s="3" t="str">
        <f ca="1">'TC44'!B2</f>
        <v>sTBA-2311001</v>
      </c>
      <c r="J2" s="4" t="s">
        <v>67</v>
      </c>
      <c r="K2" s="3">
        <v>10</v>
      </c>
      <c r="L2" s="3">
        <v>10</v>
      </c>
      <c r="M2" s="69">
        <v>150</v>
      </c>
      <c r="N2" s="57">
        <v>0</v>
      </c>
      <c r="O2" s="57">
        <v>2.0499999999999998</v>
      </c>
      <c r="P2" s="57" t="s">
        <v>115</v>
      </c>
      <c r="Q2" s="57" t="s">
        <v>215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71">
        <v>150</v>
      </c>
    </row>
    <row r="3" spans="1:23" x14ac:dyDescent="0.3">
      <c r="B3" s="3"/>
      <c r="C3" s="3"/>
      <c r="D3" s="3"/>
      <c r="E3" s="3"/>
      <c r="F3" s="4" t="str">
        <f>'TC35-Contract Parts Info'!B3</f>
        <v>TBAscenario1320230614012</v>
      </c>
      <c r="G3" s="4" t="str">
        <f>'TC35-Contract Parts Info'!C3</f>
        <v>PK-CUS-TBA-scenario13-20230604-002</v>
      </c>
      <c r="H3" s="3" t="s">
        <v>176</v>
      </c>
      <c r="I3" s="3" t="str">
        <f ca="1">'TC44'!B2</f>
        <v>sTBA-2311001</v>
      </c>
      <c r="J3" s="4" t="s">
        <v>67</v>
      </c>
      <c r="K3" s="3">
        <v>10</v>
      </c>
      <c r="L3" s="3">
        <v>10</v>
      </c>
      <c r="M3" s="65">
        <v>150</v>
      </c>
      <c r="N3" s="51">
        <v>0</v>
      </c>
      <c r="O3" s="51">
        <v>2.0499999999999998</v>
      </c>
      <c r="P3" s="51" t="s">
        <v>115</v>
      </c>
      <c r="Q3" s="51" t="s">
        <v>215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67">
        <v>150</v>
      </c>
    </row>
    <row r="4" spans="1:23" ht="15" thickBot="1" x14ac:dyDescent="0.35">
      <c r="A4" s="3"/>
      <c r="B4" s="3"/>
      <c r="C4" s="3"/>
      <c r="D4" s="3"/>
      <c r="E4" s="3"/>
      <c r="F4" s="4" t="str">
        <f>'TC35-Contract Parts Info'!B4</f>
        <v>TBAscenario1320230614013</v>
      </c>
      <c r="G4" s="4" t="str">
        <f>'TC35-Contract Parts Info'!C4</f>
        <v>PK-CUS-TBA-scenario13-20230604-003</v>
      </c>
      <c r="H4" s="3" t="s">
        <v>177</v>
      </c>
      <c r="I4" s="3" t="str">
        <f ca="1">'TC44'!B2</f>
        <v>sTBA-2311001</v>
      </c>
      <c r="J4" s="4" t="s">
        <v>67</v>
      </c>
      <c r="K4" s="3">
        <v>10</v>
      </c>
      <c r="L4" s="3">
        <v>10</v>
      </c>
      <c r="M4" s="34">
        <v>50</v>
      </c>
      <c r="N4" s="35">
        <v>0</v>
      </c>
      <c r="O4" s="35">
        <v>2.0499999999999998</v>
      </c>
      <c r="P4" s="35" t="s">
        <v>115</v>
      </c>
      <c r="Q4" s="35" t="s">
        <v>215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6">
        <v>50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E18" sqref="E18"/>
    </sheetView>
  </sheetViews>
  <sheetFormatPr defaultRowHeight="14.4" x14ac:dyDescent="0.3"/>
  <cols>
    <col min="2" max="2" width="25.6640625" bestFit="1" customWidth="1" collapsed="1"/>
    <col min="3" max="3" width="12.44140625" bestFit="1" customWidth="1" collapsed="1"/>
    <col min="4" max="4" width="25.6640625" customWidth="1" collapsed="1"/>
    <col min="5" max="6" width="11.33203125" bestFit="1" customWidth="1" collapsed="1"/>
    <col min="7" max="7" width="26.33203125" bestFit="1" customWidth="1" collapsed="1"/>
  </cols>
  <sheetData>
    <row r="1" spans="1:7" ht="15" thickBot="1" x14ac:dyDescent="0.35">
      <c r="A1" s="11" t="s">
        <v>33</v>
      </c>
      <c r="B1" s="149" t="s">
        <v>197</v>
      </c>
      <c r="C1" s="149" t="s">
        <v>199</v>
      </c>
      <c r="D1" s="116" t="s">
        <v>283</v>
      </c>
      <c r="E1" s="149" t="s">
        <v>284</v>
      </c>
      <c r="F1" s="149" t="s">
        <v>248</v>
      </c>
      <c r="G1" s="13" t="s">
        <v>23</v>
      </c>
    </row>
    <row r="2" spans="1:7" x14ac:dyDescent="0.3">
      <c r="A2" s="8">
        <v>1</v>
      </c>
      <c r="B2" s="62" t="str">
        <f ca="1">'TC52-Upload Obound Form'!B2</f>
        <v>o-CNTW-SUP-POC-231101-10</v>
      </c>
      <c r="C2" s="62" t="str">
        <f>IF('TC52-Upload Obound Form'!D4="","",'TC52-Upload Obound Form'!D4)</f>
        <v/>
      </c>
      <c r="D2" s="62" t="s">
        <v>285</v>
      </c>
      <c r="E2" s="94" t="str">
        <f>'TC52-Autogen Outbound Data'!$C$2</f>
        <v>Oct 9, 2023</v>
      </c>
      <c r="F2" s="94" t="str">
        <f>'TC52-Autogen Outbound Data'!D$2</f>
        <v>Oct 19, 2023</v>
      </c>
      <c r="G2" s="95" t="s">
        <v>286</v>
      </c>
    </row>
    <row r="3" spans="1:7" x14ac:dyDescent="0.3">
      <c r="A3" s="9">
        <v>2</v>
      </c>
      <c r="B3" s="28" t="str">
        <f ca="1">'TC52-Upload Obound Form'!B2</f>
        <v>o-CNTW-SUP-POC-231101-10</v>
      </c>
      <c r="C3" s="28" t="str">
        <f>'TC52-Upload Obound Form'!D3</f>
        <v>CNO1234</v>
      </c>
      <c r="D3" s="28" t="s">
        <v>287</v>
      </c>
      <c r="E3" s="92" t="str">
        <f>'TC52-Autogen Outbound Data'!C$2</f>
        <v>Oct 9, 2023</v>
      </c>
      <c r="F3" s="92" t="str">
        <f>'TC52-Autogen Outbound Data'!D$2</f>
        <v>Oct 19, 2023</v>
      </c>
      <c r="G3" s="59"/>
    </row>
    <row r="4" spans="1:7" ht="15" thickBot="1" x14ac:dyDescent="0.35">
      <c r="A4" s="10">
        <v>3</v>
      </c>
      <c r="B4" s="29" t="str">
        <f ca="1">'TC52-Upload Obound Form'!B2</f>
        <v>o-CNTW-SUP-POC-231101-10</v>
      </c>
      <c r="C4" s="29" t="str">
        <f>'TC52-Upload Obound Form'!D2</f>
        <v>SEGU5069987</v>
      </c>
      <c r="D4" s="29" t="s">
        <v>288</v>
      </c>
      <c r="E4" s="93" t="str">
        <f>'TC52-Autogen Outbound Data'!C$2</f>
        <v>Oct 9, 2023</v>
      </c>
      <c r="F4" s="93" t="str">
        <f>'TC52-Autogen Outbound Data'!D$2</f>
        <v>Oct 19, 2023</v>
      </c>
      <c r="G4" s="30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D11" sqref="D11"/>
    </sheetView>
  </sheetViews>
  <sheetFormatPr defaultRowHeight="14.4" x14ac:dyDescent="0.3"/>
  <cols>
    <col min="2" max="2" width="19.44140625" customWidth="1" collapsed="1"/>
    <col min="3" max="4" width="11.33203125" bestFit="1" customWidth="1" collapsed="1"/>
  </cols>
  <sheetData>
    <row r="1" spans="1:4" ht="15" thickBot="1" x14ac:dyDescent="0.35">
      <c r="A1" s="11" t="s">
        <v>33</v>
      </c>
      <c r="B1" s="114" t="s">
        <v>218</v>
      </c>
      <c r="C1" s="114" t="s">
        <v>248</v>
      </c>
      <c r="D1" s="115" t="s">
        <v>284</v>
      </c>
    </row>
    <row r="2" spans="1:4" ht="15" thickBot="1" x14ac:dyDescent="0.35">
      <c r="A2" s="31">
        <v>1</v>
      </c>
      <c r="B2" s="23" t="str">
        <f>'TC55'!B2</f>
        <v>TW12309001</v>
      </c>
      <c r="C2" s="96" t="str">
        <f>'TC52-Autogen Outbound Data'!D$2</f>
        <v>Oct 19, 2023</v>
      </c>
      <c r="D2" s="97" t="str">
        <f>'TC52-Autogen Outbound Data'!$C$2</f>
        <v>Oct 9, 2023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B1" sqref="B1:C1"/>
    </sheetView>
  </sheetViews>
  <sheetFormatPr defaultRowHeight="14.4" x14ac:dyDescent="0.3"/>
  <cols>
    <col min="2" max="2" width="17.33203125" customWidth="1" collapsed="1"/>
    <col min="3" max="3" width="30.5546875" customWidth="1" collapsed="1"/>
  </cols>
  <sheetData>
    <row r="1" spans="1:3" ht="15" thickBot="1" x14ac:dyDescent="0.35">
      <c r="A1" s="11" t="s">
        <v>33</v>
      </c>
      <c r="B1" s="114" t="s">
        <v>218</v>
      </c>
      <c r="C1" s="115" t="s">
        <v>93</v>
      </c>
    </row>
    <row r="2" spans="1:3" ht="15" thickBot="1" x14ac:dyDescent="0.35">
      <c r="A2" s="31">
        <v>1</v>
      </c>
      <c r="B2" s="23" t="str">
        <f>'TC56-Custom Invoice Exp'!B2</f>
        <v>TW12309001</v>
      </c>
      <c r="C2" s="32" t="str">
        <f>'TC35'!C2</f>
        <v>CNTWSUP-PKCUS-TBA-010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zoomScale="70" zoomScaleNormal="70" workbookViewId="0">
      <selection activeCell="E8" sqref="E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  <col min="17" max="17" width="23.441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zoomScale="55" zoomScaleNormal="55" workbookViewId="0">
      <selection activeCell="E22" sqref="E22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17" max="17" width="19.66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V3"/>
  <sheetViews>
    <sheetView zoomScale="55" zoomScaleNormal="55" workbookViewId="0">
      <selection activeCell="G12" sqref="G12"/>
    </sheetView>
  </sheetViews>
  <sheetFormatPr defaultRowHeight="14.4" x14ac:dyDescent="0.3"/>
  <cols>
    <col min="1" max="1" width="20.6640625" customWidth="1" collapsed="1"/>
    <col min="2" max="2" width="12" bestFit="1" customWidth="1" collapsed="1"/>
    <col min="3" max="3" width="12.44140625" bestFit="1" customWidth="1" collapsed="1"/>
    <col min="4" max="4" width="23.44140625" bestFit="1" customWidth="1" collapsed="1"/>
    <col min="7" max="7" width="23.44140625" bestFit="1" customWidth="1" collapsed="1"/>
    <col min="8" max="8" width="23.33203125" customWidth="1" collapsed="1"/>
    <col min="9" max="9" width="18.44140625" customWidth="1" collapsed="1"/>
    <col min="15" max="15" width="27.33203125" customWidth="1" collapsed="1"/>
    <col min="16" max="16" width="25.109375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r="3" spans="1:22" s="7" customFormat="1" ht="15" thickBot="1" x14ac:dyDescent="0.35">
      <c r="A3" s="34" t="str">
        <f ca="1">'TC52-Upload Obound Form'!C4</f>
        <v>B-231101-TBA-10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242</v>
      </c>
      <c r="R3" s="35" t="s">
        <v>242</v>
      </c>
      <c r="S3" s="35" t="s">
        <v>242</v>
      </c>
      <c r="T3" s="35" t="s">
        <v>242</v>
      </c>
      <c r="U3" s="35" t="s">
        <v>242</v>
      </c>
      <c r="V3" s="36" t="s">
        <v>242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K20" sqref="K20"/>
    </sheetView>
  </sheetViews>
  <sheetFormatPr defaultRowHeight="14.4" x14ac:dyDescent="0.3"/>
  <cols>
    <col min="1" max="1" width="10.33203125" customWidth="1" collapsed="1"/>
    <col min="2" max="2" width="13.44140625" customWidth="1" collapsed="1"/>
  </cols>
  <sheetData>
    <row r="1" spans="1:2" ht="15" thickBot="1" x14ac:dyDescent="0.35">
      <c r="A1" s="11" t="s">
        <v>33</v>
      </c>
      <c r="B1" s="115" t="s">
        <v>218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zoomScale="55" zoomScaleNormal="55" workbookViewId="0">
      <selection activeCell="G28" sqref="G2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E28" sqref="E28"/>
    </sheetView>
  </sheetViews>
  <sheetFormatPr defaultRowHeight="14.4" x14ac:dyDescent="0.3"/>
  <cols>
    <col min="1" max="2" width="11.33203125" bestFit="1" customWidth="1" collapsed="1"/>
    <col min="3" max="3" width="23.88671875" bestFit="1" customWidth="1" collapsed="1"/>
    <col min="4" max="4" width="16.6640625" bestFit="1" customWidth="1" collapsed="1"/>
    <col min="5" max="5" width="20.88671875" bestFit="1" customWidth="1" collapsed="1"/>
    <col min="6" max="6" width="39.33203125" bestFit="1" customWidth="1" collapsed="1"/>
    <col min="7" max="7" width="8.44140625" bestFit="1" customWidth="1" collapsed="1"/>
    <col min="8" max="8" width="20.109375" bestFit="1" customWidth="1" collapsed="1"/>
  </cols>
  <sheetData>
    <row r="1" spans="1:8" ht="15" thickBot="1" x14ac:dyDescent="0.35">
      <c r="A1" s="113" t="str">
        <f>'TC09-Create New User'!A1</f>
        <v>LoginID</v>
      </c>
      <c r="B1" s="114" t="str">
        <f>'TC09-Create New User'!B1</f>
        <v>Username</v>
      </c>
      <c r="C1" s="114" t="str">
        <f>'TC09-Create New User'!C1</f>
        <v>Email</v>
      </c>
      <c r="D1" s="114" t="str">
        <f>'TC09-Create New User'!D1</f>
        <v>UserCompanyCode</v>
      </c>
      <c r="E1" s="114" t="str">
        <f>'TC09-Create New User'!E1</f>
        <v>UserCompanyName</v>
      </c>
      <c r="F1" s="114" t="str">
        <f>'TC09-Create New User'!F1</f>
        <v>DefaultCompany</v>
      </c>
      <c r="G1" s="114" t="str">
        <f>'TC09-Create New User'!G1</f>
        <v>UserRole</v>
      </c>
      <c r="H1" s="19" t="s">
        <v>21</v>
      </c>
    </row>
    <row r="2" spans="1:8" ht="15" thickBot="1" x14ac:dyDescent="0.35">
      <c r="A2" s="31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2" t="s">
        <v>32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zoomScale="85" zoomScaleNormal="85" workbookViewId="0">
      <selection activeCell="I28" sqref="I28"/>
    </sheetView>
  </sheetViews>
  <sheetFormatPr defaultRowHeight="14.4" x14ac:dyDescent="0.3"/>
  <cols>
    <col min="1" max="1" width="18" customWidth="1" collapsed="1"/>
    <col min="2" max="2" width="15.44140625" bestFit="1" customWidth="1" collapsed="1"/>
    <col min="3" max="3" width="14" bestFit="1" customWidth="1" collapsed="1"/>
    <col min="6" max="7" width="22.33203125" bestFit="1" customWidth="1" collapsed="1"/>
    <col min="8" max="8" width="15.88671875" bestFit="1" customWidth="1" collapsed="1"/>
    <col min="9" max="9" width="15.5546875" bestFit="1" customWidth="1" collapsed="1"/>
    <col min="10" max="10" width="13.33203125" bestFit="1" customWidth="1" collapsed="1"/>
    <col min="11" max="11" width="17.33203125" bestFit="1" customWidth="1" collapsed="1"/>
    <col min="12" max="12" width="15.33203125" bestFit="1" customWidth="1" collapsed="1"/>
    <col min="13" max="13" width="15.6640625" bestFit="1" customWidth="1" collapsed="1"/>
    <col min="14" max="14" width="13.33203125" bestFit="1" customWidth="1" collapsed="1"/>
    <col min="15" max="15" width="15.109375" bestFit="1" customWidth="1" collapsed="1"/>
    <col min="16" max="16" width="23.33203125" bestFit="1" customWidth="1" collapsed="1"/>
    <col min="17" max="17" width="18.66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zoomScale="70" zoomScaleNormal="70" workbookViewId="0">
      <selection activeCell="Q25" sqref="Q25"/>
    </sheetView>
  </sheetViews>
  <sheetFormatPr defaultRowHeight="14.4" x14ac:dyDescent="0.3"/>
  <cols>
    <col min="1" max="1" width="15.33203125" bestFit="1" customWidth="1" collapsed="1"/>
    <col min="2" max="2" width="11.44140625" bestFit="1" customWidth="1" collapsed="1"/>
    <col min="3" max="3" width="11.6640625" bestFit="1" customWidth="1" collapsed="1"/>
    <col min="4" max="4" width="18.109375" customWidth="1" collapsed="1"/>
    <col min="7" max="7" width="21.5546875" bestFit="1" customWidth="1" collapsed="1"/>
    <col min="9" max="9" width="18.44140625" customWidth="1" collapsed="1"/>
    <col min="18" max="18" width="23.44140625" bestFit="1" customWidth="1" collapsed="1"/>
    <col min="22" max="22" width="13.88671875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8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282</v>
      </c>
      <c r="R2" s="57" t="s">
        <v>282</v>
      </c>
      <c r="S2" s="57" t="s">
        <v>241</v>
      </c>
      <c r="T2" s="57" t="s">
        <v>242</v>
      </c>
      <c r="U2" s="57" t="s">
        <v>242</v>
      </c>
      <c r="V2" s="71" t="s">
        <v>242</v>
      </c>
    </row>
    <row r="3" spans="1:22" s="7" customFormat="1" ht="15" thickBot="1" x14ac:dyDescent="0.35">
      <c r="A3" s="34" t="str">
        <f ca="1">'TC52-Upload Obound Form'!C4</f>
        <v>B-231101-TBA-10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282</v>
      </c>
      <c r="R3" s="35" t="s">
        <v>282</v>
      </c>
      <c r="S3" s="35" t="s">
        <v>241</v>
      </c>
      <c r="T3" s="35" t="s">
        <v>242</v>
      </c>
      <c r="U3" s="35" t="s">
        <v>242</v>
      </c>
      <c r="V3" s="36" t="s">
        <v>242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topLeftCell="B1" zoomScale="70" zoomScaleNormal="70"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3320312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6640625" bestFit="1" customWidth="1" collapsed="1"/>
    <col min="13" max="13" width="20.33203125" bestFit="1" customWidth="1" collapsed="1"/>
  </cols>
  <sheetData>
    <row r="1" spans="1:13" ht="15" thickBot="1" x14ac:dyDescent="0.35">
      <c r="A1" s="11" t="str">
        <f>'TC069'!A1</f>
        <v>No</v>
      </c>
      <c r="B1" s="114" t="s">
        <v>89</v>
      </c>
      <c r="C1" s="114" t="str">
        <f>'TC069'!B1</f>
        <v>OutboundNo</v>
      </c>
      <c r="D1" s="114" t="str">
        <f>'TC069'!C1</f>
        <v>ContainerNo</v>
      </c>
      <c r="E1" s="114" t="str">
        <f>'TC069'!D1</f>
        <v>InboundNo</v>
      </c>
      <c r="F1" s="114" t="s">
        <v>289</v>
      </c>
      <c r="G1" s="114" t="s">
        <v>290</v>
      </c>
      <c r="H1" s="12" t="s">
        <v>291</v>
      </c>
      <c r="I1" s="12" t="s">
        <v>292</v>
      </c>
      <c r="J1" s="12" t="s">
        <v>293</v>
      </c>
      <c r="K1" s="12" t="s">
        <v>294</v>
      </c>
      <c r="L1" s="12" t="s">
        <v>295</v>
      </c>
      <c r="M1" s="13" t="s">
        <v>296</v>
      </c>
    </row>
    <row r="2" spans="1:13" x14ac:dyDescent="0.3">
      <c r="A2" s="8">
        <f>'TC069'!A2</f>
        <v>1</v>
      </c>
      <c r="B2" s="150" t="str">
        <f>'TC35-Contract Parts Info'!B4</f>
        <v>TBAscenario1320230614013</v>
      </c>
      <c r="C2" s="62" t="str">
        <f ca="1">'TC069'!B2</f>
        <v>o-CNTW-SUP-POC-231101-10</v>
      </c>
      <c r="D2" s="62" t="str">
        <f>'TC069'!C2</f>
        <v/>
      </c>
      <c r="E2" s="62" t="str">
        <f>'TC069'!D2</f>
        <v>i-PK-CUS-POC-230927001</v>
      </c>
      <c r="F2" s="151" t="str">
        <f ca="1">"i-CNTW-SUP-POC-"&amp;TEXT(TODAY(),"yymmdd")&amp;"-"&amp;'TC35'!K$2&amp;"-001"</f>
        <v>i-CNTW-SUP-POC-231101-TBA-001</v>
      </c>
      <c r="G2" s="62" t="str">
        <f ca="1">TEXT(TODAY(),"d mmm yyyy")</f>
        <v>1 Nov 2023</v>
      </c>
      <c r="H2" s="62"/>
      <c r="I2" s="62"/>
      <c r="J2" s="62"/>
      <c r="K2" s="62">
        <v>1</v>
      </c>
      <c r="L2" s="62">
        <v>1</v>
      </c>
      <c r="M2" s="63">
        <v>1</v>
      </c>
    </row>
    <row r="3" spans="1:13" x14ac:dyDescent="0.3">
      <c r="A3" s="9">
        <f>'TC069'!A3</f>
        <v>2</v>
      </c>
      <c r="B3" s="152" t="str">
        <f>'TC35-Contract Parts Info'!B3</f>
        <v>TBAscenario1320230614012</v>
      </c>
      <c r="C3" s="28" t="str">
        <f ca="1">'TC069'!B3</f>
        <v>o-CNTW-SUP-POC-231101-10</v>
      </c>
      <c r="D3" s="28" t="str">
        <f>'TC069'!C3</f>
        <v>CNO1234</v>
      </c>
      <c r="E3" s="28" t="str">
        <f>'TC069'!D3</f>
        <v>i-PK-CUS-POC-230927002</v>
      </c>
      <c r="F3" s="153" t="str">
        <f ca="1">"i-CNTW-SUP-POC-"&amp;TEXT(TODAY(),"yymmdd")&amp;"-"&amp;'TC35'!K$2&amp;"-001"</f>
        <v>i-CNTW-SUP-POC-231101-TBA-001</v>
      </c>
      <c r="G3" s="28" t="str">
        <f t="shared" ref="G3:G4" ca="1" si="0">TEXT(TODAY(),"d mmm yyyy")</f>
        <v>1 Nov 2023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59">
        <v>1</v>
      </c>
    </row>
    <row r="4" spans="1:13" ht="15" thickBot="1" x14ac:dyDescent="0.35">
      <c r="A4" s="10">
        <f>'TC069'!A4</f>
        <v>3</v>
      </c>
      <c r="B4" s="154" t="str">
        <f>'TC35-Contract Parts Info'!B2</f>
        <v>TBAscenario1320230614011</v>
      </c>
      <c r="C4" s="29" t="str">
        <f ca="1">'TC069'!B4</f>
        <v>o-CNTW-SUP-POC-231101-10</v>
      </c>
      <c r="D4" s="29" t="str">
        <f>'TC069'!C4</f>
        <v>SEGU5069987</v>
      </c>
      <c r="E4" s="29" t="str">
        <f>'TC069'!D4</f>
        <v>i-PK-CUS-POC-230927003</v>
      </c>
      <c r="F4" s="155" t="str">
        <f ca="1">"i-CNTW-SUP-POC-"&amp;TEXT(TODAY(),"yymmdd")&amp;"-"&amp;'TC35'!K$2&amp;"-001"</f>
        <v>i-CNTW-SUP-POC-231101-TBA-001</v>
      </c>
      <c r="G4" s="29" t="str">
        <f t="shared" ca="1" si="0"/>
        <v>1 Nov 2023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30">
        <v>1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topLeftCell="G1" zoomScale="85" zoomScaleNormal="85" workbookViewId="0">
      <selection activeCell="O1" sqref="O1"/>
    </sheetView>
  </sheetViews>
  <sheetFormatPr defaultRowHeight="14.4" x14ac:dyDescent="0.3"/>
  <cols>
    <col min="1" max="1" width="19" customWidth="1" collapsed="1"/>
    <col min="2" max="2" width="14.3320312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  <col min="22" max="22" width="20.88671875" bestFit="1" customWidth="1" collapsed="1"/>
  </cols>
  <sheetData>
    <row r="1" spans="1:22" ht="15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50" t="s">
        <v>170</v>
      </c>
    </row>
    <row r="2" spans="1:22" ht="15" customHeight="1" x14ac:dyDescent="0.3">
      <c r="A2" s="69" t="str">
        <f ca="1">'TC42'!B2</f>
        <v>cTBA-2311001</v>
      </c>
      <c r="B2" s="57" t="s">
        <v>214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174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214</v>
      </c>
      <c r="R2" s="57">
        <v>150</v>
      </c>
      <c r="S2" s="57">
        <v>150</v>
      </c>
      <c r="T2" s="57" t="s">
        <v>175</v>
      </c>
      <c r="U2" s="57">
        <v>0</v>
      </c>
      <c r="V2" s="71" t="s">
        <v>175</v>
      </c>
    </row>
    <row r="3" spans="1:22" ht="28.8" x14ac:dyDescent="0.3">
      <c r="A3" s="9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176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214</v>
      </c>
      <c r="R3" s="51">
        <v>150</v>
      </c>
      <c r="S3" s="51">
        <v>100</v>
      </c>
      <c r="T3" s="51" t="s">
        <v>175</v>
      </c>
      <c r="U3" s="51">
        <v>50</v>
      </c>
      <c r="V3" s="67" t="s">
        <v>175</v>
      </c>
    </row>
    <row r="4" spans="1:22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177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214</v>
      </c>
      <c r="R4" s="35">
        <v>50</v>
      </c>
      <c r="S4" s="35">
        <v>0</v>
      </c>
      <c r="T4" s="35" t="s">
        <v>175</v>
      </c>
      <c r="U4" s="35">
        <v>50</v>
      </c>
      <c r="V4" s="36" t="s">
        <v>175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W4"/>
  <sheetViews>
    <sheetView topLeftCell="C1" zoomScaleNormal="100" workbookViewId="0">
      <selection activeCell="J2" sqref="J2:J4"/>
    </sheetView>
  </sheetViews>
  <sheetFormatPr defaultRowHeight="14.4" x14ac:dyDescent="0.3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9" max="9" width="17.109375" bestFit="1" customWidth="1" collapsed="1"/>
    <col min="19" max="19" width="24.33203125" customWidth="1" collapsed="1"/>
    <col min="23" max="23" width="18.109375" bestFit="1" customWidth="1" collapsed="1"/>
  </cols>
  <sheetData>
    <row r="1" spans="1:23" ht="15" thickBot="1" x14ac:dyDescent="0.35">
      <c r="A1" s="40" t="s">
        <v>178</v>
      </c>
      <c r="B1" s="118" t="s">
        <v>179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49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r="2" spans="1:23" ht="15.75" customHeight="1" x14ac:dyDescent="0.3">
      <c r="A2" s="69" t="str">
        <f ca="1">'TC44'!B2</f>
        <v>sTBA-2311001</v>
      </c>
      <c r="B2" s="57" t="s">
        <v>214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174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0</v>
      </c>
      <c r="S2" s="57">
        <v>150</v>
      </c>
      <c r="T2" s="57">
        <v>150</v>
      </c>
      <c r="U2" s="57" t="s">
        <v>175</v>
      </c>
      <c r="V2" s="57">
        <v>0</v>
      </c>
      <c r="W2" s="71" t="s">
        <v>175</v>
      </c>
    </row>
    <row r="3" spans="1:23" ht="43.2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176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0</v>
      </c>
      <c r="S3" s="51">
        <v>150</v>
      </c>
      <c r="T3" s="51">
        <v>100</v>
      </c>
      <c r="U3" s="51" t="s">
        <v>175</v>
      </c>
      <c r="V3" s="51">
        <v>50</v>
      </c>
      <c r="W3" s="67" t="s">
        <v>175</v>
      </c>
    </row>
    <row r="4" spans="1:23" ht="43.8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177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0</v>
      </c>
      <c r="S4" s="35">
        <v>50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B1" sqref="B1"/>
    </sheetView>
  </sheetViews>
  <sheetFormatPr defaultRowHeight="14.4" x14ac:dyDescent="0.3"/>
  <cols>
    <col min="2" max="2" width="12.6640625" customWidth="1" collapsed="1"/>
  </cols>
  <sheetData>
    <row r="1" spans="1:2" ht="15" thickBot="1" x14ac:dyDescent="0.35">
      <c r="A1" s="11" t="s">
        <v>33</v>
      </c>
      <c r="B1" s="139" t="s">
        <v>297</v>
      </c>
    </row>
    <row r="2" spans="1:2" ht="15" thickBot="1" x14ac:dyDescent="0.35">
      <c r="A2" s="31">
        <v>1</v>
      </c>
      <c r="B2" s="32" t="s">
        <v>217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D25" sqref="D25"/>
    </sheetView>
  </sheetViews>
  <sheetFormatPr defaultColWidth="8.88671875" defaultRowHeight="13.8" x14ac:dyDescent="0.3"/>
  <cols>
    <col min="1" max="1" width="8.88671875" style="158" collapsed="1"/>
    <col min="2" max="2" width="16.109375" style="158" bestFit="1" customWidth="1" collapsed="1"/>
    <col min="3" max="3" width="12.44140625" style="158" bestFit="1" customWidth="1" collapsed="1"/>
    <col min="4" max="4" width="38.6640625" style="158" bestFit="1" customWidth="1" collapsed="1"/>
    <col min="5" max="16384" width="8.88671875" style="158" collapsed="1"/>
  </cols>
  <sheetData>
    <row r="1" spans="1:5" x14ac:dyDescent="0.3">
      <c r="A1" s="156" t="s">
        <v>33</v>
      </c>
      <c r="B1" s="157" t="s">
        <v>198</v>
      </c>
      <c r="C1" s="157" t="s">
        <v>199</v>
      </c>
      <c r="D1" s="156" t="s">
        <v>298</v>
      </c>
      <c r="E1" s="157" t="s">
        <v>202</v>
      </c>
    </row>
    <row r="2" spans="1:5" x14ac:dyDescent="0.3">
      <c r="A2" s="159">
        <v>1</v>
      </c>
      <c r="B2" s="160" t="str">
        <f ca="1">'TC52-Upload Obound Form'!C2</f>
        <v>B-231101-TBA-10</v>
      </c>
      <c r="C2" s="160" t="str">
        <f>IF('TC52-Upload Obound Form'!D2="","",'TC52-Upload Obound Form'!D2)</f>
        <v>SEGU5069987</v>
      </c>
      <c r="D2" s="159" t="s">
        <v>256</v>
      </c>
      <c r="E2" s="160" t="str">
        <f>'TC52-Upload Obound Form'!G2</f>
        <v>Yes</v>
      </c>
    </row>
    <row r="3" spans="1:5" x14ac:dyDescent="0.3">
      <c r="A3" s="159">
        <v>2</v>
      </c>
      <c r="B3" s="160" t="str">
        <f ca="1">'TC52-Upload Obound Form'!C3</f>
        <v>B-231101-TBA-10</v>
      </c>
      <c r="C3" s="160" t="str">
        <f>IF('TC52-Upload Obound Form'!D3="","",'TC52-Upload Obound Form'!D3)</f>
        <v>CNO1234</v>
      </c>
      <c r="D3" s="159" t="s">
        <v>239</v>
      </c>
      <c r="E3" s="160" t="str">
        <f>'TC52-Upload Obound Form'!G3</f>
        <v>No</v>
      </c>
    </row>
    <row r="4" spans="1:5" x14ac:dyDescent="0.3">
      <c r="A4" s="159">
        <v>3</v>
      </c>
      <c r="B4" s="160" t="str">
        <f ca="1">'TC52-Upload Obound Form'!C4</f>
        <v>B-231101-TBA-10</v>
      </c>
      <c r="C4" s="160" t="str">
        <f>IF('TC52-Upload Obound Form'!D4="","",'TC52-Upload Obound Form'!D4)</f>
        <v/>
      </c>
      <c r="D4" s="159" t="s">
        <v>239</v>
      </c>
      <c r="E4" s="160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zoomScale="70" zoomScaleNormal="70" workbookViewId="0">
      <selection activeCell="G20" sqref="G20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5" width="11.5546875" bestFit="1" customWidth="1" collapsed="1"/>
    <col min="6" max="17" width="23.441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zoomScale="70" zoomScaleNormal="70" workbookViewId="0">
      <selection activeCell="G16" sqref="G16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topLeftCell="C1" zoomScale="85" zoomScaleNormal="85" workbookViewId="0">
      <selection activeCell="G28" sqref="G2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22" max="22" width="24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49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282</v>
      </c>
      <c r="R2" s="57" t="s">
        <v>282</v>
      </c>
      <c r="S2" s="57" t="s">
        <v>282</v>
      </c>
      <c r="T2" s="57" t="s">
        <v>282</v>
      </c>
      <c r="U2" s="57" t="s">
        <v>282</v>
      </c>
      <c r="V2" s="71" t="s">
        <v>282</v>
      </c>
    </row>
    <row r="3" spans="1:22" s="7" customFormat="1" ht="15" thickBot="1" x14ac:dyDescent="0.35">
      <c r="A3" s="34" t="str">
        <f ca="1">'TC52-Upload Obound Form'!C4</f>
        <v>B-231101-TBA-10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282</v>
      </c>
      <c r="R3" s="35" t="s">
        <v>282</v>
      </c>
      <c r="S3" s="35" t="s">
        <v>282</v>
      </c>
      <c r="T3" s="35" t="s">
        <v>282</v>
      </c>
      <c r="U3" s="35" t="s">
        <v>282</v>
      </c>
      <c r="V3" s="36" t="s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topLeftCell="D1" zoomScaleNormal="100" workbookViewId="0">
      <selection activeCell="L2" sqref="L2"/>
    </sheetView>
  </sheetViews>
  <sheetFormatPr defaultRowHeight="14.4" x14ac:dyDescent="0.3"/>
  <cols>
    <col min="2" max="3" width="11.6640625" bestFit="1" customWidth="1" collapsed="1"/>
    <col min="4" max="4" width="24.33203125" bestFit="1" customWidth="1" collapsed="1"/>
    <col min="5" max="5" width="17.109375" bestFit="1" customWidth="1" collapsed="1"/>
    <col min="6" max="6" width="21.5546875" bestFit="1" customWidth="1" collapsed="1"/>
    <col min="7" max="7" width="40.88671875" bestFit="1" customWidth="1" collapsed="1"/>
    <col min="8" max="8" width="8.6640625" bestFit="1" customWidth="1" collapsed="1"/>
    <col min="9" max="9" width="21.6640625" bestFit="1" customWidth="1" collapsed="1"/>
    <col min="10" max="10" width="18.44140625" bestFit="1" customWidth="1" collapsed="1"/>
    <col min="11" max="11" width="27.44140625" bestFit="1" customWidth="1" collapsed="1"/>
    <col min="12" max="12" width="43.6640625" customWidth="1" collapsed="1"/>
  </cols>
  <sheetData>
    <row r="1" spans="1:12" ht="15" thickBot="1" x14ac:dyDescent="0.35">
      <c r="A1" s="113" t="s">
        <v>33</v>
      </c>
      <c r="B1" s="114" t="str">
        <f>'TC09-Create New User'!A1</f>
        <v>LoginID</v>
      </c>
      <c r="C1" s="114" t="str">
        <f>'TC09-Create New User'!B1</f>
        <v>Username</v>
      </c>
      <c r="D1" s="114" t="str">
        <f>'TC09-Create New User'!C1</f>
        <v>Email</v>
      </c>
      <c r="E1" s="114" t="str">
        <f>'TC09-Create New User'!D1</f>
        <v>UserCompanyCode</v>
      </c>
      <c r="F1" s="114" t="str">
        <f>'TC09-Create New User'!E1</f>
        <v>UserCompanyName</v>
      </c>
      <c r="G1" s="114" t="str">
        <f>'TC09-Create New User'!F1</f>
        <v>DefaultCompany</v>
      </c>
      <c r="H1" s="114" t="str">
        <f>'TC09-Create New User'!G1</f>
        <v>UserRole</v>
      </c>
      <c r="I1" s="116" t="str">
        <f>'TC09-Create New User'!H1</f>
        <v>BriVgeVerificationCode</v>
      </c>
      <c r="J1" s="114" t="str">
        <f>'TC09-Create New User'!I1</f>
        <v>BriVgeUserGenCode</v>
      </c>
      <c r="K1" s="44" t="s">
        <v>34</v>
      </c>
      <c r="L1" s="115" t="s">
        <v>35</v>
      </c>
    </row>
    <row r="2" spans="1:12" ht="29.4" thickBot="1" x14ac:dyDescent="0.35">
      <c r="A2" s="31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3" t="s">
        <v>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2" sqref="D2"/>
    </sheetView>
  </sheetViews>
  <sheetFormatPr defaultRowHeight="14.4" x14ac:dyDescent="0.3"/>
  <cols>
    <col min="2" max="2" width="26.6640625" customWidth="1" collapsed="1"/>
    <col min="3" max="3" width="26.44140625" customWidth="1" collapsed="1"/>
    <col min="4" max="4" width="33.109375" bestFit="1" customWidth="1" collapsed="1"/>
  </cols>
  <sheetData>
    <row r="1" spans="1:4" ht="15" thickBot="1" x14ac:dyDescent="0.35">
      <c r="A1" s="11" t="s">
        <v>33</v>
      </c>
      <c r="B1" s="114" t="s">
        <v>198</v>
      </c>
      <c r="C1" s="114" t="s">
        <v>199</v>
      </c>
      <c r="D1" s="13" t="s">
        <v>246</v>
      </c>
    </row>
    <row r="2" spans="1:4" ht="13.2" customHeight="1" x14ac:dyDescent="0.3">
      <c r="A2" s="8">
        <v>1</v>
      </c>
      <c r="B2" s="62" t="str">
        <f ca="1">'TC52-Upload Obound Setup'!B2</f>
        <v>B-231101-TBA-10</v>
      </c>
      <c r="C2" s="101" t="str">
        <f>'TC52-Upload Obound Form'!D2</f>
        <v>SEGU5069987</v>
      </c>
      <c r="D2" s="63" t="s">
        <v>256</v>
      </c>
    </row>
    <row r="3" spans="1:4" x14ac:dyDescent="0.3">
      <c r="A3" s="9">
        <v>2</v>
      </c>
      <c r="B3" s="28" t="str">
        <f ca="1">'TC52-Upload Obound Setup'!B2</f>
        <v>B-231101-TBA-10</v>
      </c>
      <c r="C3" s="99" t="str">
        <f>'TC52-Upload Obound Form'!D3</f>
        <v>CNO1234</v>
      </c>
      <c r="D3" s="59" t="s">
        <v>224</v>
      </c>
    </row>
    <row r="4" spans="1:4" ht="15" thickBot="1" x14ac:dyDescent="0.35">
      <c r="A4" s="10">
        <v>3</v>
      </c>
      <c r="B4" s="29" t="str">
        <f ca="1">'TC52-Upload Obound Setup'!B2</f>
        <v>B-231101-TBA-10</v>
      </c>
      <c r="C4" s="100"/>
      <c r="D4" s="30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zoomScale="85" zoomScaleNormal="85" workbookViewId="0">
      <selection activeCell="J3" sqref="J3"/>
    </sheetView>
  </sheetViews>
  <sheetFormatPr defaultRowHeight="14.4" x14ac:dyDescent="0.3"/>
  <cols>
    <col min="1" max="1" width="21.6640625" bestFit="1" customWidth="1" collapsed="1"/>
    <col min="2" max="2" width="22.109375" bestFit="1" customWidth="1" collapsed="1"/>
    <col min="3" max="3" width="11.33203125" bestFit="1" customWidth="1" collapsed="1"/>
    <col min="4" max="4" width="14.33203125" customWidth="1" collapsed="1"/>
    <col min="5" max="5" width="12.33203125" bestFit="1" customWidth="1" collapsed="1"/>
    <col min="6" max="6" width="9.88671875" bestFit="1" customWidth="1" collapsed="1"/>
    <col min="7" max="7" width="11.33203125" bestFit="1" customWidth="1" collapsed="1"/>
    <col min="8" max="8" width="8.6640625" bestFit="1" customWidth="1" collapsed="1"/>
    <col min="9" max="9" width="17.109375" bestFit="1" customWidth="1" collapsed="1"/>
    <col min="10" max="10" width="20.5546875" customWidth="1" collapsed="1"/>
    <col min="11" max="11" width="11.6640625" bestFit="1" customWidth="1" collapsed="1"/>
    <col min="12" max="12" width="9.33203125" customWidth="1" collapsed="1"/>
    <col min="13" max="13" width="16" bestFit="1" customWidth="1" collapsed="1"/>
    <col min="14" max="14" width="21.33203125" bestFit="1" customWidth="1" collapsed="1"/>
    <col min="15" max="15" width="39.5546875" bestFit="1" customWidth="1" collapsed="1"/>
    <col min="16" max="16" width="14.88671875" bestFit="1" customWidth="1" collapsed="1"/>
    <col min="17" max="17" width="10.6640625" bestFit="1" customWidth="1" collapsed="1"/>
    <col min="18" max="18" width="12.6640625" bestFit="1" customWidth="1" collapsed="1"/>
    <col min="19" max="19" width="15.109375" bestFit="1" customWidth="1" collapsed="1"/>
    <col min="20" max="20" width="13.33203125" bestFit="1" customWidth="1" collapsed="1"/>
    <col min="21" max="21" width="12.33203125" bestFit="1" customWidth="1" collapsed="1"/>
    <col min="22" max="22" width="14.88671875" bestFit="1" customWidth="1" collapsed="1"/>
    <col min="23" max="23" width="12.88671875" bestFit="1" customWidth="1" collapsed="1"/>
    <col min="24" max="24" width="49.5546875" bestFit="1" customWidth="1" collapsed="1"/>
  </cols>
  <sheetData>
    <row r="1" spans="1:24" s="27" customFormat="1" ht="15" thickBot="1" x14ac:dyDescent="0.35">
      <c r="A1" s="117" t="s">
        <v>39</v>
      </c>
      <c r="B1" s="91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118" t="s">
        <v>49</v>
      </c>
      <c r="L1" s="118" t="s">
        <v>50</v>
      </c>
      <c r="M1" s="118" t="s">
        <v>51</v>
      </c>
      <c r="N1" s="118" t="s">
        <v>52</v>
      </c>
      <c r="O1" s="119" t="s">
        <v>53</v>
      </c>
      <c r="P1" s="120" t="s">
        <v>54</v>
      </c>
      <c r="Q1" s="120" t="s">
        <v>55</v>
      </c>
      <c r="R1" s="120" t="s">
        <v>56</v>
      </c>
      <c r="S1" s="120" t="s">
        <v>57</v>
      </c>
      <c r="T1" s="120" t="s">
        <v>58</v>
      </c>
      <c r="U1" s="120" t="s">
        <v>59</v>
      </c>
      <c r="V1" s="120" t="s">
        <v>60</v>
      </c>
      <c r="W1" s="120" t="s">
        <v>61</v>
      </c>
      <c r="X1" s="121" t="s">
        <v>62</v>
      </c>
    </row>
    <row r="2" spans="1:24" s="27" customFormat="1" ht="15" thickBot="1" x14ac:dyDescent="0.35">
      <c r="A2" s="37" t="str">
        <f>"CNTWSUP-PKCUS "&amp;AutoIncrement!C2</f>
        <v>CNTWSUP-PKCUS TBA</v>
      </c>
      <c r="B2" s="38" t="str">
        <f>A2</f>
        <v>CNTWSUP-PKCUS TBA</v>
      </c>
      <c r="C2" s="38" t="s">
        <v>63</v>
      </c>
      <c r="D2" s="38" t="s">
        <v>64</v>
      </c>
      <c r="E2" s="38" t="s">
        <v>65</v>
      </c>
      <c r="F2" s="38" t="s">
        <v>66</v>
      </c>
      <c r="G2" s="38"/>
      <c r="H2" s="38"/>
      <c r="I2" s="38" t="s">
        <v>67</v>
      </c>
      <c r="J2" s="38" t="str">
        <f>TC14n15!$D$2</f>
        <v>PK-CUS-POC-S13-5</v>
      </c>
      <c r="K2" s="38" t="s">
        <v>69</v>
      </c>
      <c r="L2" s="38" t="s">
        <v>66</v>
      </c>
      <c r="M2" s="38">
        <v>3</v>
      </c>
      <c r="N2" s="38">
        <v>2</v>
      </c>
      <c r="O2" s="38" t="str">
        <f>TC033_ETAnWeek!I2</f>
        <v>MON,WED,FRI,</v>
      </c>
      <c r="P2" s="38">
        <v>10</v>
      </c>
      <c r="Q2" s="38">
        <v>0</v>
      </c>
      <c r="R2" s="38">
        <v>12</v>
      </c>
      <c r="S2" s="38">
        <v>6</v>
      </c>
      <c r="T2" s="38">
        <v>2023</v>
      </c>
      <c r="U2" s="38">
        <v>31</v>
      </c>
      <c r="V2" s="38">
        <v>12</v>
      </c>
      <c r="W2" s="38">
        <v>2024</v>
      </c>
      <c r="X2" s="39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zoomScaleNormal="100" workbookViewId="0">
      <selection activeCell="K20" sqref="K20"/>
    </sheetView>
  </sheetViews>
  <sheetFormatPr defaultColWidth="8.88671875" defaultRowHeight="14.4" x14ac:dyDescent="0.3"/>
  <cols>
    <col min="1" max="1" width="18.33203125" style="27" bestFit="1" customWidth="1" collapsed="1"/>
    <col min="2" max="2" width="10.44140625" style="27" bestFit="1" customWidth="1" collapsed="1"/>
    <col min="3" max="4" width="11.33203125" style="27" bestFit="1" customWidth="1" collapsed="1"/>
    <col min="5" max="5" width="14.33203125" style="27" bestFit="1" customWidth="1" collapsed="1"/>
    <col min="6" max="6" width="12" style="27" bestFit="1" customWidth="1" collapsed="1"/>
    <col min="7" max="7" width="9.5546875" style="27" bestFit="1" customWidth="1" collapsed="1"/>
    <col min="8" max="8" width="11.6640625" style="27" bestFit="1" customWidth="1" collapsed="1"/>
    <col min="9" max="9" width="13.33203125" style="27" bestFit="1" customWidth="1" collapsed="1"/>
    <col min="10" max="10" width="10.6640625" style="27" bestFit="1" customWidth="1" collapsed="1"/>
    <col min="11" max="11" width="11.33203125" style="27" bestFit="1" customWidth="1" collapsed="1"/>
    <col min="12" max="14" width="11" style="27" bestFit="1" customWidth="1" collapsed="1"/>
    <col min="15" max="15" width="29.88671875" style="27" customWidth="1" collapsed="1"/>
    <col min="16" max="16384" width="8.88671875" style="27" collapsed="1"/>
  </cols>
  <sheetData>
    <row r="1" spans="1:15" ht="15" thickBot="1" x14ac:dyDescent="0.35">
      <c r="A1" s="40" t="s">
        <v>70</v>
      </c>
      <c r="B1" s="118" t="s">
        <v>71</v>
      </c>
      <c r="C1" s="118" t="s">
        <v>72</v>
      </c>
      <c r="D1" s="118" t="s">
        <v>73</v>
      </c>
      <c r="E1" s="118" t="s">
        <v>74</v>
      </c>
      <c r="F1" s="118" t="s">
        <v>75</v>
      </c>
      <c r="G1" s="118" t="s">
        <v>76</v>
      </c>
      <c r="H1" s="118" t="s">
        <v>77</v>
      </c>
      <c r="I1" s="118" t="s">
        <v>78</v>
      </c>
      <c r="J1" s="118" t="s">
        <v>79</v>
      </c>
      <c r="K1" s="118" t="s">
        <v>80</v>
      </c>
      <c r="L1" s="118" t="s">
        <v>81</v>
      </c>
      <c r="M1" s="118" t="s">
        <v>82</v>
      </c>
      <c r="N1" s="118" t="s">
        <v>83</v>
      </c>
      <c r="O1" s="122" t="s">
        <v>84</v>
      </c>
    </row>
    <row r="2" spans="1:15" ht="15" thickBot="1" x14ac:dyDescent="0.35">
      <c r="A2" s="37" t="s">
        <v>85</v>
      </c>
      <c r="B2" s="38" t="s">
        <v>86</v>
      </c>
      <c r="C2" s="38" t="s">
        <v>87</v>
      </c>
      <c r="D2" s="38" t="s">
        <v>86</v>
      </c>
      <c r="E2" s="38" t="s">
        <v>87</v>
      </c>
      <c r="F2" s="38" t="s">
        <v>86</v>
      </c>
      <c r="G2" s="38" t="s">
        <v>87</v>
      </c>
      <c r="H2" s="38" t="s">
        <v>86</v>
      </c>
      <c r="I2" s="38" t="s">
        <v>88</v>
      </c>
      <c r="J2" s="38" t="s">
        <v>86</v>
      </c>
      <c r="K2" s="38" t="s">
        <v>87</v>
      </c>
      <c r="L2" s="38" t="s">
        <v>86</v>
      </c>
      <c r="M2" s="38" t="s">
        <v>87</v>
      </c>
      <c r="N2" s="38" t="s">
        <v>86</v>
      </c>
      <c r="O2" s="39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D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26.6640625" customWidth="1" collapsed="1"/>
    <col min="3" max="3" width="32.5546875" customWidth="1" collapsed="1"/>
    <col min="4" max="4" width="20.5546875" customWidth="1" collapsed="1"/>
  </cols>
  <sheetData>
    <row r="1" spans="1:2" ht="15" thickBot="1" x14ac:dyDescent="0.35">
      <c r="A1" s="11" t="s">
        <v>33</v>
      </c>
      <c r="B1" s="115" t="s">
        <v>1</v>
      </c>
    </row>
    <row r="2" spans="1:2" ht="15" thickBot="1" x14ac:dyDescent="0.35">
      <c r="A2" s="31">
        <v>1</v>
      </c>
      <c r="B2" s="33" t="str">
        <f>"RequestPartTB-"&amp;AutoIncrement!A2</f>
        <v>RequestPartTB-10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Indicator</vt:lpstr>
      <vt:lpstr>AutoIncrement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TC42</vt:lpstr>
      <vt:lpstr>TC44</vt:lpstr>
      <vt:lpstr>TC47-Change Order</vt:lpstr>
      <vt:lpstr>TC47-Change Inbound Dates</vt:lpstr>
      <vt:lpstr>TC48</vt:lpstr>
      <vt:lpstr>TC049</vt:lpstr>
      <vt:lpstr>TC050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2023-11-01T02:43:30Z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