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0\"/>
    </mc:Choice>
  </mc:AlternateContent>
  <xr:revisionPtr revIDLastSave="0" documentId="13_ncr:1_{3667685C-227B-4286-81D5-A99522B24E88}" xr6:coauthVersionLast="47" xr6:coauthVersionMax="47" xr10:uidLastSave="{00000000-0000-0000-0000-000000000000}"/>
  <bookViews>
    <workbookView xWindow="-23148" yWindow="-108" windowWidth="23256" windowHeight="12456" xr2:uid="{D91DBB81-1EAD-47E0-8243-635DFA859784}"/>
  </bookViews>
  <sheets>
    <sheet name="AutoIncrement" sheetId="1" r:id="rId1"/>
    <sheet name="TC001" sheetId="2" r:id="rId2"/>
    <sheet name="TC002" sheetId="3" r:id="rId3"/>
    <sheet name="TC003" sheetId="4" r:id="rId4"/>
    <sheet name="TC004" sheetId="5" r:id="rId5"/>
    <sheet name="TC005-Req to Parts Master" sheetId="6" r:id="rId6"/>
    <sheet name="TC005-Description" sheetId="7" r:id="rId7"/>
    <sheet name="TC005-Autogen" sheetId="8" r:id="rId8"/>
    <sheet name="TC007-Contract Parts Info" sheetId="9" r:id="rId9"/>
    <sheet name="TC007-Received Req Info" sheetId="10" r:id="rId10"/>
    <sheet name="TC007-Setup Data" sheetId="11" r:id="rId11"/>
    <sheet name="TC008" sheetId="12" r:id="rId12"/>
    <sheet name="TC008-PartDetail" sheetId="13" r:id="rId13"/>
    <sheet name="TC009" sheetId="14" r:id="rId14"/>
    <sheet name="TC010" sheetId="15" r:id="rId15"/>
    <sheet name="TC010.1" sheetId="16" r:id="rId16"/>
    <sheet name="TC010.1ETAWeek" sheetId="17" r:id="rId17"/>
    <sheet name="TC10.2" sheetId="18" r:id="rId18"/>
    <sheet name="TC011" sheetId="19" r:id="rId19"/>
    <sheet name="TC011-Setup Data" sheetId="20" r:id="rId20"/>
    <sheet name="TC011-Received Req Info (SUP1)" sheetId="21" r:id="rId21"/>
    <sheet name="TC011.1" sheetId="23" r:id="rId22"/>
    <sheet name="TC011.1ETAWeek" sheetId="22" r:id="rId23"/>
    <sheet name="TC11.2" sheetId="24" r:id="rId24"/>
    <sheet name="TC012" sheetId="25" r:id="rId25"/>
    <sheet name="TC012-Received Req Info (SUP2)" sheetId="26" r:id="rId26"/>
    <sheet name="TC012-Setup Data" sheetId="27" r:id="rId27"/>
    <sheet name="TC013-DT_ELA" sheetId="152" r:id="rId28"/>
    <sheet name="TC013-DT_YAZ" sheetId="153" r:id="rId29"/>
    <sheet name="TC014" sheetId="30" r:id="rId30"/>
    <sheet name="TC014-DT" sheetId="31" r:id="rId31"/>
    <sheet name="TC015" sheetId="32" r:id="rId32"/>
    <sheet name="TC015-DT" sheetId="33" r:id="rId33"/>
    <sheet name="TC016" sheetId="34" r:id="rId34"/>
    <sheet name="TC017" sheetId="35" r:id="rId35"/>
    <sheet name="TC018" sheetId="36" r:id="rId36"/>
    <sheet name="TC019" sheetId="37" r:id="rId37"/>
    <sheet name="TC20-Req Add New Part (L2)" sheetId="38" r:id="rId38"/>
    <sheet name="TC20-Req Add New Part Info (L2)" sheetId="39" r:id="rId39"/>
    <sheet name="TC20-Autogen Data" sheetId="40" r:id="rId40"/>
    <sheet name="TC021-Contrct Part Info L2 (BU)" sheetId="41" r:id="rId41"/>
    <sheet name="TC021-Received Req Info L2 (BU)" sheetId="42" r:id="rId42"/>
    <sheet name="TC021-Setup Data" sheetId="43" r:id="rId43"/>
    <sheet name="TC022" sheetId="44" r:id="rId44"/>
    <sheet name="TC024" sheetId="45" r:id="rId45"/>
    <sheet name="TC025" sheetId="46" r:id="rId46"/>
    <sheet name="TC026-L3" sheetId="184" r:id="rId47"/>
    <sheet name="TC026-L2" sheetId="185" r:id="rId48"/>
    <sheet name="TC027-materialFieldLvl1" sheetId="139" r:id="rId49"/>
    <sheet name="TC027-materialFieldLvl2" sheetId="47" r:id="rId50"/>
    <sheet name="TC027-Field" sheetId="48" r:id="rId51"/>
    <sheet name="TC027-Level 1" sheetId="49" r:id="rId52"/>
    <sheet name="TC027-Level 2" sheetId="50" r:id="rId53"/>
    <sheet name="TC027-product plan" sheetId="51" r:id="rId54"/>
    <sheet name="TC027-AutoGen" sheetId="52" r:id="rId55"/>
    <sheet name="TC028" sheetId="53" r:id="rId56"/>
    <sheet name="TC029" sheetId="171" r:id="rId57"/>
    <sheet name="TC030-L3" sheetId="172" r:id="rId58"/>
    <sheet name="TC30-L2" sheetId="154" r:id="rId59"/>
    <sheet name="TC031-Create Order Calc Group" sheetId="54" r:id="rId60"/>
    <sheet name="TC033-Up Stock Mngmt Calc Set" sheetId="55" r:id="rId61"/>
    <sheet name="TC034-Create Order Calculation" sheetId="56" r:id="rId62"/>
    <sheet name="TC36" sheetId="116" r:id="rId63"/>
    <sheet name="TC037" sheetId="57" r:id="rId64"/>
    <sheet name="TC038" sheetId="58" r:id="rId65"/>
    <sheet name="TC041-L3" sheetId="186" r:id="rId66"/>
    <sheet name="TC41-L2" sheetId="155" r:id="rId67"/>
    <sheet name="TC42" sheetId="140" r:id="rId68"/>
    <sheet name="TC043" sheetId="59" r:id="rId69"/>
    <sheet name="TC046-L3" sheetId="187" r:id="rId70"/>
    <sheet name="TC46-L2" sheetId="156" r:id="rId71"/>
    <sheet name="TC47" sheetId="141" r:id="rId72"/>
    <sheet name="TC048" sheetId="60" r:id="rId73"/>
    <sheet name="TC049 autogen" sheetId="61" r:id="rId74"/>
    <sheet name="TC049" sheetId="142" r:id="rId75"/>
    <sheet name="TC050-Sup1 SO List" sheetId="62" r:id="rId76"/>
    <sheet name="TC051_price" sheetId="63" r:id="rId77"/>
    <sheet name="TC051" sheetId="64" r:id="rId78"/>
    <sheet name="TC057-L3" sheetId="188" r:id="rId79"/>
    <sheet name="TC057-L2" sheetId="157" r:id="rId80"/>
    <sheet name="TC058n59" sheetId="118" r:id="rId81"/>
    <sheet name="TC59 AutoGen" sheetId="143" r:id="rId82"/>
    <sheet name="TC060" sheetId="119" r:id="rId83"/>
    <sheet name="TC061" sheetId="120" r:id="rId84"/>
    <sheet name="TC063" sheetId="121" r:id="rId85"/>
    <sheet name="TC065" sheetId="122" r:id="rId86"/>
    <sheet name="TC067" sheetId="123" r:id="rId87"/>
    <sheet name="TC071" sheetId="124" r:id="rId88"/>
    <sheet name="TC072-Spot OCRN" sheetId="66" r:id="rId89"/>
    <sheet name="TC072-Place Spot Order" sheetId="65" r:id="rId90"/>
    <sheet name="TC072-Inbound Plan Date" sheetId="67" r:id="rId91"/>
    <sheet name="TC072-Spot Customer Usage" sheetId="68" r:id="rId92"/>
    <sheet name="TC073 AutoGen" sheetId="125" r:id="rId93"/>
    <sheet name="TC073" sheetId="144" r:id="rId94"/>
    <sheet name="TC074_price" sheetId="146" r:id="rId95"/>
    <sheet name="TC074" sheetId="145" r:id="rId96"/>
    <sheet name="TC075" sheetId="147" r:id="rId97"/>
    <sheet name="TC077" sheetId="126" r:id="rId98"/>
    <sheet name="TC078-BU AutoGen PO" sheetId="69" r:id="rId99"/>
    <sheet name="TC079-AutoGen" sheetId="149" r:id="rId100"/>
    <sheet name="TC080" sheetId="151" r:id="rId101"/>
    <sheet name="TC080-AutoGen" sheetId="158" r:id="rId102"/>
    <sheet name="TC081-BU Check PO" sheetId="70" r:id="rId103"/>
    <sheet name="TC082" sheetId="127" r:id="rId104"/>
    <sheet name="TC083" sheetId="128" r:id="rId105"/>
    <sheet name="TC083-Date" sheetId="129" r:id="rId106"/>
    <sheet name="TC084-Change Request No" sheetId="71" r:id="rId107"/>
    <sheet name="TC084-Sup1 AutoGen Change" sheetId="72" r:id="rId108"/>
    <sheet name="TC085-BU AutoGen Change" sheetId="73" r:id="rId109"/>
    <sheet name="TC088-BU Propose New Date" sheetId="74" r:id="rId110"/>
    <sheet name="TC089-Sup1 Check Change" sheetId="75" r:id="rId111"/>
    <sheet name="TC092-Supplier Date Change" sheetId="77" r:id="rId112"/>
    <sheet name="TC094-BU Check Change" sheetId="76" r:id="rId113"/>
    <sheet name="TC099-BU Check PO" sheetId="78" r:id="rId114"/>
    <sheet name="TC100" sheetId="130" r:id="rId115"/>
    <sheet name="TC102-Outbound No" sheetId="80" r:id="rId116"/>
    <sheet name="TC102-Supplier1 Outbound" sheetId="79" r:id="rId117"/>
    <sheet name="TC102-Supplier1 GI Invoice" sheetId="81" r:id="rId118"/>
    <sheet name="TC105n106_NonFContainer" sheetId="133" r:id="rId119"/>
    <sheet name="TC105_PO" sheetId="134" r:id="rId120"/>
    <sheet name="TC106_SO" sheetId="135" r:id="rId121"/>
    <sheet name="TC107" sheetId="136" r:id="rId122"/>
    <sheet name="TC110" sheetId="137" r:id="rId123"/>
    <sheet name="TC111-Change Request No" sheetId="82" r:id="rId124"/>
    <sheet name="TC111-BU AutoGen Change" sheetId="83" r:id="rId125"/>
    <sheet name="TC113-BU Check PO" sheetId="84" r:id="rId126"/>
    <sheet name="TC114" sheetId="189" r:id="rId127"/>
    <sheet name="TC114.1-Get SOid YAZ" sheetId="159" r:id="rId128"/>
    <sheet name="TC115-Supplier2 Outbound" sheetId="85" r:id="rId129"/>
    <sheet name="TC115-Outbound No" sheetId="86" r:id="rId130"/>
    <sheet name="TC117_PO" sheetId="190" r:id="rId131"/>
    <sheet name="TC117-BU AutoGen Cargo Tracking" sheetId="87" r:id="rId132"/>
    <sheet name="TC118-Supplier2 Cargo Tracking" sheetId="88" r:id="rId133"/>
    <sheet name="TC118_SO" sheetId="191" r:id="rId134"/>
    <sheet name="TC119-TC121" sheetId="161" r:id="rId135"/>
    <sheet name="TC121.1 autoGen Invoice" sheetId="163" r:id="rId136"/>
    <sheet name="TC122-AutoGen" sheetId="164" r:id="rId137"/>
    <sheet name="TC123-Supplier2 GI Invoice" sheetId="89" r:id="rId138"/>
    <sheet name="TC126" sheetId="165" r:id="rId139"/>
    <sheet name="TC126-Setup" sheetId="166" r:id="rId140"/>
    <sheet name="TC129" sheetId="170" r:id="rId141"/>
    <sheet name="TC132-BU Check Cargo Tracking" sheetId="90" r:id="rId142"/>
    <sheet name="TC132_PO" sheetId="192" r:id="rId143"/>
    <sheet name="TC134_SO" sheetId="193" r:id="rId144"/>
    <sheet name="TC138-L3" sheetId="203" r:id="rId145"/>
    <sheet name="TC138-L2" sheetId="205" r:id="rId146"/>
    <sheet name="TC142_PO" sheetId="194" r:id="rId147"/>
    <sheet name="TC144_SO" sheetId="195" r:id="rId148"/>
    <sheet name="TC147-BU Check Cargo Tracking" sheetId="91" r:id="rId149"/>
    <sheet name="TC147_PO" sheetId="196" r:id="rId150"/>
    <sheet name="TC148-Supplier1 Cargo Tracking" sheetId="92" r:id="rId151"/>
    <sheet name="TC149_SO" sheetId="197" r:id="rId152"/>
    <sheet name="TC149-Supplier2 Cargo Tracking" sheetId="93" r:id="rId153"/>
    <sheet name="TC150-DC Inbound" sheetId="94" r:id="rId154"/>
    <sheet name="TC154-Upload Customer Stock" sheetId="95" r:id="rId155"/>
    <sheet name="TC154-Stock Date" sheetId="96" r:id="rId156"/>
    <sheet name="TC155-Upload Stock Adjustment" sheetId="97" r:id="rId157"/>
    <sheet name="TC155-Adjustment Date" sheetId="98" r:id="rId158"/>
    <sheet name="TC158-L3" sheetId="204" r:id="rId159"/>
    <sheet name="TC158-L2" sheetId="206" r:id="rId160"/>
    <sheet name="TC159-Customer DI Parts" sheetId="99" r:id="rId161"/>
    <sheet name="TC159-DI Parts Date" sheetId="100" r:id="rId162"/>
    <sheet name="TC159-AutoGenerate" sheetId="176" r:id="rId163"/>
    <sheet name="TC160" sheetId="101" r:id="rId164"/>
    <sheet name="TC162" sheetId="102" r:id="rId165"/>
    <sheet name="TC164-DC Outbound Prio" sheetId="103" r:id="rId166"/>
    <sheet name="TC165-DC Outbound L2" sheetId="177" r:id="rId167"/>
    <sheet name="TC165-Outbound List" sheetId="108" r:id="rId168"/>
    <sheet name="TC166-Customer Check CO1" sheetId="104" r:id="rId169"/>
    <sheet name="TC166-Customer Check CO2" sheetId="105" r:id="rId170"/>
    <sheet name="TC167-BU Check SO1" sheetId="106" r:id="rId171"/>
    <sheet name="TC167-BU Check SO2" sheetId="107" r:id="rId172"/>
    <sheet name="TC168_SO" sheetId="199" r:id="rId173"/>
    <sheet name="TC169_CO" sheetId="198" r:id="rId174"/>
    <sheet name="TC170" sheetId="178" r:id="rId175"/>
    <sheet name="TC172-Seller GI Invoice" sheetId="109" r:id="rId176"/>
    <sheet name="TC176-Customer Inbound L2" sheetId="179" r:id="rId177"/>
    <sheet name="TC176-AutoGenCO" sheetId="180" r:id="rId178"/>
    <sheet name="TC177-Customer Check CO1" sheetId="110" r:id="rId179"/>
    <sheet name="TC177-Customer Check CO2" sheetId="111" r:id="rId180"/>
    <sheet name="TC178-BU Check SO1" sheetId="112" r:id="rId181"/>
    <sheet name="TC178-BU Check SO2" sheetId="113" r:id="rId182"/>
    <sheet name="TC179-Customer Shipping Detail" sheetId="114" r:id="rId183"/>
    <sheet name="TC180" sheetId="200" r:id="rId184"/>
    <sheet name="TC181-Customer Cargo Tracking" sheetId="115" r:id="rId185"/>
    <sheet name="TC181_CO" sheetId="202" r:id="rId186"/>
    <sheet name="TC182_SO" sheetId="201" r:id="rId187"/>
    <sheet name="TC184" sheetId="181" r:id="rId188"/>
    <sheet name="TC185" sheetId="182" r:id="rId189"/>
    <sheet name="TC187" sheetId="183" r:id="rId190"/>
    <sheet name="ContractList" sheetId="148" r:id="rId191"/>
    <sheet name="TC105_ForecastContainer" sheetId="131" r:id="rId192"/>
    <sheet name="TC105_Forecast-Manual" sheetId="132" r:id="rId193"/>
    <sheet name="TC126 Ori" sheetId="167" r:id="rId194"/>
  </sheets>
  <definedNames>
    <definedName name="_xlnm._FilterDatabase" localSheetId="44" hidden="1">'TC024'!$A$1:$L$1</definedName>
    <definedName name="_xlnm._FilterDatabase" localSheetId="52" hidden="1">'TC027-Level 2'!$A$1:$H$22</definedName>
    <definedName name="activeFlagListArr" localSheetId="166">#REF!</definedName>
    <definedName name="activeFlagListArr" localSheetId="176">#REF!</definedName>
    <definedName name="activeFlagListArr">#REF!</definedName>
    <definedName name="activeFlagStrArr" localSheetId="166">#REF!</definedName>
    <definedName name="activeFlagStrArr" localSheetId="176">#REF!</definedName>
    <definedName name="activeFlagStrArr">#REF!</definedName>
    <definedName name="CURRENCY_CODE" localSheetId="166">#REF!</definedName>
    <definedName name="CURRENCY_CODE" localSheetId="176">#REF!</definedName>
    <definedName name="CURRENCY_CODE">#REF!</definedName>
    <definedName name="findAllUomArr" localSheetId="166">#REF!</definedName>
    <definedName name="findAllUomArr">#REF!</definedName>
    <definedName name="PAIRED_FLAG" localSheetId="11">#REF!</definedName>
    <definedName name="PAIRED_FLAG" localSheetId="12">#REF!</definedName>
    <definedName name="PAIRED_FLAG" localSheetId="33">#REF!</definedName>
    <definedName name="PAIRED_FLAG" localSheetId="43">#REF!</definedName>
    <definedName name="PAIRED_FLAG" localSheetId="44">#REF!</definedName>
    <definedName name="PAIRED_FLAG" localSheetId="45">#REF!</definedName>
    <definedName name="PAIRED_FLAG" localSheetId="55">#REF!</definedName>
    <definedName name="PAIRED_FLAG" localSheetId="72">#REF!</definedName>
    <definedName name="PAIRED_FLAG" localSheetId="17">#REF!</definedName>
    <definedName name="PAIRED_FLAG" localSheetId="114">#REF!</definedName>
    <definedName name="PAIRED_FLAG" localSheetId="139">#REF!</definedName>
    <definedName name="PAIRED_FLAG" localSheetId="166">#REF!</definedName>
    <definedName name="PAIRED_FLAG" localSheetId="62">#REF!</definedName>
    <definedName name="PAIRED_FLAG" localSheetId="67">#REF!</definedName>
    <definedName name="PAIRED_FLAG" localSheetId="71">#REF!</definedName>
    <definedName name="PAIRED_FLAG">#REF!</definedName>
    <definedName name="PAIRED_ORDER_FLAG" localSheetId="11">#REF!</definedName>
    <definedName name="PAIRED_ORDER_FLAG" localSheetId="12">#REF!</definedName>
    <definedName name="PAIRED_ORDER_FLAG" localSheetId="33">#REF!</definedName>
    <definedName name="PAIRED_ORDER_FLAG" localSheetId="43">#REF!</definedName>
    <definedName name="PAIRED_ORDER_FLAG" localSheetId="44">#REF!</definedName>
    <definedName name="PAIRED_ORDER_FLAG" localSheetId="45">#REF!</definedName>
    <definedName name="PAIRED_ORDER_FLAG" localSheetId="55">#REF!</definedName>
    <definedName name="PAIRED_ORDER_FLAG" localSheetId="72">#REF!</definedName>
    <definedName name="PAIRED_ORDER_FLAG" localSheetId="17">#REF!</definedName>
    <definedName name="PAIRED_ORDER_FLAG" localSheetId="114">#REF!</definedName>
    <definedName name="PAIRED_ORDER_FLAG" localSheetId="139">#REF!</definedName>
    <definedName name="PAIRED_ORDER_FLAG" localSheetId="166">#REF!</definedName>
    <definedName name="PAIRED_ORDER_FLAG" localSheetId="62">#REF!</definedName>
    <definedName name="PAIRED_ORDER_FLAG" localSheetId="67">#REF!</definedName>
    <definedName name="PAIRED_ORDER_FLAG" localSheetId="71">#REF!</definedName>
    <definedName name="PAIRED_ORDER_FLAG">#REF!</definedName>
    <definedName name="pairedPartsFlagStrArr" localSheetId="166">#REF!</definedName>
    <definedName name="pairedPartsFlagStrArr">#REF!</definedName>
    <definedName name="partsTypeArr" localSheetId="166">#REF!</definedName>
    <definedName name="partsTypeArr">#REF!</definedName>
    <definedName name="REPACKING_TYPE" localSheetId="166">#REF!</definedName>
    <definedName name="REPACKING_TYPE">#REF!</definedName>
    <definedName name="rolledPartsFlagArr" localSheetId="166">#REF!</definedName>
    <definedName name="rolledPartsFlagArr">#REF!</definedName>
    <definedName name="rolledPartsUomArr" localSheetId="166">#REF!</definedName>
    <definedName name="rolledPartsUomArr">#REF!</definedName>
    <definedName name="UOM_CODE" localSheetId="11">#REF!</definedName>
    <definedName name="UOM_CODE" localSheetId="12">#REF!</definedName>
    <definedName name="UOM_CODE" localSheetId="33">#REF!</definedName>
    <definedName name="UOM_CODE" localSheetId="43">#REF!</definedName>
    <definedName name="UOM_CODE" localSheetId="44">#REF!</definedName>
    <definedName name="UOM_CODE" localSheetId="45">#REF!</definedName>
    <definedName name="UOM_CODE" localSheetId="55">#REF!</definedName>
    <definedName name="UOM_CODE" localSheetId="72">#REF!</definedName>
    <definedName name="UOM_CODE" localSheetId="17">#REF!</definedName>
    <definedName name="UOM_CODE" localSheetId="114">#REF!</definedName>
    <definedName name="UOM_CODE" localSheetId="139">#REF!</definedName>
    <definedName name="UOM_CODE" localSheetId="166">#REF!</definedName>
    <definedName name="UOM_CODE" localSheetId="62">#REF!</definedName>
    <definedName name="UOM_CODE" localSheetId="67">#REF!</definedName>
    <definedName name="UOM_CODE" localSheetId="71">#REF!</definedName>
    <definedName name="UOM_CODE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02" l="1"/>
  <c r="A4" i="202"/>
  <c r="A3" i="202"/>
  <c r="A2" i="202"/>
  <c r="B5" i="202"/>
  <c r="B4" i="202"/>
  <c r="B5" i="201"/>
  <c r="A5" i="201"/>
  <c r="B4" i="201"/>
  <c r="A4" i="201"/>
  <c r="A3" i="201"/>
  <c r="A2" i="201"/>
  <c r="C5" i="200"/>
  <c r="B5" i="200"/>
  <c r="C4" i="200"/>
  <c r="B4" i="200"/>
  <c r="B3" i="200"/>
  <c r="B2" i="200"/>
  <c r="A3" i="199"/>
  <c r="A2" i="199"/>
  <c r="A5" i="199"/>
  <c r="A4" i="199"/>
  <c r="B5" i="199"/>
  <c r="B4" i="199"/>
  <c r="A3" i="198"/>
  <c r="A2" i="198"/>
  <c r="A5" i="198"/>
  <c r="A4" i="198"/>
  <c r="D3" i="106"/>
  <c r="D2" i="106"/>
  <c r="B5" i="198"/>
  <c r="B4" i="198"/>
  <c r="A2" i="96"/>
  <c r="A20" i="94"/>
  <c r="A19" i="94"/>
  <c r="A12" i="94"/>
  <c r="A13" i="94"/>
  <c r="A14" i="94"/>
  <c r="A15" i="94"/>
  <c r="A16" i="94"/>
  <c r="A17" i="94"/>
  <c r="A18" i="94"/>
  <c r="A11" i="94"/>
  <c r="A10" i="94"/>
  <c r="A9" i="94"/>
  <c r="A8" i="94"/>
  <c r="A7" i="94"/>
  <c r="A6" i="94"/>
  <c r="A5" i="94"/>
  <c r="A4" i="94"/>
  <c r="A3" i="94"/>
  <c r="A2" i="94"/>
  <c r="C3" i="2"/>
  <c r="C2" i="2"/>
  <c r="A5" i="197" l="1"/>
  <c r="A4" i="197"/>
  <c r="A3" i="197"/>
  <c r="B2" i="197"/>
  <c r="A2" i="197"/>
  <c r="A5" i="196"/>
  <c r="A4" i="196"/>
  <c r="A3" i="196"/>
  <c r="B2" i="196"/>
  <c r="A2" i="196"/>
  <c r="A5" i="195"/>
  <c r="A4" i="195"/>
  <c r="A3" i="195"/>
  <c r="B2" i="195"/>
  <c r="A2" i="195"/>
  <c r="A5" i="194"/>
  <c r="A4" i="194"/>
  <c r="A3" i="194"/>
  <c r="B2" i="194"/>
  <c r="A2" i="194"/>
  <c r="A5" i="193"/>
  <c r="A4" i="193"/>
  <c r="A3" i="193"/>
  <c r="B2" i="193"/>
  <c r="A2" i="193"/>
  <c r="A5" i="192"/>
  <c r="A4" i="192"/>
  <c r="A3" i="192"/>
  <c r="B2" i="192"/>
  <c r="A2" i="192"/>
  <c r="B3" i="170"/>
  <c r="C3" i="170"/>
  <c r="C2" i="170"/>
  <c r="B2" i="170"/>
  <c r="A5" i="191"/>
  <c r="A4" i="191"/>
  <c r="A3" i="191"/>
  <c r="B2" i="191"/>
  <c r="A2" i="191"/>
  <c r="B2" i="190"/>
  <c r="A2" i="190"/>
  <c r="A3" i="190"/>
  <c r="A5" i="190"/>
  <c r="A4" i="190"/>
  <c r="B3" i="159"/>
  <c r="D5" i="25"/>
  <c r="D4" i="25"/>
  <c r="D3" i="25"/>
  <c r="D2" i="25"/>
  <c r="F5" i="85"/>
  <c r="F4" i="85"/>
  <c r="F2" i="85"/>
  <c r="D3" i="189"/>
  <c r="D4" i="189"/>
  <c r="D2" i="189"/>
  <c r="B4" i="189"/>
  <c r="B3" i="189"/>
  <c r="B2" i="189"/>
  <c r="A4" i="189"/>
  <c r="A3" i="189"/>
  <c r="A2" i="189"/>
  <c r="B2" i="67"/>
  <c r="B3" i="67"/>
  <c r="C3" i="67" l="1"/>
  <c r="A3" i="67"/>
  <c r="F4" i="157"/>
  <c r="F3" i="157"/>
  <c r="F2" i="157"/>
  <c r="A3" i="183"/>
  <c r="A2" i="183"/>
  <c r="A7" i="181"/>
  <c r="A6" i="181"/>
  <c r="A5" i="181"/>
  <c r="A4" i="181"/>
  <c r="A3" i="181"/>
  <c r="A2" i="181"/>
  <c r="A5" i="114"/>
  <c r="A4" i="114"/>
  <c r="D3" i="113"/>
  <c r="D2" i="113"/>
  <c r="D3" i="112"/>
  <c r="D2" i="112"/>
  <c r="D3" i="111"/>
  <c r="D2" i="111"/>
  <c r="D3" i="110"/>
  <c r="D2" i="110"/>
  <c r="A5" i="179"/>
  <c r="A4" i="179"/>
  <c r="A3" i="179"/>
  <c r="A2" i="179"/>
  <c r="B5" i="179"/>
  <c r="B4" i="179"/>
  <c r="B3" i="179"/>
  <c r="B2" i="179"/>
  <c r="B3" i="178" l="1"/>
  <c r="B5" i="178"/>
  <c r="C5" i="178"/>
  <c r="C4" i="178"/>
  <c r="B4" i="178"/>
  <c r="B2" i="178"/>
  <c r="K5" i="178"/>
  <c r="J5" i="178"/>
  <c r="I5" i="178"/>
  <c r="H5" i="178"/>
  <c r="G5" i="178"/>
  <c r="K4" i="178"/>
  <c r="J4" i="178"/>
  <c r="I4" i="178"/>
  <c r="H4" i="178"/>
  <c r="G4" i="178"/>
  <c r="K3" i="178"/>
  <c r="J3" i="178"/>
  <c r="I3" i="178"/>
  <c r="H3" i="178"/>
  <c r="G3" i="178"/>
  <c r="K2" i="178"/>
  <c r="J2" i="178"/>
  <c r="I2" i="178"/>
  <c r="H2" i="178"/>
  <c r="G2" i="178"/>
  <c r="D3" i="107"/>
  <c r="A3" i="108"/>
  <c r="A2" i="108"/>
  <c r="C5" i="177"/>
  <c r="C4" i="177"/>
  <c r="F3" i="85"/>
  <c r="D2" i="103"/>
  <c r="A2" i="100"/>
  <c r="B2" i="100"/>
  <c r="C9" i="85" l="1"/>
  <c r="C10" i="85"/>
  <c r="C8" i="85"/>
  <c r="C7" i="85"/>
  <c r="C6" i="85"/>
  <c r="C3" i="85"/>
  <c r="C4" i="85"/>
  <c r="C5" i="85"/>
  <c r="C2" i="85"/>
  <c r="K2" i="126"/>
  <c r="J2" i="126"/>
  <c r="C2" i="67"/>
  <c r="A2" i="67"/>
  <c r="A5" i="177"/>
  <c r="A4" i="177"/>
  <c r="A3" i="177"/>
  <c r="A2" i="177"/>
  <c r="B5" i="177"/>
  <c r="B4" i="177"/>
  <c r="B3" i="177"/>
  <c r="B2" i="177"/>
  <c r="AG9" i="79" l="1"/>
  <c r="H2" i="59"/>
  <c r="A2" i="35"/>
  <c r="A4" i="97"/>
  <c r="A3" i="97"/>
  <c r="A2" i="97"/>
  <c r="A2" i="90"/>
  <c r="A3" i="170"/>
  <c r="A2" i="170"/>
  <c r="C2" i="165"/>
  <c r="C2" i="161"/>
  <c r="A2" i="88"/>
  <c r="B2" i="87"/>
  <c r="A2" i="86"/>
  <c r="A5" i="134"/>
  <c r="B2" i="77"/>
  <c r="AI5" i="85"/>
  <c r="AG5" i="85"/>
  <c r="G5" i="85"/>
  <c r="D5" i="85"/>
  <c r="AI4" i="85"/>
  <c r="AG4" i="85"/>
  <c r="G4" i="85"/>
  <c r="D4" i="85"/>
  <c r="AI3" i="85"/>
  <c r="AG3" i="85"/>
  <c r="G3" i="85"/>
  <c r="D3" i="85"/>
  <c r="AI2" i="85"/>
  <c r="AG2" i="85"/>
  <c r="G2" i="85"/>
  <c r="D2" i="85"/>
  <c r="K5" i="165"/>
  <c r="J5" i="165"/>
  <c r="I5" i="165"/>
  <c r="H5" i="165"/>
  <c r="G5" i="165"/>
  <c r="B5" i="165"/>
  <c r="K4" i="165"/>
  <c r="J4" i="165"/>
  <c r="I4" i="165"/>
  <c r="H4" i="165"/>
  <c r="G4" i="165"/>
  <c r="B4" i="165"/>
  <c r="K3" i="165"/>
  <c r="J3" i="165"/>
  <c r="I3" i="165"/>
  <c r="H3" i="165"/>
  <c r="G3" i="165"/>
  <c r="B3" i="165"/>
  <c r="K2" i="165"/>
  <c r="J2" i="165"/>
  <c r="I2" i="165"/>
  <c r="H2" i="165"/>
  <c r="G2" i="165"/>
  <c r="B2" i="165"/>
  <c r="K5" i="167"/>
  <c r="J5" i="167"/>
  <c r="I5" i="167"/>
  <c r="H5" i="167"/>
  <c r="G5" i="167"/>
  <c r="B5" i="167"/>
  <c r="K4" i="167"/>
  <c r="J4" i="167"/>
  <c r="I4" i="167"/>
  <c r="H4" i="167"/>
  <c r="G4" i="167"/>
  <c r="B4" i="167"/>
  <c r="K3" i="167"/>
  <c r="J3" i="167"/>
  <c r="I3" i="167"/>
  <c r="H3" i="167"/>
  <c r="G3" i="167"/>
  <c r="B3" i="167"/>
  <c r="K2" i="167"/>
  <c r="J2" i="167"/>
  <c r="I2" i="167"/>
  <c r="H2" i="167"/>
  <c r="G2" i="167"/>
  <c r="C2" i="167"/>
  <c r="B2" i="167"/>
  <c r="A3" i="89" l="1"/>
  <c r="A2" i="89"/>
  <c r="B5" i="161"/>
  <c r="B4" i="161"/>
  <c r="B3" i="161"/>
  <c r="B2" i="161"/>
  <c r="J5" i="161"/>
  <c r="G5" i="161"/>
  <c r="J4" i="161"/>
  <c r="G4" i="161"/>
  <c r="J3" i="161"/>
  <c r="G3" i="161"/>
  <c r="J2" i="161"/>
  <c r="G2" i="161"/>
  <c r="A4" i="87"/>
  <c r="A3" i="87"/>
  <c r="A5" i="87"/>
  <c r="A2" i="87"/>
  <c r="AI10" i="85"/>
  <c r="AI9" i="85"/>
  <c r="AI7" i="85"/>
  <c r="AI8" i="85"/>
  <c r="AI6" i="85"/>
  <c r="C8" i="9"/>
  <c r="C7" i="9"/>
  <c r="C6" i="9"/>
  <c r="C5" i="9"/>
  <c r="C4" i="9"/>
  <c r="C2" i="9"/>
  <c r="C3" i="9"/>
  <c r="AG10" i="85"/>
  <c r="AG9" i="85"/>
  <c r="AG8" i="85"/>
  <c r="AG7" i="85"/>
  <c r="AG6" i="85"/>
  <c r="G10" i="85"/>
  <c r="G9" i="85"/>
  <c r="G7" i="85"/>
  <c r="G8" i="85"/>
  <c r="G6" i="85"/>
  <c r="A2" i="84"/>
  <c r="B2" i="82"/>
  <c r="A2" i="137"/>
  <c r="C7" i="136"/>
  <c r="C8" i="136"/>
  <c r="C6" i="136"/>
  <c r="B3" i="136"/>
  <c r="B4" i="136"/>
  <c r="G3" i="136"/>
  <c r="J3" i="136"/>
  <c r="G4" i="136"/>
  <c r="J4" i="136"/>
  <c r="G5" i="136"/>
  <c r="J5" i="136"/>
  <c r="G6" i="136"/>
  <c r="J6" i="136"/>
  <c r="G7" i="136"/>
  <c r="J7" i="136"/>
  <c r="G8" i="136"/>
  <c r="J8" i="136"/>
  <c r="B7" i="136"/>
  <c r="B8" i="136"/>
  <c r="C3" i="136"/>
  <c r="C4" i="136"/>
  <c r="B2" i="136"/>
  <c r="B6" i="136"/>
  <c r="B5" i="136"/>
  <c r="B9" i="135"/>
  <c r="B8" i="135"/>
  <c r="A9" i="135"/>
  <c r="A8" i="135"/>
  <c r="B6" i="135"/>
  <c r="B5" i="135"/>
  <c r="A6" i="135"/>
  <c r="A7" i="135"/>
  <c r="A5" i="135"/>
  <c r="B4" i="135"/>
  <c r="A3" i="135"/>
  <c r="A4" i="135"/>
  <c r="A2" i="135"/>
  <c r="A6" i="133"/>
  <c r="A7" i="133"/>
  <c r="A5" i="133"/>
  <c r="B8" i="134"/>
  <c r="B9" i="134"/>
  <c r="A9" i="134"/>
  <c r="A8" i="134"/>
  <c r="B7" i="134"/>
  <c r="A6" i="134"/>
  <c r="A7" i="134"/>
  <c r="B3" i="134"/>
  <c r="A3" i="134"/>
  <c r="A4" i="134"/>
  <c r="A2" i="134"/>
  <c r="B4" i="134"/>
  <c r="B2" i="134"/>
  <c r="B5" i="134"/>
  <c r="A4" i="133"/>
  <c r="C2" i="136"/>
  <c r="B3" i="135"/>
  <c r="B2" i="135"/>
  <c r="A2" i="133"/>
  <c r="A3" i="133"/>
  <c r="F2" i="79"/>
  <c r="G8" i="79"/>
  <c r="G7" i="79"/>
  <c r="G6" i="79"/>
  <c r="G11" i="79"/>
  <c r="G10" i="79"/>
  <c r="G9" i="79"/>
  <c r="G5" i="79"/>
  <c r="G4" i="79"/>
  <c r="G3" i="79"/>
  <c r="G2" i="79"/>
  <c r="D4" i="19"/>
  <c r="D3" i="19"/>
  <c r="D2" i="19"/>
  <c r="AG11" i="79"/>
  <c r="AG10" i="79"/>
  <c r="AG7" i="79"/>
  <c r="AG8" i="79"/>
  <c r="AG6" i="79"/>
  <c r="AG3" i="79"/>
  <c r="AG4" i="79"/>
  <c r="AG5" i="79"/>
  <c r="AG2" i="79"/>
  <c r="AI8" i="79"/>
  <c r="AI7" i="79"/>
  <c r="AI6" i="79"/>
  <c r="AI11" i="79"/>
  <c r="AI10" i="79"/>
  <c r="AI9" i="79"/>
  <c r="AI5" i="79"/>
  <c r="AI4" i="79"/>
  <c r="AI3" i="79"/>
  <c r="AI2" i="79"/>
  <c r="C4" i="19"/>
  <c r="A4" i="31" s="1"/>
  <c r="C3" i="19"/>
  <c r="A3" i="31" s="1"/>
  <c r="C2" i="19"/>
  <c r="A2" i="31" s="1"/>
  <c r="A3" i="78" l="1"/>
  <c r="C3" i="41"/>
  <c r="C2" i="41"/>
  <c r="B4" i="38"/>
  <c r="B3" i="38"/>
  <c r="B2" i="38"/>
  <c r="D3" i="9"/>
  <c r="D2" i="9"/>
  <c r="D6" i="3"/>
  <c r="D5" i="3"/>
  <c r="D4" i="3"/>
  <c r="D3" i="3"/>
  <c r="D2" i="3"/>
  <c r="E3" i="153"/>
  <c r="E4" i="153"/>
  <c r="E5" i="153"/>
  <c r="E2" i="153"/>
  <c r="H5" i="153"/>
  <c r="H4" i="153"/>
  <c r="H3" i="153"/>
  <c r="H2" i="153"/>
  <c r="H4" i="152"/>
  <c r="H3" i="152"/>
  <c r="H2" i="152"/>
  <c r="D2" i="74"/>
  <c r="B2" i="71"/>
  <c r="A2" i="128"/>
  <c r="A8" i="203" l="1"/>
  <c r="A8" i="204"/>
  <c r="A7" i="203"/>
  <c r="A7" i="204"/>
  <c r="A4" i="185"/>
  <c r="A4" i="206"/>
  <c r="A4" i="205"/>
  <c r="C3" i="101"/>
  <c r="C3" i="102"/>
  <c r="A3" i="185"/>
  <c r="A3" i="206"/>
  <c r="C2" i="102"/>
  <c r="A3" i="205"/>
  <c r="C2" i="101"/>
  <c r="A7" i="186"/>
  <c r="A7" i="187"/>
  <c r="A7" i="188"/>
  <c r="A7" i="184"/>
  <c r="A8" i="186"/>
  <c r="A8" i="187"/>
  <c r="A8" i="188"/>
  <c r="A8" i="184"/>
  <c r="A2" i="111"/>
  <c r="A2" i="113"/>
  <c r="A2" i="105"/>
  <c r="A2" i="107"/>
  <c r="A2" i="112"/>
  <c r="A2" i="110"/>
  <c r="A2" i="106"/>
  <c r="A2" i="104"/>
  <c r="C2" i="176"/>
  <c r="A2" i="99"/>
  <c r="C3" i="176"/>
  <c r="A3" i="99"/>
  <c r="A4" i="156"/>
  <c r="A11" i="171"/>
  <c r="A7" i="171"/>
  <c r="A7" i="172"/>
  <c r="A3" i="154"/>
  <c r="A10" i="171"/>
  <c r="A8" i="172"/>
  <c r="A8" i="171"/>
  <c r="A6" i="97"/>
  <c r="A3" i="95"/>
  <c r="A2" i="95"/>
  <c r="A5" i="97"/>
  <c r="A4" i="154"/>
  <c r="A3" i="155"/>
  <c r="A3" i="157"/>
  <c r="A4" i="155"/>
  <c r="A4" i="157"/>
  <c r="A3" i="156"/>
  <c r="D2" i="151"/>
  <c r="C2" i="151"/>
  <c r="B3" i="144" l="1"/>
  <c r="J3" i="144"/>
  <c r="J2" i="144"/>
  <c r="B2" i="144"/>
  <c r="A2" i="66"/>
  <c r="A2" i="120"/>
  <c r="A2" i="119"/>
  <c r="A2" i="118"/>
  <c r="D2" i="46"/>
  <c r="J3" i="142"/>
  <c r="J4" i="142"/>
  <c r="J2" i="142"/>
  <c r="B3" i="142"/>
  <c r="B4" i="142"/>
  <c r="B2" i="142"/>
  <c r="E2" i="1" l="1"/>
  <c r="F2" i="26" s="1"/>
  <c r="M3" i="13"/>
  <c r="M4" i="13"/>
  <c r="M5" i="13"/>
  <c r="M6" i="13"/>
  <c r="M7" i="13"/>
  <c r="M8" i="13"/>
  <c r="M2" i="13"/>
  <c r="A2" i="23"/>
  <c r="G1" i="25"/>
  <c r="A2" i="123"/>
  <c r="A2" i="122"/>
  <c r="A2" i="121"/>
  <c r="E3" i="57" l="1"/>
  <c r="E2" i="57"/>
  <c r="D2" i="56" l="1"/>
  <c r="H3" i="33"/>
  <c r="H4" i="33"/>
  <c r="H5" i="33"/>
  <c r="H2" i="33"/>
  <c r="H3" i="31"/>
  <c r="H4" i="31"/>
  <c r="H2" i="31"/>
  <c r="C2" i="24"/>
  <c r="F2" i="10"/>
  <c r="B2" i="6"/>
  <c r="A2" i="5"/>
  <c r="J7" i="35" s="1"/>
  <c r="P2" i="32" l="1"/>
  <c r="J7" i="34"/>
  <c r="J6" i="35"/>
  <c r="Q2" i="32"/>
  <c r="J6" i="34"/>
  <c r="J5" i="35"/>
  <c r="J5" i="34"/>
  <c r="J4" i="35"/>
  <c r="S2" i="12"/>
  <c r="J4" i="34"/>
  <c r="J3" i="35"/>
  <c r="J3" i="34"/>
  <c r="J2" i="44"/>
  <c r="J2" i="35"/>
  <c r="J4" i="44"/>
  <c r="J2" i="34"/>
  <c r="J8" i="35"/>
  <c r="J3" i="44"/>
  <c r="J8" i="34"/>
  <c r="J2" i="136"/>
  <c r="G2" i="136"/>
  <c r="A2" i="130"/>
  <c r="A4" i="129"/>
  <c r="A3" i="129"/>
  <c r="A2" i="129"/>
  <c r="G4" i="119"/>
  <c r="F4" i="119"/>
  <c r="E4" i="119"/>
  <c r="D4" i="119"/>
  <c r="C4" i="119"/>
  <c r="G3" i="119"/>
  <c r="F3" i="119"/>
  <c r="E3" i="119"/>
  <c r="D3" i="119"/>
  <c r="C3" i="119"/>
  <c r="G2" i="119"/>
  <c r="F2" i="119"/>
  <c r="E2" i="119"/>
  <c r="D2" i="119"/>
  <c r="C2" i="119"/>
  <c r="A3" i="119"/>
  <c r="A4" i="86" l="1"/>
  <c r="A3" i="86"/>
  <c r="C4" i="84"/>
  <c r="B4" i="84"/>
  <c r="C3" i="84"/>
  <c r="B3" i="84"/>
  <c r="C2" i="84"/>
  <c r="B2" i="84"/>
  <c r="B4" i="83"/>
  <c r="A4" i="83"/>
  <c r="B3" i="83"/>
  <c r="A3" i="83"/>
  <c r="B2" i="83"/>
  <c r="A2" i="83"/>
  <c r="F11" i="79"/>
  <c r="C11" i="79"/>
  <c r="F10" i="79"/>
  <c r="C10" i="79"/>
  <c r="F9" i="79"/>
  <c r="C9" i="79"/>
  <c r="A4" i="80" s="1"/>
  <c r="C8" i="79"/>
  <c r="C7" i="79"/>
  <c r="A3" i="80" s="1"/>
  <c r="F6" i="79"/>
  <c r="C6" i="79"/>
  <c r="F5" i="79"/>
  <c r="C5" i="79"/>
  <c r="F4" i="79"/>
  <c r="C4" i="79"/>
  <c r="F3" i="79"/>
  <c r="C3" i="79"/>
  <c r="C2" i="79"/>
  <c r="A2" i="80" s="1"/>
  <c r="B4" i="78"/>
  <c r="A4" i="78"/>
  <c r="B3" i="78"/>
  <c r="B2" i="78"/>
  <c r="A2" i="78"/>
  <c r="B4" i="76"/>
  <c r="A4" i="76"/>
  <c r="B3" i="76"/>
  <c r="A3" i="76"/>
  <c r="B2" i="76"/>
  <c r="A2" i="76"/>
  <c r="B4" i="75"/>
  <c r="A4" i="75"/>
  <c r="B3" i="75"/>
  <c r="A3" i="75"/>
  <c r="B2" i="75"/>
  <c r="A2" i="75"/>
  <c r="B4" i="73"/>
  <c r="A4" i="73"/>
  <c r="B3" i="73"/>
  <c r="A3" i="73"/>
  <c r="B2" i="73"/>
  <c r="A2" i="73"/>
  <c r="B4" i="72"/>
  <c r="A4" i="72"/>
  <c r="B3" i="72"/>
  <c r="A3" i="72"/>
  <c r="B2" i="72"/>
  <c r="A2" i="72"/>
  <c r="B2" i="70"/>
  <c r="A2" i="70"/>
  <c r="A2" i="127" s="1"/>
  <c r="B2" i="69"/>
  <c r="A2" i="69"/>
  <c r="A7" i="65"/>
  <c r="A6" i="65"/>
  <c r="A5" i="65"/>
  <c r="A4" i="65"/>
  <c r="A3" i="65"/>
  <c r="A2" i="65"/>
  <c r="B2" i="60"/>
  <c r="D2" i="107"/>
  <c r="D3" i="105"/>
  <c r="D2" i="105"/>
  <c r="D3" i="104"/>
  <c r="D2" i="104"/>
  <c r="A2" i="98"/>
  <c r="C2" i="96"/>
  <c r="B20" i="94"/>
  <c r="B19" i="94"/>
  <c r="B18" i="94"/>
  <c r="B17" i="94"/>
  <c r="B16" i="94"/>
  <c r="B15" i="94"/>
  <c r="B14" i="94"/>
  <c r="B13" i="94"/>
  <c r="B12" i="94"/>
  <c r="B11" i="94"/>
  <c r="B10" i="94"/>
  <c r="B9" i="94"/>
  <c r="B8" i="94"/>
  <c r="B7" i="94"/>
  <c r="B6" i="94"/>
  <c r="B5" i="94"/>
  <c r="B4" i="94"/>
  <c r="B3" i="94"/>
  <c r="B2" i="94"/>
  <c r="D10" i="85"/>
  <c r="D9" i="85"/>
  <c r="D8" i="85"/>
  <c r="D7" i="85"/>
  <c r="D6" i="85"/>
  <c r="O11" i="79"/>
  <c r="N11" i="79"/>
  <c r="D11" i="79"/>
  <c r="O10" i="79"/>
  <c r="N10" i="79"/>
  <c r="D10" i="79"/>
  <c r="O9" i="79"/>
  <c r="N9" i="79"/>
  <c r="D9" i="79"/>
  <c r="D8" i="79"/>
  <c r="D7" i="79"/>
  <c r="O6" i="79"/>
  <c r="N6" i="79"/>
  <c r="D6" i="79"/>
  <c r="O5" i="79"/>
  <c r="N5" i="79"/>
  <c r="D5" i="79"/>
  <c r="O4" i="79"/>
  <c r="N4" i="79"/>
  <c r="D4" i="79"/>
  <c r="O3" i="79"/>
  <c r="N3" i="79"/>
  <c r="D3" i="79"/>
  <c r="O2" i="79"/>
  <c r="N2" i="79"/>
  <c r="D2" i="79"/>
  <c r="A2" i="77"/>
  <c r="I4" i="64"/>
  <c r="I3" i="64"/>
  <c r="I2" i="64"/>
  <c r="D2" i="54"/>
  <c r="B2" i="52"/>
  <c r="B4" i="58"/>
  <c r="B3" i="58"/>
  <c r="B2" i="58"/>
  <c r="H2" i="56"/>
  <c r="B11" i="45"/>
  <c r="B10" i="45"/>
  <c r="B9" i="45"/>
  <c r="B8" i="45"/>
  <c r="B7" i="45"/>
  <c r="B6" i="45"/>
  <c r="B5" i="45"/>
  <c r="B4" i="45"/>
  <c r="B3" i="45"/>
  <c r="B2" i="45"/>
  <c r="B2" i="43"/>
  <c r="F2" i="42" s="1"/>
  <c r="A2" i="43"/>
  <c r="C4" i="41"/>
  <c r="B4" i="41"/>
  <c r="A3" i="58"/>
  <c r="B3" i="41"/>
  <c r="D2" i="44"/>
  <c r="B2" i="41"/>
  <c r="B2" i="39"/>
  <c r="A4" i="47"/>
  <c r="A22" i="50" s="1"/>
  <c r="A3" i="47"/>
  <c r="A18" i="50" s="1"/>
  <c r="A2" i="47"/>
  <c r="A2" i="37"/>
  <c r="A2" i="36"/>
  <c r="A2" i="44"/>
  <c r="H2" i="26"/>
  <c r="C5" i="25"/>
  <c r="B5" i="25"/>
  <c r="A5" i="25"/>
  <c r="B4" i="33"/>
  <c r="C4" i="25"/>
  <c r="B4" i="25"/>
  <c r="A4" i="25"/>
  <c r="C3" i="25"/>
  <c r="B3" i="25"/>
  <c r="A3" i="25"/>
  <c r="C2" i="25"/>
  <c r="B2" i="25"/>
  <c r="A2" i="25"/>
  <c r="Q1" i="25"/>
  <c r="P1" i="25"/>
  <c r="O1" i="25"/>
  <c r="N1" i="25"/>
  <c r="M1" i="25"/>
  <c r="L1" i="25"/>
  <c r="K1" i="25"/>
  <c r="J1" i="25"/>
  <c r="I1" i="25"/>
  <c r="H1" i="25"/>
  <c r="F1" i="25"/>
  <c r="E1" i="25"/>
  <c r="D1" i="25"/>
  <c r="C1" i="25"/>
  <c r="B1" i="25"/>
  <c r="A1" i="25"/>
  <c r="C4" i="152"/>
  <c r="B4" i="19"/>
  <c r="A4" i="19"/>
  <c r="C3" i="31"/>
  <c r="B3" i="19"/>
  <c r="A3" i="19"/>
  <c r="B2" i="19"/>
  <c r="A2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E5" i="33"/>
  <c r="E4" i="33"/>
  <c r="E3" i="33"/>
  <c r="E2" i="33"/>
  <c r="E4" i="31"/>
  <c r="E3" i="31"/>
  <c r="E2" i="31"/>
  <c r="O2" i="23"/>
  <c r="O2" i="22"/>
  <c r="X2" i="23" s="1"/>
  <c r="C2" i="18"/>
  <c r="C2" i="4"/>
  <c r="A2" i="16"/>
  <c r="B2" i="16" s="1"/>
  <c r="AE8" i="13"/>
  <c r="AD8" i="13"/>
  <c r="Z8" i="13"/>
  <c r="Y8" i="13"/>
  <c r="X8" i="13"/>
  <c r="W8" i="13"/>
  <c r="V8" i="13"/>
  <c r="U8" i="13"/>
  <c r="L8" i="13"/>
  <c r="K8" i="13"/>
  <c r="J8" i="13"/>
  <c r="I8" i="13"/>
  <c r="G8" i="13"/>
  <c r="E8" i="13"/>
  <c r="AE7" i="13"/>
  <c r="AD7" i="13"/>
  <c r="Z7" i="13"/>
  <c r="Y7" i="13"/>
  <c r="X7" i="13"/>
  <c r="W7" i="13"/>
  <c r="V7" i="13"/>
  <c r="U7" i="13"/>
  <c r="L7" i="13"/>
  <c r="K7" i="13"/>
  <c r="J7" i="13"/>
  <c r="I7" i="13"/>
  <c r="G7" i="13"/>
  <c r="E7" i="13"/>
  <c r="AE6" i="13"/>
  <c r="AD6" i="13"/>
  <c r="Z6" i="13"/>
  <c r="Y6" i="13"/>
  <c r="X6" i="13"/>
  <c r="W6" i="13"/>
  <c r="V6" i="13"/>
  <c r="U6" i="13"/>
  <c r="L6" i="13"/>
  <c r="K6" i="13"/>
  <c r="J6" i="13"/>
  <c r="I6" i="13"/>
  <c r="G6" i="13"/>
  <c r="E6" i="13"/>
  <c r="AE5" i="13"/>
  <c r="AD5" i="13"/>
  <c r="Z5" i="13"/>
  <c r="Y5" i="13"/>
  <c r="X5" i="13"/>
  <c r="W5" i="13"/>
  <c r="V5" i="13"/>
  <c r="U5" i="13"/>
  <c r="L5" i="13"/>
  <c r="K5" i="13"/>
  <c r="J5" i="13"/>
  <c r="I5" i="13"/>
  <c r="G5" i="13"/>
  <c r="E5" i="13"/>
  <c r="AE4" i="13"/>
  <c r="AD4" i="13"/>
  <c r="Z4" i="13"/>
  <c r="Y4" i="13"/>
  <c r="X4" i="13"/>
  <c r="W4" i="13"/>
  <c r="V4" i="13"/>
  <c r="U4" i="13"/>
  <c r="L4" i="13"/>
  <c r="K4" i="13"/>
  <c r="J4" i="13"/>
  <c r="I4" i="13"/>
  <c r="G4" i="13"/>
  <c r="E4" i="13"/>
  <c r="AE3" i="13"/>
  <c r="AD3" i="13"/>
  <c r="Z3" i="13"/>
  <c r="Y3" i="13"/>
  <c r="X3" i="13"/>
  <c r="W3" i="13"/>
  <c r="V3" i="13"/>
  <c r="U3" i="13"/>
  <c r="L3" i="13"/>
  <c r="K3" i="13"/>
  <c r="J3" i="13"/>
  <c r="I3" i="13"/>
  <c r="G3" i="13"/>
  <c r="E3" i="13"/>
  <c r="AE2" i="13"/>
  <c r="AD2" i="13"/>
  <c r="Z2" i="13"/>
  <c r="Y2" i="13"/>
  <c r="X2" i="13"/>
  <c r="W2" i="13"/>
  <c r="V2" i="13"/>
  <c r="U2" i="13"/>
  <c r="L2" i="13"/>
  <c r="K2" i="13"/>
  <c r="J2" i="13"/>
  <c r="I2" i="13"/>
  <c r="G2" i="13"/>
  <c r="E2" i="13"/>
  <c r="B2" i="11"/>
  <c r="B2" i="148" s="1"/>
  <c r="L2" i="10"/>
  <c r="L2" i="42" s="1"/>
  <c r="L2" i="12"/>
  <c r="C8" i="13"/>
  <c r="B8" i="9"/>
  <c r="D8" i="13" s="1"/>
  <c r="C7" i="13"/>
  <c r="B7" i="9"/>
  <c r="C6" i="13"/>
  <c r="B6" i="9"/>
  <c r="A6" i="13" s="1"/>
  <c r="C5" i="13"/>
  <c r="B5" i="9"/>
  <c r="A5" i="13" s="1"/>
  <c r="C4" i="13"/>
  <c r="B4" i="9"/>
  <c r="D4" i="13" s="1"/>
  <c r="B3" i="13"/>
  <c r="C3" i="13"/>
  <c r="B3" i="9"/>
  <c r="A3" i="13" s="1"/>
  <c r="E2" i="35"/>
  <c r="B2" i="9"/>
  <c r="D2" i="13" s="1"/>
  <c r="A2" i="7"/>
  <c r="B8" i="6"/>
  <c r="B7" i="6"/>
  <c r="B6" i="6"/>
  <c r="B5" i="6"/>
  <c r="B4" i="6"/>
  <c r="J3" i="6"/>
  <c r="B3" i="6"/>
  <c r="J2" i="6"/>
  <c r="O2" i="17"/>
  <c r="X2" i="16" s="1"/>
  <c r="O2" i="16"/>
  <c r="B2" i="5"/>
  <c r="C8" i="6"/>
  <c r="D8" i="9" s="1"/>
  <c r="C7" i="6"/>
  <c r="D7" i="9" s="1"/>
  <c r="C6" i="6"/>
  <c r="D6" i="9" s="1"/>
  <c r="C5" i="6"/>
  <c r="D5" i="9" s="1"/>
  <c r="A2" i="59"/>
  <c r="C6" i="3"/>
  <c r="C5" i="3"/>
  <c r="C4" i="3"/>
  <c r="C3" i="3"/>
  <c r="C2" i="3"/>
  <c r="D2" i="59" s="1"/>
  <c r="C6" i="2"/>
  <c r="C5" i="2"/>
  <c r="C4" i="2"/>
  <c r="D2" i="1"/>
  <c r="C2" i="1"/>
  <c r="A5" i="203" l="1"/>
  <c r="A5" i="204"/>
  <c r="A4" i="203"/>
  <c r="A4" i="204"/>
  <c r="A3" i="203"/>
  <c r="A3" i="204"/>
  <c r="A2" i="185"/>
  <c r="A2" i="206"/>
  <c r="A2" i="205"/>
  <c r="C3" i="201"/>
  <c r="C3" i="202"/>
  <c r="C2" i="201"/>
  <c r="D2" i="200"/>
  <c r="C3" i="199"/>
  <c r="C2" i="202"/>
  <c r="C3" i="198"/>
  <c r="C2" i="198"/>
  <c r="D3" i="200"/>
  <c r="C2" i="199"/>
  <c r="A2" i="203"/>
  <c r="A2" i="204"/>
  <c r="A5" i="184"/>
  <c r="A5" i="186"/>
  <c r="A5" i="187"/>
  <c r="A5" i="188"/>
  <c r="A4" i="187"/>
  <c r="A4" i="188"/>
  <c r="A4" i="184"/>
  <c r="A4" i="186"/>
  <c r="A3" i="188"/>
  <c r="A3" i="184"/>
  <c r="A3" i="186"/>
  <c r="A3" i="187"/>
  <c r="A2" i="187"/>
  <c r="A2" i="188"/>
  <c r="A2" i="184"/>
  <c r="A2" i="186"/>
  <c r="C5" i="191"/>
  <c r="C5" i="194"/>
  <c r="C5" i="192"/>
  <c r="C5" i="197"/>
  <c r="C4" i="190"/>
  <c r="C4" i="192"/>
  <c r="C3" i="191"/>
  <c r="C4" i="197"/>
  <c r="C4" i="196"/>
  <c r="C4" i="195"/>
  <c r="C4" i="194"/>
  <c r="C4" i="193"/>
  <c r="C3" i="196"/>
  <c r="C3" i="197"/>
  <c r="C3" i="195"/>
  <c r="C3" i="194"/>
  <c r="C3" i="193"/>
  <c r="C3" i="192"/>
  <c r="C5" i="196"/>
  <c r="C5" i="195"/>
  <c r="C5" i="193"/>
  <c r="C4" i="191"/>
  <c r="C5" i="190"/>
  <c r="C3" i="190"/>
  <c r="A4" i="99"/>
  <c r="A3" i="112"/>
  <c r="A3" i="111"/>
  <c r="A3" i="110"/>
  <c r="A3" i="113"/>
  <c r="A3" i="107"/>
  <c r="A3" i="104"/>
  <c r="A3" i="106"/>
  <c r="A3" i="105"/>
  <c r="B3" i="111"/>
  <c r="B3" i="113"/>
  <c r="B3" i="112"/>
  <c r="B3" i="110"/>
  <c r="B3" i="107"/>
  <c r="B3" i="106"/>
  <c r="B3" i="105"/>
  <c r="B3" i="104"/>
  <c r="B2" i="111"/>
  <c r="B2" i="113"/>
  <c r="B2" i="107"/>
  <c r="B2" i="105"/>
  <c r="B2" i="112"/>
  <c r="B2" i="110"/>
  <c r="B2" i="104"/>
  <c r="B2" i="106"/>
  <c r="B3" i="114"/>
  <c r="B2" i="114"/>
  <c r="D3" i="178"/>
  <c r="G2" i="177"/>
  <c r="G3" i="177"/>
  <c r="D2" i="178"/>
  <c r="E2" i="44"/>
  <c r="B2" i="99"/>
  <c r="E3" i="44"/>
  <c r="B3" i="99"/>
  <c r="E4" i="44"/>
  <c r="B4" i="99"/>
  <c r="D3" i="99"/>
  <c r="D4" i="99"/>
  <c r="D2" i="99"/>
  <c r="M8" i="55"/>
  <c r="A9" i="171"/>
  <c r="A5" i="171"/>
  <c r="A5" i="172"/>
  <c r="A4" i="171"/>
  <c r="A4" i="172"/>
  <c r="A3" i="172"/>
  <c r="A3" i="171"/>
  <c r="A2" i="171"/>
  <c r="A2" i="172"/>
  <c r="A5" i="95"/>
  <c r="A8" i="97"/>
  <c r="A7" i="95"/>
  <c r="A10" i="97"/>
  <c r="A6" i="95"/>
  <c r="A9" i="97"/>
  <c r="A2" i="20"/>
  <c r="D2" i="126" s="1"/>
  <c r="P8" i="79"/>
  <c r="D5" i="136"/>
  <c r="P7" i="79"/>
  <c r="C7" i="135"/>
  <c r="C6" i="134"/>
  <c r="A8" i="95"/>
  <c r="A11" i="97"/>
  <c r="D4" i="165"/>
  <c r="B4" i="88"/>
  <c r="P6" i="85"/>
  <c r="D3" i="165"/>
  <c r="B3" i="88"/>
  <c r="D5" i="161"/>
  <c r="C3" i="87"/>
  <c r="B5" i="90"/>
  <c r="D4" i="161"/>
  <c r="P10" i="85"/>
  <c r="B4" i="90"/>
  <c r="D3" i="161"/>
  <c r="C4" i="87"/>
  <c r="P9" i="85"/>
  <c r="B3" i="90"/>
  <c r="C5" i="87"/>
  <c r="P8" i="85"/>
  <c r="D5" i="165"/>
  <c r="B5" i="88"/>
  <c r="P7" i="85"/>
  <c r="A2" i="156"/>
  <c r="A2" i="155"/>
  <c r="A4" i="58"/>
  <c r="A2" i="154"/>
  <c r="A3" i="33"/>
  <c r="D3" i="153"/>
  <c r="A3" i="153"/>
  <c r="D5" i="33"/>
  <c r="D5" i="153"/>
  <c r="A5" i="153"/>
  <c r="E3" i="37"/>
  <c r="C3" i="153"/>
  <c r="E5" i="37"/>
  <c r="C5" i="153"/>
  <c r="B3" i="33"/>
  <c r="B3" i="153"/>
  <c r="B5" i="33"/>
  <c r="B5" i="153"/>
  <c r="A2" i="33"/>
  <c r="A2" i="153"/>
  <c r="D2" i="153"/>
  <c r="D4" i="33"/>
  <c r="D4" i="153"/>
  <c r="A4" i="153"/>
  <c r="E2" i="37"/>
  <c r="C2" i="153"/>
  <c r="E4" i="37"/>
  <c r="C4" i="153"/>
  <c r="D2" i="37"/>
  <c r="B2" i="153"/>
  <c r="D4" i="37"/>
  <c r="B4" i="153"/>
  <c r="D4" i="44"/>
  <c r="C4" i="6"/>
  <c r="D4" i="9" s="1"/>
  <c r="C2" i="33"/>
  <c r="A3" i="152"/>
  <c r="D3" i="152"/>
  <c r="F4" i="64"/>
  <c r="A4" i="146" s="1"/>
  <c r="B4" i="152"/>
  <c r="B2" i="33"/>
  <c r="G3" i="64"/>
  <c r="C3" i="152"/>
  <c r="D2" i="152"/>
  <c r="A2" i="152"/>
  <c r="D4" i="152"/>
  <c r="A4" i="152"/>
  <c r="D3" i="36"/>
  <c r="B3" i="152"/>
  <c r="E6" i="34"/>
  <c r="C2" i="31"/>
  <c r="C2" i="152"/>
  <c r="F2" i="64"/>
  <c r="B2" i="119" s="1"/>
  <c r="B2" i="152"/>
  <c r="D3" i="31"/>
  <c r="D2" i="33"/>
  <c r="B4" i="31"/>
  <c r="D4" i="31"/>
  <c r="D2" i="31"/>
  <c r="C2" i="13"/>
  <c r="B2" i="31"/>
  <c r="D2" i="36"/>
  <c r="G2" i="126"/>
  <c r="F2" i="126"/>
  <c r="M2" i="42"/>
  <c r="G2" i="42"/>
  <c r="C3" i="46"/>
  <c r="B3" i="148"/>
  <c r="D2" i="35"/>
  <c r="A4" i="141"/>
  <c r="A4" i="140"/>
  <c r="B4" i="55"/>
  <c r="A4" i="124" s="1"/>
  <c r="A4" i="116"/>
  <c r="A2" i="13"/>
  <c r="H2" i="10"/>
  <c r="N2" i="12" s="1"/>
  <c r="O2" i="12"/>
  <c r="E5" i="35"/>
  <c r="B5" i="55"/>
  <c r="A5" i="124" s="1"/>
  <c r="A5" i="141"/>
  <c r="A5" i="140"/>
  <c r="A5" i="116"/>
  <c r="A6" i="141"/>
  <c r="A6" i="140"/>
  <c r="B6" i="55"/>
  <c r="A6" i="124" s="1"/>
  <c r="A6" i="116"/>
  <c r="D4" i="50"/>
  <c r="B2" i="13"/>
  <c r="A7" i="141"/>
  <c r="A7" i="140"/>
  <c r="B7" i="55"/>
  <c r="A7" i="124" s="1"/>
  <c r="A7" i="116"/>
  <c r="E2" i="36"/>
  <c r="A8" i="141"/>
  <c r="A8" i="140"/>
  <c r="A8" i="116"/>
  <c r="B8" i="55"/>
  <c r="A8" i="124" s="1"/>
  <c r="B2" i="123"/>
  <c r="B2" i="122"/>
  <c r="B2" i="121"/>
  <c r="C4" i="33"/>
  <c r="F2" i="21"/>
  <c r="M2" i="21" s="1"/>
  <c r="E3" i="36"/>
  <c r="A2" i="141"/>
  <c r="A2" i="140"/>
  <c r="A2" i="116"/>
  <c r="B2" i="55"/>
  <c r="A2" i="124" s="1"/>
  <c r="A3" i="57"/>
  <c r="A3" i="141"/>
  <c r="A3" i="140"/>
  <c r="A3" i="116"/>
  <c r="B3" i="55"/>
  <c r="A3" i="124" s="1"/>
  <c r="D5" i="13"/>
  <c r="O5" i="35"/>
  <c r="J5" i="37"/>
  <c r="V2" i="32"/>
  <c r="J4" i="37"/>
  <c r="J2" i="37"/>
  <c r="O7" i="35"/>
  <c r="J3" i="37"/>
  <c r="O6" i="35"/>
  <c r="O8" i="35"/>
  <c r="F20" i="50"/>
  <c r="A2" i="60"/>
  <c r="C2" i="59"/>
  <c r="A2" i="12"/>
  <c r="B2" i="23"/>
  <c r="L2" i="21"/>
  <c r="J3" i="36"/>
  <c r="J2" i="36"/>
  <c r="O3" i="35"/>
  <c r="V2" i="30"/>
  <c r="O4" i="35"/>
  <c r="O2" i="35"/>
  <c r="J4" i="36"/>
  <c r="L2" i="26"/>
  <c r="H2" i="21"/>
  <c r="P2" i="30"/>
  <c r="D6" i="34"/>
  <c r="D16" i="50"/>
  <c r="D6" i="35"/>
  <c r="C6" i="60"/>
  <c r="D15" i="50"/>
  <c r="B6" i="13"/>
  <c r="D14" i="50"/>
  <c r="A6" i="53"/>
  <c r="B7" i="13"/>
  <c r="C7" i="60"/>
  <c r="D19" i="50"/>
  <c r="A7" i="53"/>
  <c r="D18" i="50"/>
  <c r="D7" i="34"/>
  <c r="D17" i="50"/>
  <c r="D7" i="35"/>
  <c r="B4" i="49"/>
  <c r="A20" i="50"/>
  <c r="B8" i="13"/>
  <c r="C8" i="60"/>
  <c r="D20" i="50"/>
  <c r="A8" i="53"/>
  <c r="D8" i="34"/>
  <c r="D22" i="50"/>
  <c r="D8" i="35"/>
  <c r="D21" i="50"/>
  <c r="G2" i="26"/>
  <c r="O2" i="32" s="1"/>
  <c r="N2" i="32"/>
  <c r="B5" i="13"/>
  <c r="D12" i="50"/>
  <c r="C5" i="60"/>
  <c r="D11" i="50"/>
  <c r="D5" i="35"/>
  <c r="D5" i="34"/>
  <c r="A5" i="53"/>
  <c r="D13" i="50"/>
  <c r="D3" i="13"/>
  <c r="C3" i="33"/>
  <c r="M2" i="26"/>
  <c r="E2" i="34"/>
  <c r="D3" i="35"/>
  <c r="D5" i="50"/>
  <c r="A2" i="58"/>
  <c r="A2" i="27"/>
  <c r="A2" i="32" s="1"/>
  <c r="D3" i="44"/>
  <c r="D3" i="34"/>
  <c r="E3" i="35"/>
  <c r="E7" i="35"/>
  <c r="D4" i="36"/>
  <c r="G5" i="50"/>
  <c r="G9" i="50"/>
  <c r="G13" i="50"/>
  <c r="G17" i="50"/>
  <c r="G21" i="50"/>
  <c r="C2" i="60"/>
  <c r="G2" i="64"/>
  <c r="B3" i="31"/>
  <c r="C5" i="33"/>
  <c r="E3" i="34"/>
  <c r="E7" i="34"/>
  <c r="E4" i="36"/>
  <c r="D2" i="50"/>
  <c r="D6" i="50"/>
  <c r="C3" i="60"/>
  <c r="F3" i="64"/>
  <c r="A3" i="146" s="1"/>
  <c r="E4" i="35"/>
  <c r="E8" i="35"/>
  <c r="D5" i="37"/>
  <c r="G2" i="50"/>
  <c r="G6" i="50"/>
  <c r="G10" i="50"/>
  <c r="G14" i="50"/>
  <c r="G18" i="50"/>
  <c r="G22" i="50"/>
  <c r="A7" i="13"/>
  <c r="D7" i="13"/>
  <c r="E4" i="34"/>
  <c r="E8" i="34"/>
  <c r="D3" i="50"/>
  <c r="D7" i="50"/>
  <c r="G3" i="50"/>
  <c r="G7" i="50"/>
  <c r="G11" i="50"/>
  <c r="G15" i="50"/>
  <c r="G19" i="50"/>
  <c r="A2" i="53"/>
  <c r="D2" i="57"/>
  <c r="G4" i="64"/>
  <c r="E5" i="34"/>
  <c r="D3" i="37"/>
  <c r="A3" i="53"/>
  <c r="D2" i="34"/>
  <c r="E6" i="35"/>
  <c r="G4" i="50"/>
  <c r="G8" i="50"/>
  <c r="G12" i="50"/>
  <c r="G16" i="50"/>
  <c r="G20" i="50"/>
  <c r="D3" i="57"/>
  <c r="G2" i="9"/>
  <c r="G3" i="9"/>
  <c r="G4" i="9"/>
  <c r="G3" i="34"/>
  <c r="F4" i="50"/>
  <c r="F12" i="50"/>
  <c r="B3" i="124"/>
  <c r="B4" i="124"/>
  <c r="B5" i="124"/>
  <c r="B6" i="124"/>
  <c r="B7" i="124"/>
  <c r="B8" i="124"/>
  <c r="B2" i="124"/>
  <c r="G6" i="34"/>
  <c r="F7" i="50"/>
  <c r="F15" i="50"/>
  <c r="C2" i="57"/>
  <c r="G5" i="9"/>
  <c r="F2" i="50"/>
  <c r="F10" i="50"/>
  <c r="F18" i="50"/>
  <c r="G6" i="9"/>
  <c r="G7" i="9"/>
  <c r="G4" i="34"/>
  <c r="G2" i="35"/>
  <c r="G4" i="35"/>
  <c r="G6" i="35"/>
  <c r="G8" i="35"/>
  <c r="F5" i="50"/>
  <c r="F13" i="50"/>
  <c r="F21" i="50"/>
  <c r="G8" i="9"/>
  <c r="G7" i="34"/>
  <c r="F8" i="50"/>
  <c r="F16" i="50"/>
  <c r="C3" i="57"/>
  <c r="G2" i="34"/>
  <c r="C2" i="46"/>
  <c r="F3" i="50"/>
  <c r="F11" i="50"/>
  <c r="F19" i="50"/>
  <c r="G5" i="34"/>
  <c r="F6" i="50"/>
  <c r="F14" i="50"/>
  <c r="F22" i="50"/>
  <c r="G8" i="34"/>
  <c r="G3" i="35"/>
  <c r="G5" i="35"/>
  <c r="G7" i="35"/>
  <c r="F9" i="50"/>
  <c r="F17" i="50"/>
  <c r="B2" i="49"/>
  <c r="A3" i="50"/>
  <c r="A5" i="50"/>
  <c r="A7" i="50"/>
  <c r="A9" i="50"/>
  <c r="A11" i="50"/>
  <c r="A13" i="50"/>
  <c r="A15" i="50"/>
  <c r="A17" i="50"/>
  <c r="A19" i="50"/>
  <c r="A21" i="50"/>
  <c r="A2" i="51"/>
  <c r="B2" i="56"/>
  <c r="B3" i="49"/>
  <c r="A3" i="51"/>
  <c r="M3" i="55"/>
  <c r="M5" i="55"/>
  <c r="M7" i="55"/>
  <c r="A4" i="51"/>
  <c r="B5" i="49"/>
  <c r="A2" i="50"/>
  <c r="A4" i="50"/>
  <c r="A6" i="50"/>
  <c r="A8" i="50"/>
  <c r="A10" i="50"/>
  <c r="A12" i="50"/>
  <c r="A14" i="50"/>
  <c r="A16" i="50"/>
  <c r="M2" i="55"/>
  <c r="M4" i="55"/>
  <c r="M6" i="55"/>
  <c r="G3" i="44"/>
  <c r="E4" i="41"/>
  <c r="G4" i="44"/>
  <c r="E2" i="41"/>
  <c r="G2" i="44"/>
  <c r="E3" i="41"/>
  <c r="C4" i="31"/>
  <c r="D3" i="33"/>
  <c r="A5" i="33"/>
  <c r="A4" i="33"/>
  <c r="P2" i="10"/>
  <c r="B2" i="15" s="1"/>
  <c r="D6" i="13"/>
  <c r="A4" i="13"/>
  <c r="A8" i="13"/>
  <c r="G2" i="10"/>
  <c r="M2" i="12" s="1"/>
  <c r="M2" i="10"/>
  <c r="O2" i="10"/>
  <c r="B2" i="14" s="1"/>
  <c r="A6" i="204" l="1"/>
  <c r="A6" i="203"/>
  <c r="L4" i="35"/>
  <c r="A2" i="30"/>
  <c r="G3" i="36"/>
  <c r="G2" i="36"/>
  <c r="L3" i="35"/>
  <c r="L2" i="35"/>
  <c r="A6" i="186"/>
  <c r="A6" i="187"/>
  <c r="A6" i="188"/>
  <c r="A6" i="184"/>
  <c r="G2" i="19"/>
  <c r="G4" i="19"/>
  <c r="G3" i="19"/>
  <c r="A2" i="64"/>
  <c r="G4" i="36"/>
  <c r="B4" i="128"/>
  <c r="B2" i="118"/>
  <c r="A6" i="172"/>
  <c r="A6" i="171"/>
  <c r="B2" i="125"/>
  <c r="B2" i="62"/>
  <c r="C2" i="144"/>
  <c r="C2" i="142"/>
  <c r="B2" i="61"/>
  <c r="A4" i="95"/>
  <c r="A7" i="97"/>
  <c r="B2" i="145"/>
  <c r="B4" i="148"/>
  <c r="A2" i="157"/>
  <c r="B2" i="137"/>
  <c r="A2" i="146"/>
  <c r="L7" i="35"/>
  <c r="C3" i="144"/>
  <c r="C4" i="142"/>
  <c r="C3" i="142"/>
  <c r="C2" i="126"/>
  <c r="B4" i="130"/>
  <c r="A2" i="63"/>
  <c r="B2" i="130"/>
  <c r="B2" i="120"/>
  <c r="G4" i="25"/>
  <c r="G2" i="37"/>
  <c r="A3" i="64"/>
  <c r="L8" i="35"/>
  <c r="B4" i="119"/>
  <c r="B4" i="118"/>
  <c r="B2" i="128"/>
  <c r="A4" i="63"/>
  <c r="B4" i="120"/>
  <c r="N2" i="30"/>
  <c r="G2" i="21"/>
  <c r="O2" i="30" s="1"/>
  <c r="L5" i="35"/>
  <c r="B2" i="147"/>
  <c r="B5" i="148"/>
  <c r="B4" i="61"/>
  <c r="B3" i="125"/>
  <c r="B3" i="61"/>
  <c r="H2" i="42"/>
  <c r="L6" i="35"/>
  <c r="G4" i="37"/>
  <c r="B3" i="128"/>
  <c r="B3" i="118"/>
  <c r="B3" i="119"/>
  <c r="B3" i="130"/>
  <c r="B3" i="120"/>
  <c r="A3" i="63"/>
  <c r="B4" i="13"/>
  <c r="A4" i="53"/>
  <c r="D8" i="50"/>
  <c r="A2" i="57"/>
  <c r="C4" i="60"/>
  <c r="D4" i="34"/>
  <c r="D10" i="50"/>
  <c r="D4" i="35"/>
  <c r="D9" i="50"/>
  <c r="G5" i="37"/>
  <c r="G2" i="25"/>
  <c r="G5" i="25"/>
  <c r="G3" i="37"/>
  <c r="G3" i="25"/>
</calcChain>
</file>

<file path=xl/sharedStrings.xml><?xml version="1.0" encoding="utf-8"?>
<sst xmlns="http://schemas.openxmlformats.org/spreadsheetml/2006/main" count="6171" uniqueCount="877">
  <si>
    <t>TC007_AutoInt</t>
  </si>
  <si>
    <t>BU</t>
  </si>
  <si>
    <t>SUP1</t>
  </si>
  <si>
    <t>SUP2</t>
  </si>
  <si>
    <t>Active</t>
  </si>
  <si>
    <t>SVP</t>
  </si>
  <si>
    <t>ROL</t>
  </si>
  <si>
    <t>Roll Parts</t>
  </si>
  <si>
    <t>cc5</t>
  </si>
  <si>
    <t>NSL2BLACK</t>
  </si>
  <si>
    <t>MOD</t>
  </si>
  <si>
    <t>Trial</t>
  </si>
  <si>
    <t>Not Roll Parts</t>
  </si>
  <si>
    <t>MTR</t>
  </si>
  <si>
    <t>cc4</t>
  </si>
  <si>
    <t>Spot</t>
  </si>
  <si>
    <t>cc3</t>
  </si>
  <si>
    <t>After Market</t>
  </si>
  <si>
    <t>MTR</t>
    <phoneticPr fontId="0" type="noConversion"/>
  </si>
  <si>
    <t>cc2</t>
  </si>
  <si>
    <t>PC</t>
  </si>
  <si>
    <t>cc1</t>
    <phoneticPr fontId="0" type="noConversion"/>
  </si>
  <si>
    <t>1219AS1</t>
  </si>
  <si>
    <t>ActiveFlag</t>
  </si>
  <si>
    <t>PartsType</t>
  </si>
  <si>
    <t>RolledPartsUOM</t>
  </si>
  <si>
    <t>RolledPartsFlag</t>
  </si>
  <si>
    <t>PartNet</t>
  </si>
  <si>
    <t>UnitofMeasure</t>
  </si>
  <si>
    <t>ColourCode</t>
  </si>
  <si>
    <t>DisplayPartNo</t>
  </si>
  <si>
    <t>OldPartsNo</t>
  </si>
  <si>
    <t>PartNo</t>
  </si>
  <si>
    <t>NEW/MOD</t>
  </si>
  <si>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</si>
  <si>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</si>
  <si>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</si>
  <si>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</si>
  <si>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</si>
  <si>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</si>
  <si>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</si>
  <si>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</si>
  <si>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</si>
  <si>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TERM- TERMINAL</t>
  </si>
  <si>
    <t>1219AS1</t>
    <phoneticPr fontId="0" type="noConversion"/>
  </si>
  <si>
    <t>b00001</t>
    <phoneticPr fontId="0" type="noConversion"/>
  </si>
  <si>
    <t>HSCode.001</t>
  </si>
  <si>
    <t>No Paired Parts</t>
  </si>
  <si>
    <t>CABL- CABLE AVF 30.0 B/R</t>
  </si>
  <si>
    <t>18001404835</t>
    <phoneticPr fontId="0" type="noConversion"/>
  </si>
  <si>
    <t>b00002</t>
  </si>
  <si>
    <t>HSCode.002</t>
  </si>
  <si>
    <t>CABL- CABLE AVSSF 0.5 B</t>
  </si>
  <si>
    <t>18007703930</t>
    <phoneticPr fontId="0" type="noConversion"/>
  </si>
  <si>
    <t>b00003</t>
  </si>
  <si>
    <t>HSCode.003</t>
  </si>
  <si>
    <t>TUBV- TUBE VO 6 7 MM NON-SLIT</t>
  </si>
  <si>
    <t>45050040130</t>
    <phoneticPr fontId="0" type="noConversion"/>
  </si>
  <si>
    <t>b00004</t>
  </si>
  <si>
    <t>HSCode.004</t>
  </si>
  <si>
    <t>NAMS- 2 LAYER LABEL GUN INK BLACK</t>
  </si>
  <si>
    <t>NSL2BLACK</t>
    <phoneticPr fontId="0" type="noConversion"/>
  </si>
  <si>
    <t>b00005</t>
  </si>
  <si>
    <t>HSCode.005</t>
  </si>
  <si>
    <t>PaymentTermsCode</t>
  </si>
  <si>
    <t>Description</t>
  </si>
  <si>
    <t>TermsType</t>
  </si>
  <si>
    <t>FromMonth</t>
  </si>
  <si>
    <t>Days</t>
  </si>
  <si>
    <t>FromDay</t>
  </si>
  <si>
    <t>60 DAYS BY INV DATE</t>
  </si>
  <si>
    <t>By Invoice Date</t>
  </si>
  <si>
    <t>ShippingRouteCode</t>
  </si>
  <si>
    <t>DisplayShippingRoute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</si>
  <si>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</si>
  <si>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</si>
  <si>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</si>
  <si>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</si>
  <si>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</si>
  <si>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</si>
  <si>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</si>
  <si>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</si>
  <si>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</si>
  <si>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</si>
  <si>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</si>
  <si>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</si>
  <si>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</si>
  <si>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</si>
  <si>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</si>
  <si>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</si>
  <si>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</si>
  <si>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</si>
  <si>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</si>
  <si>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</si>
  <si>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</si>
  <si>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Truck</t>
  </si>
  <si>
    <t>MY</t>
  </si>
  <si>
    <t>PERAK</t>
  </si>
  <si>
    <t>MY-PNA-DC</t>
  </si>
  <si>
    <t>MY-PNA-CUS</t>
  </si>
  <si>
    <t>MON,WED,FRI,</t>
  </si>
  <si>
    <t>1st Week,2nd Week,3rd Week,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</si>
  <si>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</si>
  <si>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</si>
  <si>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</si>
  <si>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</si>
  <si>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</si>
  <si>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</si>
  <si>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</si>
  <si>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</si>
  <si>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[Unit Parts Description]:FNCUS-PNATEST,20230605000000000000-1</t>
  </si>
  <si>
    <t>PNALIVE20220829000000000000000000001</t>
  </si>
  <si>
    <t>b00006</t>
    <phoneticPr fontId="0" type="noConversion"/>
  </si>
  <si>
    <t>HSCode.006</t>
    <phoneticPr fontId="0" type="noConversion"/>
  </si>
  <si>
    <t>KG</t>
  </si>
  <si>
    <t>Paired Parts</t>
  </si>
  <si>
    <t>No Paired Order</t>
  </si>
  <si>
    <t>[Unit Parts Description]:FNCUS-PNATEST,20230605000000000000-2</t>
  </si>
  <si>
    <t>PNALIVE20220829000000000000000000002</t>
    <phoneticPr fontId="0" type="noConversion"/>
  </si>
  <si>
    <t/>
  </si>
  <si>
    <t>b00001</t>
  </si>
  <si>
    <t>18001404835</t>
    <phoneticPr fontId="0" type="noConversion"/>
  </si>
  <si>
    <t>18007703930</t>
    <phoneticPr fontId="0" type="noConversion"/>
  </si>
  <si>
    <t>45050040130</t>
    <phoneticPr fontId="0" type="noConversion"/>
  </si>
  <si>
    <t>NSL2BLACK</t>
    <phoneticPr fontId="0" type="noConversion"/>
  </si>
  <si>
    <t>RequestNo</t>
  </si>
  <si>
    <t>BuyerPartsNo</t>
  </si>
  <si>
    <t>PartsDescription</t>
  </si>
  <si>
    <t>Customer</t>
  </si>
  <si>
    <t>ContractNo</t>
  </si>
  <si>
    <t>RepackingType</t>
  </si>
  <si>
    <t>SafetyStockPercentage</t>
  </si>
  <si>
    <t>FluctuationRatio</t>
  </si>
  <si>
    <t>ForecastFluctuationRatio</t>
  </si>
  <si>
    <t>BuyerUOMCode</t>
  </si>
  <si>
    <t>SellerUOMCode</t>
  </si>
  <si>
    <t>UOMChangeRate</t>
  </si>
  <si>
    <t>Currency</t>
  </si>
  <si>
    <t>UnitPrice</t>
  </si>
  <si>
    <t>NextSeller</t>
  </si>
  <si>
    <t>NextSellerPartsNo</t>
  </si>
  <si>
    <t>IsTC037</t>
  </si>
  <si>
    <t>MYBU-PNATEST,20230605000000000000-1</t>
    <phoneticPr fontId="0" type="noConversion"/>
  </si>
  <si>
    <t>Non Repacking</t>
  </si>
  <si>
    <t>MYR</t>
  </si>
  <si>
    <t>MY-ELA-SUP</t>
  </si>
  <si>
    <t>Y</t>
  </si>
  <si>
    <t>MYBU-PNATEST,20230605000000000000-2</t>
    <phoneticPr fontId="0" type="noConversion"/>
  </si>
  <si>
    <t>N</t>
  </si>
  <si>
    <t>Inner Repacking</t>
  </si>
  <si>
    <t>JP-YAZ-SUP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</si>
  <si>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</si>
  <si>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</si>
  <si>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</si>
  <si>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</si>
  <si>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</si>
  <si>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</si>
  <si>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</si>
  <si>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PriceBasis</t>
  </si>
  <si>
    <t>ShipperDc</t>
  </si>
  <si>
    <t>RouteDescription</t>
  </si>
  <si>
    <t>CustomsFlag</t>
  </si>
  <si>
    <t>Seller1Description</t>
  </si>
  <si>
    <t>Seller2Description</t>
  </si>
  <si>
    <t>ContractRouteCode</t>
  </si>
  <si>
    <t>Inventory for Firm</t>
  </si>
  <si>
    <t>Monthly</t>
  </si>
  <si>
    <t>Basis Order</t>
  </si>
  <si>
    <t>contractNo</t>
  </si>
  <si>
    <t>sellerid</t>
  </si>
  <si>
    <t>consignee</t>
  </si>
  <si>
    <t>contractType</t>
  </si>
  <si>
    <t>buyerid</t>
  </si>
  <si>
    <t>accounteeid</t>
  </si>
  <si>
    <t>businessType</t>
  </si>
  <si>
    <t>orderFrequency</t>
  </si>
  <si>
    <t>deliveryTo</t>
  </si>
  <si>
    <t>forecastNum</t>
  </si>
  <si>
    <t>targetLeadTime</t>
  </si>
  <si>
    <t>contractShortCode</t>
  </si>
  <si>
    <t>description</t>
  </si>
  <si>
    <t>paymentTerm</t>
  </si>
  <si>
    <t>paymentTermCode</t>
  </si>
  <si>
    <t>currency</t>
  </si>
  <si>
    <t>priceBasis</t>
  </si>
  <si>
    <t>shipperDC</t>
  </si>
  <si>
    <t>shippingRouteCode</t>
  </si>
  <si>
    <t>customFlaq</t>
  </si>
  <si>
    <t>paymentTermEdit</t>
  </si>
  <si>
    <t>paymentTermEditCode</t>
  </si>
  <si>
    <t>MY-PNA-BU</t>
  </si>
  <si>
    <t>Customer to BU</t>
  </si>
  <si>
    <t>60 DAYS BUSY2(60 DAYS BUSY2)</t>
  </si>
  <si>
    <t>60 DAYS BUSY2</t>
  </si>
  <si>
    <t>Unit Parts No</t>
  </si>
  <si>
    <t>Part No</t>
  </si>
  <si>
    <t>Seller  Parts No</t>
  </si>
  <si>
    <t>Buyer Parts No</t>
  </si>
  <si>
    <t>Unit Parts Description</t>
  </si>
  <si>
    <t>Active Flag</t>
  </si>
  <si>
    <t>SafetyStockDays</t>
  </si>
  <si>
    <t>SafetyStockPct</t>
  </si>
  <si>
    <t>Fluctuation Ratio</t>
  </si>
  <si>
    <t>Forecast Fluctuation Ratio</t>
  </si>
  <si>
    <t>CurrentPrice</t>
  </si>
  <si>
    <t>CurrentApplyDate</t>
  </si>
  <si>
    <t>Next Price</t>
  </si>
  <si>
    <t>Next Apply Date</t>
  </si>
  <si>
    <t>End User1</t>
  </si>
  <si>
    <t>End User2</t>
  </si>
  <si>
    <t>End User3</t>
  </si>
  <si>
    <t>End User4</t>
  </si>
  <si>
    <t>End User5</t>
  </si>
  <si>
    <t>Order Lot</t>
  </si>
  <si>
    <t>Buyer UOM</t>
  </si>
  <si>
    <t>Seller UOM</t>
  </si>
  <si>
    <t>UOM Change Rate</t>
  </si>
  <si>
    <t>Length</t>
  </si>
  <si>
    <t>Width</t>
  </si>
  <si>
    <t>Height</t>
  </si>
  <si>
    <t>Net Weight</t>
  </si>
  <si>
    <t>Gross Weight</t>
  </si>
  <si>
    <t>Supplier Leadtime</t>
  </si>
  <si>
    <t>RequestID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</si>
  <si>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</si>
  <si>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</si>
  <si>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</si>
  <si>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</si>
  <si>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</si>
  <si>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</si>
  <si>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</si>
  <si>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</si>
  <si>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</si>
  <si>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</si>
  <si>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</si>
  <si>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</si>
  <si>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</si>
  <si>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</si>
  <si>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</si>
  <si>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</si>
  <si>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</si>
  <si>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NEW_MOD</t>
  </si>
  <si>
    <t>PaymentTerm</t>
  </si>
  <si>
    <t>TermDescription</t>
  </si>
  <si>
    <t>TermType</t>
  </si>
  <si>
    <t>NEW</t>
  </si>
  <si>
    <t>SupplierLeadtime</t>
  </si>
  <si>
    <t>MM</t>
  </si>
  <si>
    <t>MYSUP-PNATEST,20230605000000000000-2</t>
    <phoneticPr fontId="0" type="noConversion"/>
  </si>
  <si>
    <t>pna-1219AS-1</t>
  </si>
  <si>
    <t>DeliveryTo</t>
  </si>
  <si>
    <t>ConfirmOrderLeadtime</t>
  </si>
  <si>
    <t>LeadTime</t>
  </si>
  <si>
    <t>DeliveryPlanStartDate</t>
  </si>
  <si>
    <t>ReceiveDc</t>
  </si>
  <si>
    <t>Air</t>
  </si>
  <si>
    <t>JP</t>
  </si>
  <si>
    <t>SHIMIZU</t>
  </si>
  <si>
    <t>KLANG</t>
  </si>
  <si>
    <t>pna-18001404835</t>
  </si>
  <si>
    <t>JPY</t>
  </si>
  <si>
    <t>pna-18007703930</t>
  </si>
  <si>
    <t>pna-45050040130</t>
  </si>
  <si>
    <t>pna-NSL-2BLACK</t>
  </si>
  <si>
    <t>PCS</t>
  </si>
  <si>
    <t>ExportCustomsParty</t>
  </si>
  <si>
    <t>ImportCustomsParty</t>
  </si>
  <si>
    <t>HSCodeFlag</t>
  </si>
  <si>
    <t>IncotermsCode</t>
  </si>
  <si>
    <t>IncotermsPlace</t>
  </si>
  <si>
    <t>EXW</t>
  </si>
  <si>
    <t>Buer UOM</t>
  </si>
  <si>
    <t>confirmOrderLead</t>
  </si>
  <si>
    <t>deliveryPlanDate</t>
  </si>
  <si>
    <t>payementTermCode</t>
  </si>
  <si>
    <t>receiveDC</t>
  </si>
  <si>
    <t>BU to Supplier</t>
  </si>
  <si>
    <t>exportcustom</t>
  </si>
  <si>
    <t>importCustom</t>
  </si>
  <si>
    <t>hsCode</t>
  </si>
  <si>
    <t>incotermsCode</t>
  </si>
  <si>
    <t>incotermsCodePlace</t>
  </si>
  <si>
    <t>Contract route id</t>
  </si>
  <si>
    <t>Status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</si>
  <si>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</si>
  <si>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</si>
  <si>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</si>
  <si>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</si>
  <si>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</si>
  <si>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</si>
  <si>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</si>
  <si>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Build Completed</t>
  </si>
  <si>
    <t>seller_puchases</t>
  </si>
  <si>
    <t>Contract no-purchases</t>
  </si>
  <si>
    <t>Price basis-purchases</t>
  </si>
  <si>
    <t>shipper-purchases</t>
  </si>
  <si>
    <t>shippingRoute-purchases</t>
  </si>
  <si>
    <t>L2-WIRE FR DOOR RH</t>
    <phoneticPr fontId="0" type="noConversion"/>
  </si>
  <si>
    <t>Ref No：L2-WIRE FR DOOR RH</t>
  </si>
  <si>
    <t>Back1</t>
  </si>
  <si>
    <t>HS.1</t>
  </si>
  <si>
    <t>L2-WIRE FR DOOR RH</t>
  </si>
  <si>
    <t>L2-HARNESS FLOOR</t>
  </si>
  <si>
    <t>Ref No：L2-HARNESS FLOOR</t>
  </si>
  <si>
    <t>Back2</t>
  </si>
  <si>
    <t>HS.2</t>
  </si>
  <si>
    <t>RequestTo</t>
  </si>
  <si>
    <t>newMod</t>
  </si>
  <si>
    <t>CustomerStockFlag</t>
  </si>
  <si>
    <t>MinStock1</t>
  </si>
  <si>
    <t>MinStock2</t>
  </si>
  <si>
    <t>InventoryControl</t>
  </si>
  <si>
    <t>AlertMethod</t>
  </si>
  <si>
    <t>Fluctuation</t>
  </si>
  <si>
    <t>AllocationPattern</t>
  </si>
  <si>
    <t>AdjustmentPattern1</t>
  </si>
  <si>
    <t>AdjustmentPattern2</t>
  </si>
  <si>
    <t>mod</t>
  </si>
  <si>
    <t>By Average Usage of Two Month</t>
  </si>
  <si>
    <t>AVERAGE</t>
  </si>
  <si>
    <t>A</t>
  </si>
  <si>
    <t>Parts</t>
  </si>
  <si>
    <t>L2</t>
  </si>
  <si>
    <t>L3</t>
  </si>
  <si>
    <t>L2 Part No</t>
  </si>
  <si>
    <t>L2 Part Name</t>
  </si>
  <si>
    <t>L2 Part Status</t>
  </si>
  <si>
    <t>WIRE FR DOOR RH</t>
  </si>
  <si>
    <t>HARNESS FLOOR</t>
  </si>
  <si>
    <t>Main Description</t>
  </si>
  <si>
    <t>MODEL</t>
  </si>
  <si>
    <t>Usage</t>
  </si>
  <si>
    <t>Production Plan</t>
  </si>
  <si>
    <t>BLM</t>
  </si>
  <si>
    <t>D20N (MYVI)</t>
  </si>
  <si>
    <t>D20N (MYVI) / D55L</t>
  </si>
  <si>
    <t>L2 PART NO</t>
  </si>
  <si>
    <t>L2 PART NAME</t>
  </si>
  <si>
    <t>L2 Status</t>
  </si>
  <si>
    <t>Parts No.</t>
  </si>
  <si>
    <t>Customer Code</t>
  </si>
  <si>
    <t>External Ref No.</t>
    <phoneticPr fontId="0" type="noConversion"/>
  </si>
  <si>
    <t>Customer Parts No.</t>
  </si>
  <si>
    <t>month 1</t>
  </si>
  <si>
    <t>month 2</t>
  </si>
  <si>
    <t>month 3</t>
  </si>
  <si>
    <t>month 4</t>
  </si>
  <si>
    <t>month 5</t>
  </si>
  <si>
    <t>month 6</t>
  </si>
  <si>
    <t>Buyer No</t>
  </si>
  <si>
    <t>ProjectCode</t>
  </si>
  <si>
    <t>Jun 2023</t>
  </si>
  <si>
    <t>Jul 2023</t>
  </si>
  <si>
    <t>Aug 2023</t>
  </si>
  <si>
    <t>Sep 2023</t>
  </si>
  <si>
    <t>Oct 2023</t>
  </si>
  <si>
    <t>Nov 2023</t>
  </si>
  <si>
    <t>NEWMOD</t>
  </si>
  <si>
    <t>Reasonforthechange</t>
  </si>
  <si>
    <t>OrderCalculationGroupingNo</t>
  </si>
  <si>
    <t>BuyerCode</t>
  </si>
  <si>
    <t>TargetMonth</t>
  </si>
  <si>
    <t>BufferUsageType</t>
  </si>
  <si>
    <t>OrderTiming</t>
  </si>
  <si>
    <t>Remarks</t>
  </si>
  <si>
    <t>By Max Usage of all Next Ranages</t>
  </si>
  <si>
    <t>MinStockDays</t>
  </si>
  <si>
    <t>MaxStockDays</t>
  </si>
  <si>
    <t>InventoryControlledBox</t>
  </si>
  <si>
    <t>DailyAllocationPattern</t>
  </si>
  <si>
    <t>SafetyStockUnit</t>
  </si>
  <si>
    <t>StandardSafetyStock</t>
  </si>
  <si>
    <t>MaxStock</t>
  </si>
  <si>
    <t>CalculationPatternforN3</t>
  </si>
  <si>
    <t>IsByPercentageSSS</t>
  </si>
  <si>
    <t>IsByPercentageMaxStock</t>
  </si>
  <si>
    <t>0.1</t>
  </si>
  <si>
    <t>By %</t>
  </si>
  <si>
    <t>25%</t>
  </si>
  <si>
    <t>100%</t>
  </si>
  <si>
    <t>E</t>
  </si>
  <si>
    <t>By Stock Days</t>
  </si>
  <si>
    <t>25</t>
  </si>
  <si>
    <t>100</t>
  </si>
  <si>
    <t>By Boxes</t>
  </si>
  <si>
    <t>OCGN</t>
  </si>
  <si>
    <t>CutOffDate</t>
  </si>
  <si>
    <t>CutOffDateFormatted</t>
  </si>
  <si>
    <t>CustomerUsage</t>
  </si>
  <si>
    <t>OrderCalculationRefNo</t>
  </si>
  <si>
    <t>Parts No</t>
  </si>
  <si>
    <t>Contract No.</t>
  </si>
  <si>
    <t>Unit Parts No.</t>
  </si>
  <si>
    <t>Outbound Date</t>
  </si>
  <si>
    <t>Outbound Qty</t>
  </si>
  <si>
    <t>Inbound Date</t>
  </si>
  <si>
    <t>Inbound Qty</t>
  </si>
  <si>
    <t>Back No.</t>
  </si>
  <si>
    <t>Exp Country</t>
  </si>
  <si>
    <t>Supplier Code</t>
  </si>
  <si>
    <t>Adjust Date</t>
  </si>
  <si>
    <t>Adjust Qty</t>
  </si>
  <si>
    <t>orderReference</t>
  </si>
  <si>
    <t>Firm Qty</t>
  </si>
  <si>
    <t>date 1</t>
  </si>
  <si>
    <t>date 2</t>
  </si>
  <si>
    <t>date 3</t>
  </si>
  <si>
    <t>OrderNo</t>
  </si>
  <si>
    <t>Unit Price</t>
  </si>
  <si>
    <t>SO status</t>
  </si>
  <si>
    <t>Delay status</t>
  </si>
  <si>
    <t>inbound plan date</t>
  </si>
  <si>
    <t>estimate inbound plan date</t>
  </si>
  <si>
    <t>Customer unit part no</t>
  </si>
  <si>
    <t>Back no</t>
  </si>
  <si>
    <t>Purchase order no</t>
  </si>
  <si>
    <t>Customer code</t>
  </si>
  <si>
    <t>Order lot</t>
  </si>
  <si>
    <t>Order Qty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</si>
  <si>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</si>
  <si>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</si>
  <si>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</si>
  <si>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</si>
  <si>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</si>
  <si>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</si>
  <si>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</si>
  <si>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</si>
  <si>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</si>
  <si>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Received</t>
  </si>
  <si>
    <t>OK</t>
  </si>
  <si>
    <t>AddQty</t>
  </si>
  <si>
    <t>InPlan_1</t>
  </si>
  <si>
    <t>InPlan_2</t>
  </si>
  <si>
    <t>InPlan_3</t>
  </si>
  <si>
    <t>Spot OCRN</t>
  </si>
  <si>
    <t>Spot_CustomerUsageNo</t>
  </si>
  <si>
    <t>Sales Order No.</t>
  </si>
  <si>
    <t>Shipper</t>
  </si>
  <si>
    <t>InboundQty</t>
  </si>
  <si>
    <t>InboundPlan</t>
  </si>
  <si>
    <t>InboundPlanStatus</t>
  </si>
  <si>
    <t>EstimateInbound</t>
  </si>
  <si>
    <t>USD</t>
  </si>
  <si>
    <t>Confirmed</t>
  </si>
  <si>
    <t>SO parts no</t>
  </si>
  <si>
    <t>Color code</t>
  </si>
  <si>
    <t>Paired parts no</t>
  </si>
  <si>
    <t>UOM code</t>
  </si>
  <si>
    <t>Old firm</t>
  </si>
  <si>
    <t>New firm</t>
  </si>
  <si>
    <t>Last order forecast 1</t>
  </si>
  <si>
    <t>Reason for fluctuation</t>
  </si>
  <si>
    <t>Old_outbound_1</t>
  </si>
  <si>
    <t>Old_outbound_2</t>
  </si>
  <si>
    <t>New_outbound_1</t>
  </si>
  <si>
    <t>New_outbound_2</t>
  </si>
  <si>
    <t>New_outbound_3</t>
  </si>
  <si>
    <t>N/A</t>
  </si>
  <si>
    <t>PO parts no</t>
  </si>
  <si>
    <t>Supplier code</t>
  </si>
  <si>
    <t>Old_inbound_1</t>
  </si>
  <si>
    <t>Old_inbound_2</t>
  </si>
  <si>
    <t>New_inbound_1</t>
  </si>
  <si>
    <t>New_inbound_2</t>
  </si>
  <si>
    <t>New_inbound_3</t>
  </si>
  <si>
    <t>DayFirst</t>
  </si>
  <si>
    <t>MonthFirst</t>
  </si>
  <si>
    <t>YearFirst</t>
  </si>
  <si>
    <t>DateChange</t>
  </si>
  <si>
    <t>Oct 15, 2023</t>
  </si>
  <si>
    <t>Outbound_Date3</t>
  </si>
  <si>
    <t>InboundPlan_1</t>
  </si>
  <si>
    <t>InboundStatus_1</t>
  </si>
  <si>
    <t>InboundPlan_2</t>
  </si>
  <si>
    <t>InboundStatus_2</t>
  </si>
  <si>
    <t>InboundPlan_3</t>
  </si>
  <si>
    <t>InboundStatus_3</t>
  </si>
  <si>
    <t>EstimateInbound_1</t>
  </si>
  <si>
    <t>EstimateInbound_2</t>
  </si>
  <si>
    <t>EstimateInbound_3</t>
  </si>
  <si>
    <t>OutboundNo</t>
  </si>
  <si>
    <t>OutboundDate</t>
  </si>
  <si>
    <t>OutboundTime</t>
  </si>
  <si>
    <t>BookingNo</t>
  </si>
  <si>
    <t>UOM</t>
  </si>
  <si>
    <t>OutboundQty</t>
  </si>
  <si>
    <t>OutboundType</t>
  </si>
  <si>
    <t>Receiver</t>
  </si>
  <si>
    <t>Buyer</t>
  </si>
  <si>
    <t>ETD</t>
  </si>
  <si>
    <t>ETA</t>
  </si>
  <si>
    <t>ContainerNo</t>
  </si>
  <si>
    <t>ContainerType</t>
  </si>
  <si>
    <t>CommodityType</t>
  </si>
  <si>
    <t>SealNo</t>
  </si>
  <si>
    <t>C_M3</t>
  </si>
  <si>
    <t>C_NetWeight</t>
  </si>
  <si>
    <t>C_GrossWeight</t>
  </si>
  <si>
    <t>OuterPackageNo</t>
  </si>
  <si>
    <t>OuterPackageType</t>
  </si>
  <si>
    <t>OP_M3</t>
  </si>
  <si>
    <t>OP_NetWeight</t>
  </si>
  <si>
    <t>OP_GrossWeight</t>
  </si>
  <si>
    <t>InnerPackageNo</t>
  </si>
  <si>
    <t>InnerPackageType</t>
  </si>
  <si>
    <t>IP_M3</t>
  </si>
  <si>
    <t>IP_NetWeight</t>
  </si>
  <si>
    <t>IP_GrossWeight</t>
  </si>
  <si>
    <t>SalesOrderNo</t>
  </si>
  <si>
    <t>Seller</t>
  </si>
  <si>
    <t>SellerPartsDescription</t>
  </si>
  <si>
    <t>SellerBackNo</t>
  </si>
  <si>
    <t>ColorCode</t>
  </si>
  <si>
    <t>SRBQ</t>
  </si>
  <si>
    <t>RemainingQtyAvailable</t>
  </si>
  <si>
    <t>Sea</t>
  </si>
  <si>
    <t>Outbound</t>
  </si>
  <si>
    <t>CARTONBOX</t>
    <phoneticPr fontId="0" type="noConversion"/>
  </si>
  <si>
    <t>MYSUP-PNATEST,20230605000000000000-1</t>
  </si>
  <si>
    <t>C-230608001</t>
    <phoneticPr fontId="0" type="noConversion"/>
  </si>
  <si>
    <t>20FT</t>
    <phoneticPr fontId="0" type="noConversion"/>
  </si>
  <si>
    <t>Type-001</t>
    <phoneticPr fontId="0" type="noConversion"/>
  </si>
  <si>
    <t>S-230608001</t>
    <phoneticPr fontId="0" type="noConversion"/>
  </si>
  <si>
    <t>MYSUP-PNATEST,20230605000000000000-2</t>
  </si>
  <si>
    <t>DRUM</t>
    <phoneticPr fontId="0" type="noConversion"/>
  </si>
  <si>
    <t>Inner Type-001</t>
    <phoneticPr fontId="0" type="noConversion"/>
  </si>
  <si>
    <t>C-230608002</t>
    <phoneticPr fontId="0" type="noConversion"/>
  </si>
  <si>
    <t>40FT</t>
    <phoneticPr fontId="0" type="noConversion"/>
  </si>
  <si>
    <t>Type-002</t>
    <phoneticPr fontId="0" type="noConversion"/>
  </si>
  <si>
    <t>NYKU8417026</t>
    <phoneticPr fontId="0" type="noConversion"/>
  </si>
  <si>
    <t>Inner Type-002</t>
    <phoneticPr fontId="0" type="noConversion"/>
  </si>
  <si>
    <t>S-230608003</t>
    <phoneticPr fontId="0" type="noConversion"/>
  </si>
  <si>
    <t>CAIU4147239</t>
    <phoneticPr fontId="0" type="noConversion"/>
  </si>
  <si>
    <t>C-230608003</t>
    <phoneticPr fontId="0" type="noConversion"/>
  </si>
  <si>
    <t>OutboundRefNo</t>
  </si>
  <si>
    <t>InvoiceNo</t>
  </si>
  <si>
    <t>Old_inbound_3</t>
  </si>
  <si>
    <t>Old_outbound_3</t>
  </si>
  <si>
    <t>EstimateInbound_4</t>
  </si>
  <si>
    <t>EstimateInbound_5</t>
  </si>
  <si>
    <t>Processing</t>
  </si>
  <si>
    <t>CARTONBOX</t>
    <phoneticPr fontId="0" type="noConversion"/>
  </si>
  <si>
    <t>NYKU8417026</t>
    <phoneticPr fontId="0" type="noConversion"/>
  </si>
  <si>
    <t>EGSU9073529</t>
    <phoneticPr fontId="0" type="noConversion"/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</si>
  <si>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</si>
  <si>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</si>
  <si>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</si>
  <si>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</si>
  <si>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</si>
  <si>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</si>
  <si>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</si>
  <si>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</si>
  <si>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</si>
  <si>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</si>
  <si>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</si>
  <si>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</si>
  <si>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</si>
  <si>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</si>
  <si>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</si>
  <si>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</si>
  <si>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</si>
  <si>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</si>
  <si>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</si>
  <si>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</si>
  <si>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Bs2-NT-01-001</t>
  </si>
  <si>
    <t>C-230608001</t>
  </si>
  <si>
    <t>MANUAL</t>
  </si>
  <si>
    <t>font-weight: bold;</t>
  </si>
  <si>
    <t>color: blue;</t>
  </si>
  <si>
    <t>JP-YAZ-C-230608001</t>
  </si>
  <si>
    <t>color: rgb(136, 136, 136);</t>
  </si>
  <si>
    <t>Bs1-NT-01-001</t>
  </si>
  <si>
    <t>C-230608002</t>
  </si>
  <si>
    <t>NYKU8417026</t>
  </si>
  <si>
    <t>Bs1-NT-01-003</t>
  </si>
  <si>
    <t>C-230608003</t>
  </si>
  <si>
    <t>CAIU4147239</t>
  </si>
  <si>
    <t>EGSU9073529</t>
  </si>
  <si>
    <t>InboundNo</t>
  </si>
  <si>
    <t>InboundDate</t>
  </si>
  <si>
    <t>OP_NW</t>
  </si>
  <si>
    <t>OP_GW</t>
  </si>
  <si>
    <t>BuyerStockQty</t>
  </si>
  <si>
    <t>Date</t>
  </si>
  <si>
    <t>DD</t>
  </si>
  <si>
    <t>AdjustmentQty</t>
  </si>
  <si>
    <t>OnHoldQty</t>
  </si>
  <si>
    <t>AdjustDate</t>
  </si>
  <si>
    <t>Seller BU Code</t>
  </si>
  <si>
    <t>Customer Contract</t>
  </si>
  <si>
    <t>Customer Parts Description</t>
  </si>
  <si>
    <t>Date1</t>
  </si>
  <si>
    <t>Date2</t>
  </si>
  <si>
    <t>Order No</t>
  </si>
  <si>
    <t>firstdayetd</t>
  </si>
  <si>
    <t>firstmonthetd</t>
  </si>
  <si>
    <t>firstyearetd</t>
  </si>
  <si>
    <t>CustomerPartsNo</t>
  </si>
  <si>
    <t>SOnumber</t>
  </si>
  <si>
    <t>SupplierCode</t>
  </si>
  <si>
    <t>OrderQty</t>
  </si>
  <si>
    <t>ForceCompleteQty</t>
  </si>
  <si>
    <t>InboundedQty</t>
  </si>
  <si>
    <t>InboundedPlanQty</t>
  </si>
  <si>
    <t>InboundedPlanStatus</t>
  </si>
  <si>
    <t>POnumber</t>
  </si>
  <si>
    <t>DeliveredQty</t>
  </si>
  <si>
    <t>InTransitQty</t>
  </si>
  <si>
    <t>Completed</t>
  </si>
  <si>
    <t>TLLU6124978</t>
  </si>
  <si>
    <t>C-20130614001</t>
  </si>
  <si>
    <t>B-NT-01-001</t>
  </si>
  <si>
    <t>Final Adjust</t>
  </si>
  <si>
    <t>TC36</t>
  </si>
  <si>
    <t>External Ref No.</t>
  </si>
  <si>
    <t>Week 1</t>
  </si>
  <si>
    <t>Week 2</t>
  </si>
  <si>
    <t>Week 3</t>
  </si>
  <si>
    <t>Week 4</t>
  </si>
  <si>
    <t>Week 5</t>
  </si>
  <si>
    <t>PO number</t>
  </si>
  <si>
    <t>Reason for the change</t>
  </si>
  <si>
    <t>Supplier Contract No.</t>
  </si>
  <si>
    <t>Supplier</t>
  </si>
  <si>
    <t>Supplier Parts No.</t>
  </si>
  <si>
    <t>PNA Parts No.</t>
  </si>
  <si>
    <t>Purchase Order No.</t>
  </si>
  <si>
    <t>Supplier DR Date</t>
  </si>
  <si>
    <t>PNA Request Date</t>
  </si>
  <si>
    <t>Price</t>
  </si>
  <si>
    <t>MOQ</t>
  </si>
  <si>
    <t>MPQ</t>
  </si>
  <si>
    <t>UOM Code (PNA)</t>
  </si>
  <si>
    <t>UOM Code (Supplier)</t>
  </si>
  <si>
    <t>Change Rate</t>
  </si>
  <si>
    <t>Supplier Leadtime (Week)</t>
  </si>
  <si>
    <t>Shipping Leadtime (Week)</t>
  </si>
  <si>
    <t>SOidRegular</t>
  </si>
  <si>
    <t>New Firm</t>
  </si>
  <si>
    <t>InboundNewDate_Qty1</t>
  </si>
  <si>
    <t>InboundNewDate_Qty2</t>
  </si>
  <si>
    <t>InboundNewDate_Qty3</t>
  </si>
  <si>
    <t>InboundNewDate_Qty4</t>
  </si>
  <si>
    <t>InboundNewDate_Qty5</t>
  </si>
  <si>
    <t>Plan OI 1</t>
  </si>
  <si>
    <t>Plan OI Status 1</t>
  </si>
  <si>
    <t>Plan OI 2</t>
  </si>
  <si>
    <t>Plan OI Status 2</t>
  </si>
  <si>
    <t>Plan OI 3</t>
  </si>
  <si>
    <t>Plan OI Status 3</t>
  </si>
  <si>
    <t>Estimated OI 1</t>
  </si>
  <si>
    <t>Estimated OI 2</t>
  </si>
  <si>
    <t>Estimated OI 3</t>
  </si>
  <si>
    <t>BookingId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</si>
  <si>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</si>
  <si>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</si>
  <si>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</si>
  <si>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</si>
  <si>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</si>
  <si>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</si>
  <si>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</si>
  <si>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</si>
  <si>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</si>
  <si>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</si>
  <si>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</si>
  <si>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</si>
  <si>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</si>
  <si>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</si>
  <si>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POid</t>
  </si>
  <si>
    <t>SOid</t>
  </si>
  <si>
    <t>CargoStatus</t>
  </si>
  <si>
    <t>ContainerTrackJourney</t>
  </si>
  <si>
    <t>ATD</t>
  </si>
  <si>
    <t>BLNo</t>
  </si>
  <si>
    <t>BLDate</t>
  </si>
  <si>
    <t>VesselName</t>
  </si>
  <si>
    <t>VoyageNo</t>
  </si>
  <si>
    <t>NO</t>
  </si>
  <si>
    <t>firstETD</t>
  </si>
  <si>
    <t>Jun 12, 2023</t>
  </si>
  <si>
    <t>endETD</t>
  </si>
  <si>
    <t>Dec 31, 2024</t>
  </si>
  <si>
    <t>D27A</t>
  </si>
  <si>
    <t>D42L (BEZZA)</t>
  </si>
  <si>
    <t>D55L</t>
  </si>
  <si>
    <t>D63D (BEZZA)</t>
  </si>
  <si>
    <t>D74A</t>
  </si>
  <si>
    <t>D88N (AXIA)</t>
  </si>
  <si>
    <t>D93L (AXIA FL)</t>
  </si>
  <si>
    <t>EXORA</t>
  </si>
  <si>
    <t>IRIZ</t>
  </si>
  <si>
    <t>PERSONAR / SAGAR</t>
  </si>
  <si>
    <t>VL01</t>
  </si>
  <si>
    <t>MY-PNA-CUS-2310-001</t>
  </si>
  <si>
    <t>SheetNumber</t>
  </si>
  <si>
    <t>Row</t>
  </si>
  <si>
    <t>Column</t>
  </si>
  <si>
    <t>BL-1</t>
  </si>
  <si>
    <t>Vessel-1</t>
  </si>
  <si>
    <t>v-1</t>
  </si>
  <si>
    <t>SUP2_2</t>
  </si>
  <si>
    <t>Reason</t>
  </si>
  <si>
    <t>OrderType</t>
  </si>
  <si>
    <t>OrderDate</t>
  </si>
  <si>
    <t>Regular</t>
  </si>
  <si>
    <t>PurchaseOrderNo</t>
  </si>
  <si>
    <t>SalesOrder</t>
  </si>
  <si>
    <t>USD</t>
    <phoneticPr fontId="3" type="noConversion"/>
  </si>
  <si>
    <t>Type</t>
  </si>
  <si>
    <t>L3 Part</t>
  </si>
  <si>
    <t>L2 Part</t>
  </si>
  <si>
    <t>MY-ELA</t>
  </si>
  <si>
    <t>JP-YAZ</t>
  </si>
  <si>
    <t>PurchaseOderNo</t>
  </si>
  <si>
    <t>ContractRoute</t>
  </si>
  <si>
    <t>MYBU-PNATEST,20230605000000000000-1</t>
  </si>
  <si>
    <t>MYBU-PNATEST,20230605000000000000-2</t>
  </si>
  <si>
    <t>Stock Qty</t>
  </si>
  <si>
    <t>Stock Qty (On-Hold)</t>
  </si>
  <si>
    <t>Adjustment (Stock)</t>
  </si>
  <si>
    <t>Adjustment (On-Hold)</t>
  </si>
  <si>
    <t>Total (Excludes On-Hold)</t>
  </si>
  <si>
    <t>Stock Days</t>
  </si>
  <si>
    <t>Low Stock Alert</t>
  </si>
  <si>
    <t>Week 1 In</t>
  </si>
  <si>
    <t>Week 1 Out</t>
  </si>
  <si>
    <t>Week 1 Balance</t>
  </si>
  <si>
    <t>Week 1 Stock Days</t>
  </si>
  <si>
    <t>Week 2 In</t>
  </si>
  <si>
    <t>Week 2 Out</t>
  </si>
  <si>
    <t>Week 2 Balance</t>
  </si>
  <si>
    <t>Week 2 Stock Days</t>
  </si>
  <si>
    <t>Week 3 In</t>
  </si>
  <si>
    <t>Week 3 Out</t>
  </si>
  <si>
    <t>Week 3 Balance</t>
  </si>
  <si>
    <t>Week 3 Stock Days</t>
  </si>
  <si>
    <t>Week 4 In</t>
  </si>
  <si>
    <t>Week 4 Out</t>
  </si>
  <si>
    <t>Week 4 Balance</t>
  </si>
  <si>
    <t>Week 4 Stock Days</t>
  </si>
  <si>
    <t>Week 5 In</t>
  </si>
  <si>
    <t>Week 5 Out</t>
  </si>
  <si>
    <t>Week 5 Balance</t>
  </si>
  <si>
    <t>Week 5 Stock Days</t>
  </si>
  <si>
    <t>Week 6 In</t>
  </si>
  <si>
    <t>Week 6 Out</t>
  </si>
  <si>
    <t>Week 6 Balance</t>
  </si>
  <si>
    <t>Week 6 Stock Days</t>
  </si>
  <si>
    <t>Week 7 In</t>
  </si>
  <si>
    <t>Week 7 Out</t>
  </si>
  <si>
    <t>Week 7 Balance</t>
  </si>
  <si>
    <t>Week 7 Stock Days</t>
  </si>
  <si>
    <t>0</t>
  </si>
  <si>
    <t>&lt;= 9</t>
  </si>
  <si>
    <t>No Usage</t>
  </si>
  <si>
    <t>-</t>
  </si>
  <si>
    <t>Oct 15, 2024</t>
  </si>
  <si>
    <t>Oct 15, 2025</t>
  </si>
  <si>
    <t>Oct 15, 2026</t>
  </si>
  <si>
    <t>Oct 15, 2027</t>
  </si>
  <si>
    <t>Oct 15, 2028</t>
  </si>
  <si>
    <t>Oct 15, 2029</t>
  </si>
  <si>
    <t>OutbondNo</t>
  </si>
  <si>
    <t>PurchaseNo</t>
  </si>
  <si>
    <t>InvoiceCombine</t>
  </si>
  <si>
    <t xml:space="preserve"> Vessel departure from first POL</t>
  </si>
  <si>
    <t>pna1219AS1</t>
  </si>
  <si>
    <t>diMY-PNA-CUS-MY-PNA-DC-231021001</t>
  </si>
  <si>
    <t>diMY-PNA-CUS-MY-PNA-DC-231021002</t>
  </si>
  <si>
    <t>Customer Order No</t>
  </si>
  <si>
    <t>Sales Order No</t>
  </si>
  <si>
    <t>DC-TYPE01</t>
    <phoneticPr fontId="8" type="noConversion"/>
  </si>
  <si>
    <t>20FT</t>
    <phoneticPr fontId="8" type="noConversion"/>
  </si>
  <si>
    <t>T01</t>
    <phoneticPr fontId="8" type="noConversion"/>
  </si>
  <si>
    <t>Seal No.01</t>
    <phoneticPr fontId="8" type="noConversion"/>
  </si>
  <si>
    <t>DC-TYPE02</t>
  </si>
  <si>
    <t>TLLU6124978</t>
    <phoneticPr fontId="8" type="noConversion"/>
  </si>
  <si>
    <t>DC-TYPE03</t>
  </si>
  <si>
    <t>DC-IN01</t>
    <phoneticPr fontId="8" type="noConversion"/>
  </si>
  <si>
    <t>DC-TYPE04</t>
  </si>
  <si>
    <t>op-NT-02-001</t>
  </si>
  <si>
    <t>op-NT-02-002</t>
  </si>
  <si>
    <t>ip-NT-02-001</t>
  </si>
  <si>
    <t>ip-NT-02-002</t>
  </si>
  <si>
    <t>Week 1 Stock Day</t>
  </si>
  <si>
    <t>NG-100</t>
  </si>
  <si>
    <t>EstimateInboundedPlanQty</t>
  </si>
  <si>
    <t>NG-40</t>
  </si>
  <si>
    <t>Container_M3</t>
  </si>
  <si>
    <t>Container_NetWeight</t>
  </si>
  <si>
    <t>Container_GrossWeight</t>
  </si>
  <si>
    <t>CO id</t>
  </si>
  <si>
    <t>PurchaseId</t>
  </si>
  <si>
    <t>CNTW-SUP</t>
  </si>
  <si>
    <t>Invoice No</t>
  </si>
  <si>
    <t>TotalOverdue</t>
  </si>
  <si>
    <t>TotalOutstanding</t>
  </si>
  <si>
    <t>Overdue Amount</t>
  </si>
  <si>
    <t>Due Since</t>
  </si>
  <si>
    <t>Seller Code</t>
  </si>
  <si>
    <t>R-MY-PNA-CUS-2310041</t>
  </si>
  <si>
    <t>CR-MY-PNA-CUS-2310033</t>
  </si>
  <si>
    <t>R-MY-PNA-BU-2310065</t>
  </si>
  <si>
    <t>R-MY-PNA-BU-2310066</t>
  </si>
  <si>
    <t>R-MY-PNA-CUS-2310042</t>
  </si>
  <si>
    <t>CR-MY-PNA-CUS-2310034</t>
  </si>
  <si>
    <t>Bom-ver202310261147555708</t>
  </si>
  <si>
    <t>MY-PNA-CUS-2310-003</t>
  </si>
  <si>
    <t>pZ525-2310003</t>
  </si>
  <si>
    <t>pZ525-2310001</t>
  </si>
  <si>
    <t>pZ525-2310002</t>
  </si>
  <si>
    <t>sZ5s125-2310001</t>
  </si>
  <si>
    <t>R-MY-PNA-BU-2310067</t>
  </si>
  <si>
    <t>R-MY-ELA-SUP-2310010</t>
  </si>
  <si>
    <t>R-MY-PNA-BU-2310068</t>
  </si>
  <si>
    <t>R-MY-PNA-CUS-2310043</t>
  </si>
  <si>
    <t>R-MY-PNA-BU-2310069</t>
  </si>
  <si>
    <t>CU-V-202310261625265915</t>
  </si>
  <si>
    <t>pZ525-2310005</t>
  </si>
  <si>
    <t>pZ525-2310004</t>
  </si>
  <si>
    <t>sZ5s125-2310002</t>
  </si>
  <si>
    <t>s25s225-2310003</t>
  </si>
  <si>
    <t>pZ5s125-2310001</t>
  </si>
  <si>
    <t>sZ5s125-2310003</t>
  </si>
  <si>
    <t>rsZ5s125-2310001-01</t>
  </si>
  <si>
    <t>o-MY-ELA-SUP-231026001</t>
  </si>
  <si>
    <t>o-MY-ELA-SUP-231026002</t>
  </si>
  <si>
    <t>o-MY-ELA-SUP-231026003</t>
  </si>
  <si>
    <t>ELA2310016</t>
  </si>
  <si>
    <t>ELA2310017</t>
  </si>
  <si>
    <t>ELA2310018</t>
  </si>
  <si>
    <t>rsZ5s125-2310002-01</t>
  </si>
  <si>
    <t>Receiver Inbound</t>
  </si>
  <si>
    <t>InTransit Qty</t>
  </si>
  <si>
    <t>Receiver Inbounded Qty</t>
  </si>
  <si>
    <t>Plan 1</t>
  </si>
  <si>
    <t>Plan 2</t>
  </si>
  <si>
    <t>s25s225-2310001</t>
  </si>
  <si>
    <t>s25s225-2310002</t>
  </si>
  <si>
    <t>Part</t>
  </si>
  <si>
    <t>Soid</t>
  </si>
  <si>
    <t>o-JP-YAZ-SUP-231026001</t>
  </si>
  <si>
    <t>o-JP-YAZ-SUP-231026002</t>
  </si>
  <si>
    <t>o-JP-YAZ-SUP-231026003</t>
  </si>
  <si>
    <t>JYZ2310013</t>
  </si>
  <si>
    <t>JYZ2310014</t>
  </si>
  <si>
    <t>JYZ2310015</t>
  </si>
  <si>
    <t>JYZ2310016</t>
  </si>
  <si>
    <t>O-230608001-001</t>
    <phoneticPr fontId="8" type="noConversion"/>
  </si>
  <si>
    <t>O-230608001-002</t>
    <phoneticPr fontId="8" type="noConversion"/>
  </si>
  <si>
    <t>O-230608001-003</t>
  </si>
  <si>
    <t>O-230608001-004</t>
  </si>
  <si>
    <t>O-230608002-001</t>
    <phoneticPr fontId="8" type="noConversion"/>
  </si>
  <si>
    <t>O-230608002-002</t>
    <phoneticPr fontId="8" type="noConversion"/>
  </si>
  <si>
    <t>O-230608003-001</t>
    <phoneticPr fontId="8" type="noConversion"/>
  </si>
  <si>
    <t>I-230608001-001</t>
    <phoneticPr fontId="8" type="noConversion"/>
  </si>
  <si>
    <t>O-230608001-001</t>
    <phoneticPr fontId="7" type="noConversion"/>
  </si>
  <si>
    <t>O-230608001-002</t>
    <phoneticPr fontId="7" type="noConversion"/>
  </si>
  <si>
    <t>O-230608002-001</t>
    <phoneticPr fontId="7" type="noConversion"/>
  </si>
  <si>
    <t>O-230608003-001</t>
    <phoneticPr fontId="7" type="noConversion"/>
  </si>
  <si>
    <t>O-230608003-002</t>
    <phoneticPr fontId="7" type="noConversion"/>
  </si>
  <si>
    <t>O-230608003-003</t>
    <phoneticPr fontId="7" type="noConversion"/>
  </si>
  <si>
    <t>I-230608001-001</t>
    <phoneticPr fontId="7" type="noConversion"/>
  </si>
  <si>
    <t>I-230608001-002</t>
    <phoneticPr fontId="7" type="noConversion"/>
  </si>
  <si>
    <t>I-230608002-001</t>
    <phoneticPr fontId="7" type="noConversion"/>
  </si>
  <si>
    <t>I-230608002-002</t>
    <phoneticPr fontId="7" type="noConversion"/>
  </si>
  <si>
    <t>cZ5L225-2311001</t>
  </si>
  <si>
    <t>cZ5L225-2311002</t>
  </si>
  <si>
    <t>sZ5L225-2311001</t>
  </si>
  <si>
    <t>sZ5L225-2311003</t>
  </si>
  <si>
    <t>o-MY-PNA-DC-231102003</t>
  </si>
  <si>
    <t>o-MY-PNA-DC-231102004</t>
  </si>
  <si>
    <t>PartSpecific</t>
  </si>
  <si>
    <t>COid</t>
  </si>
  <si>
    <t>PNA2311003</t>
  </si>
  <si>
    <t>PNA2311004</t>
  </si>
  <si>
    <t>Z8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</si>
</sst>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_ * #,##0.00_ ;_ * \-#,##0.00_ ;_ * &quot;-&quot;??_ ;_ @_ "/>
    <numFmt numFmtId="165" formatCode="#,##0.00000"/>
    <numFmt numFmtId="166" formatCode="#,##0.0000"/>
    <numFmt numFmtId="167" formatCode="0.000_ "/>
    <numFmt numFmtId="168" formatCode="0.00;\-0.00;0"/>
    <numFmt numFmtId="169" formatCode="mmm\ dd\,\ yyyy"/>
    <numFmt numFmtId="170" formatCode="#,##0.000000"/>
    <numFmt numFmtId="171" formatCode="#,##0;[Red]#,##0"/>
    <numFmt numFmtId="172" formatCode="_(* #,##0_);_(* \(#,##0\);_(* &quot;-&quot;??_);_(@_)"/>
    <numFmt numFmtId="173" formatCode="#,##0.000"/>
    <numFmt numFmtId="174" formatCode="0.0"/>
    <numFmt numFmtId="175" formatCode="_-* #,##0.00_-;\-* #,##0.00_-;_-* &quot;-&quot;??_-;_-@_-"/>
    <numFmt numFmtId="176" formatCode="0.00_ ;\-0.00\ "/>
    <numFmt numFmtId="177" formatCode="0.0_ ;\-0.0\ "/>
    <numFmt numFmtId="178" formatCode="#,##0_ "/>
    <numFmt numFmtId="179" formatCode="[$-14409]d/m/yyyy;@"/>
    <numFmt numFmtId="180" formatCode="dd\ mmm\ yyyy"/>
    <numFmt numFmtId="181" formatCode="0.00_);[Red]\(0.00\)"/>
    <numFmt numFmtId="182" formatCode="_-* #,##0_-;\-* #,##0_-;_-* &quot;-&quot;??_-;_-@_-"/>
    <numFmt numFmtId="183" formatCode="0.000"/>
    <numFmt numFmtId="184" formatCode="0.00_ "/>
    <numFmt numFmtId="185" formatCode="#,##0.000000_);[Red]\(#,##0.000000\)"/>
    <numFmt numFmtId="186" formatCode="mmm\ d\,\ yyyy"/>
    <numFmt numFmtId="187" formatCode="#,##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3362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3362"/>
      <name val="Montserrat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b/>
      <sz val="8"/>
      <color rgb="FF003362"/>
      <name val="Montserrat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4" fillId="0" borderId="0"/>
    <xf numFmtId="0" fontId="5" fillId="0" borderId="0" applyNumberFormat="0" applyFill="0" applyBorder="0" applyAlignment="0" applyProtection="0"/>
    <xf numFmtId="175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164" fontId="1" fillId="0" borderId="0" applyFont="0" applyFill="0" applyBorder="0" applyAlignment="0" applyProtection="0"/>
    <xf numFmtId="0" fontId="20" fillId="0" borderId="0">
      <alignment vertical="center"/>
    </xf>
    <xf numFmtId="0" fontId="14" fillId="0" borderId="0"/>
  </cellStyleXfs>
  <cellXfs count="249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2" applyFont="1" applyAlignment="1">
      <alignment horizontal="left" vertical="center"/>
    </xf>
    <xf numFmtId="9" fontId="2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168" fontId="0" fillId="0" borderId="0" xfId="0" applyNumberFormat="1"/>
    <xf numFmtId="49" fontId="0" fillId="0" borderId="0" xfId="0" applyNumberFormat="1"/>
    <xf numFmtId="169" fontId="0" fillId="0" borderId="0" xfId="0" applyNumberFormat="1"/>
    <xf numFmtId="170" fontId="3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0" xfId="1" applyFont="1" applyFill="1" applyBorder="1" applyAlignment="1"/>
    <xf numFmtId="0" fontId="9" fillId="0" borderId="0" xfId="0" applyFont="1"/>
    <xf numFmtId="171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9" fontId="2" fillId="0" borderId="0" xfId="0" applyNumberFormat="1" applyFont="1"/>
    <xf numFmtId="172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0" xfId="0" applyFill="1"/>
    <xf numFmtId="0" fontId="2" fillId="0" borderId="0" xfId="0" applyFont="1" applyAlignment="1">
      <alignment horizontal="left" vertical="center" wrapText="1"/>
    </xf>
    <xf numFmtId="173" fontId="3" fillId="0" borderId="0" xfId="0" applyNumberFormat="1" applyFont="1" applyAlignment="1">
      <alignment horizontal="right" vertical="center"/>
    </xf>
    <xf numFmtId="0" fontId="2" fillId="0" borderId="0" xfId="2" applyFont="1" applyAlignment="1">
      <alignment horizontal="left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0" xfId="4" applyFont="1" applyAlignment="1">
      <alignment horizontal="left"/>
    </xf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horizontal="right" vertical="center" wrapText="1"/>
    </xf>
    <xf numFmtId="166" fontId="3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3" fontId="2" fillId="0" borderId="0" xfId="0" applyNumberFormat="1" applyFont="1"/>
    <xf numFmtId="174" fontId="2" fillId="0" borderId="0" xfId="0" applyNumberFormat="1" applyFont="1"/>
    <xf numFmtId="0" fontId="11" fillId="2" borderId="1" xfId="5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167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3" fillId="2" borderId="1" xfId="6" applyFont="1" applyFill="1" applyBorder="1" applyAlignment="1">
      <alignment horizontal="center" vertical="center" wrapText="1"/>
    </xf>
    <xf numFmtId="0" fontId="13" fillId="4" borderId="1" xfId="7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2" borderId="1" xfId="4" applyNumberFormat="1" applyFont="1" applyFill="1" applyBorder="1" applyAlignment="1">
      <alignment horizontal="center" vertical="center"/>
    </xf>
    <xf numFmtId="167" fontId="8" fillId="0" borderId="1" xfId="4" applyNumberFormat="1" applyFont="1" applyBorder="1"/>
    <xf numFmtId="0" fontId="15" fillId="5" borderId="2" xfId="8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/>
    </xf>
    <xf numFmtId="176" fontId="16" fillId="0" borderId="1" xfId="9" applyNumberFormat="1" applyFont="1" applyBorder="1" applyAlignment="1" applyProtection="1">
      <protection locked="0"/>
    </xf>
    <xf numFmtId="177" fontId="16" fillId="0" borderId="1" xfId="9" applyNumberFormat="1" applyFont="1" applyBorder="1" applyAlignment="1" applyProtection="1">
      <protection locked="0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/>
    <xf numFmtId="2" fontId="2" fillId="0" borderId="0" xfId="0" applyNumberFormat="1" applyFont="1"/>
    <xf numFmtId="179" fontId="2" fillId="0" borderId="0" xfId="0" applyNumberFormat="1" applyFont="1"/>
    <xf numFmtId="0" fontId="11" fillId="0" borderId="0" xfId="1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left" vertical="center"/>
    </xf>
    <xf numFmtId="0" fontId="16" fillId="0" borderId="0" xfId="11" applyFont="1"/>
    <xf numFmtId="0" fontId="16" fillId="0" borderId="0" xfId="0" applyFont="1" applyAlignment="1">
      <alignment horizontal="left" vertical="center"/>
    </xf>
    <xf numFmtId="3" fontId="14" fillId="0" borderId="0" xfId="0" applyNumberFormat="1" applyFont="1" applyAlignment="1">
      <alignment horizontal="right" vertical="center"/>
    </xf>
    <xf numFmtId="0" fontId="11" fillId="2" borderId="1" xfId="12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horizontal="center" vertical="center" wrapText="1"/>
    </xf>
    <xf numFmtId="0" fontId="8" fillId="7" borderId="1" xfId="14" applyFont="1" applyFill="1" applyBorder="1" applyAlignment="1">
      <alignment horizontal="left" vertical="center"/>
    </xf>
    <xf numFmtId="180" fontId="8" fillId="7" borderId="1" xfId="0" applyNumberFormat="1" applyFont="1" applyFill="1" applyBorder="1" applyAlignment="1">
      <alignment horizontal="left" vertical="center"/>
    </xf>
    <xf numFmtId="181" fontId="8" fillId="7" borderId="1" xfId="0" applyNumberFormat="1" applyFont="1" applyFill="1" applyBorder="1" applyAlignment="1">
      <alignment horizontal="right" vertical="center"/>
    </xf>
    <xf numFmtId="0" fontId="3" fillId="2" borderId="1" xfId="10" applyFont="1" applyFill="1" applyBorder="1" applyAlignment="1">
      <alignment horizontal="center" vertical="center"/>
    </xf>
    <xf numFmtId="0" fontId="3" fillId="5" borderId="1" xfId="1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quotePrefix="1" applyFont="1" applyAlignment="1">
      <alignment horizontal="left"/>
    </xf>
    <xf numFmtId="182" fontId="2" fillId="0" borderId="0" xfId="9" applyNumberFormat="1" applyFont="1" applyFill="1" applyBorder="1"/>
    <xf numFmtId="1" fontId="2" fillId="0" borderId="0" xfId="0" applyNumberFormat="1" applyFont="1"/>
    <xf numFmtId="0" fontId="11" fillId="9" borderId="2" xfId="13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vertical="center"/>
    </xf>
    <xf numFmtId="0" fontId="14" fillId="7" borderId="1" xfId="13" applyFill="1" applyBorder="1" applyAlignment="1">
      <alignment horizontal="left" vertical="center" wrapText="1"/>
    </xf>
    <xf numFmtId="183" fontId="14" fillId="0" borderId="1" xfId="0" applyNumberFormat="1" applyFont="1" applyBorder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wrapText="1"/>
    </xf>
    <xf numFmtId="3" fontId="19" fillId="0" borderId="0" xfId="0" applyNumberFormat="1" applyFont="1"/>
    <xf numFmtId="182" fontId="19" fillId="0" borderId="0" xfId="9" applyNumberFormat="1" applyFont="1"/>
    <xf numFmtId="0" fontId="3" fillId="0" borderId="0" xfId="13" applyFont="1" applyAlignment="1">
      <alignment horizontal="left" vertical="center" wrapText="1"/>
    </xf>
    <xf numFmtId="1" fontId="2" fillId="0" borderId="0" xfId="0" applyNumberFormat="1" applyFont="1" applyAlignment="1" applyProtection="1">
      <alignment vertical="center" wrapText="1"/>
      <protection locked="0"/>
    </xf>
    <xf numFmtId="1" fontId="2" fillId="0" borderId="0" xfId="15" applyNumberFormat="1" applyFont="1" applyProtection="1">
      <alignment vertical="center"/>
      <protection locked="0"/>
    </xf>
    <xf numFmtId="173" fontId="2" fillId="0" borderId="0" xfId="0" applyNumberFormat="1" applyFont="1"/>
    <xf numFmtId="182" fontId="2" fillId="0" borderId="0" xfId="9" applyNumberFormat="1" applyFont="1" applyFill="1" applyBorder="1" applyAlignment="1">
      <alignment wrapText="1"/>
    </xf>
    <xf numFmtId="3" fontId="2" fillId="0" borderId="0" xfId="0" applyNumberFormat="1" applyFont="1" applyAlignment="1">
      <alignment wrapText="1"/>
    </xf>
    <xf numFmtId="182" fontId="2" fillId="0" borderId="0" xfId="9" applyNumberFormat="1" applyFont="1"/>
    <xf numFmtId="173" fontId="2" fillId="0" borderId="0" xfId="0" applyNumberFormat="1" applyFont="1" applyAlignment="1">
      <alignment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184" fontId="2" fillId="0" borderId="0" xfId="0" applyNumberFormat="1" applyFont="1" applyAlignment="1">
      <alignment horizontal="right" vertical="center"/>
    </xf>
    <xf numFmtId="0" fontId="3" fillId="0" borderId="0" xfId="15" applyFont="1" applyAlignment="1">
      <alignment horizontal="left" vertical="center"/>
    </xf>
    <xf numFmtId="180" fontId="2" fillId="0" borderId="0" xfId="0" applyNumberFormat="1" applyFont="1" applyAlignment="1">
      <alignment horizontal="center" vertical="center"/>
    </xf>
    <xf numFmtId="167" fontId="3" fillId="0" borderId="0" xfId="7" applyNumberFormat="1" applyFont="1" applyAlignment="1" applyProtection="1">
      <alignment horizontal="right" vertical="center"/>
      <protection locked="0"/>
    </xf>
    <xf numFmtId="173" fontId="3" fillId="0" borderId="0" xfId="7" applyNumberFormat="1" applyFont="1" applyAlignment="1" applyProtection="1">
      <alignment horizontal="left" vertical="center"/>
      <protection locked="0"/>
    </xf>
    <xf numFmtId="0" fontId="3" fillId="0" borderId="0" xfId="15" applyFont="1" applyAlignment="1">
      <alignment horizontal="right" vertical="center"/>
    </xf>
    <xf numFmtId="180" fontId="3" fillId="0" borderId="0" xfId="7" applyNumberFormat="1" applyFont="1" applyAlignment="1" applyProtection="1">
      <alignment horizontal="center" vertical="center"/>
      <protection locked="0"/>
    </xf>
    <xf numFmtId="3" fontId="2" fillId="11" borderId="0" xfId="0" applyNumberFormat="1" applyFont="1" applyFill="1"/>
    <xf numFmtId="0" fontId="2" fillId="11" borderId="0" xfId="0" applyFont="1" applyFill="1"/>
    <xf numFmtId="0" fontId="6" fillId="0" borderId="0" xfId="0" applyFont="1" applyAlignment="1">
      <alignment wrapText="1"/>
    </xf>
    <xf numFmtId="0" fontId="2" fillId="12" borderId="0" xfId="0" applyFont="1" applyFill="1"/>
    <xf numFmtId="0" fontId="2" fillId="12" borderId="0" xfId="0" applyFont="1" applyFill="1" applyAlignment="1">
      <alignment horizontal="left" vertical="center"/>
    </xf>
    <xf numFmtId="0" fontId="6" fillId="12" borderId="0" xfId="0" applyFont="1" applyFill="1"/>
    <xf numFmtId="0" fontId="2" fillId="0" borderId="0" xfId="0" applyFont="1" applyAlignment="1">
      <alignment horizontal="left" vertical="top"/>
    </xf>
    <xf numFmtId="0" fontId="3" fillId="0" borderId="0" xfId="7" applyFont="1" applyAlignment="1" applyProtection="1">
      <alignment vertical="center"/>
      <protection locked="0"/>
    </xf>
    <xf numFmtId="173" fontId="21" fillId="7" borderId="1" xfId="7" applyNumberFormat="1" applyFont="1" applyFill="1" applyBorder="1" applyAlignment="1" applyProtection="1">
      <alignment vertical="center"/>
      <protection locked="0"/>
    </xf>
    <xf numFmtId="0" fontId="2" fillId="0" borderId="0" xfId="15" applyFont="1" applyAlignment="1">
      <alignment horizontal="left" vertical="center"/>
    </xf>
    <xf numFmtId="178" fontId="2" fillId="0" borderId="0" xfId="0" applyNumberFormat="1" applyFont="1"/>
    <xf numFmtId="0" fontId="22" fillId="0" borderId="0" xfId="0" applyFont="1" applyAlignment="1">
      <alignment horizontal="center" vertical="center" wrapText="1"/>
    </xf>
    <xf numFmtId="185" fontId="3" fillId="0" borderId="0" xfId="0" applyNumberFormat="1" applyFont="1" applyAlignment="1">
      <alignment horizontal="right" vertical="center"/>
    </xf>
    <xf numFmtId="0" fontId="3" fillId="0" borderId="0" xfId="13" applyFont="1" applyAlignment="1">
      <alignment horizontal="center" vertical="center"/>
    </xf>
    <xf numFmtId="180" fontId="3" fillId="0" borderId="0" xfId="13" applyNumberFormat="1" applyFont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left" vertical="center"/>
    </xf>
    <xf numFmtId="178" fontId="2" fillId="7" borderId="1" xfId="15" applyNumberFormat="1" applyFont="1" applyFill="1" applyBorder="1">
      <alignment vertical="center"/>
    </xf>
    <xf numFmtId="178" fontId="2" fillId="0" borderId="0" xfId="15" applyNumberFormat="1" applyFont="1" applyProtection="1">
      <alignment vertical="center"/>
      <protection locked="0"/>
    </xf>
    <xf numFmtId="0" fontId="8" fillId="8" borderId="1" xfId="10" applyFont="1" applyFill="1" applyBorder="1" applyAlignment="1">
      <alignment horizontal="center" vertical="center" wrapText="1"/>
    </xf>
    <xf numFmtId="2" fontId="14" fillId="0" borderId="1" xfId="9" applyNumberFormat="1" applyFont="1" applyBorder="1" applyAlignment="1">
      <alignment horizontal="right" vertical="center"/>
    </xf>
    <xf numFmtId="182" fontId="14" fillId="0" borderId="1" xfId="9" applyNumberFormat="1" applyFont="1" applyBorder="1" applyAlignment="1">
      <alignment horizontal="right" vertical="center"/>
    </xf>
    <xf numFmtId="1" fontId="14" fillId="0" borderId="1" xfId="9" applyNumberFormat="1" applyFont="1" applyBorder="1" applyAlignment="1">
      <alignment horizontal="right" vertical="center"/>
    </xf>
    <xf numFmtId="173" fontId="14" fillId="0" borderId="1" xfId="0" applyNumberFormat="1" applyFont="1" applyBorder="1" applyAlignment="1">
      <alignment horizontal="right" vertical="center"/>
    </xf>
    <xf numFmtId="167" fontId="8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center"/>
    </xf>
    <xf numFmtId="0" fontId="11" fillId="2" borderId="1" xfId="1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1" fillId="15" borderId="1" xfId="1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left" vertical="center"/>
    </xf>
    <xf numFmtId="0" fontId="14" fillId="7" borderId="1" xfId="7" applyFill="1" applyBorder="1" applyAlignment="1" applyProtection="1">
      <alignment vertical="center"/>
      <protection locked="0"/>
    </xf>
    <xf numFmtId="0" fontId="16" fillId="0" borderId="1" xfId="0" applyFont="1" applyBorder="1" applyAlignment="1">
      <alignment horizontal="left" vertical="center"/>
    </xf>
    <xf numFmtId="0" fontId="8" fillId="14" borderId="2" xfId="0" applyFont="1" applyFill="1" applyBorder="1" applyAlignment="1">
      <alignment horizontal="center" vertical="center" wrapText="1"/>
    </xf>
    <xf numFmtId="178" fontId="8" fillId="14" borderId="2" xfId="0" applyNumberFormat="1" applyFont="1" applyFill="1" applyBorder="1" applyAlignment="1">
      <alignment horizontal="center" vertical="center" wrapText="1"/>
    </xf>
    <xf numFmtId="49" fontId="8" fillId="16" borderId="1" xfId="17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8" fillId="17" borderId="1" xfId="17" applyFont="1" applyFill="1" applyBorder="1" applyAlignment="1">
      <alignment horizontal="center" vertical="center" wrapText="1"/>
    </xf>
    <xf numFmtId="0" fontId="14" fillId="18" borderId="1" xfId="18" applyFont="1" applyFill="1" applyBorder="1" applyAlignment="1">
      <alignment horizontal="center" vertical="center" wrapText="1"/>
    </xf>
    <xf numFmtId="0" fontId="8" fillId="9" borderId="1" xfId="17" applyFont="1" applyFill="1" applyBorder="1" applyAlignment="1">
      <alignment horizontal="center" vertical="center" wrapText="1"/>
    </xf>
    <xf numFmtId="49" fontId="16" fillId="0" borderId="1" xfId="17" applyNumberFormat="1" applyFont="1" applyBorder="1" applyAlignment="1">
      <alignment horizontal="left" vertical="top"/>
    </xf>
    <xf numFmtId="0" fontId="8" fillId="13" borderId="1" xfId="17" applyFont="1" applyFill="1" applyBorder="1" applyAlignment="1">
      <alignment horizontal="left" vertical="top"/>
    </xf>
    <xf numFmtId="49" fontId="14" fillId="7" borderId="1" xfId="17" applyNumberFormat="1" applyFont="1" applyFill="1" applyBorder="1" applyAlignment="1">
      <alignment horizontal="left" vertical="top" wrapText="1"/>
    </xf>
    <xf numFmtId="49" fontId="8" fillId="13" borderId="1" xfId="17" applyNumberFormat="1" applyFont="1" applyFill="1" applyBorder="1" applyAlignment="1">
      <alignment horizontal="left" vertical="top"/>
    </xf>
    <xf numFmtId="180" fontId="8" fillId="13" borderId="1" xfId="17" applyNumberFormat="1" applyFont="1" applyFill="1" applyBorder="1" applyAlignment="1">
      <alignment horizontal="center" vertical="top"/>
    </xf>
    <xf numFmtId="2" fontId="14" fillId="0" borderId="1" xfId="0" applyNumberFormat="1" applyFont="1" applyBorder="1" applyAlignment="1">
      <alignment horizontal="right" vertical="center"/>
    </xf>
    <xf numFmtId="165" fontId="14" fillId="0" borderId="1" xfId="0" applyNumberFormat="1" applyFont="1" applyBorder="1" applyAlignment="1">
      <alignment horizontal="right" vertical="center"/>
    </xf>
    <xf numFmtId="49" fontId="8" fillId="13" borderId="1" xfId="17" applyNumberFormat="1" applyFont="1" applyFill="1" applyBorder="1" applyAlignment="1">
      <alignment horizontal="center" vertical="top"/>
    </xf>
    <xf numFmtId="178" fontId="8" fillId="13" borderId="1" xfId="17" applyNumberFormat="1" applyFont="1" applyFill="1" applyBorder="1" applyAlignment="1">
      <alignment horizontal="right" vertical="top"/>
    </xf>
    <xf numFmtId="182" fontId="0" fillId="0" borderId="0" xfId="9" applyNumberFormat="1" applyFont="1"/>
    <xf numFmtId="0" fontId="0" fillId="0" borderId="2" xfId="0" applyBorder="1"/>
    <xf numFmtId="0" fontId="14" fillId="0" borderId="0" xfId="13" applyAlignment="1">
      <alignment horizontal="left" vertical="center" wrapText="1"/>
    </xf>
    <xf numFmtId="2" fontId="16" fillId="0" borderId="0" xfId="16" applyNumberFormat="1" applyFont="1" applyProtection="1">
      <alignment vertical="center"/>
      <protection locked="0"/>
    </xf>
    <xf numFmtId="2" fontId="0" fillId="0" borderId="0" xfId="0" applyNumberFormat="1"/>
    <xf numFmtId="180" fontId="11" fillId="0" borderId="1" xfId="13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19" fillId="0" borderId="0" xfId="0" applyFont="1" applyAlignment="1">
      <alignment vertical="top" wrapText="1"/>
    </xf>
    <xf numFmtId="0" fontId="19" fillId="1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9" fillId="19" borderId="0" xfId="0" applyFont="1" applyFill="1" applyAlignment="1">
      <alignment vertical="top" wrapText="1"/>
    </xf>
    <xf numFmtId="0" fontId="19" fillId="20" borderId="0" xfId="0" applyFont="1" applyFill="1" applyAlignment="1">
      <alignment vertical="top" wrapText="1"/>
    </xf>
    <xf numFmtId="0" fontId="19" fillId="0" borderId="0" xfId="0" applyFont="1" applyAlignment="1">
      <alignment vertical="top"/>
    </xf>
    <xf numFmtId="0" fontId="19" fillId="20" borderId="0" xfId="0" applyFont="1" applyFill="1" applyAlignment="1">
      <alignment vertical="top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186" fontId="0" fillId="0" borderId="0" xfId="0" applyNumberFormat="1"/>
    <xf numFmtId="2" fontId="16" fillId="7" borderId="1" xfId="16" applyNumberFormat="1" applyFont="1" applyFill="1" applyBorder="1" applyProtection="1">
      <alignment vertical="center"/>
      <protection locked="0"/>
    </xf>
    <xf numFmtId="0" fontId="16" fillId="0" borderId="1" xfId="0" applyFont="1" applyBorder="1"/>
    <xf numFmtId="186" fontId="2" fillId="0" borderId="0" xfId="0" applyNumberFormat="1" applyFont="1"/>
    <xf numFmtId="1" fontId="2" fillId="0" borderId="0" xfId="19" applyNumberFormat="1" applyFont="1"/>
    <xf numFmtId="2" fontId="6" fillId="0" borderId="0" xfId="9" applyNumberFormat="1" applyFont="1" applyFill="1" applyBorder="1" applyAlignment="1">
      <alignment vertical="center"/>
    </xf>
    <xf numFmtId="2" fontId="2" fillId="0" borderId="0" xfId="9" applyNumberFormat="1" applyFont="1" applyFill="1" applyBorder="1"/>
    <xf numFmtId="2" fontId="2" fillId="0" borderId="0" xfId="9" applyNumberFormat="1" applyFont="1" applyFill="1" applyBorder="1" applyAlignment="1" applyProtection="1">
      <alignment vertical="center"/>
      <protection locked="0"/>
    </xf>
    <xf numFmtId="0" fontId="8" fillId="13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3" fillId="0" borderId="4" xfId="0" applyFont="1" applyBorder="1" applyAlignment="1">
      <alignment horizontal="center" vertical="center"/>
    </xf>
    <xf numFmtId="0" fontId="0" fillId="11" borderId="0" xfId="0" applyFill="1"/>
    <xf numFmtId="169" fontId="23" fillId="21" borderId="5" xfId="0" applyNumberFormat="1" applyFont="1" applyFill="1" applyBorder="1" applyAlignment="1">
      <alignment horizontal="center" vertical="center"/>
    </xf>
    <xf numFmtId="0" fontId="8" fillId="0" borderId="1" xfId="10" applyFont="1" applyBorder="1" applyAlignment="1">
      <alignment horizontal="center" vertical="center" wrapText="1"/>
    </xf>
    <xf numFmtId="0" fontId="0" fillId="22" borderId="0" xfId="0" applyFill="1"/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6" fillId="11" borderId="7" xfId="0" applyFont="1" applyFill="1" applyBorder="1" applyAlignment="1">
      <alignment horizontal="center" vertical="center"/>
    </xf>
    <xf numFmtId="186" fontId="26" fillId="0" borderId="8" xfId="0" applyNumberFormat="1" applyFont="1" applyBorder="1" applyAlignment="1">
      <alignment horizontal="center" vertical="center"/>
    </xf>
    <xf numFmtId="186" fontId="23" fillId="0" borderId="10" xfId="0" applyNumberFormat="1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18" borderId="0" xfId="0" applyFill="1"/>
    <xf numFmtId="49" fontId="8" fillId="7" borderId="1" xfId="0" applyNumberFormat="1" applyFont="1" applyFill="1" applyBorder="1" applyAlignment="1">
      <alignment horizontal="left" vertical="center" wrapText="1"/>
    </xf>
    <xf numFmtId="0" fontId="2" fillId="18" borderId="0" xfId="0" applyFont="1" applyFill="1"/>
    <xf numFmtId="165" fontId="27" fillId="0" borderId="1" xfId="0" applyNumberFormat="1" applyFont="1" applyBorder="1" applyAlignment="1">
      <alignment horizontal="right" vertical="center"/>
    </xf>
    <xf numFmtId="172" fontId="2" fillId="0" borderId="0" xfId="19" applyNumberFormat="1" applyFont="1"/>
    <xf numFmtId="3" fontId="28" fillId="0" borderId="1" xfId="0" applyNumberFormat="1" applyFont="1" applyBorder="1" applyAlignment="1">
      <alignment horizontal="right" vertical="center"/>
    </xf>
    <xf numFmtId="4" fontId="28" fillId="0" borderId="1" xfId="0" applyNumberFormat="1" applyFont="1" applyBorder="1" applyAlignment="1">
      <alignment horizontal="right" vertical="center"/>
    </xf>
    <xf numFmtId="3" fontId="29" fillId="23" borderId="1" xfId="0" applyNumberFormat="1" applyFont="1" applyFill="1" applyBorder="1" applyAlignment="1">
      <alignment horizontal="right" vertical="center"/>
    </xf>
    <xf numFmtId="0" fontId="28" fillId="0" borderId="1" xfId="0" applyFont="1" applyBorder="1" applyAlignment="1">
      <alignment horizontal="right" vertical="center"/>
    </xf>
    <xf numFmtId="187" fontId="28" fillId="0" borderId="1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horizontal="center" vertical="center"/>
    </xf>
    <xf numFmtId="0" fontId="2" fillId="24" borderId="0" xfId="0" applyFont="1" applyFill="1"/>
    <xf numFmtId="0" fontId="2" fillId="24" borderId="0" xfId="0" applyFont="1" applyFill="1" applyAlignment="1">
      <alignment wrapText="1"/>
    </xf>
    <xf numFmtId="0" fontId="16" fillId="7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4" borderId="0" xfId="15" applyFont="1" applyFill="1" applyAlignment="1">
      <alignment horizontal="left" vertical="center"/>
    </xf>
    <xf numFmtId="0" fontId="0" fillId="24" borderId="0" xfId="0" applyFill="1"/>
    <xf numFmtId="1" fontId="2" fillId="0" borderId="0" xfId="9" applyNumberFormat="1" applyFont="1"/>
    <xf numFmtId="0" fontId="6" fillId="24" borderId="0" xfId="0" applyFont="1" applyFill="1" applyAlignment="1">
      <alignment horizontal="left" vertical="top"/>
    </xf>
    <xf numFmtId="0" fontId="30" fillId="0" borderId="0" xfId="0" applyFont="1"/>
    <xf numFmtId="0" fontId="3" fillId="0" borderId="0" xfId="0" applyFont="1"/>
    <xf numFmtId="186" fontId="30" fillId="0" borderId="0" xfId="0" applyNumberFormat="1" applyFont="1"/>
    <xf numFmtId="180" fontId="3" fillId="0" borderId="0" xfId="21" applyNumberFormat="1" applyFont="1" applyAlignment="1" applyProtection="1">
      <alignment horizontal="center" vertical="center"/>
      <protection locked="0"/>
    </xf>
    <xf numFmtId="167" fontId="3" fillId="0" borderId="0" xfId="21" applyNumberFormat="1" applyFont="1" applyAlignment="1" applyProtection="1">
      <alignment horizontal="right" vertical="center"/>
      <protection locked="0"/>
    </xf>
    <xf numFmtId="173" fontId="3" fillId="0" borderId="0" xfId="21" applyNumberFormat="1" applyFont="1" applyAlignment="1" applyProtection="1">
      <alignment horizontal="left" vertical="center"/>
      <protection locked="0"/>
    </xf>
    <xf numFmtId="0" fontId="30" fillId="22" borderId="0" xfId="0" applyFont="1" applyFill="1"/>
    <xf numFmtId="0" fontId="30" fillId="11" borderId="0" xfId="0" applyFont="1" applyFill="1"/>
    <xf numFmtId="0" fontId="0" fillId="25" borderId="0" xfId="0" applyFill="1"/>
    <xf numFmtId="0" fontId="0" fillId="15" borderId="0" xfId="0" applyFill="1"/>
    <xf numFmtId="184" fontId="16" fillId="7" borderId="1" xfId="0" applyNumberFormat="1" applyFont="1" applyFill="1" applyBorder="1" applyAlignment="1">
      <alignment horizontal="right" vertical="center"/>
    </xf>
    <xf numFmtId="0" fontId="3" fillId="0" borderId="0" xfId="21" applyFont="1" applyAlignment="1" applyProtection="1">
      <alignment vertical="center"/>
      <protection locked="0"/>
    </xf>
    <xf numFmtId="187" fontId="28" fillId="0" borderId="11" xfId="0" applyNumberFormat="1" applyFont="1" applyBorder="1" applyAlignment="1">
      <alignment horizontal="right" vertical="center"/>
    </xf>
    <xf numFmtId="2" fontId="21" fillId="24" borderId="1" xfId="16" applyNumberFormat="1" applyFont="1" applyFill="1" applyBorder="1" applyProtection="1">
      <alignment vertical="center"/>
      <protection locked="0"/>
    </xf>
    <xf numFmtId="0" fontId="30" fillId="24" borderId="0" xfId="0" applyFont="1" applyFill="1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0" fontId="0" fillId="26" borderId="0" xfId="0" applyFill="1"/>
    <xf numFmtId="0" fontId="31" fillId="0" borderId="0" xfId="0" applyFont="1"/>
  </cellXfs>
  <cellStyles count="22">
    <cellStyle name="Comma" xfId="19" builtinId="3"/>
    <cellStyle name="Comma 2" xfId="3" xr:uid="{701B2C29-6C4E-4CC0-BAEC-EE294CB34E6B}"/>
    <cellStyle name="Comma 3" xfId="9" xr:uid="{F9D9655D-6783-47D1-B942-6BAFC0D211D6}"/>
    <cellStyle name="Followed Hyperlink 2" xfId="8" xr:uid="{5BEBBB4B-9460-4286-AE03-94A19FA00B50}"/>
    <cellStyle name="Hyperlink 2" xfId="1" xr:uid="{2344233C-A36D-4F72-80DA-00EB3326C429}"/>
    <cellStyle name="Normal" xfId="0" builtinId="0"/>
    <cellStyle name="Normal 2" xfId="20" xr:uid="{2062B331-2663-4552-9373-BF9087B809ED}"/>
    <cellStyle name="Normal 2 2" xfId="21" xr:uid="{0A94D2C2-B8BA-40B3-AC29-C503C13BDF35}"/>
    <cellStyle name="Normal 2 2 2 2" xfId="7" xr:uid="{058F9C51-E803-466A-A360-6FAAA709404B}"/>
    <cellStyle name="Normal 2 4" xfId="5" xr:uid="{5FAC0E95-0CE8-4CA5-9441-C592219AC9B9}"/>
    <cellStyle name="Normal 3" xfId="2" xr:uid="{7F1EE38C-34C3-4684-B06E-81D7F37E0909}"/>
    <cellStyle name="Normal 3 2" xfId="4" xr:uid="{B371C950-66A8-4F03-AA2B-4D050DE63612}"/>
    <cellStyle name="Normal 4" xfId="10" xr:uid="{71939F84-2BE3-4703-A7FA-31927A30BEFD}"/>
    <cellStyle name="Normal 6 2 2" xfId="13" xr:uid="{FE3C6ED5-116B-42E1-8509-BABBB6756E09}"/>
    <cellStyle name="Normal 6 2 3 2" xfId="12" xr:uid="{481EFE48-D059-4DF9-A25E-2CDB6A1A1E60}"/>
    <cellStyle name="Normal 6 4" xfId="14" xr:uid="{489550A1-8ADB-4394-A26E-6135C4BDF319}"/>
    <cellStyle name="Normal 7" xfId="11" xr:uid="{052BBCBA-93FE-4F77-BA05-B494FC6B2AC8}"/>
    <cellStyle name="常规 2" xfId="15" xr:uid="{B7C10058-E81B-4DF1-B96A-93C334938447}"/>
    <cellStyle name="常规 2 3" xfId="6" xr:uid="{8ADCC2CE-1AB3-4067-AA64-294D7FF8733D}"/>
    <cellStyle name="常规 2 6" xfId="16" xr:uid="{E03AA67E-C3DE-4B99-A85F-019A656C66AD}"/>
    <cellStyle name="常规 3" xfId="17" xr:uid="{AAABE09C-F2B9-4DEB-9BA2-C66271CFB601}"/>
    <cellStyle name="標準 2 4 2" xfId="18" xr:uid="{26A18DD4-92BD-4D5A-86B4-890595297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theme" Target="theme/theme1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styles" Target="style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sharedStrings" Target="sharedString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calcChain" Target="calcChain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6EDA-40F5-48B1-BF15-1AC7813BFBB3}">
  <dimension ref="A1:E2"/>
  <sheetViews>
    <sheetView tabSelected="1" workbookViewId="0">
      <selection activeCell="C8" sqref="C8"/>
    </sheetView>
  </sheetViews>
  <sheetFormatPr defaultRowHeight="14.4"/>
  <sheetData>
    <row r="1" spans="1:5">
      <c r="A1" s="195" t="s">
        <v>0</v>
      </c>
      <c r="B1" s="195" t="s">
        <v>1</v>
      </c>
      <c r="C1" s="195" t="s">
        <v>2</v>
      </c>
      <c r="D1" s="195" t="s">
        <v>3</v>
      </c>
      <c r="E1" s="195" t="s">
        <v>700</v>
      </c>
    </row>
    <row r="2" spans="1:5">
      <c r="A2" s="96">
        <v>19</v>
      </c>
      <c r="B2" s="1" t="s">
        <v>876</v>
      </c>
      <c r="C2" s="1" t="str">
        <f>B2&amp;"s1"</f>
        <v>Z8s1</v>
      </c>
      <c r="D2" s="1" t="str">
        <f>B2&amp;"s2"</f>
        <v>Z8s2</v>
      </c>
      <c r="E2" s="1" t="str">
        <f>A2&amp;"s2"</f>
        <v>19s2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80F-430F-4F79-A849-6F7A41E00911}">
  <dimension ref="A1:Q2"/>
  <sheetViews>
    <sheetView topLeftCell="H1" zoomScale="90" zoomScaleNormal="90" workbookViewId="0">
      <selection activeCell="Q2" sqref="Q2"/>
    </sheetView>
  </sheetViews>
  <sheetFormatPr defaultColWidth="8.88671875" defaultRowHeight="13.8"/>
  <cols>
    <col min="1" max="1" width="5.77734375" style="1" customWidth="1" collapsed="1"/>
    <col min="2" max="11" width="20.77734375" style="1" customWidth="1" collapsed="1"/>
    <col min="12" max="12" width="32.109375" style="1" customWidth="1" collapsed="1"/>
    <col min="13" max="17" width="20.77734375" style="1" customWidth="1" collapsed="1"/>
    <col min="18" max="16384" width="8.88671875" style="1" collapsed="1"/>
  </cols>
  <sheetData>
    <row r="1" spans="1:17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" t="s">
        <v>162</v>
      </c>
      <c r="P1" s="1" t="s">
        <v>163</v>
      </c>
      <c r="Q1" s="123" t="s">
        <v>164</v>
      </c>
    </row>
    <row r="2" spans="1:17" ht="14.4">
      <c r="A2" s="1">
        <v>1</v>
      </c>
      <c r="B2" s="1" t="s">
        <v>165</v>
      </c>
      <c r="C2" s="1" t="s">
        <v>166</v>
      </c>
      <c r="D2" s="1">
        <v>1</v>
      </c>
      <c r="E2" s="1">
        <v>2</v>
      </c>
      <c r="F2" s="1" t="str">
        <f>AutoIncrement!B2&amp;"-"&amp;AutoIncrement!A2</f>
        <v>Z8-19</v>
      </c>
      <c r="G2" s="1" t="str">
        <f>"CD-"&amp;F2</f>
        <v>CD-Z8-19</v>
      </c>
      <c r="H2" s="1" t="str">
        <f>'TC003'!C2&amp;"("&amp;'TC003'!D2&amp;")"</f>
        <v>FN 60 DAYS-Z8(60 DAYS BY INV DATE)</v>
      </c>
      <c r="I2" s="1" t="s">
        <v>144</v>
      </c>
      <c r="J2" s="1" t="s">
        <v>167</v>
      </c>
      <c r="K2" s="1" t="s">
        <v>98</v>
      </c>
      <c r="L2" s="1" t="str">
        <f>'TC004'!A2&amp;"("&amp;'TC004'!A2&amp;")"</f>
        <v>PNDC-PNCUS-Z8(PNDC-PNCUS-Z8)</v>
      </c>
      <c r="M2" s="1" t="str">
        <f>"RD-"&amp;F2</f>
        <v>RD-Z8-19</v>
      </c>
      <c r="N2" s="1" t="s">
        <v>148</v>
      </c>
      <c r="O2" s="1" t="str">
        <f>"S1D-"&amp;F2</f>
        <v>S1D-Z8-19</v>
      </c>
      <c r="P2" s="1" t="str">
        <f>"S2D-"&amp;F2</f>
        <v>S2D-Z8-19</v>
      </c>
      <c r="Q2" t="s">
        <v>801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41EC-0080-4CE5-9706-E844DAD86375}">
  <dimension ref="A1:A2"/>
  <sheetViews>
    <sheetView workbookViewId="0">
      <selection activeCell="A2" sqref="A2"/>
    </sheetView>
  </sheetViews>
  <sheetFormatPr defaultRowHeight="14.4"/>
  <cols>
    <col min="1" max="1" width="15.77734375" customWidth="1" collapsed="1"/>
  </cols>
  <sheetData>
    <row r="1" spans="1:1">
      <c r="A1" s="197" t="s">
        <v>508</v>
      </c>
    </row>
    <row r="2" spans="1:1">
      <c r="A2" t="s">
        <v>823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D07D-9E3B-4ACE-96D8-CB7CC64AD855}">
  <dimension ref="A1:J2"/>
  <sheetViews>
    <sheetView workbookViewId="0">
      <selection activeCell="C2" sqref="C2"/>
    </sheetView>
  </sheetViews>
  <sheetFormatPr defaultRowHeight="14.4"/>
  <cols>
    <col min="1" max="1" width="17.109375" customWidth="1" collapsed="1"/>
    <col min="3" max="3" width="17.33203125" customWidth="1" collapsed="1"/>
    <col min="4" max="4" width="28.109375" customWidth="1" collapsed="1"/>
    <col min="5" max="5" width="19.21875" customWidth="1" collapsed="1"/>
    <col min="6" max="6" width="14.33203125" customWidth="1" collapsed="1"/>
    <col min="10" max="10" width="8.88671875" customWidth="1" collapsed="1"/>
  </cols>
  <sheetData>
    <row r="1" spans="1:10" ht="39.6">
      <c r="A1" s="154" t="s">
        <v>33</v>
      </c>
      <c r="B1" s="155" t="s">
        <v>621</v>
      </c>
      <c r="C1" s="158" t="s">
        <v>436</v>
      </c>
      <c r="D1" s="158" t="s">
        <v>626</v>
      </c>
      <c r="E1" s="159" t="s">
        <v>403</v>
      </c>
      <c r="F1" s="158" t="s">
        <v>629</v>
      </c>
      <c r="G1" s="158" t="s">
        <v>137</v>
      </c>
      <c r="H1" s="160" t="s">
        <v>630</v>
      </c>
      <c r="I1" s="160" t="s">
        <v>631</v>
      </c>
      <c r="J1" s="160" t="s">
        <v>636</v>
      </c>
    </row>
    <row r="2" spans="1:10" ht="17.399999999999999" customHeight="1">
      <c r="A2" s="161" t="s">
        <v>10</v>
      </c>
      <c r="B2" s="161"/>
      <c r="C2" t="str">
        <f>'TC079-AutoGen'!A2</f>
        <v>sZ5s125-2310003</v>
      </c>
      <c r="D2" s="162" t="str">
        <f>'TC078-BU AutoGen PO'!Q2</f>
        <v>pZ5s125-2310001</v>
      </c>
      <c r="E2" s="146">
        <v>44000</v>
      </c>
      <c r="F2" s="212">
        <v>15</v>
      </c>
      <c r="G2" s="168" t="s">
        <v>144</v>
      </c>
      <c r="H2" s="146">
        <v>22000</v>
      </c>
      <c r="I2" s="146">
        <v>22000</v>
      </c>
      <c r="J2" s="169">
        <v>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C9CD-0D66-4391-AAB0-BA7B79EB7013}">
  <dimension ref="A1:A2"/>
  <sheetViews>
    <sheetView workbookViewId="0">
      <selection activeCell="A2" sqref="A2"/>
    </sheetView>
  </sheetViews>
  <sheetFormatPr defaultRowHeight="14.4"/>
  <cols>
    <col min="1" max="1" width="23.21875" customWidth="1" collapsed="1"/>
  </cols>
  <sheetData>
    <row r="1" spans="1:1" ht="17.399999999999999" customHeight="1">
      <c r="A1" s="158" t="s">
        <v>626</v>
      </c>
    </row>
    <row r="2" spans="1:1">
      <c r="A2" t="s">
        <v>822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4326-B496-4B14-8EB7-CFEF95E0F9B6}">
  <dimension ref="A1:P2"/>
  <sheetViews>
    <sheetView zoomScale="90" zoomScaleNormal="90" workbookViewId="0">
      <selection activeCell="B2" sqref="B2"/>
    </sheetView>
  </sheetViews>
  <sheetFormatPr defaultColWidth="8.88671875" defaultRowHeight="13.8"/>
  <cols>
    <col min="1" max="16" width="20.77734375" style="1" customWidth="1" collapsed="1"/>
    <col min="17" max="16384" width="8.88671875" style="1" collapsed="1"/>
  </cols>
  <sheetData>
    <row r="1" spans="1:16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</row>
    <row r="2" spans="1:16">
      <c r="A2" s="1" t="str">
        <f>AutoIncrement!B2&amp;"pna1219AS1"</f>
        <v>Z8pna1219AS1</v>
      </c>
      <c r="B2" s="46" t="str">
        <f>AutoIncrement!B2&amp;"pna-1219AS-1"</f>
        <v>Z8pna-1219AS-1</v>
      </c>
      <c r="E2" s="1" t="s">
        <v>145</v>
      </c>
      <c r="F2" s="1" t="s">
        <v>145</v>
      </c>
      <c r="G2" s="50">
        <v>44000</v>
      </c>
      <c r="H2" s="50">
        <v>44000</v>
      </c>
      <c r="I2" s="50">
        <v>44000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44000</v>
      </c>
      <c r="O2" s="50" t="s">
        <v>429</v>
      </c>
      <c r="P2" s="50">
        <v>44000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4FC-DCC8-460B-9A0C-B29A919A5033}">
  <dimension ref="A1:D2"/>
  <sheetViews>
    <sheetView workbookViewId="0">
      <selection activeCell="A2" sqref="A2"/>
    </sheetView>
  </sheetViews>
  <sheetFormatPr defaultRowHeight="14.4"/>
  <cols>
    <col min="1" max="1" width="31.21875" customWidth="1" collapsed="1"/>
    <col min="2" max="2" width="11.33203125" bestFit="1" customWidth="1" collapsed="1"/>
  </cols>
  <sheetData>
    <row r="1" spans="1:4">
      <c r="A1" t="s">
        <v>195</v>
      </c>
      <c r="B1" t="s">
        <v>105</v>
      </c>
      <c r="C1" t="s">
        <v>408</v>
      </c>
      <c r="D1" t="s">
        <v>137</v>
      </c>
    </row>
    <row r="2" spans="1:4">
      <c r="A2" s="24" t="str">
        <f>'TC081-BU Check PO'!A2</f>
        <v>Z8pna1219AS1</v>
      </c>
      <c r="B2" s="170">
        <v>44000</v>
      </c>
      <c r="C2">
        <v>20.001000000000001</v>
      </c>
      <c r="D2" t="s">
        <v>442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D4A-F2D5-4E20-88A4-0D9F5FB10B78}">
  <dimension ref="A1:H4"/>
  <sheetViews>
    <sheetView workbookViewId="0">
      <selection activeCell="A2" sqref="A2"/>
    </sheetView>
  </sheetViews>
  <sheetFormatPr defaultRowHeight="14.4"/>
  <cols>
    <col min="1" max="1" width="23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637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'TC050-Sup1 SO List'!A2</f>
        <v>sZ5s125-2310001</v>
      </c>
      <c r="B2" s="172" t="str">
        <f>'TC051'!F2</f>
        <v>Z8ATEST202306050000000000001</v>
      </c>
      <c r="C2" s="173">
        <v>140085460</v>
      </c>
      <c r="D2" s="174"/>
      <c r="E2" s="173">
        <v>140085460</v>
      </c>
      <c r="F2" s="174"/>
      <c r="G2" s="174"/>
      <c r="H2" s="174"/>
    </row>
    <row r="3" spans="1:8">
      <c r="B3" s="172" t="str">
        <f>'TC051'!F3</f>
        <v>Z8ATEST202306050000000000002</v>
      </c>
      <c r="C3" s="173">
        <v>140085460</v>
      </c>
      <c r="D3" s="174"/>
      <c r="E3" s="173">
        <v>140085460</v>
      </c>
      <c r="F3" s="174"/>
      <c r="G3" s="174"/>
      <c r="H3" s="174"/>
    </row>
    <row r="4" spans="1:8">
      <c r="B4" s="172" t="str">
        <f>'TC051'!F4</f>
        <v>Z8pna1219AS1</v>
      </c>
      <c r="C4" s="173">
        <v>88000</v>
      </c>
      <c r="D4" s="173">
        <v>22000</v>
      </c>
      <c r="E4" s="173">
        <v>22000</v>
      </c>
      <c r="F4" s="173">
        <v>44000</v>
      </c>
      <c r="G4" s="174"/>
      <c r="H4" s="174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5412-400F-482F-8DF1-78044DA745D0}">
  <dimension ref="A1:A4"/>
  <sheetViews>
    <sheetView workbookViewId="0">
      <selection activeCell="C2" sqref="C2"/>
    </sheetView>
  </sheetViews>
  <sheetFormatPr defaultRowHeight="14.4"/>
  <cols>
    <col min="1" max="1" width="18.77734375" customWidth="1" collapsed="1"/>
  </cols>
  <sheetData>
    <row r="1" spans="1:1">
      <c r="A1" t="s">
        <v>583</v>
      </c>
    </row>
    <row r="2" spans="1:1">
      <c r="A2" s="175">
        <f ca="1">TODAY()+1</f>
        <v>45248</v>
      </c>
    </row>
    <row r="3" spans="1:1">
      <c r="A3" s="175">
        <f ca="1">TODAY()+7</f>
        <v>45254</v>
      </c>
    </row>
    <row r="4" spans="1:1">
      <c r="A4" s="175">
        <f ca="1">TODAY()+14</f>
        <v>45261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94D9-4E91-403E-B489-E91C6978D2C2}">
  <dimension ref="A1:B2"/>
  <sheetViews>
    <sheetView workbookViewId="0">
      <selection activeCell="A2" sqref="A2"/>
    </sheetView>
  </sheetViews>
  <sheetFormatPr defaultRowHeight="14.4"/>
  <cols>
    <col min="1" max="1" width="20.77734375" customWidth="1" collapsed="1"/>
    <col min="2" max="2" width="17.77734375" customWidth="1" collapsed="1"/>
  </cols>
  <sheetData>
    <row r="1" spans="1:2">
      <c r="A1" s="209" t="s">
        <v>125</v>
      </c>
      <c r="B1" t="s">
        <v>714</v>
      </c>
    </row>
    <row r="2" spans="1:2">
      <c r="A2" t="s">
        <v>824</v>
      </c>
      <c r="B2" t="str">
        <f>'TC007-Received Req Info'!Q2</f>
        <v>CR-MY-PNA-CUS-2310033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7A3-696C-4832-8C2A-3E332AC6F807}">
  <dimension ref="A1:Q4"/>
  <sheetViews>
    <sheetView topLeftCell="G1" zoomScale="90" zoomScaleNormal="90" workbookViewId="0">
      <selection activeCell="N1" sqref="N1:Q1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8" width="18.6640625" style="1" customWidth="1" collapsed="1"/>
    <col min="19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220" t="s">
        <v>452</v>
      </c>
      <c r="O1" s="220" t="s">
        <v>454</v>
      </c>
      <c r="P1" s="220" t="s">
        <v>455</v>
      </c>
      <c r="Q1" s="220" t="s">
        <v>456</v>
      </c>
    </row>
    <row r="2" spans="1:17" ht="13.95" customHeight="1">
      <c r="A2" s="8" t="str">
        <f>AutoIncrement!B2&amp;"ATEST202306050000000000001"</f>
        <v>Z8ATEST202306050000000000001</v>
      </c>
      <c r="B2" s="10" t="str">
        <f>AutoIncrement!B2&amp;"SUP-PNATEST,20230605000000000000-1"</f>
        <v>Z8SUP-PNATEST,20230605000000000000-1</v>
      </c>
      <c r="C2" s="46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N2" s="95">
        <v>140085460</v>
      </c>
      <c r="O2" s="95"/>
      <c r="P2" s="95">
        <v>140085460</v>
      </c>
    </row>
    <row r="3" spans="1:17" ht="13.95" customHeight="1">
      <c r="A3" s="40" t="str">
        <f>AutoIncrement!B2&amp;"ATEST202306050000000000002"</f>
        <v>Z8ATEST202306050000000000002</v>
      </c>
      <c r="B3" s="10" t="str">
        <f>AutoIncrement!B2&amp;"SUP-PNATEST,20230605000000000000-2"</f>
        <v>Z8SUP-PNATEST,20230605000000000000-2</v>
      </c>
      <c r="C3" s="46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N3" s="95">
        <v>140085460</v>
      </c>
      <c r="O3" s="95"/>
      <c r="P3" s="95">
        <v>140085460</v>
      </c>
    </row>
    <row r="4" spans="1:17" ht="13.95" customHeight="1">
      <c r="A4" s="1" t="str">
        <f>AutoIncrement!B2&amp;"pna1219AS1"</f>
        <v>Z8pna1219AS1</v>
      </c>
      <c r="B4" s="1" t="str">
        <f>AutoIncrement!B2&amp;"pna-1219AS-1"</f>
        <v>Z8pna-1219AS-1</v>
      </c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N4" s="213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FB8-89EA-49F3-9888-E60D3E300735}">
  <dimension ref="A1:V4"/>
  <sheetViews>
    <sheetView topLeftCell="P1" zoomScale="145" zoomScaleNormal="145" workbookViewId="0">
      <selection activeCell="V2" sqref="V2:V3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452</v>
      </c>
      <c r="T1" s="220" t="s">
        <v>454</v>
      </c>
      <c r="U1" s="220" t="s">
        <v>455</v>
      </c>
      <c r="V1" s="220" t="s">
        <v>456</v>
      </c>
    </row>
    <row r="2" spans="1:22">
      <c r="A2" s="8" t="str">
        <f>AutoIncrement!B2&amp;"ATEST202306050000000000001"</f>
        <v>Z8ATEST202306050000000000001</v>
      </c>
      <c r="B2" s="10" t="str">
        <f>AutoIncrement!B2&amp;"BU-PNATEST,20230605000000000000-1"</f>
        <v>Z8BU-PNATEST,20230605000000000000-1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Q2" s="111"/>
      <c r="R2" s="111">
        <v>140085460</v>
      </c>
      <c r="T2" s="111">
        <v>140085460</v>
      </c>
      <c r="V2" s="111">
        <v>140085460</v>
      </c>
    </row>
    <row r="3" spans="1:22" ht="27.6">
      <c r="A3" s="40" t="str">
        <f>AutoIncrement!B2&amp;"ATEST202306050000000000002"</f>
        <v>Z8ATEST202306050000000000002</v>
      </c>
      <c r="B3" s="11" t="str">
        <f>AutoIncrement!B2&amp;"BU-PNATEST,20230605000000000000-2"</f>
        <v>Z8BU-PNATEST,20230605000000000000-2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Q3" s="111"/>
      <c r="R3" s="111">
        <v>140085460</v>
      </c>
      <c r="T3" s="111">
        <v>140085460</v>
      </c>
      <c r="V3" s="111">
        <v>140085460</v>
      </c>
    </row>
    <row r="4" spans="1:22">
      <c r="A4" s="1" t="str">
        <f>AutoIncrement!B2&amp;"pna1219AS1"</f>
        <v>Z8pna1219AS1</v>
      </c>
      <c r="B4" s="1" t="str">
        <f>AutoIncrement!B2&amp;"pna-1219AS-1"</f>
        <v>Z8pna-1219AS-1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111">
        <v>22000</v>
      </c>
      <c r="V4" s="111">
        <v>22000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FA77-D6B1-498B-B135-5A51CD2F9ECC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2" width="20.6640625" style="1" customWidth="1" collapsed="1"/>
    <col min="3" max="16384" width="8.88671875" style="1" collapsed="1"/>
  </cols>
  <sheetData>
    <row r="1" spans="1:2">
      <c r="A1" s="1" t="s">
        <v>128</v>
      </c>
      <c r="B1" s="1" t="s">
        <v>129</v>
      </c>
    </row>
    <row r="2" spans="1:2">
      <c r="A2" s="1" t="s">
        <v>99</v>
      </c>
      <c r="B2" s="1" t="str">
        <f>"PNABU-L3-"&amp;AutoIncrement!B2&amp;"-0"&amp;AutoIncrement!A2</f>
        <v>PNABU-L3-Z8-019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9A0D-0DD6-4758-B026-60F868BB9F88}">
  <dimension ref="A1:D2"/>
  <sheetViews>
    <sheetView zoomScale="90" zoomScaleNormal="90" workbookViewId="0">
      <selection activeCell="D3" sqref="D3"/>
    </sheetView>
  </sheetViews>
  <sheetFormatPr defaultColWidth="8.88671875" defaultRowHeight="13.8"/>
  <cols>
    <col min="1" max="4" width="15.77734375" style="1" customWidth="1" collapsed="1"/>
    <col min="5" max="16384" width="8.88671875" style="1" collapsed="1"/>
  </cols>
  <sheetData>
    <row r="1" spans="1:4">
      <c r="A1" s="1" t="s">
        <v>465</v>
      </c>
      <c r="B1" s="1" t="s">
        <v>466</v>
      </c>
      <c r="C1" s="1" t="s">
        <v>467</v>
      </c>
      <c r="D1" s="1" t="s">
        <v>468</v>
      </c>
    </row>
    <row r="2" spans="1:4">
      <c r="A2" s="96">
        <v>15</v>
      </c>
      <c r="B2" s="96">
        <v>10</v>
      </c>
      <c r="C2" s="96">
        <v>2023</v>
      </c>
      <c r="D2" s="189">
        <f ca="1">EDATE(TODAY(), 1)</f>
        <v>45277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6E7E-F80E-4E47-9851-8C30C61C2D2C}">
  <dimension ref="A1:Q4"/>
  <sheetViews>
    <sheetView zoomScale="90" zoomScaleNormal="90" workbookViewId="0">
      <selection activeCell="N4" sqref="N4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</row>
    <row r="2" spans="1:17" s="46" customFormat="1">
      <c r="A2" s="8" t="str">
        <f>AutoIncrement!B2&amp;"ATEST202306050000000000001"</f>
        <v>Z8ATEST202306050000000000001</v>
      </c>
      <c r="B2" s="10" t="str">
        <f>AutoIncrement!B2&amp;"SUP-PNATEST,20230605000000000000-1"</f>
        <v>Z8SUP-PNATEST,20230605000000000000-1</v>
      </c>
      <c r="D2" s="1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M2" s="1"/>
      <c r="N2" s="95">
        <v>140085460</v>
      </c>
      <c r="P2" s="95">
        <v>140085460</v>
      </c>
    </row>
    <row r="3" spans="1:17" s="46" customFormat="1">
      <c r="A3" s="40" t="str">
        <f>AutoIncrement!B2&amp;"ATEST202306050000000000002"</f>
        <v>Z8ATEST202306050000000000002</v>
      </c>
      <c r="B3" s="10" t="str">
        <f>AutoIncrement!B2&amp;"SUP-PNATEST,20230605000000000000-2"</f>
        <v>Z8SUP-PNATEST,20230605000000000000-2</v>
      </c>
      <c r="D3" s="1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M3" s="1"/>
      <c r="N3" s="95">
        <v>140085460</v>
      </c>
      <c r="P3" s="95">
        <v>140085460</v>
      </c>
    </row>
    <row r="4" spans="1:17" s="46" customFormat="1">
      <c r="A4" s="1" t="str">
        <f>AutoIncrement!B2&amp;"pna1219AS1"</f>
        <v>Z8pna1219AS1</v>
      </c>
      <c r="B4" s="1" t="str">
        <f>AutoIncrement!B2&amp;"pna-1219AS-1"</f>
        <v>Z8pna-1219AS-1</v>
      </c>
      <c r="C4" s="1"/>
      <c r="D4" s="1"/>
      <c r="E4" s="1"/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M4" s="1"/>
      <c r="N4" s="50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7BCD-C628-4A83-AE50-5923B7DB88C2}">
  <dimension ref="A1:B2"/>
  <sheetViews>
    <sheetView workbookViewId="0">
      <selection activeCell="H11" sqref="H11"/>
    </sheetView>
  </sheetViews>
  <sheetFormatPr defaultColWidth="8.88671875" defaultRowHeight="13.8"/>
  <cols>
    <col min="1" max="1" width="20.77734375" style="1" customWidth="1" collapsed="1"/>
    <col min="2" max="2" width="16.88671875" style="1" customWidth="1" collapsed="1"/>
    <col min="3" max="16384" width="8.88671875" style="1" collapsed="1"/>
  </cols>
  <sheetData>
    <row r="1" spans="1:2" ht="14.4">
      <c r="A1" s="1" t="s">
        <v>470</v>
      </c>
      <c r="B1" t="s">
        <v>637</v>
      </c>
    </row>
    <row r="2" spans="1:2" ht="14.4">
      <c r="A2" s="1" t="str">
        <f ca="1">TEXT(DATE(YEAR(TODAY()), MONTH(TODAY())+1, DAY(TODAY())+12), "dd MMM yyyy")</f>
        <v>29 Dec 2023</v>
      </c>
      <c r="B2" t="str">
        <f>'TC050-Sup1 SO List'!A2</f>
        <v>sZ5s125-2310001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A05F-8E5A-44F8-AFE8-A11ABA5B0621}">
  <dimension ref="A1:W4"/>
  <sheetViews>
    <sheetView topLeftCell="K1" zoomScale="85" zoomScaleNormal="85" workbookViewId="0">
      <selection activeCell="V12" sqref="V12"/>
    </sheetView>
  </sheetViews>
  <sheetFormatPr defaultColWidth="8.88671875" defaultRowHeight="13.8"/>
  <cols>
    <col min="1" max="2" width="30.77734375" style="1" customWidth="1" collapsed="1"/>
    <col min="3" max="19" width="20.77734375" style="1" customWidth="1" collapsed="1"/>
    <col min="20" max="20" width="15.5546875" style="1" customWidth="1" collapsed="1"/>
    <col min="21" max="21" width="14.6640625" style="1" customWidth="1" collapsed="1"/>
    <col min="22" max="22" width="13.5546875" style="1" customWidth="1" collapsed="1"/>
    <col min="23" max="23" width="12.88671875" style="1" customWidth="1" collapsed="1"/>
    <col min="24" max="16384" width="8.88671875" style="1" collapsed="1"/>
  </cols>
  <sheetData>
    <row r="1" spans="1:23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464</v>
      </c>
      <c r="T1" s="1" t="s">
        <v>452</v>
      </c>
      <c r="U1" s="1" t="s">
        <v>454</v>
      </c>
      <c r="V1" s="1" t="s">
        <v>455</v>
      </c>
      <c r="W1" s="1" t="s">
        <v>456</v>
      </c>
    </row>
    <row r="2" spans="1:23">
      <c r="A2" s="8" t="str">
        <f>AutoIncrement!B2&amp;"ATEST202306050000000000001"</f>
        <v>Z8ATEST202306050000000000001</v>
      </c>
      <c r="B2" s="10" t="str">
        <f>AutoIncrement!B2&amp;"BU-PNATEST,20230605000000000000-1"</f>
        <v>Z8BU-PNATEST,20230605000000000000-1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R2" s="111">
        <v>140085460</v>
      </c>
      <c r="S2" s="111"/>
      <c r="T2" s="111">
        <v>140085460</v>
      </c>
      <c r="V2" s="111">
        <v>140085460</v>
      </c>
    </row>
    <row r="3" spans="1:23" ht="27.6">
      <c r="A3" s="40" t="str">
        <f>AutoIncrement!B2&amp;"ATEST202306050000000000002"</f>
        <v>Z8ATEST202306050000000000002</v>
      </c>
      <c r="B3" s="11" t="str">
        <f>AutoIncrement!B2&amp;"BU-PNATEST,20230605000000000000-2"</f>
        <v>Z8BU-PNATEST,20230605000000000000-2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R3" s="111">
        <v>140085460</v>
      </c>
      <c r="S3" s="111"/>
      <c r="T3" s="111">
        <v>140085460</v>
      </c>
      <c r="V3" s="111">
        <v>140085460</v>
      </c>
    </row>
    <row r="4" spans="1:23">
      <c r="A4" s="1" t="str">
        <f>AutoIncrement!B2&amp;"pna1219AS1"</f>
        <v>Z8pna1219AS1</v>
      </c>
      <c r="B4" s="1" t="str">
        <f>AutoIncrement!B2&amp;"pna-1219AS-1"</f>
        <v>Z8pna-1219AS-1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50">
        <v>22000</v>
      </c>
      <c r="V4" s="111">
        <v>22000</v>
      </c>
      <c r="W4" s="50">
        <v>44000</v>
      </c>
    </row>
  </sheetData>
  <phoneticPr fontId="25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4221-7CF6-4A2D-9FE6-A948C1BD8F00}">
  <dimension ref="A1:V4"/>
  <sheetViews>
    <sheetView topLeftCell="L1" zoomScale="90" zoomScaleNormal="90" workbookViewId="0">
      <selection activeCell="O32" sqref="O32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46" t="s">
        <v>339</v>
      </c>
      <c r="B1" s="46" t="s">
        <v>392</v>
      </c>
      <c r="C1" s="1" t="s">
        <v>397</v>
      </c>
      <c r="D1" s="46" t="s">
        <v>436</v>
      </c>
      <c r="E1" s="46" t="s">
        <v>399</v>
      </c>
      <c r="F1" s="46" t="s">
        <v>437</v>
      </c>
      <c r="G1" s="46" t="s">
        <v>105</v>
      </c>
      <c r="H1" s="46" t="s">
        <v>213</v>
      </c>
      <c r="I1" s="46" t="s">
        <v>418</v>
      </c>
      <c r="J1" s="46" t="s">
        <v>408</v>
      </c>
      <c r="K1" s="46" t="s">
        <v>137</v>
      </c>
      <c r="L1" s="46" t="s">
        <v>283</v>
      </c>
      <c r="M1" s="46" t="s">
        <v>438</v>
      </c>
      <c r="N1" s="221" t="s">
        <v>471</v>
      </c>
      <c r="O1" s="221" t="s">
        <v>472</v>
      </c>
      <c r="P1" s="221" t="s">
        <v>473</v>
      </c>
      <c r="Q1" s="221" t="s">
        <v>474</v>
      </c>
      <c r="R1" s="221" t="s">
        <v>475</v>
      </c>
      <c r="S1" s="221" t="s">
        <v>476</v>
      </c>
      <c r="T1" s="221" t="s">
        <v>477</v>
      </c>
      <c r="U1" s="221" t="s">
        <v>478</v>
      </c>
      <c r="V1" s="221" t="s">
        <v>479</v>
      </c>
    </row>
    <row r="2" spans="1:22">
      <c r="A2" s="1" t="str">
        <f>AutoIncrement!B2&amp;"ATEST202306050000000000001"</f>
        <v>Z8ATEST202306050000000000001</v>
      </c>
      <c r="B2" s="1" t="str">
        <f>AutoIncrement!B2&amp;"BU-PNATEST,20230605000000000000-1"</f>
        <v>Z8BU-PNATEST,20230605000000000000-1</v>
      </c>
      <c r="E2" s="1" t="s">
        <v>145</v>
      </c>
      <c r="F2" s="1" t="s">
        <v>145</v>
      </c>
      <c r="G2" s="50">
        <v>10</v>
      </c>
      <c r="H2" s="50">
        <v>20</v>
      </c>
      <c r="I2" s="50">
        <v>140085460</v>
      </c>
      <c r="J2" s="112">
        <v>2.0019999999999998</v>
      </c>
      <c r="K2" s="1" t="s">
        <v>144</v>
      </c>
      <c r="L2" s="1" t="s">
        <v>443</v>
      </c>
      <c r="M2" s="50">
        <v>0</v>
      </c>
      <c r="N2" s="50">
        <v>0</v>
      </c>
      <c r="O2" s="50" t="s">
        <v>429</v>
      </c>
      <c r="P2" s="50">
        <v>140085460</v>
      </c>
      <c r="Q2" s="1" t="s">
        <v>429</v>
      </c>
      <c r="R2" s="1">
        <v>0</v>
      </c>
      <c r="S2" s="1" t="s">
        <v>429</v>
      </c>
      <c r="T2" s="1">
        <v>0</v>
      </c>
      <c r="U2" s="50">
        <v>140085460</v>
      </c>
      <c r="V2" s="1">
        <v>0</v>
      </c>
    </row>
    <row r="3" spans="1:22">
      <c r="A3" s="1" t="str">
        <f>AutoIncrement!B2&amp;"ATEST202306050000000000002"</f>
        <v>Z8ATEST202306050000000000002</v>
      </c>
      <c r="B3" s="1" t="str">
        <f>AutoIncrement!B2&amp;"BU-PNATEST,20230605000000000000-2"</f>
        <v>Z8BU-PNATEST,20230605000000000000-2</v>
      </c>
      <c r="E3" s="1" t="s">
        <v>145</v>
      </c>
      <c r="F3" s="1" t="s">
        <v>145</v>
      </c>
      <c r="G3" s="50">
        <v>10</v>
      </c>
      <c r="H3" s="50">
        <v>20</v>
      </c>
      <c r="I3" s="50">
        <v>140085460</v>
      </c>
      <c r="J3" s="108">
        <v>1.0009999999999999</v>
      </c>
      <c r="K3" s="1" t="s">
        <v>144</v>
      </c>
      <c r="L3" s="1" t="s">
        <v>443</v>
      </c>
      <c r="M3" s="1">
        <v>0</v>
      </c>
      <c r="N3" s="50">
        <v>0</v>
      </c>
      <c r="O3" s="1" t="s">
        <v>429</v>
      </c>
      <c r="P3" s="50">
        <v>140085460</v>
      </c>
      <c r="Q3" s="1" t="s">
        <v>429</v>
      </c>
      <c r="R3" s="1">
        <v>0</v>
      </c>
      <c r="S3" s="1" t="s">
        <v>429</v>
      </c>
      <c r="T3" s="1">
        <v>0</v>
      </c>
      <c r="U3" s="50">
        <v>140085460</v>
      </c>
      <c r="V3" s="1">
        <v>0</v>
      </c>
    </row>
    <row r="4" spans="1:22">
      <c r="A4" s="1" t="str">
        <f>AutoIncrement!B2&amp;"pna1219AS1"</f>
        <v>Z8pna1219AS1</v>
      </c>
      <c r="B4" s="1" t="str">
        <f>AutoIncrement!B2&amp;"pna-1219AS-1"</f>
        <v>Z8pna-1219AS-1</v>
      </c>
      <c r="E4" s="1" t="s">
        <v>145</v>
      </c>
      <c r="F4" s="1" t="s">
        <v>145</v>
      </c>
      <c r="G4" s="111">
        <v>22000</v>
      </c>
      <c r="H4" s="111">
        <v>22000</v>
      </c>
      <c r="I4" s="111">
        <v>88000</v>
      </c>
      <c r="J4" s="108">
        <v>1.0009999999999999</v>
      </c>
      <c r="K4" s="1" t="s">
        <v>144</v>
      </c>
      <c r="L4" s="1" t="s">
        <v>443</v>
      </c>
      <c r="M4" s="1">
        <v>0</v>
      </c>
      <c r="N4" s="111">
        <v>22000</v>
      </c>
      <c r="O4" s="1" t="s">
        <v>429</v>
      </c>
      <c r="P4" s="111">
        <v>22000</v>
      </c>
      <c r="Q4" s="1" t="s">
        <v>429</v>
      </c>
      <c r="R4" s="50">
        <v>44000</v>
      </c>
      <c r="S4" s="1" t="s">
        <v>429</v>
      </c>
      <c r="T4" s="111">
        <v>22000</v>
      </c>
      <c r="U4" s="111">
        <v>22000</v>
      </c>
      <c r="V4" s="50">
        <v>44000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6753-A0B7-4947-888A-F3A29406D74D}">
  <dimension ref="A1:N4"/>
  <sheetViews>
    <sheetView zoomScale="85" zoomScaleNormal="85" workbookViewId="0">
      <selection activeCell="B5" sqref="B5"/>
    </sheetView>
  </sheetViews>
  <sheetFormatPr defaultRowHeight="14.4"/>
  <cols>
    <col min="1" max="1" width="32.33203125" customWidth="1" collapsed="1"/>
    <col min="2" max="2" width="36.109375" customWidth="1" collapsed="1"/>
    <col min="3" max="4" width="11.6640625" bestFit="1" customWidth="1" collapsed="1"/>
    <col min="5" max="5" width="19.33203125" customWidth="1" collapsed="1"/>
    <col min="6" max="6" width="19" customWidth="1" collapsed="1"/>
    <col min="7" max="7" width="14.21875" customWidth="1" collapsed="1"/>
    <col min="8" max="8" width="16.6640625" customWidth="1" collapsed="1"/>
    <col min="9" max="9" width="19.33203125" customWidth="1" collapsed="1"/>
    <col min="10" max="10" width="14.88671875" customWidth="1" collapsed="1"/>
    <col min="11" max="11" width="14.21875" customWidth="1" collapsed="1"/>
    <col min="12" max="12" width="14.33203125" customWidth="1" collapsed="1"/>
    <col min="13" max="13" width="14.88671875" customWidth="1" collapsed="1"/>
    <col min="14" max="14" width="13.44140625" customWidth="1" collapsed="1"/>
  </cols>
  <sheetData>
    <row r="1" spans="1:14">
      <c r="A1" t="s">
        <v>637</v>
      </c>
      <c r="B1" t="s">
        <v>339</v>
      </c>
      <c r="C1" t="s">
        <v>105</v>
      </c>
      <c r="D1" t="s">
        <v>213</v>
      </c>
      <c r="E1" t="s">
        <v>418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</row>
    <row r="2" spans="1:14">
      <c r="A2" t="str">
        <f>'TC083'!A2</f>
        <v>sZ5s125-2310001</v>
      </c>
      <c r="B2" s="172" t="str">
        <f>'TC051'!F2</f>
        <v>Z8ATEST202306050000000000001</v>
      </c>
      <c r="C2">
        <v>10</v>
      </c>
      <c r="D2">
        <v>20</v>
      </c>
      <c r="E2" s="176">
        <v>140085460</v>
      </c>
      <c r="F2">
        <v>0</v>
      </c>
      <c r="G2" t="s">
        <v>429</v>
      </c>
      <c r="H2" s="176">
        <v>140085460</v>
      </c>
      <c r="I2" t="s">
        <v>429</v>
      </c>
      <c r="J2">
        <v>0</v>
      </c>
      <c r="K2" t="s">
        <v>429</v>
      </c>
      <c r="L2">
        <v>0</v>
      </c>
      <c r="M2" s="176">
        <v>140085460</v>
      </c>
      <c r="N2">
        <v>0</v>
      </c>
    </row>
    <row r="3" spans="1:14">
      <c r="B3" s="172" t="str">
        <f>'TC051'!F3</f>
        <v>Z8ATEST202306050000000000002</v>
      </c>
      <c r="C3">
        <v>10</v>
      </c>
      <c r="D3">
        <v>20</v>
      </c>
      <c r="E3" s="176">
        <v>140085460</v>
      </c>
      <c r="F3">
        <v>0</v>
      </c>
      <c r="G3" t="s">
        <v>429</v>
      </c>
      <c r="H3" s="176">
        <v>140085460</v>
      </c>
      <c r="I3" t="s">
        <v>429</v>
      </c>
      <c r="J3" s="176">
        <v>0</v>
      </c>
      <c r="K3" t="s">
        <v>429</v>
      </c>
      <c r="L3">
        <v>0</v>
      </c>
      <c r="M3" s="176">
        <v>140085460</v>
      </c>
      <c r="N3">
        <v>0</v>
      </c>
    </row>
    <row r="4" spans="1:14">
      <c r="B4" s="172" t="str">
        <f>'TC051'!F4</f>
        <v>Z8pna1219AS1</v>
      </c>
      <c r="C4" s="170">
        <v>22000</v>
      </c>
      <c r="D4" s="170">
        <v>22000</v>
      </c>
      <c r="E4" s="176">
        <v>88000</v>
      </c>
      <c r="F4" s="170">
        <v>22000</v>
      </c>
      <c r="G4" t="s">
        <v>429</v>
      </c>
      <c r="H4" s="170">
        <v>22000</v>
      </c>
      <c r="I4" t="s">
        <v>429</v>
      </c>
      <c r="J4" s="176">
        <v>44000</v>
      </c>
      <c r="K4" t="s">
        <v>429</v>
      </c>
      <c r="L4" s="170">
        <v>22000</v>
      </c>
      <c r="M4" s="170">
        <v>22000</v>
      </c>
      <c r="N4" s="176">
        <v>44000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C015-A07E-4107-B155-96E45AFB262A}">
  <dimension ref="A1:B4"/>
  <sheetViews>
    <sheetView workbookViewId="0">
      <selection activeCell="A19" sqref="A19"/>
    </sheetView>
  </sheetViews>
  <sheetFormatPr defaultColWidth="8.88671875" defaultRowHeight="13.8"/>
  <cols>
    <col min="1" max="2" width="25.77734375" style="1" customWidth="1" collapsed="1"/>
    <col min="3" max="16384" width="8.88671875" style="1" collapsed="1"/>
  </cols>
  <sheetData>
    <row r="1" spans="1:2">
      <c r="A1" s="1" t="s">
        <v>534</v>
      </c>
      <c r="B1" s="123" t="s">
        <v>480</v>
      </c>
    </row>
    <row r="2" spans="1:2" ht="14.4">
      <c r="A2" s="1" t="str">
        <f>'TC102-Supplier1 Outbound'!C2</f>
        <v>o-MY-ELA-Z8-19-001</v>
      </c>
      <c r="B2" t="s">
        <v>825</v>
      </c>
    </row>
    <row r="3" spans="1:2" ht="14.4">
      <c r="A3" s="1" t="str">
        <f>'TC102-Supplier1 Outbound'!C7</f>
        <v>o-MY-ELA-Z8-19-002</v>
      </c>
      <c r="B3" t="s">
        <v>826</v>
      </c>
    </row>
    <row r="4" spans="1:2" ht="14.4">
      <c r="A4" s="1" t="str">
        <f>'TC102-Supplier1 Outbound'!C9</f>
        <v>o-MY-ELA-Z8-19-003</v>
      </c>
      <c r="B4" t="s">
        <v>827</v>
      </c>
    </row>
  </sheetData>
  <phoneticPr fontId="25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8A65-75FD-49A0-BC15-D2727B3D068E}">
  <dimension ref="A1:AN11"/>
  <sheetViews>
    <sheetView topLeftCell="S1" zoomScale="80" zoomScaleNormal="80" workbookViewId="0">
      <selection activeCell="AB3" sqref="AB3:AB8"/>
    </sheetView>
  </sheetViews>
  <sheetFormatPr defaultColWidth="8.88671875" defaultRowHeight="13.8"/>
  <cols>
    <col min="1" max="1" width="5.77734375" style="113" customWidth="1" collapsed="1"/>
    <col min="2" max="6" width="20.77734375" style="113" customWidth="1" collapsed="1"/>
    <col min="7" max="7" width="50.6640625" style="113" customWidth="1" collapsed="1"/>
    <col min="8" max="34" width="20.77734375" style="113" customWidth="1" collapsed="1"/>
    <col min="35" max="35" width="37.44140625" style="113" customWidth="1" collapsed="1"/>
    <col min="36" max="36" width="36.88671875" style="113" customWidth="1" collapsed="1"/>
    <col min="37" max="40" width="20.77734375" style="113" customWidth="1" collapsed="1"/>
    <col min="41" max="43" width="15.6640625" style="113" customWidth="1" collapsed="1"/>
    <col min="44" max="16384" width="8.88671875" style="113" collapsed="1"/>
  </cols>
  <sheetData>
    <row r="1" spans="1:40" ht="13.95" customHeight="1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145</v>
      </c>
      <c r="C2" s="114" t="str">
        <f>"o-MY-ELA-"&amp;AutoIncrement!B2&amp;"-"&amp;AutoIncrement!A2&amp;"-001"</f>
        <v>o-MY-ELA-Z8-19-001</v>
      </c>
      <c r="D2" s="113" t="str">
        <f ca="1">TEXT(DATE(YEAR(TODAY()), MONTH(TODAY()), DAY(TODAY())), "dd MMM yyyy")</f>
        <v>17 Nov 2023</v>
      </c>
      <c r="F2" s="113" t="str">
        <f>"Bs1-"&amp;AutoIncrement!B2&amp;"-"&amp;AutoIncrement!A2&amp;"-001"</f>
        <v>Bs1-Z8-19-001</v>
      </c>
      <c r="G2" s="8" t="str">
        <f>AutoIncrement!$B$2&amp;"ATEST202306050000000000001"</f>
        <v>Z8ATEST202306050000000000001</v>
      </c>
      <c r="H2" s="8" t="s">
        <v>114</v>
      </c>
      <c r="I2" s="115">
        <v>140085460</v>
      </c>
      <c r="J2" s="7" t="s">
        <v>515</v>
      </c>
      <c r="K2" s="8" t="s">
        <v>516</v>
      </c>
      <c r="L2" s="116" t="s">
        <v>98</v>
      </c>
      <c r="M2" s="116" t="s">
        <v>190</v>
      </c>
      <c r="N2" s="117" t="str">
        <f ca="1">TEXT(DATE(YEAR(TODAY()), MONTH(TODAY()), DAY(TODAY())+9), "dd MMM yyyy")</f>
        <v>26 Nov 2023</v>
      </c>
      <c r="O2" s="117" t="str">
        <f ca="1">TEXT(DATE(YEAR(TODAY()), MONTH(TODAY()), DAY(TODAY())+13), "dd MMM yyyy")</f>
        <v>30 Nov 2023</v>
      </c>
      <c r="P2" s="8"/>
      <c r="Q2" s="8"/>
      <c r="R2" s="8"/>
      <c r="S2" s="8"/>
      <c r="T2" s="118"/>
      <c r="U2" s="118"/>
      <c r="V2" s="118"/>
      <c r="W2" s="222" t="s">
        <v>856</v>
      </c>
      <c r="X2" s="8" t="s">
        <v>517</v>
      </c>
      <c r="Y2" s="118"/>
      <c r="Z2" s="118"/>
      <c r="AA2" s="118"/>
      <c r="AB2" s="8"/>
      <c r="AC2" s="119"/>
      <c r="AD2" s="118"/>
      <c r="AE2" s="118"/>
      <c r="AF2" s="118"/>
      <c r="AG2" s="116" t="str">
        <f>'TC050-Sup1 SO List'!$A$2</f>
        <v>sZ5s125-2310001</v>
      </c>
      <c r="AH2" s="116" t="s">
        <v>145</v>
      </c>
      <c r="AI2" s="8" t="str">
        <f>AutoIncrement!$B$2&amp;"SUP-PNATEST,20230605000000000000-1"</f>
        <v>Z8SUP-PNATEST,20230605000000000000-1</v>
      </c>
      <c r="AJ2" s="116" t="s">
        <v>518</v>
      </c>
      <c r="AK2" s="8"/>
      <c r="AL2" s="8"/>
      <c r="AM2" s="35">
        <v>10</v>
      </c>
      <c r="AN2" s="115">
        <v>140085460</v>
      </c>
    </row>
    <row r="3" spans="1:40">
      <c r="A3" s="113">
        <v>2</v>
      </c>
      <c r="B3" s="113" t="s">
        <v>145</v>
      </c>
      <c r="C3" s="114" t="str">
        <f>"o-MY-ELA-"&amp;AutoIncrement!B2&amp;"-"&amp;AutoIncrement!A2&amp;"-001"</f>
        <v>o-MY-ELA-Z8-19-001</v>
      </c>
      <c r="D3" s="113" t="str">
        <f t="shared" ref="D3:D11" ca="1" si="0">TEXT(DATE(YEAR(TODAY()), MONTH(TODAY()), DAY(TODAY())), "dd MMM yyyy")</f>
        <v>17 Nov 2023</v>
      </c>
      <c r="F3" s="113" t="str">
        <f>"Bs1-"&amp;AutoIncrement!B2&amp;"-"&amp;AutoIncrement!A2&amp;"-001"</f>
        <v>Bs1-Z8-19-001</v>
      </c>
      <c r="G3" s="8" t="str">
        <f>AutoIncrement!$B$2&amp;"ATEST202306050000000000002"</f>
        <v>Z8ATEST202306050000000000002</v>
      </c>
      <c r="H3" s="8" t="s">
        <v>114</v>
      </c>
      <c r="I3" s="115">
        <v>140085460</v>
      </c>
      <c r="J3" s="7" t="s">
        <v>515</v>
      </c>
      <c r="K3" s="8" t="s">
        <v>516</v>
      </c>
      <c r="L3" s="116" t="s">
        <v>98</v>
      </c>
      <c r="M3" s="116" t="s">
        <v>190</v>
      </c>
      <c r="N3" s="117" t="str">
        <f t="shared" ref="N3:N6" ca="1" si="1">TEXT(DATE(YEAR(TODAY()), MONTH(TODAY()), DAY(TODAY())+9), "dd MMM yyyy")</f>
        <v>26 Nov 2023</v>
      </c>
      <c r="O3" s="117" t="str">
        <f t="shared" ref="O3:O6" ca="1" si="2">TEXT(DATE(YEAR(TODAY()), MONTH(TODAY()), DAY(TODAY())+13), "dd MMM yyyy")</f>
        <v>30 Nov 2023</v>
      </c>
      <c r="P3" s="8" t="s">
        <v>519</v>
      </c>
      <c r="Q3" s="8" t="s">
        <v>520</v>
      </c>
      <c r="R3" s="8" t="s">
        <v>521</v>
      </c>
      <c r="S3" s="8" t="s">
        <v>522</v>
      </c>
      <c r="T3" s="118"/>
      <c r="U3" s="118"/>
      <c r="V3" s="118"/>
      <c r="W3" s="222" t="s">
        <v>856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862</v>
      </c>
      <c r="AC3" s="119"/>
      <c r="AD3" s="118"/>
      <c r="AE3" s="118"/>
      <c r="AF3" s="118"/>
      <c r="AG3" s="116" t="str">
        <f>'TC050-Sup1 SO List'!$A$2</f>
        <v>sZ5s125-2310001</v>
      </c>
      <c r="AH3" s="116" t="s">
        <v>145</v>
      </c>
      <c r="AI3" s="8" t="str">
        <f>AutoIncrement!$B$2&amp;"SUP-PNATEST,20230605000000000000-2"</f>
        <v>Z8SUP-PNATEST,20230605000000000000-2</v>
      </c>
      <c r="AJ3" s="116" t="s">
        <v>523</v>
      </c>
      <c r="AK3" s="8"/>
      <c r="AL3" s="8"/>
      <c r="AM3" s="35">
        <v>10</v>
      </c>
      <c r="AN3" s="115">
        <v>140085460</v>
      </c>
    </row>
    <row r="4" spans="1:40">
      <c r="A4" s="113">
        <v>3</v>
      </c>
      <c r="B4" s="113" t="s">
        <v>145</v>
      </c>
      <c r="C4" s="114" t="str">
        <f>"o-MY-ELA-"&amp;AutoIncrement!B2&amp;"-"&amp;AutoIncrement!A2&amp;"-001"</f>
        <v>o-MY-ELA-Z8-19-001</v>
      </c>
      <c r="D4" s="113" t="str">
        <f t="shared" ca="1" si="0"/>
        <v>17 Nov 2023</v>
      </c>
      <c r="F4" s="113" t="str">
        <f>"Bs1-"&amp;AutoIncrement!B2&amp;"-"&amp;AutoIncrement!A2&amp;"-001"</f>
        <v>Bs1-Z8-19-001</v>
      </c>
      <c r="G4" s="8" t="str">
        <f>AutoIncrement!$B$2&amp;"pna1219AS1"</f>
        <v>Z8pna1219AS1</v>
      </c>
      <c r="H4" s="8" t="s">
        <v>20</v>
      </c>
      <c r="I4" s="115">
        <v>44000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 t="str">
        <f t="shared" ca="1" si="1"/>
        <v>26 Nov 2023</v>
      </c>
      <c r="O4" s="117" t="str">
        <f t="shared" ca="1" si="2"/>
        <v>30 Nov 2023</v>
      </c>
      <c r="P4" s="8" t="s">
        <v>519</v>
      </c>
      <c r="Q4" s="8" t="s">
        <v>520</v>
      </c>
      <c r="R4" s="8" t="s">
        <v>521</v>
      </c>
      <c r="S4" s="8" t="s">
        <v>522</v>
      </c>
      <c r="T4" s="118"/>
      <c r="U4" s="118"/>
      <c r="V4" s="118"/>
      <c r="W4" s="222" t="s">
        <v>857</v>
      </c>
      <c r="X4" s="8" t="s">
        <v>524</v>
      </c>
      <c r="Y4" s="118">
        <v>100.001</v>
      </c>
      <c r="Z4" s="118">
        <v>100.001</v>
      </c>
      <c r="AA4" s="118">
        <v>100.001</v>
      </c>
      <c r="AB4" s="222" t="s">
        <v>862</v>
      </c>
      <c r="AC4" s="119" t="s">
        <v>525</v>
      </c>
      <c r="AD4" s="118"/>
      <c r="AE4" s="118"/>
      <c r="AF4" s="118"/>
      <c r="AG4" s="116" t="str">
        <f>'TC050-Sup1 SO List'!$A$2</f>
        <v>sZ5s125-2310001</v>
      </c>
      <c r="AH4" s="116" t="s">
        <v>145</v>
      </c>
      <c r="AI4" s="8" t="str">
        <f>AutoIncrement!$B$2&amp;"pna-1219AS-1"</f>
        <v>Z8pna-1219AS-1</v>
      </c>
      <c r="AJ4" s="116" t="s">
        <v>249</v>
      </c>
      <c r="AK4" s="8"/>
      <c r="AL4" s="8"/>
      <c r="AM4" s="35">
        <v>22000</v>
      </c>
      <c r="AN4" s="115">
        <v>88000</v>
      </c>
    </row>
    <row r="5" spans="1:40">
      <c r="A5" s="113">
        <v>4</v>
      </c>
      <c r="B5" s="113" t="s">
        <v>145</v>
      </c>
      <c r="C5" s="114" t="str">
        <f>"o-MY-ELA-"&amp;AutoIncrement!B2&amp;"-"&amp;AutoIncrement!A2&amp;"-001"</f>
        <v>o-MY-ELA-Z8-19-001</v>
      </c>
      <c r="D5" s="113" t="str">
        <f t="shared" ca="1" si="0"/>
        <v>17 Nov 2023</v>
      </c>
      <c r="F5" s="113" t="str">
        <f>"Bs1-"&amp;AutoIncrement!B2&amp;"-"&amp;AutoIncrement!A2&amp;"-001"</f>
        <v>Bs1-Z8-19-001</v>
      </c>
      <c r="G5" s="8" t="str">
        <f>AutoIncrement!$B$2&amp;"pna1219AS1"</f>
        <v>Z8pna1219AS1</v>
      </c>
      <c r="H5" s="8" t="s">
        <v>20</v>
      </c>
      <c r="I5" s="115">
        <v>44000</v>
      </c>
      <c r="J5" s="7" t="s">
        <v>515</v>
      </c>
      <c r="K5" s="8" t="s">
        <v>516</v>
      </c>
      <c r="L5" s="116" t="s">
        <v>98</v>
      </c>
      <c r="M5" s="116" t="s">
        <v>190</v>
      </c>
      <c r="N5" s="117" t="str">
        <f t="shared" ca="1" si="1"/>
        <v>26 Nov 2023</v>
      </c>
      <c r="O5" s="117" t="str">
        <f t="shared" ca="1" si="2"/>
        <v>30 Nov 2023</v>
      </c>
      <c r="P5" s="8" t="s">
        <v>526</v>
      </c>
      <c r="Q5" s="8" t="s">
        <v>527</v>
      </c>
      <c r="R5" s="8" t="s">
        <v>528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856</v>
      </c>
      <c r="X5" s="8" t="s">
        <v>524</v>
      </c>
      <c r="Y5" s="118">
        <v>100.001</v>
      </c>
      <c r="Z5" s="118">
        <v>100.001</v>
      </c>
      <c r="AA5" s="118">
        <v>100.001</v>
      </c>
      <c r="AB5" s="222" t="s">
        <v>863</v>
      </c>
      <c r="AC5" s="119" t="s">
        <v>525</v>
      </c>
      <c r="AD5" s="118">
        <v>10.000999999999999</v>
      </c>
      <c r="AE5" s="118">
        <v>10.000999999999999</v>
      </c>
      <c r="AF5" s="118">
        <v>10.000999999999999</v>
      </c>
      <c r="AG5" s="116" t="str">
        <f>'TC050-Sup1 SO List'!$A$2</f>
        <v>sZ5s125-2310001</v>
      </c>
      <c r="AH5" s="116" t="s">
        <v>145</v>
      </c>
      <c r="AI5" s="8" t="str">
        <f>AutoIncrement!$B$2&amp;"pna-1219AS-1"</f>
        <v>Z8pna-1219AS-1</v>
      </c>
      <c r="AJ5" s="116" t="s">
        <v>249</v>
      </c>
      <c r="AK5" s="8"/>
      <c r="AL5" s="8"/>
      <c r="AM5" s="35">
        <v>22000</v>
      </c>
      <c r="AN5" s="115">
        <v>88000</v>
      </c>
    </row>
    <row r="6" spans="1:40">
      <c r="A6" s="113">
        <v>5</v>
      </c>
      <c r="B6" s="113" t="s">
        <v>145</v>
      </c>
      <c r="C6" s="114" t="str">
        <f>"o-MY-ELA-"&amp;AutoIncrement!B2&amp;"-"&amp;AutoIncrement!A2&amp;"-001"</f>
        <v>o-MY-ELA-Z8-19-001</v>
      </c>
      <c r="D6" s="113" t="str">
        <f t="shared" ca="1" si="0"/>
        <v>17 Nov 2023</v>
      </c>
      <c r="F6" s="113" t="str">
        <f>"Bs1-"&amp;AutoIncrement!B2&amp;"-"&amp;AutoIncrement!A2&amp;"-001"</f>
        <v>Bs1-Z8-19-001</v>
      </c>
      <c r="G6" s="8" t="str">
        <f>AutoIncrement!$B$2&amp;"ATEST202306050000000000001"</f>
        <v>Z8ATEST202306050000000000001</v>
      </c>
      <c r="H6" s="8" t="s">
        <v>114</v>
      </c>
      <c r="I6" s="120">
        <v>100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 t="str">
        <f t="shared" ca="1" si="1"/>
        <v>26 Nov 2023</v>
      </c>
      <c r="O6" s="117" t="str">
        <f t="shared" ca="1" si="2"/>
        <v>30 Nov 2023</v>
      </c>
      <c r="P6" s="8" t="s">
        <v>526</v>
      </c>
      <c r="Q6" s="8" t="s">
        <v>527</v>
      </c>
      <c r="R6" s="8" t="s">
        <v>528</v>
      </c>
      <c r="S6" s="8" t="s">
        <v>522</v>
      </c>
      <c r="T6" s="118">
        <v>1000.001</v>
      </c>
      <c r="U6" s="118">
        <v>1000.001</v>
      </c>
      <c r="V6" s="118">
        <v>1000.001</v>
      </c>
      <c r="W6" s="222" t="s">
        <v>857</v>
      </c>
      <c r="X6" s="8" t="s">
        <v>517</v>
      </c>
      <c r="Y6" s="118">
        <v>100.001</v>
      </c>
      <c r="Z6" s="118">
        <v>100.001</v>
      </c>
      <c r="AA6" s="118">
        <v>100.001</v>
      </c>
      <c r="AB6" s="222" t="s">
        <v>863</v>
      </c>
      <c r="AC6" s="119" t="s">
        <v>525</v>
      </c>
      <c r="AD6" s="118">
        <v>10.000999999999999</v>
      </c>
      <c r="AE6" s="118">
        <v>10.000999999999999</v>
      </c>
      <c r="AF6" s="118">
        <v>10.000999999999999</v>
      </c>
      <c r="AG6" s="224" t="str">
        <f>'TC074'!$C$2</f>
        <v>sZ5s125-2310002</v>
      </c>
      <c r="AH6" s="116" t="s">
        <v>145</v>
      </c>
      <c r="AI6" s="8" t="str">
        <f>AutoIncrement!$B$2&amp;"SUP-PNATEST,20230605000000000000-1"</f>
        <v>Z8SUP-PNATEST,20230605000000000000-1</v>
      </c>
      <c r="AJ6" s="116" t="s">
        <v>518</v>
      </c>
      <c r="AK6" s="8"/>
      <c r="AL6" s="8"/>
      <c r="AM6" s="35">
        <v>10</v>
      </c>
      <c r="AN6" s="115">
        <v>200</v>
      </c>
    </row>
    <row r="7" spans="1:40">
      <c r="A7" s="113">
        <v>6</v>
      </c>
      <c r="B7" s="113" t="s">
        <v>145</v>
      </c>
      <c r="C7" s="114" t="str">
        <f>"o-MY-ELA-"&amp;AutoIncrement!B2&amp;"-"&amp;AutoIncrement!A2&amp;"-002"</f>
        <v>o-MY-ELA-Z8-19-002</v>
      </c>
      <c r="D7" s="113" t="str">
        <f t="shared" ca="1" si="0"/>
        <v>17 Nov 2023</v>
      </c>
      <c r="G7" s="8" t="str">
        <f>AutoIncrement!$B$2&amp;"ATEST202306050000000000001"</f>
        <v>Z8ATEST202306050000000000001</v>
      </c>
      <c r="H7" s="8" t="s">
        <v>114</v>
      </c>
      <c r="I7" s="120">
        <v>50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"NYKU8417026"&amp;AutoIncrement!$C$2</f>
        <v>NYKU8417026Z8s1</v>
      </c>
      <c r="Q7" s="8"/>
      <c r="R7" s="8"/>
      <c r="S7" s="8"/>
      <c r="T7" s="118"/>
      <c r="U7" s="118"/>
      <c r="V7" s="118"/>
      <c r="W7" s="222" t="s">
        <v>858</v>
      </c>
      <c r="X7" s="8" t="s">
        <v>517</v>
      </c>
      <c r="Y7" s="118">
        <v>100.001</v>
      </c>
      <c r="Z7" s="118">
        <v>100.001</v>
      </c>
      <c r="AA7" s="118">
        <v>100.001</v>
      </c>
      <c r="AB7" s="222" t="s">
        <v>864</v>
      </c>
      <c r="AC7" s="119" t="s">
        <v>525</v>
      </c>
      <c r="AD7" s="118">
        <v>10.000999999999999</v>
      </c>
      <c r="AE7" s="118">
        <v>10.000999999999999</v>
      </c>
      <c r="AF7" s="118">
        <v>10.000999999999999</v>
      </c>
      <c r="AG7" s="224" t="str">
        <f>'TC074'!$C$2</f>
        <v>sZ5s125-2310002</v>
      </c>
      <c r="AH7" s="116" t="s">
        <v>145</v>
      </c>
      <c r="AI7" s="8" t="str">
        <f>AutoIncrement!$B$2&amp;"SUP-PNATEST,20230605000000000000-1"</f>
        <v>Z8SUP-PNATEST,20230605000000000000-1</v>
      </c>
      <c r="AJ7" s="116" t="s">
        <v>518</v>
      </c>
      <c r="AK7" s="8"/>
      <c r="AL7" s="8"/>
      <c r="AM7" s="35">
        <v>10</v>
      </c>
      <c r="AN7" s="115">
        <v>200</v>
      </c>
    </row>
    <row r="8" spans="1:40">
      <c r="A8" s="113">
        <v>7</v>
      </c>
      <c r="B8" s="113" t="s">
        <v>145</v>
      </c>
      <c r="C8" s="114" t="str">
        <f>"o-MY-ELA-"&amp;AutoIncrement!B2&amp;"-"&amp;AutoIncrement!A2&amp;"-002"</f>
        <v>o-MY-ELA-Z8-19-002</v>
      </c>
      <c r="D8" s="113" t="str">
        <f t="shared" ca="1" si="0"/>
        <v>17 Nov 2023</v>
      </c>
      <c r="G8" s="8" t="str">
        <f>AutoIncrement!$B$2&amp;"ATEST202306050000000000002"</f>
        <v>Z8ATEST202306050000000000002</v>
      </c>
      <c r="H8" s="8" t="s">
        <v>114</v>
      </c>
      <c r="I8" s="120">
        <v>200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"NYKU8417026"&amp;AutoIncrement!$C$2</f>
        <v>NYKU8417026Z8s1</v>
      </c>
      <c r="Q8" s="8"/>
      <c r="R8" s="8"/>
      <c r="S8" s="8"/>
      <c r="T8" s="118"/>
      <c r="U8" s="118"/>
      <c r="V8" s="118"/>
      <c r="W8" s="222" t="s">
        <v>858</v>
      </c>
      <c r="X8" s="8" t="s">
        <v>517</v>
      </c>
      <c r="Y8" s="118">
        <v>100.001</v>
      </c>
      <c r="Z8" s="118">
        <v>100.001</v>
      </c>
      <c r="AA8" s="118">
        <v>100.001</v>
      </c>
      <c r="AB8" s="222" t="s">
        <v>865</v>
      </c>
      <c r="AC8" s="119" t="s">
        <v>530</v>
      </c>
      <c r="AD8" s="118">
        <v>20.001000000000001</v>
      </c>
      <c r="AE8" s="118">
        <v>20.001000000000001</v>
      </c>
      <c r="AF8" s="118">
        <v>20.001000000000001</v>
      </c>
      <c r="AG8" s="224" t="str">
        <f>'TC074'!$C$2</f>
        <v>sZ5s125-2310002</v>
      </c>
      <c r="AH8" s="116" t="s">
        <v>145</v>
      </c>
      <c r="AI8" s="8" t="str">
        <f>AutoIncrement!$B$2&amp;"SUP-PNATEST,20230605000000000000-2"</f>
        <v>Z8SUP-PNATEST,20230605000000000000-2</v>
      </c>
      <c r="AJ8" s="116" t="s">
        <v>523</v>
      </c>
      <c r="AK8" s="8"/>
      <c r="AL8" s="8"/>
      <c r="AM8" s="35">
        <v>10</v>
      </c>
      <c r="AN8" s="115">
        <v>200</v>
      </c>
    </row>
    <row r="9" spans="1:40">
      <c r="A9" s="113">
        <v>8</v>
      </c>
      <c r="B9" s="113" t="s">
        <v>145</v>
      </c>
      <c r="C9" s="114" t="str">
        <f>"o-MY-ELA-"&amp;AutoIncrement!B2&amp;"-"&amp;AutoIncrement!A2&amp;"-003"</f>
        <v>o-MY-ELA-Z8-19-003</v>
      </c>
      <c r="D9" s="113" t="str">
        <f t="shared" ca="1" si="0"/>
        <v>17 Nov 2023</v>
      </c>
      <c r="F9" s="113" t="str">
        <f>"Bs1-"&amp;AutoIncrement!B2&amp;"-"&amp;AutoIncrement!A2&amp;"-003"</f>
        <v>Bs1-Z8-19-003</v>
      </c>
      <c r="G9" s="8" t="str">
        <f>AutoIncrement!$B$2&amp;"pna1219AS1"</f>
        <v>Z8pna1219AS1</v>
      </c>
      <c r="H9" s="8" t="s">
        <v>20</v>
      </c>
      <c r="I9" s="120">
        <v>44000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 t="str">
        <f t="shared" ref="N9:N11" ca="1" si="3">TEXT(DATE(YEAR(TODAY()), MONTH(TODAY()), DAY(TODAY())+9), "dd MMM yyyy")</f>
        <v>26 Nov 2023</v>
      </c>
      <c r="O9" s="117" t="str">
        <f t="shared" ref="O9:O11" ca="1" si="4">TEXT(DATE(YEAR(TODAY()), MONTH(TODAY()), DAY(TODAY())+13), "dd MMM yyyy")</f>
        <v>30 Nov 2023</v>
      </c>
      <c r="P9" s="8" t="s">
        <v>529</v>
      </c>
      <c r="Q9" s="8" t="s">
        <v>527</v>
      </c>
      <c r="R9" s="8" t="s">
        <v>521</v>
      </c>
      <c r="S9" s="8" t="s">
        <v>531</v>
      </c>
      <c r="T9" s="118"/>
      <c r="U9" s="118"/>
      <c r="V9" s="118"/>
      <c r="W9" s="222" t="s">
        <v>859</v>
      </c>
      <c r="X9" s="8" t="s">
        <v>517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224" t="str">
        <f>'TC074'!$C$2</f>
        <v>sZ5s125-2310002</v>
      </c>
      <c r="AH9" s="116" t="s">
        <v>145</v>
      </c>
      <c r="AI9" s="8" t="str">
        <f>AutoIncrement!$B$2&amp;"pna-1219AS-1"</f>
        <v>Z8pna-1219AS-1</v>
      </c>
      <c r="AJ9" s="116" t="s">
        <v>249</v>
      </c>
      <c r="AK9" s="8"/>
      <c r="AL9" s="8"/>
      <c r="AM9" s="35">
        <v>22000</v>
      </c>
      <c r="AN9" s="115">
        <v>44000</v>
      </c>
    </row>
    <row r="10" spans="1:40">
      <c r="A10" s="113">
        <v>9</v>
      </c>
      <c r="B10" s="113" t="s">
        <v>145</v>
      </c>
      <c r="C10" s="114" t="str">
        <f>"o-MY-ELA-"&amp;AutoIncrement!B2&amp;"-"&amp;AutoIncrement!A2&amp;"-003"</f>
        <v>o-MY-ELA-Z8-19-003</v>
      </c>
      <c r="D10" s="113" t="str">
        <f t="shared" ca="1" si="0"/>
        <v>17 Nov 2023</v>
      </c>
      <c r="F10" s="113" t="str">
        <f>"Bs1-"&amp;AutoIncrement!B2&amp;"-"&amp;AutoIncrement!A2&amp;"-003"</f>
        <v>Bs1-Z8-19-003</v>
      </c>
      <c r="G10" s="8" t="str">
        <f>AutoIncrement!$B$2&amp;"pna1219AS1"</f>
        <v>Z8pna1219AS1</v>
      </c>
      <c r="H10" s="8" t="s">
        <v>20</v>
      </c>
      <c r="I10" s="120">
        <v>22000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 t="str">
        <f t="shared" ca="1" si="3"/>
        <v>26 Nov 2023</v>
      </c>
      <c r="O10" s="117" t="str">
        <f t="shared" ca="1" si="4"/>
        <v>30 Nov 2023</v>
      </c>
      <c r="P10" s="8" t="s">
        <v>532</v>
      </c>
      <c r="Q10" s="8"/>
      <c r="R10" s="8"/>
      <c r="S10" s="8"/>
      <c r="T10" s="118"/>
      <c r="U10" s="118"/>
      <c r="V10" s="118"/>
      <c r="W10" s="222" t="s">
        <v>860</v>
      </c>
      <c r="X10" s="8" t="s">
        <v>517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'TC079-AutoGen'!$A$2</f>
        <v>sZ5s125-2310003</v>
      </c>
      <c r="AH10" s="116" t="s">
        <v>145</v>
      </c>
      <c r="AI10" s="8" t="str">
        <f>AutoIncrement!$B$2&amp;"pna-1219AS-1"</f>
        <v>Z8pna-1219AS-1</v>
      </c>
      <c r="AJ10" s="116" t="s">
        <v>249</v>
      </c>
      <c r="AK10" s="8"/>
      <c r="AL10" s="8"/>
      <c r="AM10" s="35">
        <v>22000</v>
      </c>
      <c r="AN10" s="115">
        <v>44000</v>
      </c>
    </row>
    <row r="11" spans="1:40">
      <c r="A11" s="113">
        <v>10</v>
      </c>
      <c r="B11" s="113" t="s">
        <v>145</v>
      </c>
      <c r="C11" s="114" t="str">
        <f>"o-MY-ELA-"&amp;AutoIncrement!B2&amp;"-"&amp;AutoIncrement!A2&amp;"-003"</f>
        <v>o-MY-ELA-Z8-19-003</v>
      </c>
      <c r="D11" s="113" t="str">
        <f t="shared" ca="1" si="0"/>
        <v>17 Nov 2023</v>
      </c>
      <c r="F11" s="113" t="str">
        <f>"Bs1-"&amp;AutoIncrement!B2&amp;"-"&amp;AutoIncrement!A2&amp;"-003"</f>
        <v>Bs1-Z8-19-003</v>
      </c>
      <c r="G11" s="8" t="str">
        <f>AutoIncrement!$B$2&amp;"pna1219AS1"</f>
        <v>Z8pna1219AS1</v>
      </c>
      <c r="H11" s="8" t="s">
        <v>20</v>
      </c>
      <c r="I11" s="120">
        <v>22000</v>
      </c>
      <c r="J11" s="7" t="s">
        <v>515</v>
      </c>
      <c r="K11" s="8" t="s">
        <v>516</v>
      </c>
      <c r="L11" s="116" t="s">
        <v>98</v>
      </c>
      <c r="M11" s="116" t="s">
        <v>190</v>
      </c>
      <c r="N11" s="117" t="str">
        <f t="shared" ca="1" si="3"/>
        <v>26 Nov 2023</v>
      </c>
      <c r="O11" s="117" t="str">
        <f t="shared" ca="1" si="4"/>
        <v>30 Nov 2023</v>
      </c>
      <c r="P11" s="8" t="s">
        <v>533</v>
      </c>
      <c r="Q11" s="8"/>
      <c r="R11" s="8"/>
      <c r="S11" s="8"/>
      <c r="T11" s="118"/>
      <c r="U11" s="118"/>
      <c r="V11" s="118"/>
      <c r="W11" s="222" t="s">
        <v>861</v>
      </c>
      <c r="X11" s="8" t="s">
        <v>517</v>
      </c>
      <c r="Y11" s="118">
        <v>100.001</v>
      </c>
      <c r="Z11" s="118">
        <v>100.001</v>
      </c>
      <c r="AA11" s="118">
        <v>100.001</v>
      </c>
      <c r="AB11" s="8"/>
      <c r="AC11" s="119"/>
      <c r="AD11" s="118"/>
      <c r="AE11" s="118"/>
      <c r="AF11" s="118"/>
      <c r="AG11" s="116" t="str">
        <f>'TC079-AutoGen'!$A$2</f>
        <v>sZ5s125-2310003</v>
      </c>
      <c r="AH11" s="116" t="s">
        <v>145</v>
      </c>
      <c r="AI11" s="8" t="str">
        <f>AutoIncrement!$B$2&amp;"pna-1219AS-1"</f>
        <v>Z8pna-1219AS-1</v>
      </c>
      <c r="AJ11" s="116" t="s">
        <v>249</v>
      </c>
      <c r="AK11" s="8"/>
      <c r="AL11" s="8"/>
      <c r="AM11" s="35">
        <v>22000</v>
      </c>
      <c r="AN11" s="115">
        <v>44000</v>
      </c>
    </row>
  </sheetData>
  <dataValidations count="2">
    <dataValidation type="list" allowBlank="1" sqref="K2:K11" xr:uid="{D6495CDE-1D9D-4792-A88C-FA7FFD562EE5}">
      <formula1>"Outbound,Transfer"</formula1>
    </dataValidation>
    <dataValidation type="list" allowBlank="1" sqref="J2:J11" xr:uid="{B571BA12-472F-4FEF-A28D-5EC1CF764599}">
      <formula1>"Sea,Air,Truck,LCL,Hand Carry,Others"</formula1>
    </dataValidation>
  </dataValidation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B6C-5798-40BE-A0FC-991594C7AD59}">
  <dimension ref="A1:A4"/>
  <sheetViews>
    <sheetView workbookViewId="0"/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123" t="s">
        <v>535</v>
      </c>
    </row>
    <row r="2" spans="1:1" ht="14.4">
      <c r="A2" t="s">
        <v>828</v>
      </c>
    </row>
    <row r="3" spans="1:1" ht="14.4">
      <c r="A3" t="s">
        <v>829</v>
      </c>
    </row>
    <row r="4" spans="1:1" ht="14.4">
      <c r="A4" t="s">
        <v>830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05B-4F5A-4166-B093-0833F96A4169}">
  <dimension ref="A1:T7"/>
  <sheetViews>
    <sheetView workbookViewId="0">
      <selection activeCell="A6" sqref="A6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48.6640625" customWidth="1" collapsed="1"/>
    <col min="5" max="5" width="13.88671875" customWidth="1" collapsed="1"/>
    <col min="7" max="7" width="29.6640625" customWidth="1" collapsed="1"/>
    <col min="8" max="8" width="19.6640625" customWidth="1" collapsed="1"/>
    <col min="9" max="9" width="18.44140625" customWidth="1" collapsed="1"/>
    <col min="10" max="10" width="32.5546875" customWidth="1" collapsed="1"/>
    <col min="11" max="11" width="36.88671875" customWidth="1" collapsed="1"/>
    <col min="12" max="12" width="32.21875" customWidth="1" collapsed="1"/>
    <col min="13" max="13" width="34.6640625" customWidth="1" collapsed="1"/>
    <col min="14" max="14" width="27.109375" customWidth="1" collapsed="1"/>
    <col min="15" max="15" width="26.109375" customWidth="1" collapsed="1"/>
    <col min="16" max="16" width="28" customWidth="1" collapsed="1"/>
    <col min="17" max="17" width="35.6640625" customWidth="1" collapsed="1"/>
    <col min="18" max="18" width="28.109375" customWidth="1" collapsed="1"/>
    <col min="19" max="19" width="17.21875" customWidth="1" collapsed="1"/>
    <col min="20" max="20" width="29" customWidth="1" collapsed="1"/>
  </cols>
  <sheetData>
    <row r="1" spans="1:20" s="179" customFormat="1" ht="28.2" customHeight="1">
      <c r="A1" s="182" t="s">
        <v>653</v>
      </c>
      <c r="B1" s="182" t="s">
        <v>491</v>
      </c>
      <c r="C1" s="182" t="s">
        <v>544</v>
      </c>
      <c r="D1" s="183" t="s">
        <v>545</v>
      </c>
      <c r="E1" s="182" t="s">
        <v>546</v>
      </c>
      <c r="F1" s="182" t="s">
        <v>547</v>
      </c>
      <c r="G1" s="182" t="s">
        <v>548</v>
      </c>
      <c r="H1" s="182" t="s">
        <v>549</v>
      </c>
      <c r="I1" s="182" t="s">
        <v>550</v>
      </c>
      <c r="J1" s="182" t="s">
        <v>551</v>
      </c>
      <c r="K1" s="177" t="s">
        <v>552</v>
      </c>
      <c r="L1" s="182" t="s">
        <v>553</v>
      </c>
      <c r="M1" s="182" t="s">
        <v>554</v>
      </c>
      <c r="N1" s="182" t="s">
        <v>555</v>
      </c>
      <c r="O1" s="182" t="s">
        <v>560</v>
      </c>
      <c r="P1" s="182" t="s">
        <v>561</v>
      </c>
      <c r="Q1" s="182" t="s">
        <v>562</v>
      </c>
      <c r="R1" s="182" t="s">
        <v>560</v>
      </c>
      <c r="S1" s="182" t="s">
        <v>561</v>
      </c>
      <c r="T1" s="182" t="s">
        <v>562</v>
      </c>
    </row>
    <row r="2" spans="1:20" s="179" customFormat="1">
      <c r="A2" s="222" t="str">
        <f>"Bs1-"&amp;AutoIncrement!$B$2&amp;"-"&amp;AutoIncrement!$A$2&amp;"-001"</f>
        <v>Bs1-Z8-19-001</v>
      </c>
      <c r="B2" s="8" t="s">
        <v>519</v>
      </c>
      <c r="C2" s="101" t="s">
        <v>566</v>
      </c>
      <c r="D2" s="101" t="s">
        <v>567</v>
      </c>
      <c r="E2" s="101" t="s">
        <v>568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</row>
    <row r="3" spans="1:20" s="179" customFormat="1">
      <c r="A3" s="222" t="str">
        <f>"Bs1-"&amp;AutoIncrement!$B$2&amp;"-"&amp;AutoIncrement!A2&amp;"-001"</f>
        <v>Bs1-Z8-19-001</v>
      </c>
      <c r="B3" s="101"/>
      <c r="C3" s="101" t="s">
        <v>566</v>
      </c>
      <c r="D3" s="101" t="s">
        <v>567</v>
      </c>
      <c r="E3" s="101" t="s">
        <v>568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</row>
    <row r="4" spans="1:20">
      <c r="A4" s="222" t="str">
        <f>"Bs1-"&amp;AutoIncrement!$B$2&amp;"-"&amp;AutoIncrement!A2&amp;"-001"</f>
        <v>Bs1-Z8-19-001</v>
      </c>
      <c r="B4" s="8" t="s">
        <v>526</v>
      </c>
      <c r="C4" s="101" t="s">
        <v>566</v>
      </c>
      <c r="D4" s="101" t="s">
        <v>567</v>
      </c>
      <c r="E4" s="101" t="s">
        <v>568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</row>
    <row r="5" spans="1:20">
      <c r="A5" s="222" t="str">
        <f>"Bs1-"&amp;AutoIncrement!$B$2&amp;"-"&amp;AutoIncrement!$A$2&amp;"-003"</f>
        <v>Bs1-Z8-19-003</v>
      </c>
      <c r="B5" t="s">
        <v>573</v>
      </c>
      <c r="C5" s="101" t="s">
        <v>566</v>
      </c>
      <c r="D5" s="101" t="s">
        <v>567</v>
      </c>
      <c r="E5" s="101" t="s">
        <v>568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</row>
    <row r="6" spans="1:20">
      <c r="A6" s="222" t="str">
        <f>"Bs1-"&amp;AutoIncrement!$B$2&amp;"-"&amp;AutoIncrement!$A$2&amp;"-003"</f>
        <v>Bs1-Z8-19-003</v>
      </c>
      <c r="B6" t="s">
        <v>575</v>
      </c>
      <c r="C6" s="101" t="s">
        <v>566</v>
      </c>
      <c r="D6" s="101" t="s">
        <v>567</v>
      </c>
      <c r="E6" s="101" t="s">
        <v>568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</row>
    <row r="7" spans="1:20">
      <c r="A7" s="222" t="str">
        <f>"Bs1-"&amp;AutoIncrement!$B$2&amp;"-"&amp;AutoIncrement!$A$2&amp;"-003"</f>
        <v>Bs1-Z8-19-003</v>
      </c>
      <c r="B7" t="s">
        <v>576</v>
      </c>
      <c r="C7" s="101" t="s">
        <v>566</v>
      </c>
      <c r="D7" s="101" t="s">
        <v>567</v>
      </c>
      <c r="E7" s="101" t="s">
        <v>568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C5D5-D939-44D7-B78F-6BD0359354DA}">
  <dimension ref="A1:V2"/>
  <sheetViews>
    <sheetView zoomScale="85" zoomScaleNormal="85" workbookViewId="0">
      <selection activeCell="P34" sqref="P33:P34"/>
    </sheetView>
  </sheetViews>
  <sheetFormatPr defaultRowHeight="14.4"/>
  <cols>
    <col min="1" max="22" width="20.77734375" customWidth="1" collapsed="1"/>
  </cols>
  <sheetData>
    <row r="1" spans="1:2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</row>
    <row r="2" spans="1:22">
      <c r="A2" t="str">
        <f>'TC007-Setup Data'!B2</f>
        <v>PNABU-L3-Z8-019</v>
      </c>
      <c r="B2" t="s">
        <v>190</v>
      </c>
      <c r="C2" t="s">
        <v>99</v>
      </c>
      <c r="D2" t="s">
        <v>191</v>
      </c>
      <c r="E2" t="s">
        <v>99</v>
      </c>
      <c r="F2" t="s">
        <v>99</v>
      </c>
      <c r="G2" t="s">
        <v>165</v>
      </c>
      <c r="H2" t="s">
        <v>166</v>
      </c>
      <c r="I2" t="s">
        <v>99</v>
      </c>
      <c r="J2">
        <v>1</v>
      </c>
      <c r="K2">
        <v>2</v>
      </c>
      <c r="L2" t="str">
        <f>'TC007-Received Req Info'!F2</f>
        <v>Z8-19</v>
      </c>
      <c r="M2" t="str">
        <f>'TC007-Received Req Info'!G2</f>
        <v>CD-Z8-19</v>
      </c>
      <c r="N2" t="str">
        <f>'TC007-Received Req Info'!H2</f>
        <v>FN 60 DAYS-Z8(60 DAYS BY INV DATE)</v>
      </c>
      <c r="O2" t="str">
        <f>'TC003'!C2</f>
        <v>FN 60 DAYS-Z8</v>
      </c>
      <c r="P2" t="s">
        <v>144</v>
      </c>
      <c r="Q2" t="s">
        <v>167</v>
      </c>
      <c r="R2" t="s">
        <v>98</v>
      </c>
      <c r="S2" t="str">
        <f>'TC004'!A2</f>
        <v>PNDC-PNCUS-Z8</v>
      </c>
      <c r="T2" t="s">
        <v>148</v>
      </c>
      <c r="U2" t="s">
        <v>192</v>
      </c>
      <c r="V2" t="s">
        <v>193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CB5-7524-4686-9773-8E6D9D1A7695}">
  <dimension ref="A1:U9"/>
  <sheetViews>
    <sheetView workbookViewId="0">
      <selection activeCell="C16" sqref="C1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'TC049 autogen'!$A$2</f>
        <v>pZ525-2310003</v>
      </c>
      <c r="B2" s="222" t="str">
        <f>"Bs1-"&amp;AutoIncrement!$B$2&amp;"-"&amp;AutoIncrement!$A$2&amp;"-001"</f>
        <v>Bs1-Z8-19-001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'TC049 autogen'!$A$2</f>
        <v>pZ525-2310003</v>
      </c>
      <c r="B3" s="222" t="str">
        <f>"Bs1-"&amp;AutoIncrement!$B$2&amp;"-"&amp;AutoIncrement!$A$2&amp;"-001"</f>
        <v>Bs1-Z8-19-001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'TC049 autogen'!$A$2</f>
        <v>pZ525-2310003</v>
      </c>
      <c r="B4" s="222" t="str">
        <f>"Bs1-"&amp;AutoIncrement!$B$2&amp;"-"&amp;AutoIncrement!$A$2&amp;"-001"</f>
        <v>Bs1-Z8-19-001</v>
      </c>
      <c r="C4" s="8" t="s">
        <v>526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'TC073 AutoGen'!$A$2</f>
        <v>pZ525-2310005</v>
      </c>
      <c r="B5" s="222" t="str">
        <f>"Bs1-"&amp;AutoIncrement!$B$2&amp;"-"&amp;AutoIncrement!$A$2&amp;"-001"</f>
        <v>Bs1-Z8-19-001</v>
      </c>
      <c r="C5" s="8" t="s">
        <v>526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'TC073 AutoGen'!$A$2</f>
        <v>pZ525-2310005</v>
      </c>
      <c r="C6" t="str">
        <f>"NYKU8417026"&amp;AutoIncrement!$C$2</f>
        <v>NYKU8417026Z8s1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s="225" t="str">
        <f>'TC073 AutoGen'!$A$2</f>
        <v>pZ525-2310005</v>
      </c>
      <c r="B7" s="222" t="str">
        <f>"Bs1-"&amp;AutoIncrement!$B$2&amp;"-"&amp;AutoIncrement!$A$2&amp;"-003"</f>
        <v>Bs1-Z8-19-003</v>
      </c>
      <c r="C7" t="s">
        <v>573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'TC078-BU AutoGen PO'!$Q$2</f>
        <v>pZ5s125-2310001</v>
      </c>
      <c r="B8" s="222" t="str">
        <f>"Bs1-"&amp;AutoIncrement!$B$2&amp;"-"&amp;AutoIncrement!$A$2&amp;"-003"</f>
        <v>Bs1-Z8-19-003</v>
      </c>
      <c r="C8" s="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'TC078-BU AutoGen PO'!$Q$2</f>
        <v>pZ5s125-2310001</v>
      </c>
      <c r="B9" s="222" t="str">
        <f>"Bs1-"&amp;AutoIncrement!$B$2&amp;"-"&amp;AutoIncrement!$A$2&amp;"-003"</f>
        <v>Bs1-Z8-19-003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honeticPr fontId="25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8EF2-58D5-47CA-8B40-B3430F813A58}">
  <dimension ref="A1:U9"/>
  <sheetViews>
    <sheetView workbookViewId="0">
      <selection activeCell="A5" sqref="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'TC050-Sup1 SO List'!$A$2</f>
        <v>sZ5s125-2310001</v>
      </c>
      <c r="B2" s="222" t="str">
        <f>"Bs1-"&amp;AutoIncrement!$B$2&amp;"-"&amp;AutoIncrement!$A$2&amp;"-001"</f>
        <v>Bs1-Z8-19-001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'TC050-Sup1 SO List'!$A$2</f>
        <v>sZ5s125-2310001</v>
      </c>
      <c r="B3" s="222" t="str">
        <f>"Bs1-"&amp;AutoIncrement!$B$2&amp;"-"&amp;AutoIncrement!$A$2&amp;"-001"</f>
        <v>Bs1-Z8-19-001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'TC050-Sup1 SO List'!$A$2</f>
        <v>sZ5s125-2310001</v>
      </c>
      <c r="B4" s="222" t="str">
        <f>"Bs1-"&amp;AutoIncrement!$B$2&amp;"-"&amp;AutoIncrement!$A$2&amp;"-001"</f>
        <v>Bs1-Z8-19-001</v>
      </c>
      <c r="C4" t="s">
        <v>572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'TC074'!$C$2</f>
        <v>sZ5s125-2310002</v>
      </c>
      <c r="B5" s="222" t="str">
        <f>"Bs1-"&amp;AutoIncrement!$B$2&amp;"-"&amp;AutoIncrement!$A$2&amp;"-001"</f>
        <v>Bs1-Z8-19-001</v>
      </c>
      <c r="C5" t="s">
        <v>572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'TC074'!$C$2</f>
        <v>sZ5s125-2310002</v>
      </c>
      <c r="B6" s="222" t="str">
        <f>"Bs1-"&amp;AutoIncrement!$B$2&amp;"-"&amp;AutoIncrement!$A$2&amp;"-003"</f>
        <v>Bs1-Z8-19-003</v>
      </c>
      <c r="C6" t="s">
        <v>573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t="str">
        <f>'TC074'!$C$2</f>
        <v>sZ5s125-2310002</v>
      </c>
      <c r="C7" t="str">
        <f>"NYKU8417026"&amp;AutoIncrement!$C$2</f>
        <v>NYKU8417026Z8s1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'TC079-AutoGen'!$A$2</f>
        <v>sZ5s125-2310003</v>
      </c>
      <c r="B8" s="222" t="str">
        <f>"Bs1-"&amp;AutoIncrement!$B$2&amp;"-"&amp;AutoIncrement!$A$2&amp;"-003"</f>
        <v>Bs1-Z8-19-003</v>
      </c>
      <c r="C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'TC079-AutoGen'!$A$2</f>
        <v>sZ5s125-2310003</v>
      </c>
      <c r="B9" s="222" t="str">
        <f>"Bs1-"&amp;AutoIncrement!$B$2&amp;"-"&amp;AutoIncrement!$A$2&amp;"-003"</f>
        <v>Bs1-Z8-19-003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2A32-01E0-4918-9C26-41408CD57CE3}">
  <dimension ref="A1:L8"/>
  <sheetViews>
    <sheetView workbookViewId="0">
      <selection activeCell="D6" sqref="D6"/>
    </sheetView>
  </sheetViews>
  <sheetFormatPr defaultRowHeight="14.4"/>
  <cols>
    <col min="2" max="2" width="21.6640625" customWidth="1" collapsed="1"/>
    <col min="3" max="3" width="47.6640625" customWidth="1" collapsed="1"/>
    <col min="4" max="4" width="32.33203125" customWidth="1" collapsed="1"/>
    <col min="5" max="5" width="23.77734375" customWidth="1" collapsed="1"/>
    <col min="6" max="6" width="22.109375" customWidth="1" collapsed="1"/>
    <col min="7" max="8" width="14.33203125" customWidth="1" collapsed="1"/>
    <col min="10" max="10" width="22.109375" customWidth="1" collapsed="1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 ht="18" customHeight="1">
      <c r="A2">
        <v>1</v>
      </c>
      <c r="B2" s="114" t="str">
        <f>'TC102-Outbound No'!$B$2</f>
        <v>o-MY-ELA-SUP-231026001</v>
      </c>
      <c r="C2" s="222" t="str">
        <f>"Bs1-"&amp;AutoIncrement!$B$2&amp;"-"&amp;AutoIncrement!$A$2&amp;"-001"</f>
        <v>Bs1-Z8-19-001</v>
      </c>
      <c r="D2" s="101" t="s">
        <v>572</v>
      </c>
      <c r="E2" s="185"/>
      <c r="F2" t="s">
        <v>677</v>
      </c>
      <c r="G2" s="186">
        <f ca="1">TODAY()</f>
        <v>45247</v>
      </c>
      <c r="H2" s="186" t="s">
        <v>469</v>
      </c>
      <c r="I2" t="s">
        <v>697</v>
      </c>
      <c r="J2" s="186">
        <f ca="1">TODAY()</f>
        <v>45247</v>
      </c>
      <c r="K2" t="s">
        <v>698</v>
      </c>
      <c r="L2" t="s">
        <v>699</v>
      </c>
    </row>
    <row r="3" spans="1:12" ht="16.8" customHeight="1">
      <c r="A3">
        <v>1</v>
      </c>
      <c r="B3" s="114" t="str">
        <f>'TC102-Outbound No'!$B$2</f>
        <v>o-MY-ELA-SUP-231026001</v>
      </c>
      <c r="C3" s="222" t="str">
        <f>"Bs1-"&amp;AutoIncrement!$B$2&amp;"-"&amp;AutoIncrement!$A$2&amp;"-001"</f>
        <v>Bs1-Z8-19-001</v>
      </c>
      <c r="D3" s="101" t="s">
        <v>565</v>
      </c>
      <c r="F3" t="s">
        <v>677</v>
      </c>
      <c r="G3" s="186">
        <f t="shared" ref="G3:G8" ca="1" si="0">TODAY()</f>
        <v>45247</v>
      </c>
      <c r="H3" s="186" t="s">
        <v>756</v>
      </c>
      <c r="I3" t="s">
        <v>697</v>
      </c>
      <c r="J3" s="186">
        <f t="shared" ref="J3:J8" ca="1" si="1">TODAY()</f>
        <v>45247</v>
      </c>
      <c r="K3" t="s">
        <v>698</v>
      </c>
      <c r="L3" t="s">
        <v>699</v>
      </c>
    </row>
    <row r="4" spans="1:12" ht="15.6" customHeight="1">
      <c r="A4">
        <v>1</v>
      </c>
      <c r="B4" s="114" t="str">
        <f>'TC102-Outbound No'!$B$2</f>
        <v>o-MY-ELA-SUP-231026001</v>
      </c>
      <c r="C4" s="222" t="str">
        <f>"Bs1-"&amp;AutoIncrement!$B$2&amp;"-"&amp;AutoIncrement!$A$2&amp;"-001"</f>
        <v>Bs1-Z8-19-001</v>
      </c>
      <c r="F4" t="s">
        <v>677</v>
      </c>
      <c r="G4" s="186">
        <f t="shared" ca="1" si="0"/>
        <v>45247</v>
      </c>
      <c r="H4" s="186" t="s">
        <v>757</v>
      </c>
      <c r="I4" t="s">
        <v>697</v>
      </c>
      <c r="J4" s="186">
        <f t="shared" ca="1" si="1"/>
        <v>45247</v>
      </c>
      <c r="K4" t="s">
        <v>698</v>
      </c>
      <c r="L4" t="s">
        <v>699</v>
      </c>
    </row>
    <row r="5" spans="1:12">
      <c r="A5">
        <v>2</v>
      </c>
      <c r="B5" s="114" t="str">
        <f>'TC102-Outbound No'!$B$3</f>
        <v>o-MY-ELA-SUP-231026002</v>
      </c>
      <c r="D5" s="101" t="str">
        <f>"NYKU8417026"&amp;AutoIncrement!$C$2</f>
        <v>NYKU8417026Z8s1</v>
      </c>
      <c r="F5" t="s">
        <v>240</v>
      </c>
      <c r="G5" s="186">
        <f t="shared" ca="1" si="0"/>
        <v>45247</v>
      </c>
      <c r="H5" s="186" t="s">
        <v>758</v>
      </c>
      <c r="I5" t="s">
        <v>697</v>
      </c>
      <c r="J5" s="186">
        <f t="shared" ca="1" si="1"/>
        <v>45247</v>
      </c>
      <c r="K5" t="s">
        <v>698</v>
      </c>
      <c r="L5" t="s">
        <v>699</v>
      </c>
    </row>
    <row r="6" spans="1:12">
      <c r="A6">
        <v>3</v>
      </c>
      <c r="B6" s="114" t="str">
        <f>'TC102-Outbound No'!$B$4</f>
        <v>o-MY-ELA-SUP-231026003</v>
      </c>
      <c r="C6" s="222" t="str">
        <f>"Bs1-"&amp;AutoIncrement!$B$2&amp;"-"&amp;AutoIncrement!$A$2&amp;"-003"</f>
        <v>Bs1-Z8-19-003</v>
      </c>
      <c r="D6" s="101" t="s">
        <v>573</v>
      </c>
      <c r="F6" t="s">
        <v>240</v>
      </c>
      <c r="G6" s="186">
        <f t="shared" ca="1" si="0"/>
        <v>45247</v>
      </c>
      <c r="H6" s="186" t="s">
        <v>759</v>
      </c>
      <c r="I6" t="s">
        <v>697</v>
      </c>
      <c r="J6" s="186">
        <f t="shared" ca="1" si="1"/>
        <v>45247</v>
      </c>
      <c r="K6" t="s">
        <v>698</v>
      </c>
      <c r="L6" t="s">
        <v>699</v>
      </c>
    </row>
    <row r="7" spans="1:12">
      <c r="A7">
        <v>3</v>
      </c>
      <c r="B7" s="114" t="str">
        <f>'TC102-Outbound No'!$B$4</f>
        <v>o-MY-ELA-SUP-231026003</v>
      </c>
      <c r="C7" s="222" t="str">
        <f>"Bs1-"&amp;AutoIncrement!$B$2&amp;"-"&amp;AutoIncrement!$A$2&amp;"-003"</f>
        <v>Bs1-Z8-19-003</v>
      </c>
      <c r="D7" s="101" t="s">
        <v>576</v>
      </c>
      <c r="F7" t="s">
        <v>677</v>
      </c>
      <c r="G7" s="186">
        <f t="shared" ca="1" si="0"/>
        <v>45247</v>
      </c>
      <c r="H7" s="186" t="s">
        <v>760</v>
      </c>
      <c r="I7" t="s">
        <v>697</v>
      </c>
      <c r="J7" s="186">
        <f t="shared" ca="1" si="1"/>
        <v>45247</v>
      </c>
      <c r="K7" t="s">
        <v>698</v>
      </c>
      <c r="L7" t="s">
        <v>699</v>
      </c>
    </row>
    <row r="8" spans="1:12">
      <c r="A8">
        <v>3</v>
      </c>
      <c r="B8" s="114" t="str">
        <f>'TC102-Outbound No'!$B$4</f>
        <v>o-MY-ELA-SUP-231026003</v>
      </c>
      <c r="C8" s="222" t="str">
        <f>"Bs1-"&amp;AutoIncrement!$B$2&amp;"-"&amp;AutoIncrement!$A$2&amp;"-003"</f>
        <v>Bs1-Z8-19-003</v>
      </c>
      <c r="D8" s="101" t="s">
        <v>575</v>
      </c>
      <c r="F8" t="s">
        <v>677</v>
      </c>
      <c r="G8" s="186">
        <f t="shared" ca="1" si="0"/>
        <v>45247</v>
      </c>
      <c r="H8" s="186" t="s">
        <v>761</v>
      </c>
      <c r="I8" t="s">
        <v>697</v>
      </c>
      <c r="J8" s="186">
        <f t="shared" ca="1" si="1"/>
        <v>45247</v>
      </c>
      <c r="K8" t="s">
        <v>698</v>
      </c>
      <c r="L8" t="s">
        <v>699</v>
      </c>
    </row>
  </sheetData>
  <phoneticPr fontId="25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07CC-3397-4F78-B7C3-459C86C6EE52}">
  <sheetPr>
    <tabColor rgb="FFFF0000"/>
  </sheetPr>
  <dimension ref="A1:H2"/>
  <sheetViews>
    <sheetView workbookViewId="0">
      <selection activeCell="D2" sqref="D2:E2"/>
    </sheetView>
  </sheetViews>
  <sheetFormatPr defaultRowHeight="14.4"/>
  <cols>
    <col min="1" max="1" width="32.33203125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669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'TC074'!$C$2</f>
        <v>sZ5s125-2310002</v>
      </c>
      <c r="B2" s="99" t="str">
        <f>'TC051'!$F2</f>
        <v>Z8ATEST202306050000000000001</v>
      </c>
      <c r="C2" s="187">
        <v>150</v>
      </c>
      <c r="D2" s="241">
        <v>150</v>
      </c>
      <c r="E2" s="242"/>
      <c r="G2" s="174"/>
      <c r="H2" s="174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B103-B389-4B68-A6E8-D8B75D4E9B48}">
  <dimension ref="A1:B2"/>
  <sheetViews>
    <sheetView workbookViewId="0">
      <selection activeCell="A2" sqref="A2"/>
    </sheetView>
  </sheetViews>
  <sheetFormatPr defaultRowHeight="14.4"/>
  <cols>
    <col min="1" max="1" width="26.109375" customWidth="1" collapsed="1"/>
    <col min="2" max="2" width="25.77734375" customWidth="1" collapsed="1"/>
  </cols>
  <sheetData>
    <row r="1" spans="1:2">
      <c r="A1" s="197" t="s">
        <v>125</v>
      </c>
      <c r="B1" t="s">
        <v>714</v>
      </c>
    </row>
    <row r="2" spans="1:2">
      <c r="A2" t="s">
        <v>831</v>
      </c>
      <c r="B2" t="str">
        <f>'TC007-Received Req Info'!$Q$2</f>
        <v>CR-MY-PNA-CUS-2310033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AC01-A913-4C67-BBC4-61849005680C}">
  <sheetPr>
    <tabColor rgb="FFFF0000"/>
  </sheetPr>
  <dimension ref="A1:Z4"/>
  <sheetViews>
    <sheetView topLeftCell="D1" zoomScale="90" zoomScaleNormal="90" workbookViewId="0">
      <selection sqref="A1:V4"/>
    </sheetView>
  </sheetViews>
  <sheetFormatPr defaultColWidth="8.88671875" defaultRowHeight="13.8"/>
  <cols>
    <col min="1" max="2" width="30.77734375" style="1" customWidth="1" collapsed="1"/>
    <col min="3" max="26" width="20.77734375" style="1" customWidth="1" collapsed="1"/>
    <col min="27" max="16384" width="8.88671875" style="1" collapsed="1"/>
  </cols>
  <sheetData>
    <row r="1" spans="1:26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536</v>
      </c>
      <c r="R1" s="220" t="s">
        <v>462</v>
      </c>
      <c r="S1" s="220" t="s">
        <v>463</v>
      </c>
      <c r="T1" s="220" t="s">
        <v>464</v>
      </c>
      <c r="U1" s="220" t="s">
        <v>452</v>
      </c>
      <c r="V1" s="220" t="s">
        <v>453</v>
      </c>
      <c r="W1" s="220" t="s">
        <v>537</v>
      </c>
      <c r="X1" s="220" t="s">
        <v>454</v>
      </c>
      <c r="Y1" s="220" t="s">
        <v>455</v>
      </c>
      <c r="Z1" s="220" t="s">
        <v>456</v>
      </c>
    </row>
    <row r="2" spans="1:26">
      <c r="A2" s="8" t="str">
        <f>AutoIncrement!B2&amp;"ATEST202306050000000000001"</f>
        <v>Z8ATEST202306050000000000001</v>
      </c>
      <c r="B2" s="10" t="str">
        <f>AutoIncrement!B2&amp;"BU-PNATEST,20230605000000000000-1"</f>
        <v>Z8BU-PNATEST,20230605000000000000-1</v>
      </c>
      <c r="C2" s="46"/>
      <c r="D2" s="46" t="s">
        <v>145</v>
      </c>
      <c r="F2" s="7"/>
      <c r="G2" s="1" t="s">
        <v>114</v>
      </c>
      <c r="H2" s="1">
        <v>5</v>
      </c>
      <c r="I2" s="1">
        <v>20</v>
      </c>
      <c r="J2" s="50">
        <v>200</v>
      </c>
      <c r="K2" s="122">
        <v>150</v>
      </c>
      <c r="L2" s="1">
        <v>0</v>
      </c>
      <c r="M2" s="1" t="s">
        <v>457</v>
      </c>
      <c r="O2" s="1">
        <v>0</v>
      </c>
      <c r="P2" s="111">
        <v>200</v>
      </c>
      <c r="Q2" s="226">
        <v>0</v>
      </c>
      <c r="S2" s="123">
        <v>150</v>
      </c>
      <c r="T2" s="50"/>
      <c r="U2" s="111">
        <v>200</v>
      </c>
      <c r="V2" s="123">
        <v>150</v>
      </c>
    </row>
    <row r="3" spans="1:26" ht="26.4" customHeight="1">
      <c r="A3" s="40" t="str">
        <f>AutoIncrement!B2&amp;"ATEST202306050000000000002"</f>
        <v>Z8ATEST202306050000000000002</v>
      </c>
      <c r="B3" s="11" t="str">
        <f>AutoIncrement!B2&amp;"BU-PNATEST,20230605000000000000-2"</f>
        <v>Z8BU-PNATEST,20230605000000000000-2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200</v>
      </c>
      <c r="K3" s="50">
        <v>200</v>
      </c>
      <c r="L3" s="1">
        <v>0</v>
      </c>
      <c r="M3" s="1" t="s">
        <v>457</v>
      </c>
      <c r="O3" s="111">
        <v>200</v>
      </c>
      <c r="P3" s="226">
        <v>0</v>
      </c>
      <c r="Q3" s="1">
        <v>0</v>
      </c>
      <c r="R3" s="1">
        <v>200</v>
      </c>
      <c r="S3" s="111"/>
      <c r="T3" s="50"/>
      <c r="U3" s="1">
        <v>200</v>
      </c>
      <c r="V3" s="1">
        <v>200</v>
      </c>
      <c r="W3" s="111"/>
    </row>
    <row r="4" spans="1:26">
      <c r="A4" s="1" t="str">
        <f>AutoIncrement!B2&amp;"pna1219AS1"</f>
        <v>Z8pna1219AS1</v>
      </c>
      <c r="B4" s="1" t="str">
        <f>AutoIncrement!B2&amp;"pna-1219AS-1"</f>
        <v>Z8pna-1219AS-1</v>
      </c>
      <c r="C4" s="46"/>
      <c r="D4" s="46" t="s">
        <v>145</v>
      </c>
      <c r="F4" s="7"/>
      <c r="G4" s="1" t="s">
        <v>20</v>
      </c>
      <c r="H4" s="50">
        <v>44000</v>
      </c>
      <c r="I4" s="50">
        <v>22000</v>
      </c>
      <c r="J4" s="50">
        <v>44000</v>
      </c>
      <c r="K4" s="50">
        <v>44000</v>
      </c>
      <c r="L4" s="1">
        <v>0</v>
      </c>
      <c r="M4" s="1" t="s">
        <v>457</v>
      </c>
      <c r="O4" s="1">
        <v>0</v>
      </c>
      <c r="P4" s="1">
        <v>0</v>
      </c>
      <c r="Q4" s="111">
        <v>44000</v>
      </c>
      <c r="R4" s="111"/>
      <c r="S4" s="111"/>
      <c r="T4" s="111">
        <v>44000</v>
      </c>
      <c r="U4" s="111">
        <v>44000</v>
      </c>
      <c r="V4" s="111">
        <v>44000</v>
      </c>
      <c r="W4" s="111"/>
      <c r="X4" s="111"/>
      <c r="Y4" s="111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C165-BCED-4AB1-A5A6-10B871E92D6B}">
  <sheetPr>
    <tabColor rgb="FFFF0000"/>
  </sheetPr>
  <dimension ref="A1:Y4"/>
  <sheetViews>
    <sheetView zoomScale="90" zoomScaleNormal="90" workbookViewId="0">
      <selection activeCell="U9" sqref="U9"/>
    </sheetView>
  </sheetViews>
  <sheetFormatPr defaultColWidth="8.88671875" defaultRowHeight="13.8"/>
  <cols>
    <col min="1" max="1" width="19.77734375" style="1" customWidth="1" collapsed="1"/>
    <col min="2" max="3" width="30.77734375" style="1" customWidth="1" collapsed="1"/>
    <col min="4" max="25" width="20.77734375" style="1" customWidth="1" collapsed="1"/>
    <col min="26" max="16384" width="8.88671875" style="1" collapsed="1"/>
  </cols>
  <sheetData>
    <row r="1" spans="1:25">
      <c r="A1" s="1" t="s">
        <v>763</v>
      </c>
      <c r="B1" s="46" t="s">
        <v>339</v>
      </c>
      <c r="C1" s="46" t="s">
        <v>392</v>
      </c>
      <c r="D1" s="1" t="s">
        <v>397</v>
      </c>
      <c r="E1" s="46" t="s">
        <v>436</v>
      </c>
      <c r="F1" s="46" t="s">
        <v>399</v>
      </c>
      <c r="G1" s="46" t="s">
        <v>437</v>
      </c>
      <c r="H1" s="46" t="s">
        <v>105</v>
      </c>
      <c r="I1" s="46" t="s">
        <v>213</v>
      </c>
      <c r="J1" s="46" t="s">
        <v>418</v>
      </c>
      <c r="K1" s="46" t="s">
        <v>408</v>
      </c>
      <c r="L1" s="46" t="s">
        <v>137</v>
      </c>
      <c r="M1" s="46" t="s">
        <v>283</v>
      </c>
      <c r="N1" s="46" t="s">
        <v>438</v>
      </c>
      <c r="O1" s="46" t="s">
        <v>471</v>
      </c>
      <c r="P1" s="46" t="s">
        <v>472</v>
      </c>
      <c r="Q1" s="46" t="s">
        <v>473</v>
      </c>
      <c r="R1" s="46" t="s">
        <v>474</v>
      </c>
      <c r="S1" s="46" t="s">
        <v>475</v>
      </c>
      <c r="T1" s="46" t="s">
        <v>476</v>
      </c>
      <c r="U1" s="221" t="s">
        <v>477</v>
      </c>
      <c r="V1" s="221" t="s">
        <v>478</v>
      </c>
      <c r="W1" s="221" t="s">
        <v>479</v>
      </c>
      <c r="X1" s="221" t="s">
        <v>538</v>
      </c>
      <c r="Y1" s="221" t="s">
        <v>539</v>
      </c>
    </row>
    <row r="2" spans="1:25">
      <c r="A2" s="1" t="str">
        <f>'TC073 AutoGen'!$A$2</f>
        <v>pZ525-2310005</v>
      </c>
      <c r="B2" s="1" t="str">
        <f>AutoIncrement!B2&amp;"ATEST202306050000000000001"</f>
        <v>Z8ATEST202306050000000000001</v>
      </c>
      <c r="C2" s="1" t="str">
        <f>AutoIncrement!B2&amp;"BU-PNATEST,20230605000000000000-1"</f>
        <v>Z8BU-PNATEST,20230605000000000000-1</v>
      </c>
      <c r="F2" s="1" t="s">
        <v>145</v>
      </c>
      <c r="G2" s="1" t="s">
        <v>145</v>
      </c>
      <c r="H2" s="50">
        <v>5</v>
      </c>
      <c r="I2" s="50">
        <v>20</v>
      </c>
      <c r="J2" s="50">
        <v>150</v>
      </c>
      <c r="K2" s="112">
        <v>2.0019999999999998</v>
      </c>
      <c r="L2" s="1" t="s">
        <v>442</v>
      </c>
      <c r="M2" s="1" t="s">
        <v>540</v>
      </c>
      <c r="N2" s="50">
        <v>0</v>
      </c>
      <c r="O2" s="50">
        <v>0</v>
      </c>
      <c r="P2" s="50" t="s">
        <v>429</v>
      </c>
      <c r="Q2" s="1">
        <v>150</v>
      </c>
      <c r="R2" s="1" t="s">
        <v>429</v>
      </c>
      <c r="S2" s="1">
        <v>0</v>
      </c>
      <c r="T2" s="1" t="s">
        <v>429</v>
      </c>
      <c r="U2" s="1">
        <v>50</v>
      </c>
      <c r="V2" s="50">
        <v>100</v>
      </c>
      <c r="W2" s="1">
        <v>0</v>
      </c>
    </row>
    <row r="3" spans="1:25">
      <c r="B3" s="1" t="str">
        <f>AutoIncrement!B2&amp;"ATEST202306050000000000002"</f>
        <v>Z8ATEST202306050000000000002</v>
      </c>
      <c r="C3" s="1" t="str">
        <f>AutoIncrement!B2&amp;"BU-PNATEST,20230605000000000000-2"</f>
        <v>Z8BU-PNATEST,20230605000000000000-2</v>
      </c>
      <c r="F3" s="1" t="s">
        <v>145</v>
      </c>
      <c r="G3" s="1" t="s">
        <v>145</v>
      </c>
      <c r="H3" s="50">
        <v>10</v>
      </c>
      <c r="I3" s="50">
        <v>20</v>
      </c>
      <c r="J3" s="50">
        <v>200</v>
      </c>
      <c r="K3" s="50">
        <v>2</v>
      </c>
      <c r="L3" s="1" t="s">
        <v>442</v>
      </c>
      <c r="M3" s="1" t="s">
        <v>540</v>
      </c>
      <c r="N3" s="1">
        <v>0</v>
      </c>
      <c r="O3" s="50">
        <v>200</v>
      </c>
      <c r="P3" s="1" t="s">
        <v>429</v>
      </c>
      <c r="Q3" s="1">
        <v>0</v>
      </c>
      <c r="R3" s="1" t="s">
        <v>429</v>
      </c>
      <c r="S3" s="1">
        <v>0</v>
      </c>
      <c r="T3" s="1" t="s">
        <v>429</v>
      </c>
      <c r="U3" s="1">
        <v>200</v>
      </c>
      <c r="V3" s="50">
        <v>0</v>
      </c>
      <c r="W3" s="1">
        <v>0</v>
      </c>
    </row>
    <row r="4" spans="1:25">
      <c r="B4" s="1" t="str">
        <f>AutoIncrement!B2&amp;"pna1219AS1"</f>
        <v>Z8pna1219AS1</v>
      </c>
      <c r="C4" s="1" t="str">
        <f>AutoIncrement!B2&amp;"pna-1219AS-1"</f>
        <v>Z8pna-1219AS-1</v>
      </c>
      <c r="F4" s="1" t="s">
        <v>145</v>
      </c>
      <c r="G4" s="1" t="s">
        <v>145</v>
      </c>
      <c r="H4" s="111">
        <v>44000</v>
      </c>
      <c r="I4" s="111">
        <v>22000</v>
      </c>
      <c r="J4" s="111">
        <v>44000</v>
      </c>
      <c r="K4" s="112">
        <v>10.000999999999999</v>
      </c>
      <c r="L4" s="1" t="s">
        <v>442</v>
      </c>
      <c r="M4" s="1" t="s">
        <v>540</v>
      </c>
      <c r="N4" s="1">
        <v>0</v>
      </c>
      <c r="O4" s="1">
        <v>0</v>
      </c>
      <c r="P4" s="1" t="s">
        <v>429</v>
      </c>
      <c r="Q4" s="1">
        <v>0</v>
      </c>
      <c r="R4" s="1" t="s">
        <v>429</v>
      </c>
      <c r="S4" s="50">
        <v>44000</v>
      </c>
      <c r="T4" s="1" t="s">
        <v>429</v>
      </c>
      <c r="U4" s="50">
        <v>0</v>
      </c>
      <c r="V4" s="111">
        <v>44000</v>
      </c>
      <c r="W4" s="50">
        <v>0</v>
      </c>
      <c r="Y4" s="111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F5D2-C26D-4402-A9ED-3F62AA766FF7}">
  <sheetPr>
    <tabColor rgb="FFFF0000"/>
  </sheetPr>
  <dimension ref="A1:T4"/>
  <sheetViews>
    <sheetView workbookViewId="0">
      <selection activeCell="U1" sqref="U1:AL1048576"/>
    </sheetView>
  </sheetViews>
  <sheetFormatPr defaultRowHeight="14.4"/>
  <cols>
    <col min="1" max="1" width="28.77734375" customWidth="1" collapsed="1"/>
    <col min="2" max="2" width="37.88671875" customWidth="1" collapsed="1"/>
    <col min="3" max="3" width="14" customWidth="1" collapsed="1"/>
    <col min="4" max="5" width="38.109375" customWidth="1" collapsed="1"/>
    <col min="11" max="11" width="18.21875" customWidth="1" collapsed="1"/>
    <col min="12" max="13" width="17" customWidth="1" collapsed="1"/>
    <col min="14" max="14" width="29.21875" customWidth="1" collapsed="1"/>
  </cols>
  <sheetData>
    <row r="1" spans="1:20">
      <c r="A1" s="1" t="s">
        <v>284</v>
      </c>
      <c r="B1" s="1" t="s">
        <v>458</v>
      </c>
      <c r="C1" s="1" t="s">
        <v>414</v>
      </c>
      <c r="D1" s="1" t="s">
        <v>626</v>
      </c>
      <c r="E1" s="1" t="s">
        <v>128</v>
      </c>
      <c r="F1" s="1" t="s">
        <v>105</v>
      </c>
      <c r="G1" s="1" t="s">
        <v>417</v>
      </c>
      <c r="H1" s="1" t="s">
        <v>418</v>
      </c>
      <c r="I1" s="1" t="s">
        <v>408</v>
      </c>
      <c r="J1" s="1" t="s">
        <v>137</v>
      </c>
      <c r="K1" s="1" t="s">
        <v>283</v>
      </c>
      <c r="L1" s="1" t="s">
        <v>832</v>
      </c>
      <c r="M1" s="1" t="s">
        <v>833</v>
      </c>
      <c r="N1" s="1" t="s">
        <v>834</v>
      </c>
      <c r="O1" s="220" t="s">
        <v>835</v>
      </c>
      <c r="P1" s="220" t="s">
        <v>283</v>
      </c>
      <c r="Q1" s="220" t="s">
        <v>836</v>
      </c>
      <c r="R1" s="220" t="s">
        <v>283</v>
      </c>
      <c r="S1" s="220" t="s">
        <v>836</v>
      </c>
      <c r="T1" s="220" t="s">
        <v>283</v>
      </c>
    </row>
    <row r="2" spans="1:20">
      <c r="A2" s="8" t="str">
        <f>AutoIncrement!B2&amp;"ATEST202306050000000000001"</f>
        <v>Z8ATEST202306050000000000001</v>
      </c>
      <c r="B2" s="10" t="str">
        <f>AutoIncrement!B2&amp;"SUP-PNATEST,20230605000000000000-1"</f>
        <v>Z8SUP-PNATEST,20230605000000000000-1</v>
      </c>
      <c r="C2" s="46"/>
      <c r="D2" s="46" t="str">
        <f>'TC073 AutoGen'!$A$2</f>
        <v>pZ525-2310005</v>
      </c>
      <c r="E2" s="46" t="s">
        <v>99</v>
      </c>
      <c r="F2" s="1">
        <v>5</v>
      </c>
      <c r="G2" s="1">
        <v>20</v>
      </c>
      <c r="H2" s="122">
        <v>150</v>
      </c>
      <c r="I2" s="108">
        <v>2.0019999999999998</v>
      </c>
      <c r="J2" s="50" t="s">
        <v>442</v>
      </c>
      <c r="K2" s="1" t="s">
        <v>608</v>
      </c>
      <c r="L2" s="123">
        <v>150</v>
      </c>
      <c r="M2" s="123">
        <v>150</v>
      </c>
      <c r="N2" s="1">
        <v>0</v>
      </c>
      <c r="O2" s="1">
        <v>0</v>
      </c>
      <c r="P2" s="111" t="s">
        <v>429</v>
      </c>
      <c r="Q2" s="123">
        <v>150</v>
      </c>
      <c r="R2" s="111" t="s">
        <v>429</v>
      </c>
      <c r="S2" s="1">
        <v>0</v>
      </c>
      <c r="T2" s="111" t="s">
        <v>429</v>
      </c>
    </row>
    <row r="3" spans="1:20" ht="27.6">
      <c r="A3" s="40" t="str">
        <f>AutoIncrement!B2&amp;"ATEST202306050000000000002"</f>
        <v>Z8ATEST202306050000000000002</v>
      </c>
      <c r="B3" s="11" t="str">
        <f>AutoIncrement!B2&amp;"SUP-PNATEST,20230605000000000000-2"</f>
        <v>Z8SUP-PNATEST,20230605000000000000-2</v>
      </c>
      <c r="C3" s="46"/>
      <c r="D3" s="46" t="str">
        <f>'TC073 AutoGen'!$A$2</f>
        <v>pZ525-2310005</v>
      </c>
      <c r="E3" s="46" t="s">
        <v>99</v>
      </c>
      <c r="F3" s="1">
        <v>10</v>
      </c>
      <c r="G3" s="1">
        <v>20</v>
      </c>
      <c r="H3" s="50">
        <v>200</v>
      </c>
      <c r="I3" s="50">
        <v>2</v>
      </c>
      <c r="J3" s="50" t="s">
        <v>442</v>
      </c>
      <c r="K3" s="1" t="s">
        <v>608</v>
      </c>
      <c r="L3" s="1">
        <v>200</v>
      </c>
      <c r="M3" s="1">
        <v>200</v>
      </c>
      <c r="N3" s="1">
        <v>0</v>
      </c>
      <c r="O3" s="111">
        <v>200</v>
      </c>
      <c r="P3" s="111" t="s">
        <v>429</v>
      </c>
      <c r="Q3" s="1">
        <v>0</v>
      </c>
      <c r="R3" s="111" t="s">
        <v>429</v>
      </c>
      <c r="S3" s="1">
        <v>0</v>
      </c>
      <c r="T3" s="111" t="s">
        <v>429</v>
      </c>
    </row>
    <row r="4" spans="1:20">
      <c r="A4" s="1" t="str">
        <f>AutoIncrement!B2&amp;"pna1219AS1"</f>
        <v>Z8pna1219AS1</v>
      </c>
      <c r="B4" s="1" t="str">
        <f>AutoIncrement!B2&amp;"pna-1219AS-1"</f>
        <v>Z8pna-1219AS-1</v>
      </c>
      <c r="C4" s="46"/>
      <c r="D4" s="46" t="str">
        <f>'TC073 AutoGen'!$A$2</f>
        <v>pZ525-2310005</v>
      </c>
      <c r="E4" s="46" t="s">
        <v>99</v>
      </c>
      <c r="F4" s="50">
        <v>44000</v>
      </c>
      <c r="G4" s="50">
        <v>22000</v>
      </c>
      <c r="H4" s="50">
        <v>44000</v>
      </c>
      <c r="I4" s="108">
        <v>10.000999999999999</v>
      </c>
      <c r="J4" s="50" t="s">
        <v>442</v>
      </c>
      <c r="K4" s="1" t="s">
        <v>608</v>
      </c>
      <c r="L4" s="111">
        <v>44000</v>
      </c>
      <c r="M4" s="111">
        <v>44000</v>
      </c>
      <c r="N4" s="1">
        <v>0</v>
      </c>
      <c r="O4" s="1">
        <v>0</v>
      </c>
      <c r="P4" s="111" t="s">
        <v>429</v>
      </c>
      <c r="Q4" s="1">
        <v>0</v>
      </c>
      <c r="R4" s="111" t="s">
        <v>429</v>
      </c>
      <c r="S4" s="111">
        <v>44000</v>
      </c>
      <c r="T4" s="111" t="s">
        <v>429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4D6C-8937-4262-9A17-449567C69ECB}">
  <dimension ref="A1:B4"/>
  <sheetViews>
    <sheetView workbookViewId="0"/>
  </sheetViews>
  <sheetFormatPr defaultRowHeight="14.4"/>
  <cols>
    <col min="1" max="1" width="27.6640625" customWidth="1" collapsed="1"/>
    <col min="2" max="2" width="17.109375" customWidth="1" collapsed="1"/>
  </cols>
  <sheetData>
    <row r="1" spans="1:2">
      <c r="A1" s="200" t="s">
        <v>840</v>
      </c>
      <c r="B1" t="s">
        <v>839</v>
      </c>
    </row>
    <row r="2" spans="1:2">
      <c r="A2" t="s">
        <v>838</v>
      </c>
    </row>
    <row r="3" spans="1:2">
      <c r="A3" t="s">
        <v>837</v>
      </c>
      <c r="B3" s="8" t="str">
        <f>AutoIncrement!$B$2&amp;"pna45050040130"</f>
        <v>Z8pna45050040130</v>
      </c>
    </row>
    <row r="4" spans="1:2">
      <c r="A4" t="s">
        <v>821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93A5-47C4-4426-8436-519B2373A3BA}">
  <sheetPr>
    <tabColor rgb="FFFF0000"/>
  </sheetPr>
  <dimension ref="A1:AN10"/>
  <sheetViews>
    <sheetView zoomScale="90" zoomScaleNormal="90" workbookViewId="0">
      <selection activeCell="F14" sqref="F14"/>
    </sheetView>
  </sheetViews>
  <sheetFormatPr defaultColWidth="8.88671875" defaultRowHeight="13.8"/>
  <cols>
    <col min="1" max="1" width="8.88671875" style="113" collapsed="1"/>
    <col min="2" max="2" width="15.6640625" style="113" customWidth="1" collapsed="1"/>
    <col min="3" max="3" width="25.6640625" style="113" customWidth="1" collapsed="1"/>
    <col min="4" max="5" width="15.6640625" style="113" customWidth="1" collapsed="1"/>
    <col min="6" max="6" width="40" style="113" customWidth="1" collapsed="1"/>
    <col min="7" max="7" width="30.33203125" style="113" customWidth="1" collapsed="1"/>
    <col min="8" max="8" width="18.6640625" style="113" customWidth="1" collapsed="1"/>
    <col min="9" max="15" width="15.6640625" style="113" customWidth="1" collapsed="1"/>
    <col min="16" max="16" width="28.109375" style="113" customWidth="1" collapsed="1"/>
    <col min="17" max="22" width="15.6640625" style="113" customWidth="1" collapsed="1"/>
    <col min="23" max="23" width="29" style="113" customWidth="1" collapsed="1"/>
    <col min="24" max="27" width="15.6640625" style="113" customWidth="1" collapsed="1"/>
    <col min="28" max="28" width="33.109375" style="113" customWidth="1" collapsed="1"/>
    <col min="29" max="29" width="15.6640625" style="113" customWidth="1" collapsed="1"/>
    <col min="30" max="32" width="20.6640625" style="113" customWidth="1" collapsed="1"/>
    <col min="33" max="34" width="15.6640625" style="113" customWidth="1" collapsed="1"/>
    <col min="35" max="35" width="25.6640625" style="113" customWidth="1" collapsed="1"/>
    <col min="36" max="36" width="27.6640625" style="113" customWidth="1" collapsed="1"/>
    <col min="37" max="43" width="15.6640625" style="113" customWidth="1" collapsed="1"/>
    <col min="44" max="16384" width="8.88671875" style="113" collapsed="1"/>
  </cols>
  <sheetData>
    <row r="1" spans="1:40" ht="13.95" customHeight="1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150</v>
      </c>
      <c r="C2" s="227" t="str">
        <f>"o-JP-YAZ-"&amp;AutoIncrement!$B$2&amp;"-"&amp;AutoIncrement!$A$2&amp;"-001"</f>
        <v>o-JP-YAZ-Z8-19-001</v>
      </c>
      <c r="D2" s="113" t="str">
        <f ca="1">TEXT(DATE(YEAR(TODAY()), MONTH(TODAY()), DAY(TODAY())), "dd MMM yyyy")</f>
        <v>17 Nov 2023</v>
      </c>
      <c r="F2" s="113" t="str">
        <f>"Bs2-"&amp;AutoIncrement!$B$2&amp;"-"&amp;AutoIncrement!$A$2&amp;"-001"</f>
        <v>Bs2-Z8-19-001</v>
      </c>
      <c r="G2" s="8" t="str">
        <f>AutoIncrement!$B$2&amp;"pna18001404835"</f>
        <v>Z8pna18001404835</v>
      </c>
      <c r="H2" s="8" t="s">
        <v>13</v>
      </c>
      <c r="I2" s="115">
        <v>49500</v>
      </c>
      <c r="J2" s="7" t="s">
        <v>515</v>
      </c>
      <c r="K2" s="8" t="s">
        <v>516</v>
      </c>
      <c r="L2" s="116" t="s">
        <v>98</v>
      </c>
      <c r="M2" s="116" t="s">
        <v>190</v>
      </c>
      <c r="N2" s="117"/>
      <c r="O2" s="117"/>
      <c r="P2" s="8" t="s">
        <v>519</v>
      </c>
      <c r="Q2" s="8" t="s">
        <v>520</v>
      </c>
      <c r="R2" s="8" t="s">
        <v>521</v>
      </c>
      <c r="S2" s="8" t="s">
        <v>522</v>
      </c>
      <c r="T2" s="118">
        <v>1000.001</v>
      </c>
      <c r="U2" s="118">
        <v>1000.001</v>
      </c>
      <c r="V2" s="118">
        <v>1000.001</v>
      </c>
      <c r="W2" s="222" t="s">
        <v>848</v>
      </c>
      <c r="X2" s="8" t="s">
        <v>517</v>
      </c>
      <c r="Y2" s="118">
        <v>100.001</v>
      </c>
      <c r="Z2" s="118">
        <v>100.001</v>
      </c>
      <c r="AA2" s="118">
        <v>100.001</v>
      </c>
      <c r="AB2" s="222" t="s">
        <v>855</v>
      </c>
      <c r="AC2" s="119"/>
      <c r="AD2" s="118"/>
      <c r="AE2" s="118"/>
      <c r="AF2" s="118"/>
      <c r="AG2" s="116" t="str">
        <f>'TC114.1-Get SOid YAZ'!$A$2</f>
        <v>s25s225-2310002</v>
      </c>
      <c r="AH2" s="116" t="s">
        <v>150</v>
      </c>
      <c r="AI2" s="8" t="str">
        <f>AutoIncrement!$B$2&amp;"pna-18001404835"</f>
        <v>Z8pna-18001404835</v>
      </c>
      <c r="AJ2" s="116" t="s">
        <v>259</v>
      </c>
      <c r="AK2" s="8"/>
      <c r="AL2" s="8"/>
      <c r="AM2" s="35">
        <v>100</v>
      </c>
      <c r="AN2" s="115">
        <v>49500</v>
      </c>
    </row>
    <row r="3" spans="1:40">
      <c r="A3" s="113">
        <v>2</v>
      </c>
      <c r="B3" s="113" t="s">
        <v>150</v>
      </c>
      <c r="C3" s="227" t="str">
        <f>"o-JP-YAZ-"&amp;AutoIncrement!$B$2&amp;"-"&amp;AutoIncrement!$A$2&amp;"-001"</f>
        <v>o-JP-YAZ-Z8-19-001</v>
      </c>
      <c r="D3" s="113" t="str">
        <f t="shared" ref="D3:D5" ca="1" si="0">TEXT(DATE(YEAR(TODAY()), MONTH(TODAY()), DAY(TODAY())), "dd MMM yyyy")</f>
        <v>17 Nov 2023</v>
      </c>
      <c r="F3" s="113" t="str">
        <f>"Bs2-"&amp;AutoIncrement!B2&amp;"-"&amp;AutoIncrement!$A$2&amp;"-001"</f>
        <v>Bs2-Z8-19-001</v>
      </c>
      <c r="G3" s="8" t="str">
        <f>AutoIncrement!$B$2&amp;"pna18007703930"</f>
        <v>Z8pna18007703930</v>
      </c>
      <c r="H3" s="8" t="s">
        <v>13</v>
      </c>
      <c r="I3" s="115">
        <v>75000</v>
      </c>
      <c r="J3" s="7" t="s">
        <v>515</v>
      </c>
      <c r="K3" s="8" t="s">
        <v>516</v>
      </c>
      <c r="L3" s="116" t="s">
        <v>98</v>
      </c>
      <c r="M3" s="116" t="s">
        <v>190</v>
      </c>
      <c r="N3" s="117"/>
      <c r="O3" s="117"/>
      <c r="P3" s="8" t="s">
        <v>519</v>
      </c>
      <c r="Q3" s="8" t="s">
        <v>520</v>
      </c>
      <c r="R3" s="8" t="s">
        <v>521</v>
      </c>
      <c r="S3" s="8" t="s">
        <v>522</v>
      </c>
      <c r="T3" s="118">
        <v>1000.001</v>
      </c>
      <c r="U3" s="118">
        <v>1000.001</v>
      </c>
      <c r="V3" s="118">
        <v>1000.001</v>
      </c>
      <c r="W3" s="222" t="s">
        <v>849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855</v>
      </c>
      <c r="AC3" s="119"/>
      <c r="AD3" s="118"/>
      <c r="AE3" s="118"/>
      <c r="AF3" s="118"/>
      <c r="AG3" s="116" t="str">
        <f>'TC114.1-Get SOid YAZ'!$A$2</f>
        <v>s25s225-2310002</v>
      </c>
      <c r="AH3" s="116" t="s">
        <v>150</v>
      </c>
      <c r="AI3" s="8" t="str">
        <f>AutoIncrement!$B$2&amp;"pna-18007703930"</f>
        <v>Z8pna-18007703930</v>
      </c>
      <c r="AJ3" s="116" t="s">
        <v>261</v>
      </c>
      <c r="AK3" s="8"/>
      <c r="AL3" s="8"/>
      <c r="AM3" s="35">
        <v>1500</v>
      </c>
      <c r="AN3" s="115">
        <v>75000</v>
      </c>
    </row>
    <row r="4" spans="1:40">
      <c r="A4" s="113">
        <v>3</v>
      </c>
      <c r="B4" s="113" t="s">
        <v>150</v>
      </c>
      <c r="C4" s="227" t="str">
        <f>"o-JP-YAZ-"&amp;AutoIncrement!$B$2&amp;"-"&amp;AutoIncrement!$A$2&amp;"-001"</f>
        <v>o-JP-YAZ-Z8-19-001</v>
      </c>
      <c r="D4" s="113" t="str">
        <f t="shared" ca="1" si="0"/>
        <v>17 Nov 2023</v>
      </c>
      <c r="F4" s="113" t="str">
        <f>"Bs2-"&amp;AutoIncrement!$B$2&amp;"-"&amp;AutoIncrement!$A$2&amp;"-001"</f>
        <v>Bs2-Z8-19-001</v>
      </c>
      <c r="G4" s="8" t="str">
        <f>AutoIncrement!$B$2&amp;"pna45050040130"</f>
        <v>Z8pna45050040130</v>
      </c>
      <c r="H4" s="8" t="s">
        <v>13</v>
      </c>
      <c r="I4" s="115">
        <v>102000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/>
      <c r="O4" s="117"/>
      <c r="P4" s="8" t="s">
        <v>519</v>
      </c>
      <c r="Q4" s="8" t="s">
        <v>520</v>
      </c>
      <c r="R4" s="8" t="s">
        <v>521</v>
      </c>
      <c r="S4" s="8" t="s">
        <v>522</v>
      </c>
      <c r="T4" s="118">
        <v>1000.001</v>
      </c>
      <c r="U4" s="118">
        <v>1000.001</v>
      </c>
      <c r="V4" s="118">
        <v>1000.001</v>
      </c>
      <c r="W4" s="222" t="s">
        <v>850</v>
      </c>
      <c r="X4" s="8" t="s">
        <v>517</v>
      </c>
      <c r="Y4" s="118">
        <v>100.001</v>
      </c>
      <c r="Z4" s="118">
        <v>100.001</v>
      </c>
      <c r="AA4" s="118">
        <v>100.001</v>
      </c>
      <c r="AB4" s="222" t="s">
        <v>855</v>
      </c>
      <c r="AC4" s="119"/>
      <c r="AD4" s="118"/>
      <c r="AE4" s="118"/>
      <c r="AF4" s="118"/>
      <c r="AG4" s="116" t="str">
        <f>'TC114.1-Get SOid YAZ'!$A$2</f>
        <v>s25s225-2310002</v>
      </c>
      <c r="AH4" s="116" t="s">
        <v>150</v>
      </c>
      <c r="AI4" s="8" t="str">
        <f>AutoIncrement!$B$2&amp;"pna-45050040130"</f>
        <v>Z8pna-45050040130</v>
      </c>
      <c r="AJ4" s="116" t="s">
        <v>262</v>
      </c>
      <c r="AK4" s="8"/>
      <c r="AL4" s="8"/>
      <c r="AM4" s="35">
        <v>6000</v>
      </c>
      <c r="AN4" s="115">
        <v>102000</v>
      </c>
    </row>
    <row r="5" spans="1:40">
      <c r="A5" s="113">
        <v>4</v>
      </c>
      <c r="B5" s="113" t="s">
        <v>150</v>
      </c>
      <c r="C5" s="227" t="str">
        <f>"o-JP-YAZ-"&amp;AutoIncrement!$B$2&amp;"-"&amp;AutoIncrement!$A$2&amp;"-001"</f>
        <v>o-JP-YAZ-Z8-19-001</v>
      </c>
      <c r="D5" s="113" t="str">
        <f t="shared" ca="1" si="0"/>
        <v>17 Nov 2023</v>
      </c>
      <c r="F5" s="113" t="str">
        <f>"Bs2-"&amp;AutoIncrement!$B$2&amp;"-"&amp;AutoIncrement!$A$2&amp;"-001"</f>
        <v>Bs2-Z8-19-001</v>
      </c>
      <c r="G5" s="8" t="str">
        <f>AutoIncrement!$B$2&amp;"pnaNSL2BLACK"</f>
        <v>Z8pnaNSL2BLACK</v>
      </c>
      <c r="H5" s="8" t="s">
        <v>6</v>
      </c>
      <c r="I5" s="115">
        <v>140</v>
      </c>
      <c r="J5" s="7" t="s">
        <v>515</v>
      </c>
      <c r="K5" s="8" t="s">
        <v>516</v>
      </c>
      <c r="L5" s="116" t="s">
        <v>98</v>
      </c>
      <c r="M5" s="116" t="s">
        <v>190</v>
      </c>
      <c r="N5" s="117"/>
      <c r="O5" s="117"/>
      <c r="P5" s="8" t="s">
        <v>519</v>
      </c>
      <c r="Q5" s="8" t="s">
        <v>520</v>
      </c>
      <c r="R5" s="8" t="s">
        <v>521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851</v>
      </c>
      <c r="X5" s="8" t="s">
        <v>517</v>
      </c>
      <c r="Y5" s="118">
        <v>100.001</v>
      </c>
      <c r="Z5" s="118">
        <v>100.001</v>
      </c>
      <c r="AA5" s="118">
        <v>100.001</v>
      </c>
      <c r="AB5" s="222" t="s">
        <v>855</v>
      </c>
      <c r="AC5" s="119"/>
      <c r="AD5" s="118"/>
      <c r="AE5" s="118"/>
      <c r="AF5" s="118"/>
      <c r="AG5" s="116" t="str">
        <f>'TC114.1-Get SOid YAZ'!$A$2</f>
        <v>s25s225-2310002</v>
      </c>
      <c r="AH5" s="116" t="s">
        <v>150</v>
      </c>
      <c r="AI5" s="8" t="str">
        <f>AutoIncrement!$B$2&amp;"pna-NSL-2BLACK"</f>
        <v>Z8pna-NSL-2BLACK</v>
      </c>
      <c r="AJ5" s="116" t="s">
        <v>263</v>
      </c>
      <c r="AK5" s="8"/>
      <c r="AL5" s="8"/>
      <c r="AM5" s="35">
        <v>20</v>
      </c>
      <c r="AN5" s="115">
        <v>140</v>
      </c>
    </row>
    <row r="6" spans="1:40">
      <c r="A6" s="113">
        <v>5</v>
      </c>
      <c r="B6" s="113" t="s">
        <v>150</v>
      </c>
      <c r="C6" s="114" t="str">
        <f>"o-JP-YAZ-"&amp;AutoIncrement!$B$2&amp;"-"&amp;AutoIncrement!$A$2&amp;"-002"</f>
        <v>o-JP-YAZ-Z8-19-002</v>
      </c>
      <c r="D6" s="113" t="str">
        <f t="shared" ref="D6:D10" ca="1" si="1">TEXT(DATE(YEAR(TODAY()), MONTH(TODAY()), DAY(TODAY())), "dd MMM yyyy")</f>
        <v>17 Nov 2023</v>
      </c>
      <c r="G6" s="8" t="str">
        <f>AutoIncrement!$B$2&amp;"pna18001404835"</f>
        <v>Z8pna18001404835</v>
      </c>
      <c r="H6" s="8" t="s">
        <v>13</v>
      </c>
      <c r="I6" s="115">
        <v>49500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/>
      <c r="O6" s="117"/>
      <c r="P6" s="223" t="str">
        <f>"NYKU8417026"&amp;AutoIncrement!$D$2</f>
        <v>NYKU8417026Z8s2</v>
      </c>
      <c r="Q6" s="8"/>
      <c r="R6" s="8"/>
      <c r="S6" s="8"/>
      <c r="T6" s="118"/>
      <c r="U6" s="118"/>
      <c r="V6" s="118"/>
      <c r="W6" s="222" t="s">
        <v>852</v>
      </c>
      <c r="X6" s="8" t="s">
        <v>541</v>
      </c>
      <c r="Y6" s="118">
        <v>100.001</v>
      </c>
      <c r="Z6" s="118">
        <v>100.001</v>
      </c>
      <c r="AA6" s="118">
        <v>100.001</v>
      </c>
      <c r="AB6" s="8"/>
      <c r="AC6" s="119"/>
      <c r="AD6" s="118"/>
      <c r="AE6" s="118"/>
      <c r="AF6" s="118"/>
      <c r="AG6" s="116" t="str">
        <f>'TC114.1-Get SOid YAZ'!$A$3</f>
        <v>s25s225-2310001</v>
      </c>
      <c r="AH6" s="116" t="s">
        <v>150</v>
      </c>
      <c r="AI6" s="8" t="str">
        <f>AutoIncrement!$B$2&amp;"pna-18001404835"</f>
        <v>Z8pna-18001404835</v>
      </c>
      <c r="AJ6" s="116" t="s">
        <v>259</v>
      </c>
      <c r="AK6" s="8"/>
      <c r="AL6" s="8"/>
      <c r="AM6" s="35">
        <v>100</v>
      </c>
      <c r="AN6" s="115">
        <v>49500</v>
      </c>
    </row>
    <row r="7" spans="1:40">
      <c r="A7" s="113">
        <v>6</v>
      </c>
      <c r="B7" s="113" t="s">
        <v>150</v>
      </c>
      <c r="C7" s="114" t="str">
        <f>"o-JP-YAZ-"&amp;AutoIncrement!$B$2&amp;"-"&amp;AutoIncrement!$A$2&amp;"-002"</f>
        <v>o-JP-YAZ-Z8-19-002</v>
      </c>
      <c r="D7" s="113" t="str">
        <f t="shared" ca="1" si="1"/>
        <v>17 Nov 2023</v>
      </c>
      <c r="G7" s="8" t="str">
        <f>AutoIncrement!$B$2&amp;"pna45050040130"</f>
        <v>Z8pna45050040130</v>
      </c>
      <c r="H7" s="8" t="s">
        <v>13</v>
      </c>
      <c r="I7" s="115">
        <v>102000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"NYKU8417026"&amp;AutoIncrement!$D$2</f>
        <v>NYKU8417026Z8s2</v>
      </c>
      <c r="Q7" s="8"/>
      <c r="R7" s="8"/>
      <c r="S7" s="8"/>
      <c r="T7" s="118"/>
      <c r="U7" s="118"/>
      <c r="V7" s="118"/>
      <c r="W7" s="222" t="s">
        <v>853</v>
      </c>
      <c r="X7" s="8" t="s">
        <v>541</v>
      </c>
      <c r="Y7" s="118">
        <v>100.001</v>
      </c>
      <c r="Z7" s="118">
        <v>100.001</v>
      </c>
      <c r="AA7" s="118">
        <v>100.001</v>
      </c>
      <c r="AB7" s="8"/>
      <c r="AC7" s="119"/>
      <c r="AD7" s="118"/>
      <c r="AE7" s="118"/>
      <c r="AF7" s="118"/>
      <c r="AG7" s="116" t="str">
        <f>'TC114.1-Get SOid YAZ'!$A$3</f>
        <v>s25s225-2310001</v>
      </c>
      <c r="AH7" s="116" t="s">
        <v>150</v>
      </c>
      <c r="AI7" s="8" t="str">
        <f>AutoIncrement!$B$2&amp;"pna-45050040130"</f>
        <v>Z8pna-45050040130</v>
      </c>
      <c r="AJ7" s="116" t="s">
        <v>262</v>
      </c>
      <c r="AK7" s="8"/>
      <c r="AL7" s="8"/>
      <c r="AM7" s="35">
        <v>6000</v>
      </c>
      <c r="AN7" s="115">
        <v>102000</v>
      </c>
    </row>
    <row r="8" spans="1:40">
      <c r="A8" s="113">
        <v>7</v>
      </c>
      <c r="B8" s="113" t="s">
        <v>150</v>
      </c>
      <c r="C8" s="114" t="str">
        <f>"o-JP-YAZ-"&amp;AutoIncrement!$B$2&amp;"-"&amp;AutoIncrement!$A$2&amp;"-003"</f>
        <v>o-JP-YAZ-Z8-19-003</v>
      </c>
      <c r="D8" s="113" t="str">
        <f t="shared" ca="1" si="1"/>
        <v>17 Nov 2023</v>
      </c>
      <c r="G8" s="8" t="str">
        <f>AutoIncrement!$B$2&amp;"pna18007703930"</f>
        <v>Z8pna18007703930</v>
      </c>
      <c r="H8" s="8" t="s">
        <v>13</v>
      </c>
      <c r="I8" s="238">
        <v>1500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"JP-YAZ-C-230608001-"&amp;AutoIncrement!$D$2</f>
        <v>JP-YAZ-C-230608001-Z8s2</v>
      </c>
      <c r="Q8" s="8"/>
      <c r="R8" s="8"/>
      <c r="S8" s="8"/>
      <c r="T8" s="118"/>
      <c r="U8" s="118"/>
      <c r="V8" s="118"/>
      <c r="W8" s="222" t="s">
        <v>854</v>
      </c>
      <c r="X8" s="8" t="s">
        <v>541</v>
      </c>
      <c r="Y8" s="118">
        <v>100.001</v>
      </c>
      <c r="Z8" s="118">
        <v>100.001</v>
      </c>
      <c r="AA8" s="118">
        <v>100.001</v>
      </c>
      <c r="AB8" s="8"/>
      <c r="AC8" s="119"/>
      <c r="AD8" s="118"/>
      <c r="AE8" s="118"/>
      <c r="AF8" s="118"/>
      <c r="AG8" s="116" t="str">
        <f>'TC114.1-Get SOid YAZ'!$A$4</f>
        <v>s25s225-2310003</v>
      </c>
      <c r="AH8" s="116" t="s">
        <v>150</v>
      </c>
      <c r="AI8" s="8" t="str">
        <f>AutoIncrement!$B$2&amp;"pna-18007703930"</f>
        <v>Z8pna-18007703930</v>
      </c>
      <c r="AJ8" s="116" t="s">
        <v>261</v>
      </c>
      <c r="AK8" s="8"/>
      <c r="AL8" s="8"/>
      <c r="AM8" s="35">
        <v>1500</v>
      </c>
      <c r="AN8" s="238">
        <v>1500</v>
      </c>
    </row>
    <row r="9" spans="1:40">
      <c r="A9" s="113">
        <v>8</v>
      </c>
      <c r="B9" s="113" t="s">
        <v>150</v>
      </c>
      <c r="C9" s="114" t="str">
        <f>"o-JP-YAZ-"&amp;AutoIncrement!$B$2&amp;"-"&amp;AutoIncrement!$A$2&amp;"-003"</f>
        <v>o-JP-YAZ-Z8-19-003</v>
      </c>
      <c r="D9" s="113" t="str">
        <f t="shared" ca="1" si="1"/>
        <v>17 Nov 2023</v>
      </c>
      <c r="G9" s="8" t="str">
        <f>AutoIncrement!$B$2&amp;"pna45050040130"</f>
        <v>Z8pna45050040130</v>
      </c>
      <c r="H9" s="8" t="s">
        <v>13</v>
      </c>
      <c r="I9" s="115">
        <v>6000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/>
      <c r="O9" s="117"/>
      <c r="P9" s="223" t="str">
        <f>"JP-YAZ-C-230608001-"&amp;AutoIncrement!$D$2</f>
        <v>JP-YAZ-C-230608001-Z8s2</v>
      </c>
      <c r="Q9" s="8"/>
      <c r="R9" s="8"/>
      <c r="S9" s="8"/>
      <c r="T9" s="118"/>
      <c r="U9" s="118"/>
      <c r="V9" s="118"/>
      <c r="W9" s="222" t="s">
        <v>854</v>
      </c>
      <c r="X9" s="8" t="s">
        <v>541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116" t="str">
        <f>'TC114.1-Get SOid YAZ'!$A$4</f>
        <v>s25s225-2310003</v>
      </c>
      <c r="AH9" s="116" t="s">
        <v>150</v>
      </c>
      <c r="AI9" s="8" t="str">
        <f>AutoIncrement!$B$2&amp;"pna-45050040130"</f>
        <v>Z8pna-45050040130</v>
      </c>
      <c r="AJ9" s="116" t="s">
        <v>262</v>
      </c>
      <c r="AK9" s="8"/>
      <c r="AL9" s="8"/>
      <c r="AM9" s="35">
        <v>6000</v>
      </c>
      <c r="AN9" s="115">
        <v>6000</v>
      </c>
    </row>
    <row r="10" spans="1:40">
      <c r="A10" s="113">
        <v>9</v>
      </c>
      <c r="B10" s="113" t="s">
        <v>150</v>
      </c>
      <c r="C10" s="114" t="str">
        <f>"o-JP-YAZ-"&amp;AutoIncrement!$B$2&amp;"-"&amp;AutoIncrement!$A$2&amp;"-003"</f>
        <v>o-JP-YAZ-Z8-19-003</v>
      </c>
      <c r="D10" s="113" t="str">
        <f t="shared" ca="1" si="1"/>
        <v>17 Nov 2023</v>
      </c>
      <c r="G10" s="8" t="str">
        <f>AutoIncrement!$B$2&amp;"pnaNSL2BLACK"</f>
        <v>Z8pnaNSL2BLACK</v>
      </c>
      <c r="H10" s="8" t="s">
        <v>6</v>
      </c>
      <c r="I10" s="115">
        <v>200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/>
      <c r="O10" s="117"/>
      <c r="P10" s="223" t="str">
        <f>"EGSU9073529"&amp;AutoIncrement!$D$2</f>
        <v>EGSU9073529Z8s2</v>
      </c>
      <c r="Q10" s="8"/>
      <c r="R10" s="8"/>
      <c r="S10" s="8"/>
      <c r="T10" s="118"/>
      <c r="U10" s="118"/>
      <c r="V10" s="118"/>
      <c r="W10" s="222" t="s">
        <v>854</v>
      </c>
      <c r="X10" s="8" t="s">
        <v>541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'TC114.1-Get SOid YAZ'!$A$4</f>
        <v>s25s225-2310003</v>
      </c>
      <c r="AH10" s="116" t="s">
        <v>150</v>
      </c>
      <c r="AI10" s="8" t="str">
        <f>AutoIncrement!$B$2&amp;"pna-NSL-2BLACK"</f>
        <v>Z8pna-NSL-2BLACK</v>
      </c>
      <c r="AJ10" s="116" t="s">
        <v>263</v>
      </c>
      <c r="AK10" s="8"/>
      <c r="AL10" s="8"/>
      <c r="AM10" s="35">
        <v>20</v>
      </c>
      <c r="AN10" s="115">
        <v>200</v>
      </c>
    </row>
  </sheetData>
  <dataValidations count="2">
    <dataValidation type="list" allowBlank="1" sqref="J2:J10" xr:uid="{8C6598E8-AA46-4766-8C78-8325723E0941}">
      <formula1>"Sea,Air,Truck,LCL,Hand Carry,Others"</formula1>
    </dataValidation>
    <dataValidation type="list" allowBlank="1" sqref="K2:K10" xr:uid="{726610D5-EBDD-455D-BB13-EDC74C7383D0}">
      <formula1>"Outbound,Transfer"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56DA-28EC-43B6-9580-F567F3D27FAB}">
  <dimension ref="A1:AF8"/>
  <sheetViews>
    <sheetView topLeftCell="C1" zoomScale="80" zoomScaleNormal="80" workbookViewId="0">
      <selection activeCell="E5" sqref="E5"/>
    </sheetView>
  </sheetViews>
  <sheetFormatPr defaultRowHeight="14.4"/>
  <cols>
    <col min="1" max="5" width="30.77734375" customWidth="1" collapsed="1"/>
    <col min="6" max="25" width="15.77734375" customWidth="1" collapsed="1"/>
    <col min="26" max="26" width="15.77734375" style="26" customWidth="1" collapsed="1"/>
    <col min="27" max="32" width="15.77734375" customWidth="1" collapsed="1"/>
  </cols>
  <sheetData>
    <row r="1" spans="1:32" ht="21.6" customHeight="1">
      <c r="A1" t="s">
        <v>194</v>
      </c>
      <c r="B1" t="s">
        <v>195</v>
      </c>
      <c r="C1" t="s">
        <v>196</v>
      </c>
      <c r="D1" t="s">
        <v>197</v>
      </c>
      <c r="E1" s="24" t="s">
        <v>198</v>
      </c>
      <c r="F1" t="s">
        <v>199</v>
      </c>
      <c r="G1" t="s">
        <v>130</v>
      </c>
      <c r="H1" t="s">
        <v>200</v>
      </c>
      <c r="I1" t="s">
        <v>201</v>
      </c>
      <c r="J1" s="25" t="s">
        <v>202</v>
      </c>
      <c r="K1" s="25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105</v>
      </c>
      <c r="W1" t="s">
        <v>214</v>
      </c>
      <c r="X1" t="s">
        <v>215</v>
      </c>
      <c r="Y1" t="s">
        <v>216</v>
      </c>
      <c r="Z1" s="26" t="s">
        <v>106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s="24" t="s">
        <v>222</v>
      </c>
    </row>
    <row r="2" spans="1:32">
      <c r="A2" t="str">
        <f>'TC007-Contract Parts Info'!B2</f>
        <v>Z8CUS-PNATEST,20230605000000000000-1</v>
      </c>
      <c r="B2" t="str">
        <f>'TC007-Contract Parts Info'!D2</f>
        <v>Z8ATEST202306050000000000001</v>
      </c>
      <c r="C2" t="str">
        <f>'TC007-Contract Parts Info'!C2</f>
        <v>Z8BU-PNATEST,20230605000000000000-1</v>
      </c>
      <c r="D2" t="str">
        <f>'TC007-Contract Parts Info'!B2</f>
        <v>Z8CUS-PNATEST,20230605000000000000-1</v>
      </c>
      <c r="E2" s="27" t="str">
        <f>'TC005-Req to Parts Master'!D2</f>
        <v>[Unit Parts Description]:FNCUS-PNATEST,20230605000000000000-1</v>
      </c>
      <c r="F2" t="s">
        <v>4</v>
      </c>
      <c r="G2" s="14" t="str">
        <f>'TC007-Contract Parts Info'!H2</f>
        <v>Non Repacking</v>
      </c>
      <c r="H2">
        <v>0</v>
      </c>
      <c r="I2" s="20">
        <f>'TC007-Contract Parts Info'!I2</f>
        <v>0.25</v>
      </c>
      <c r="J2" s="20">
        <f>'TC007-Contract Parts Info'!J2</f>
        <v>0.2</v>
      </c>
      <c r="K2" s="20">
        <f>'TC007-Contract Parts Info'!K2</f>
        <v>0.2</v>
      </c>
      <c r="L2" s="22">
        <f>'TC007-Contract Parts Info'!U2</f>
        <v>0.02</v>
      </c>
      <c r="M2" s="28" t="str">
        <f ca="1">TEXT(DATE(YEAR(TODAY()), MONTH(TODAY()), DAY(TODAY())), "mmm d, yyyy")</f>
        <v>Nov 17, 2023</v>
      </c>
      <c r="U2" s="16">
        <f>'TC007-Contract Parts Info'!O2</f>
        <v>20</v>
      </c>
      <c r="V2" s="16">
        <f>'TC007-Contract Parts Info'!P2</f>
        <v>10</v>
      </c>
      <c r="W2" s="8" t="str">
        <f>'TC007-Contract Parts Info'!L2</f>
        <v>KG</v>
      </c>
      <c r="X2" s="8" t="str">
        <f>'TC007-Contract Parts Info'!M2</f>
        <v>KG</v>
      </c>
      <c r="Y2" s="29">
        <f>'TC007-Contract Parts Info'!N2</f>
        <v>1</v>
      </c>
      <c r="Z2" s="22">
        <f>'TC007-Contract Parts Info'!Q2</f>
        <v>1.1100000000000001</v>
      </c>
      <c r="AA2">
        <v>0</v>
      </c>
      <c r="AB2">
        <v>0</v>
      </c>
      <c r="AC2">
        <v>0</v>
      </c>
      <c r="AD2" s="22">
        <f>'TC007-Contract Parts Info'!R2</f>
        <v>1.1100000000000001</v>
      </c>
      <c r="AE2" s="22">
        <f>'TC007-Contract Parts Info'!S2</f>
        <v>1.1100000000000001</v>
      </c>
    </row>
    <row r="3" spans="1:32">
      <c r="A3" t="str">
        <f>'TC007-Contract Parts Info'!B3</f>
        <v>Z8CUS-PNATEST,20230605000000000000-2</v>
      </c>
      <c r="B3" t="str">
        <f>'TC007-Contract Parts Info'!D3</f>
        <v>Z8ATEST202306050000000000002</v>
      </c>
      <c r="C3" t="str">
        <f>'TC007-Contract Parts Info'!C3</f>
        <v>Z8BU-PNATEST,20230605000000000000-2</v>
      </c>
      <c r="D3" t="str">
        <f>'TC007-Contract Parts Info'!B3</f>
        <v>Z8CUS-PNATEST,20230605000000000000-2</v>
      </c>
      <c r="E3" s="27" t="str">
        <f>'TC005-Req to Parts Master'!D3</f>
        <v>[Unit Parts Description]:FNCUS-PNATEST,20230605000000000000-2</v>
      </c>
      <c r="F3" t="s">
        <v>4</v>
      </c>
      <c r="G3" s="14" t="str">
        <f>'TC007-Contract Parts Info'!H3</f>
        <v>Non Repacking</v>
      </c>
      <c r="H3">
        <v>0</v>
      </c>
      <c r="I3" s="20">
        <f>'TC007-Contract Parts Info'!I3</f>
        <v>0.25</v>
      </c>
      <c r="J3" s="20">
        <f>'TC007-Contract Parts Info'!J3</f>
        <v>0.2</v>
      </c>
      <c r="K3" s="20">
        <f>'TC007-Contract Parts Info'!K3</f>
        <v>0.2</v>
      </c>
      <c r="L3" s="22">
        <f>'TC007-Contract Parts Info'!U3</f>
        <v>12.85</v>
      </c>
      <c r="M3" s="28" t="str">
        <f t="shared" ref="M3:M8" ca="1" si="0">TEXT(DATE(YEAR(TODAY()), MONTH(TODAY()), DAY(TODAY())), "mmm d, yyyy")</f>
        <v>Nov 17, 2023</v>
      </c>
      <c r="U3" s="16">
        <f>'TC007-Contract Parts Info'!O3</f>
        <v>20</v>
      </c>
      <c r="V3" s="16">
        <f>'TC007-Contract Parts Info'!P3</f>
        <v>10</v>
      </c>
      <c r="W3" s="8" t="str">
        <f>'TC007-Contract Parts Info'!L3</f>
        <v>KG</v>
      </c>
      <c r="X3" s="8" t="str">
        <f>'TC007-Contract Parts Info'!M3</f>
        <v>KG</v>
      </c>
      <c r="Y3" s="29">
        <f>'TC007-Contract Parts Info'!N3</f>
        <v>1</v>
      </c>
      <c r="Z3" s="22">
        <f>'TC007-Contract Parts Info'!Q3</f>
        <v>1.1100000000000001</v>
      </c>
      <c r="AA3">
        <v>0</v>
      </c>
      <c r="AB3">
        <v>0</v>
      </c>
      <c r="AC3">
        <v>0</v>
      </c>
      <c r="AD3" s="22">
        <f>'TC007-Contract Parts Info'!R3</f>
        <v>1.1100000000000001</v>
      </c>
      <c r="AE3" s="22">
        <f>'TC007-Contract Parts Info'!S3</f>
        <v>1.1100000000000001</v>
      </c>
    </row>
    <row r="4" spans="1:32">
      <c r="A4" t="str">
        <f>'TC007-Contract Parts Info'!B4</f>
        <v>Z8pna-1219AS-1</v>
      </c>
      <c r="B4" t="str">
        <f>'TC007-Contract Parts Info'!D4</f>
        <v>Z8pna1219AS1</v>
      </c>
      <c r="C4" t="str">
        <f>'TC007-Contract Parts Info'!C4</f>
        <v>Z8pna-1219AS-1</v>
      </c>
      <c r="D4" t="str">
        <f>'TC007-Contract Parts Info'!B4</f>
        <v>Z8pna-1219AS-1</v>
      </c>
      <c r="E4" s="27" t="str">
        <f>'TC005-Req to Parts Master'!D4</f>
        <v>TERM- TERMINAL</v>
      </c>
      <c r="F4" t="s">
        <v>4</v>
      </c>
      <c r="G4" s="14" t="str">
        <f>'TC007-Contract Parts Info'!H4</f>
        <v>Inner Repacking</v>
      </c>
      <c r="H4">
        <v>0</v>
      </c>
      <c r="I4" s="20">
        <f>'TC007-Contract Parts Info'!I4</f>
        <v>0.25</v>
      </c>
      <c r="J4" s="20">
        <f>'TC007-Contract Parts Info'!J4</f>
        <v>0.2</v>
      </c>
      <c r="K4" s="20">
        <f>'TC007-Contract Parts Info'!K4</f>
        <v>0.2</v>
      </c>
      <c r="L4" s="22">
        <f>'TC007-Contract Parts Info'!U4</f>
        <v>0.23</v>
      </c>
      <c r="M4" s="28" t="str">
        <f t="shared" ca="1" si="0"/>
        <v>Nov 17, 2023</v>
      </c>
      <c r="U4" s="16">
        <f>'TC007-Contract Parts Info'!O4</f>
        <v>22000</v>
      </c>
      <c r="V4" s="16">
        <f>'TC007-Contract Parts Info'!P4</f>
        <v>22000</v>
      </c>
      <c r="W4" s="8" t="str">
        <f>'TC007-Contract Parts Info'!L4</f>
        <v>PC</v>
      </c>
      <c r="X4" s="8" t="str">
        <f>'TC007-Contract Parts Info'!M4</f>
        <v>PC</v>
      </c>
      <c r="Y4" s="29">
        <f>'TC007-Contract Parts Info'!N4</f>
        <v>1</v>
      </c>
      <c r="Z4" s="16">
        <f>'TC007-Contract Parts Info'!Q4</f>
        <v>1</v>
      </c>
      <c r="AA4">
        <v>0</v>
      </c>
      <c r="AB4">
        <v>0</v>
      </c>
      <c r="AC4">
        <v>0</v>
      </c>
      <c r="AD4" s="16">
        <f>'TC007-Contract Parts Info'!R4</f>
        <v>1</v>
      </c>
      <c r="AE4" s="16">
        <f>'TC007-Contract Parts Info'!S4</f>
        <v>1</v>
      </c>
    </row>
    <row r="5" spans="1:32">
      <c r="A5" t="str">
        <f>'TC007-Contract Parts Info'!B5</f>
        <v>Z8pna-18001404835</v>
      </c>
      <c r="B5" t="str">
        <f>'TC007-Contract Parts Info'!D5</f>
        <v>Z8pna18001404835</v>
      </c>
      <c r="C5" t="str">
        <f>'TC007-Contract Parts Info'!C5</f>
        <v>Z8pna-18001404835</v>
      </c>
      <c r="D5" t="str">
        <f>'TC007-Contract Parts Info'!B5</f>
        <v>Z8pna-18001404835</v>
      </c>
      <c r="E5" s="27" t="str">
        <f>'TC005-Req to Parts Master'!D5</f>
        <v>CABL- CABLE AVF 30.0 B/R</v>
      </c>
      <c r="F5" t="s">
        <v>4</v>
      </c>
      <c r="G5" s="14" t="str">
        <f>'TC007-Contract Parts Info'!H5</f>
        <v>Inner Repacking</v>
      </c>
      <c r="H5">
        <v>0</v>
      </c>
      <c r="I5" s="20">
        <f>'TC007-Contract Parts Info'!I5</f>
        <v>0.25</v>
      </c>
      <c r="J5" s="20">
        <f>'TC007-Contract Parts Info'!J5</f>
        <v>0.2</v>
      </c>
      <c r="K5" s="20">
        <f>'TC007-Contract Parts Info'!K5</f>
        <v>0.2</v>
      </c>
      <c r="L5" s="22">
        <f>'TC007-Contract Parts Info'!U5</f>
        <v>0.23</v>
      </c>
      <c r="M5" s="28" t="str">
        <f t="shared" ca="1" si="0"/>
        <v>Nov 17, 2023</v>
      </c>
      <c r="U5" s="16">
        <f>'TC007-Contract Parts Info'!O5</f>
        <v>100</v>
      </c>
      <c r="V5" s="16">
        <f>'TC007-Contract Parts Info'!P5</f>
        <v>100</v>
      </c>
      <c r="W5" s="8" t="str">
        <f>'TC007-Contract Parts Info'!L5</f>
        <v>MTR</v>
      </c>
      <c r="X5" s="8" t="str">
        <f>'TC007-Contract Parts Info'!M5</f>
        <v>MTR</v>
      </c>
      <c r="Y5" s="29">
        <f>'TC007-Contract Parts Info'!N5</f>
        <v>1</v>
      </c>
      <c r="Z5" s="16">
        <f>'TC007-Contract Parts Info'!Q5</f>
        <v>1</v>
      </c>
      <c r="AA5">
        <v>0</v>
      </c>
      <c r="AB5">
        <v>0</v>
      </c>
      <c r="AC5">
        <v>0</v>
      </c>
      <c r="AD5" s="16">
        <f>'TC007-Contract Parts Info'!R5</f>
        <v>1</v>
      </c>
      <c r="AE5" s="16">
        <f>'TC007-Contract Parts Info'!S5</f>
        <v>1</v>
      </c>
    </row>
    <row r="6" spans="1:32">
      <c r="A6" t="str">
        <f>'TC007-Contract Parts Info'!B6</f>
        <v>Z8pna-18007703930</v>
      </c>
      <c r="B6" t="str">
        <f>'TC007-Contract Parts Info'!D6</f>
        <v>Z8pna18007703930</v>
      </c>
      <c r="C6" t="str">
        <f>'TC007-Contract Parts Info'!C6</f>
        <v>Z8pna-18007703930</v>
      </c>
      <c r="D6" t="str">
        <f>'TC007-Contract Parts Info'!B6</f>
        <v>Z8pna-18007703930</v>
      </c>
      <c r="E6" s="27" t="str">
        <f>'TC005-Req to Parts Master'!D6</f>
        <v>CABL- CABLE AVSSF 0.5 B</v>
      </c>
      <c r="F6" t="s">
        <v>4</v>
      </c>
      <c r="G6" s="14" t="str">
        <f>'TC007-Contract Parts Info'!H6</f>
        <v>Inner Repacking</v>
      </c>
      <c r="H6">
        <v>0</v>
      </c>
      <c r="I6" s="20">
        <f>'TC007-Contract Parts Info'!I6</f>
        <v>0.25</v>
      </c>
      <c r="J6" s="20">
        <f>'TC007-Contract Parts Info'!J6</f>
        <v>0.2</v>
      </c>
      <c r="K6" s="20">
        <f>'TC007-Contract Parts Info'!K6</f>
        <v>0.2</v>
      </c>
      <c r="L6" s="22">
        <f>'TC007-Contract Parts Info'!U6</f>
        <v>0.23</v>
      </c>
      <c r="M6" s="28" t="str">
        <f t="shared" ca="1" si="0"/>
        <v>Nov 17, 2023</v>
      </c>
      <c r="U6" s="16">
        <f>'TC007-Contract Parts Info'!O6</f>
        <v>1500</v>
      </c>
      <c r="V6" s="16">
        <f>'TC007-Contract Parts Info'!P6</f>
        <v>1500</v>
      </c>
      <c r="W6" s="8" t="str">
        <f>'TC007-Contract Parts Info'!L6</f>
        <v>MTR</v>
      </c>
      <c r="X6" s="8" t="str">
        <f>'TC007-Contract Parts Info'!M6</f>
        <v>MTR</v>
      </c>
      <c r="Y6" s="29">
        <f>'TC007-Contract Parts Info'!N6</f>
        <v>1</v>
      </c>
      <c r="Z6" s="16">
        <f>'TC007-Contract Parts Info'!Q6</f>
        <v>1</v>
      </c>
      <c r="AA6">
        <v>0</v>
      </c>
      <c r="AB6">
        <v>0</v>
      </c>
      <c r="AC6">
        <v>0</v>
      </c>
      <c r="AD6" s="16">
        <f>'TC007-Contract Parts Info'!R6</f>
        <v>1</v>
      </c>
      <c r="AE6" s="16">
        <f>'TC007-Contract Parts Info'!S6</f>
        <v>1</v>
      </c>
    </row>
    <row r="7" spans="1:32">
      <c r="A7" t="str">
        <f>'TC007-Contract Parts Info'!B7</f>
        <v>Z8pna-45050040130</v>
      </c>
      <c r="B7" t="str">
        <f>'TC007-Contract Parts Info'!D7</f>
        <v>Z8pna45050040130</v>
      </c>
      <c r="C7" t="str">
        <f>'TC007-Contract Parts Info'!C7</f>
        <v>Z8pna-45050040130</v>
      </c>
      <c r="D7" t="str">
        <f>'TC007-Contract Parts Info'!B7</f>
        <v>Z8pna-45050040130</v>
      </c>
      <c r="E7" s="27" t="str">
        <f>'TC005-Req to Parts Master'!D7</f>
        <v>TUBV- TUBE VO 6 7 MM NON-SLIT</v>
      </c>
      <c r="F7" t="s">
        <v>4</v>
      </c>
      <c r="G7" s="14" t="str">
        <f>'TC007-Contract Parts Info'!H7</f>
        <v>Inner Repacking</v>
      </c>
      <c r="H7">
        <v>0</v>
      </c>
      <c r="I7" s="20">
        <f>'TC007-Contract Parts Info'!I7</f>
        <v>0.25</v>
      </c>
      <c r="J7" s="20">
        <f>'TC007-Contract Parts Info'!J7</f>
        <v>0.2</v>
      </c>
      <c r="K7" s="20">
        <f>'TC007-Contract Parts Info'!K7</f>
        <v>0.2</v>
      </c>
      <c r="L7" s="22">
        <f>'TC007-Contract Parts Info'!U7</f>
        <v>0.23</v>
      </c>
      <c r="M7" s="28" t="str">
        <f t="shared" ca="1" si="0"/>
        <v>Nov 17, 2023</v>
      </c>
      <c r="U7" s="16">
        <f>'TC007-Contract Parts Info'!O7</f>
        <v>6000</v>
      </c>
      <c r="V7" s="16">
        <f>'TC007-Contract Parts Info'!P7</f>
        <v>6000</v>
      </c>
      <c r="W7" s="8" t="str">
        <f>'TC007-Contract Parts Info'!L7</f>
        <v>MTR</v>
      </c>
      <c r="X7" s="8" t="str">
        <f>'TC007-Contract Parts Info'!M7</f>
        <v>MTR</v>
      </c>
      <c r="Y7" s="29">
        <f>'TC007-Contract Parts Info'!N7</f>
        <v>1</v>
      </c>
      <c r="Z7" s="16">
        <f>'TC007-Contract Parts Info'!Q7</f>
        <v>1</v>
      </c>
      <c r="AA7">
        <v>0</v>
      </c>
      <c r="AB7">
        <v>0</v>
      </c>
      <c r="AC7">
        <v>0</v>
      </c>
      <c r="AD7" s="16">
        <f>'TC007-Contract Parts Info'!R7</f>
        <v>1</v>
      </c>
      <c r="AE7" s="16">
        <f>'TC007-Contract Parts Info'!S7</f>
        <v>1</v>
      </c>
    </row>
    <row r="8" spans="1:32">
      <c r="A8" t="str">
        <f>'TC007-Contract Parts Info'!B8</f>
        <v>Z8pna-NSL-2BLACK</v>
      </c>
      <c r="B8" t="str">
        <f>'TC007-Contract Parts Info'!D8</f>
        <v>Z8pnaNSL2BLACK</v>
      </c>
      <c r="C8" t="str">
        <f>'TC007-Contract Parts Info'!C8</f>
        <v>Z8pna-NSL-2BLACK</v>
      </c>
      <c r="D8" t="str">
        <f>'TC007-Contract Parts Info'!B8</f>
        <v>Z8pna-NSL-2BLACK</v>
      </c>
      <c r="E8" s="27" t="str">
        <f>'TC005-Req to Parts Master'!D8</f>
        <v>NAMS- 2 LAYER LABEL GUN INK BLACK</v>
      </c>
      <c r="F8" t="s">
        <v>4</v>
      </c>
      <c r="G8" s="14" t="str">
        <f>'TC007-Contract Parts Info'!H8</f>
        <v>Inner Repacking</v>
      </c>
      <c r="H8">
        <v>0</v>
      </c>
      <c r="I8" s="20">
        <f>'TC007-Contract Parts Info'!I8</f>
        <v>0.25</v>
      </c>
      <c r="J8" s="20">
        <f>'TC007-Contract Parts Info'!J8</f>
        <v>0.2</v>
      </c>
      <c r="K8" s="20">
        <f>'TC007-Contract Parts Info'!K8</f>
        <v>0.2</v>
      </c>
      <c r="L8" s="16">
        <f>'TC007-Contract Parts Info'!U8</f>
        <v>10</v>
      </c>
      <c r="M8" s="28" t="str">
        <f t="shared" ca="1" si="0"/>
        <v>Nov 17, 2023</v>
      </c>
      <c r="U8" s="16">
        <f>'TC007-Contract Parts Info'!O8</f>
        <v>20</v>
      </c>
      <c r="V8" s="16">
        <f>'TC007-Contract Parts Info'!P8</f>
        <v>20</v>
      </c>
      <c r="W8" s="8" t="str">
        <f>'TC007-Contract Parts Info'!L8</f>
        <v>ROL</v>
      </c>
      <c r="X8" s="8" t="str">
        <f>'TC007-Contract Parts Info'!M8</f>
        <v>ROL</v>
      </c>
      <c r="Y8" s="29">
        <f>'TC007-Contract Parts Info'!N8</f>
        <v>1</v>
      </c>
      <c r="Z8" s="16">
        <f>'TC007-Contract Parts Info'!Q8</f>
        <v>1</v>
      </c>
      <c r="AA8">
        <v>0</v>
      </c>
      <c r="AB8">
        <v>0</v>
      </c>
      <c r="AC8">
        <v>0</v>
      </c>
      <c r="AD8" s="16">
        <f>'TC007-Contract Parts Info'!R8</f>
        <v>1</v>
      </c>
      <c r="AE8" s="16">
        <f>'TC007-Contract Parts Info'!S8</f>
        <v>1</v>
      </c>
    </row>
  </sheetData>
  <dataValidations count="1">
    <dataValidation type="list" allowBlank="1" showErrorMessage="1" sqref="G2:G8" xr:uid="{6C3B8DFD-23B7-497E-B265-A1948F5D6BA7}">
      <formula1>REPACKING_TYPE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4521-916C-466F-9495-1D90FCC12A28}">
  <dimension ref="A1:B4"/>
  <sheetViews>
    <sheetView zoomScale="90" zoomScaleNormal="90" workbookViewId="0">
      <selection activeCell="B3" sqref="B3"/>
    </sheetView>
  </sheetViews>
  <sheetFormatPr defaultColWidth="8.88671875" defaultRowHeight="13.8"/>
  <cols>
    <col min="1" max="1" width="24.33203125" style="1" customWidth="1" collapsed="1"/>
    <col min="2" max="2" width="26.6640625" style="1" customWidth="1" collapsed="1"/>
    <col min="3" max="16384" width="8.88671875" style="1" collapsed="1"/>
  </cols>
  <sheetData>
    <row r="1" spans="1:2">
      <c r="A1" s="1" t="s">
        <v>534</v>
      </c>
      <c r="B1" s="211" t="s">
        <v>480</v>
      </c>
    </row>
    <row r="2" spans="1:2" ht="14.4">
      <c r="A2" s="1" t="str">
        <f>'TC115-Supplier2 Outbound'!C5</f>
        <v>o-JP-YAZ-Z8-19-001</v>
      </c>
      <c r="B2" t="s">
        <v>841</v>
      </c>
    </row>
    <row r="3" spans="1:2" ht="14.4">
      <c r="A3" s="1" t="str">
        <f>'TC115-Supplier2 Outbound'!C6</f>
        <v>o-JP-YAZ-Z8-19-002</v>
      </c>
      <c r="B3" t="s">
        <v>842</v>
      </c>
    </row>
    <row r="4" spans="1:2" ht="14.4">
      <c r="A4" s="1" t="str">
        <f>'TC115-Supplier2 Outbound'!C8</f>
        <v>o-JP-YAZ-Z8-19-003</v>
      </c>
      <c r="B4" t="s">
        <v>843</v>
      </c>
    </row>
  </sheetData>
  <phoneticPr fontId="25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BAB-C224-419B-8B46-48A9E664707A}">
  <dimension ref="A1:AA5"/>
  <sheetViews>
    <sheetView workbookViewId="0">
      <selection activeCell="A3" sqref="A3:XFD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Bs2-Z8-19-001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NYKU8417026Z8s2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JP-YAZ-C-230608001-Z8s2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EGSU9073529Z8s2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CA3-8272-4446-AE72-BF5264923242}">
  <dimension ref="A1:AA5"/>
  <sheetViews>
    <sheetView workbookViewId="0">
      <selection activeCell="AA1" sqref="E1:AA1"/>
    </sheetView>
  </sheetViews>
  <sheetFormatPr defaultColWidth="8.88671875" defaultRowHeight="13.8"/>
  <cols>
    <col min="1" max="1" width="25.109375" style="1" customWidth="1" collapsed="1"/>
    <col min="2" max="2" width="44.109375" style="1" customWidth="1" collapsed="1"/>
    <col min="3" max="3" width="25.6640625" style="1" customWidth="1" collapsed="1"/>
    <col min="4" max="27" width="20.6640625" style="1" customWidth="1" collapsed="1"/>
    <col min="28" max="16384" width="8.88671875" style="1" collapsed="1"/>
  </cols>
  <sheetData>
    <row r="1" spans="1:27">
      <c r="A1" s="1" t="s">
        <v>480</v>
      </c>
      <c r="B1" s="46" t="s">
        <v>483</v>
      </c>
      <c r="C1" s="1" t="s">
        <v>491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30" t="s">
        <v>551</v>
      </c>
      <c r="L1" s="124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557</v>
      </c>
      <c r="R1" s="30" t="s">
        <v>556</v>
      </c>
      <c r="S1" s="30" t="s">
        <v>557</v>
      </c>
      <c r="T1" s="30" t="s">
        <v>558</v>
      </c>
      <c r="U1" s="30" t="s">
        <v>559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  <c r="AA1" s="30" t="s">
        <v>563</v>
      </c>
    </row>
    <row r="2" spans="1:27">
      <c r="A2" s="1" t="str">
        <f>'TC115-Outbound No'!$B$2</f>
        <v>o-JP-YAZ-SUP-231026001</v>
      </c>
      <c r="B2" s="113" t="str">
        <f>'TC115-Supplier2 Outbound'!$F$2</f>
        <v>Bs2-Z8-19-001</v>
      </c>
      <c r="C2" s="8" t="s">
        <v>565</v>
      </c>
      <c r="D2" s="30" t="s">
        <v>566</v>
      </c>
      <c r="E2" s="30" t="s">
        <v>567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  <c r="AA2" s="30" t="s">
        <v>568</v>
      </c>
    </row>
    <row r="3" spans="1:27">
      <c r="A3" s="1" t="str">
        <f>'TC115-Outbound No'!$B$4</f>
        <v>o-JP-YAZ-SUP-231026003</v>
      </c>
      <c r="C3" s="8" t="str">
        <f>"JP-YAZ-C-230608001-"&amp;AutoIncrement!$D$2</f>
        <v>JP-YAZ-C-230608001-Z8s2</v>
      </c>
      <c r="D3" s="30" t="s">
        <v>566</v>
      </c>
      <c r="E3" s="127" t="s">
        <v>567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  <c r="AA3" s="127" t="s">
        <v>568</v>
      </c>
    </row>
    <row r="4" spans="1:27" s="125" customFormat="1">
      <c r="A4" s="1" t="str">
        <f>'TC115-Outbound No'!$B$4</f>
        <v>o-JP-YAZ-SUP-231026003</v>
      </c>
      <c r="C4" s="126" t="str">
        <f>"EGSU9073529"&amp;AutoIncrement!$D$2</f>
        <v>EGSU9073529Z8s2</v>
      </c>
      <c r="D4" s="127" t="s">
        <v>566</v>
      </c>
      <c r="E4" s="127" t="s">
        <v>567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  <c r="AA4" s="127" t="s">
        <v>568</v>
      </c>
    </row>
    <row r="5" spans="1:27" s="125" customFormat="1">
      <c r="A5" s="1" t="str">
        <f>'TC115-Outbound No'!$B$3</f>
        <v>o-JP-YAZ-SUP-231026002</v>
      </c>
      <c r="C5" s="126" t="str">
        <f>"NYKU8417026"&amp;AutoIncrement!$D$2</f>
        <v>NYKU8417026Z8s2</v>
      </c>
      <c r="D5" s="127" t="s">
        <v>566</v>
      </c>
      <c r="E5" s="127" t="s">
        <v>567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  <c r="AA5" s="127" t="s">
        <v>568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7DD3-0AE0-4595-A2A0-9A1B027B3A90}">
  <dimension ref="A1:Z5"/>
  <sheetViews>
    <sheetView workbookViewId="0">
      <selection activeCell="A2" sqref="A2:B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Bs2-Z8-19-001</v>
      </c>
      <c r="B2" s="8" t="s">
        <v>565</v>
      </c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JP-YAZ-C-230608001-Z8s2</v>
      </c>
      <c r="C3" s="30" t="s">
        <v>566</v>
      </c>
      <c r="D3" s="127" t="s">
        <v>567</v>
      </c>
      <c r="E3" s="127" t="s">
        <v>568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</row>
    <row r="4" spans="1:26" s="125" customFormat="1">
      <c r="B4" s="126" t="str">
        <f>"EGSU9073529"&amp;AutoIncrement!$D$2</f>
        <v>EGSU9073529Z8s2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tr">
        <f>"NYKU8417026"&amp;AutoIncrement!$D$2</f>
        <v>NYKU8417026Z8s2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9E1D-909A-4D61-8041-169C85C2A231}">
  <dimension ref="A1:U5"/>
  <sheetViews>
    <sheetView topLeftCell="K1" workbookViewId="0">
      <selection activeCell="V1" sqref="V1:AI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Bs2-Z8-19-001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NYKU8417026Z8s2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JP-YAZ-C-230608001-Z8s2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EGSU9073529Z8s2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830-E46C-414F-8455-BA4063CA58B8}">
  <dimension ref="A1:L5"/>
  <sheetViews>
    <sheetView workbookViewId="0">
      <selection activeCell="D19" sqref="D19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19.88671875" customWidth="1" collapsed="1"/>
    <col min="6" max="6" width="16.21875" customWidth="1" collapsed="1"/>
    <col min="7" max="7" width="20.109375" customWidth="1" collapsed="1"/>
    <col min="8" max="8" width="15.109375" customWidth="1" collapsed="1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>
      <c r="A2">
        <v>1</v>
      </c>
      <c r="B2" s="1" t="str">
        <f>'TC115-Outbound No'!$B$2</f>
        <v>o-JP-YAZ-SUP-231026001</v>
      </c>
      <c r="C2" s="113" t="str">
        <f>'TC115-Supplier2 Outbound'!$F$2</f>
        <v>Bs2-Z8-19-001</v>
      </c>
      <c r="D2" s="8" t="s">
        <v>565</v>
      </c>
      <c r="E2" s="185"/>
      <c r="F2" t="s">
        <v>677</v>
      </c>
      <c r="G2" s="186">
        <f ca="1">TODAY()</f>
        <v>45247</v>
      </c>
      <c r="H2" s="186" t="s">
        <v>469</v>
      </c>
      <c r="I2" t="s">
        <v>697</v>
      </c>
      <c r="J2" s="186">
        <f ca="1">TODAY()</f>
        <v>45247</v>
      </c>
      <c r="K2" t="s">
        <v>698</v>
      </c>
      <c r="L2" t="s">
        <v>699</v>
      </c>
    </row>
    <row r="3" spans="1:12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JP-YAZ-C-230608001-Z8s2</v>
      </c>
      <c r="F3" t="s">
        <v>677</v>
      </c>
      <c r="G3" s="186">
        <f t="shared" ref="G3:G5" ca="1" si="0">TODAY()</f>
        <v>45247</v>
      </c>
      <c r="H3" s="186" t="s">
        <v>756</v>
      </c>
      <c r="I3" t="s">
        <v>697</v>
      </c>
      <c r="J3" s="186">
        <f t="shared" ref="J3:J5" ca="1" si="1">TODAY()</f>
        <v>45247</v>
      </c>
      <c r="K3" t="s">
        <v>698</v>
      </c>
      <c r="L3" t="s">
        <v>699</v>
      </c>
    </row>
    <row r="4" spans="1:12">
      <c r="A4">
        <v>2</v>
      </c>
      <c r="B4" s="1" t="str">
        <f>'TC115-Outbound No'!$B$4</f>
        <v>o-JP-YAZ-SUP-231026003</v>
      </c>
      <c r="C4" s="125"/>
      <c r="D4" s="126" t="str">
        <f>"EGSU9073529"&amp;AutoIncrement!$D$2</f>
        <v>EGSU9073529Z8s2</v>
      </c>
      <c r="F4" t="s">
        <v>677</v>
      </c>
      <c r="G4" s="186">
        <f t="shared" ca="1" si="0"/>
        <v>45247</v>
      </c>
      <c r="H4" s="186" t="s">
        <v>757</v>
      </c>
      <c r="I4" t="s">
        <v>697</v>
      </c>
      <c r="J4" s="186">
        <f t="shared" ca="1" si="1"/>
        <v>45247</v>
      </c>
      <c r="K4" t="s">
        <v>698</v>
      </c>
      <c r="L4" t="s">
        <v>699</v>
      </c>
    </row>
    <row r="5" spans="1:12">
      <c r="A5">
        <v>3</v>
      </c>
      <c r="B5" s="1" t="str">
        <f>'TC115-Outbound No'!$B$3</f>
        <v>o-JP-YAZ-SUP-231026002</v>
      </c>
      <c r="C5" s="125"/>
      <c r="D5" s="126" t="str">
        <f>"NYKU8417026"&amp;AutoIncrement!$D$2</f>
        <v>NYKU8417026Z8s2</v>
      </c>
      <c r="F5" t="s">
        <v>677</v>
      </c>
      <c r="G5" s="186">
        <f t="shared" ca="1" si="0"/>
        <v>45247</v>
      </c>
      <c r="H5" s="186" t="s">
        <v>758</v>
      </c>
      <c r="I5" t="s">
        <v>697</v>
      </c>
      <c r="J5" s="186">
        <f t="shared" ca="1" si="1"/>
        <v>45247</v>
      </c>
      <c r="K5" t="s">
        <v>698</v>
      </c>
      <c r="L5" t="s">
        <v>699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244-C43C-4EDB-A10C-59F08DE1C7E3}">
  <dimension ref="A1:B4"/>
  <sheetViews>
    <sheetView workbookViewId="0"/>
  </sheetViews>
  <sheetFormatPr defaultRowHeight="14.4"/>
  <cols>
    <col min="1" max="1" width="13.109375" customWidth="1" collapsed="1"/>
    <col min="2" max="2" width="22" bestFit="1" customWidth="1" collapsed="1"/>
  </cols>
  <sheetData>
    <row r="1" spans="1:2">
      <c r="A1" s="209" t="s">
        <v>535</v>
      </c>
      <c r="B1" t="s">
        <v>480</v>
      </c>
    </row>
    <row r="2" spans="1:2">
      <c r="A2" t="s">
        <v>844</v>
      </c>
      <c r="B2" t="s">
        <v>841</v>
      </c>
    </row>
    <row r="3" spans="1:2">
      <c r="A3" t="s">
        <v>845</v>
      </c>
      <c r="B3" t="s">
        <v>842</v>
      </c>
    </row>
    <row r="4" spans="1:2">
      <c r="A4" t="s">
        <v>846</v>
      </c>
      <c r="B4" t="s">
        <v>843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DB3-3C6D-43F4-9D51-6662417F831B}">
  <dimension ref="A1:A2"/>
  <sheetViews>
    <sheetView workbookViewId="0"/>
  </sheetViews>
  <sheetFormatPr defaultRowHeight="14.4"/>
  <cols>
    <col min="1" max="1" width="18.21875" customWidth="1" collapsed="1"/>
  </cols>
  <sheetData>
    <row r="1" spans="1:1">
      <c r="A1" s="197" t="s">
        <v>764</v>
      </c>
    </row>
    <row r="2" spans="1:1">
      <c r="A2" t="s">
        <v>847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90B-E508-4E71-8A62-6202816EFC1F}">
  <dimension ref="A1:A3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211" t="s">
        <v>535</v>
      </c>
    </row>
    <row r="2" spans="1:1" ht="14.4">
      <c r="A2" t="str">
        <f>'TC122-AutoGen'!$A$2</f>
        <v>JYZ2310016</v>
      </c>
    </row>
    <row r="3" spans="1:1" ht="14.4">
      <c r="A3" t="str">
        <f>'TC121.1 autoGen Invoice'!$A$4</f>
        <v>JYZ2310015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4FA-9E70-4370-A5D0-DCE39A5A608A}">
  <sheetPr>
    <tabColor rgb="FFFFFF00"/>
  </sheetPr>
  <dimension ref="A1:K5"/>
  <sheetViews>
    <sheetView workbookViewId="0">
      <selection activeCell="B3" sqref="B3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'TC115-Supplier2 Outbound'!$F$2</f>
        <v>Bs2-Z8-19-001</v>
      </c>
      <c r="D2" s="8" t="s">
        <v>565</v>
      </c>
      <c r="E2" t="s">
        <v>548</v>
      </c>
      <c r="F2" s="184" t="s">
        <v>677</v>
      </c>
      <c r="G2" s="186">
        <f t="shared" ref="G2:G5" ca="1" si="0">TODAY()</f>
        <v>45247</v>
      </c>
      <c r="H2" t="str">
        <f>'TC126-Setup'!$A$2</f>
        <v>BL-1</v>
      </c>
      <c r="I2" s="186">
        <f t="shared" ref="I2:I5" ca="1" si="1">TODAY()</f>
        <v>45247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JP-YAZ-C-230608001-Z8s2</v>
      </c>
      <c r="E3" t="s">
        <v>548</v>
      </c>
      <c r="F3" t="s">
        <v>677</v>
      </c>
      <c r="G3" s="186">
        <f ca="1">TODAY()</f>
        <v>45247</v>
      </c>
      <c r="H3" t="str">
        <f>'TC126-Setup'!$A$2</f>
        <v>BL-1</v>
      </c>
      <c r="I3" s="186">
        <f ca="1">TODAY()</f>
        <v>45247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tr">
        <f>"EGSU9073529"&amp;AutoIncrement!$D$2</f>
        <v>EGSU9073529Z8s2</v>
      </c>
      <c r="E4" t="s">
        <v>548</v>
      </c>
      <c r="F4" t="s">
        <v>677</v>
      </c>
      <c r="G4" s="186">
        <f t="shared" ca="1" si="0"/>
        <v>45247</v>
      </c>
      <c r="H4" t="str">
        <f>'TC126-Setup'!$A$2</f>
        <v>BL-1</v>
      </c>
      <c r="I4" s="186">
        <f t="shared" ca="1" si="1"/>
        <v>45247</v>
      </c>
      <c r="J4" t="str">
        <f>'TC126-Setup'!$B$2</f>
        <v>Vessel-1</v>
      </c>
      <c r="K4" t="str">
        <f>'TC126-Setup'!$C$2</f>
        <v>v-1</v>
      </c>
    </row>
    <row r="5" spans="1:11" s="228" customFormat="1">
      <c r="A5" s="228">
        <v>3</v>
      </c>
      <c r="B5" s="229" t="str">
        <f>'TC115-Outbound No'!$B$3</f>
        <v>o-JP-YAZ-SUP-231026002</v>
      </c>
      <c r="C5" s="1"/>
      <c r="D5" s="8" t="str">
        <f>"NYKU8417026"&amp;AutoIncrement!$D$2</f>
        <v>NYKU8417026Z8s2</v>
      </c>
      <c r="E5" s="39" t="s">
        <v>548</v>
      </c>
      <c r="F5" s="39" t="s">
        <v>677</v>
      </c>
      <c r="G5" s="230">
        <f t="shared" ca="1" si="0"/>
        <v>45247</v>
      </c>
      <c r="H5" s="228" t="str">
        <f>'TC126-Setup'!$A$2</f>
        <v>BL-1</v>
      </c>
      <c r="I5" s="230">
        <f t="shared" ca="1" si="1"/>
        <v>45247</v>
      </c>
      <c r="J5" s="228" t="str">
        <f>'TC126-Setup'!$B$2</f>
        <v>Vessel-1</v>
      </c>
      <c r="K5" s="228" t="str">
        <f>'TC126-Setup'!$C$2</f>
        <v>v-1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A7E7-CBA9-477C-83BB-6C796CC2F306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3" t="s">
        <v>223</v>
      </c>
      <c r="B1" s="1" t="s">
        <v>65</v>
      </c>
    </row>
    <row r="2" spans="1:2" ht="14.4">
      <c r="A2" t="s">
        <v>802</v>
      </c>
      <c r="B2" s="1" t="str">
        <f>'TC007-Received Req Info'!O2</f>
        <v>S1D-Z8-19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10CE-E425-429F-BBBD-44104AD12841}">
  <dimension ref="A1:C2"/>
  <sheetViews>
    <sheetView workbookViewId="0">
      <selection activeCell="K18" sqref="K18:K19"/>
    </sheetView>
  </sheetViews>
  <sheetFormatPr defaultRowHeight="14.4"/>
  <sheetData>
    <row r="1" spans="1:3">
      <c r="A1" s="184" t="s">
        <v>673</v>
      </c>
      <c r="B1" s="184" t="s">
        <v>675</v>
      </c>
      <c r="C1" s="184" t="s">
        <v>676</v>
      </c>
    </row>
    <row r="2" spans="1:3">
      <c r="A2" s="184" t="s">
        <v>697</v>
      </c>
      <c r="B2" s="184" t="s">
        <v>698</v>
      </c>
      <c r="C2" s="184" t="s">
        <v>699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871-6115-473C-B531-0A6E12007DA5}">
  <sheetPr>
    <tabColor rgb="FFFFFF00"/>
  </sheetPr>
  <dimension ref="A1:C3"/>
  <sheetViews>
    <sheetView workbookViewId="0">
      <selection activeCell="B2" sqref="B2"/>
    </sheetView>
  </sheetViews>
  <sheetFormatPr defaultRowHeight="14.4"/>
  <cols>
    <col min="1" max="1" width="19" customWidth="1" collapsed="1"/>
    <col min="2" max="2" width="11.21875" bestFit="1" customWidth="1" collapsed="1"/>
    <col min="3" max="3" width="11.88671875" customWidth="1" collapsed="1"/>
  </cols>
  <sheetData>
    <row r="1" spans="1:3">
      <c r="A1" s="1" t="s">
        <v>535</v>
      </c>
      <c r="B1" t="s">
        <v>489</v>
      </c>
      <c r="C1" t="s">
        <v>490</v>
      </c>
    </row>
    <row r="2" spans="1:3">
      <c r="A2" t="str">
        <f>'TC122-AutoGen'!$A$2</f>
        <v>JYZ2310016</v>
      </c>
      <c r="B2" s="186">
        <f ca="1">TODAY()+5</f>
        <v>45252</v>
      </c>
      <c r="C2" s="186">
        <f ca="1">TODAY()+5</f>
        <v>45252</v>
      </c>
    </row>
    <row r="3" spans="1:3">
      <c r="A3" t="str">
        <f>'TC121.1 autoGen Invoice'!$A$4</f>
        <v>JYZ2310015</v>
      </c>
      <c r="B3" s="186">
        <f ca="1">TODAY()+5</f>
        <v>45252</v>
      </c>
      <c r="C3" s="186">
        <f ca="1">TODAY()+5</f>
        <v>45252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8D0-ECA5-46BC-9F29-7D4AE8620180}">
  <dimension ref="A1:Z5"/>
  <sheetViews>
    <sheetView workbookViewId="0">
      <selection activeCell="D2" sqref="D2:D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Bs2-Z8-19-001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567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JP-YAZ-C-230608001-Z8s2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567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  <c r="W3" s="30" t="s">
        <v>568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tr">
        <f>"EGSU9073529"&amp;AutoIncrement!$D$2</f>
        <v>EGSU9073529Z8s2</v>
      </c>
      <c r="C4" s="127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567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  <c r="W4" s="30" t="s">
        <v>568</v>
      </c>
      <c r="X4" s="30" t="s">
        <v>568</v>
      </c>
      <c r="Y4" s="30" t="s">
        <v>568</v>
      </c>
      <c r="Z4" s="30" t="s">
        <v>568</v>
      </c>
    </row>
    <row r="5" spans="1:26" s="125" customFormat="1">
      <c r="B5" s="126" t="str">
        <f>"NYKU8417026"&amp;AutoIncrement!$D$2</f>
        <v>NYKU8417026Z8s2</v>
      </c>
      <c r="C5" s="127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567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  <c r="W5" s="30" t="s">
        <v>568</v>
      </c>
      <c r="X5" s="30" t="s">
        <v>568</v>
      </c>
      <c r="Y5" s="30" t="s">
        <v>568</v>
      </c>
      <c r="Z5" s="30" t="s">
        <v>568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44C-6D41-4CF2-87A9-70B451568EE2}">
  <dimension ref="A1:AA5"/>
  <sheetViews>
    <sheetView topLeftCell="B1"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Bs2-Z8-19-001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NYKU8417026Z8s2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JP-YAZ-C-230608001-Z8s2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EGSU9073529Z8s2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B5ED-C0DC-45D0-9C71-60EC24B46B5D}">
  <dimension ref="A1:U5"/>
  <sheetViews>
    <sheetView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Bs2-Z8-19-001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NYKU8417026Z8s2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JP-YAZ-C-230608001-Z8s2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EGSU9073529Z8s2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EA7-47D6-4A3A-B120-FBABC09E38F4}">
  <dimension ref="A1:T8"/>
  <sheetViews>
    <sheetView topLeftCell="F4" workbookViewId="0">
      <selection activeCell="AG1" sqref="AG1:FW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Z8pnaNSL2BLACK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Z8pna45050040130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Z8pna18007703930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Z8pna18001404835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Z8pna1219AS1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Z8ATEST202306050000000000002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Z8ATEST202306050000000000001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EB2F-8544-4881-A3A0-B881A641CA1A}">
  <dimension ref="A1:H4"/>
  <sheetViews>
    <sheetView workbookViewId="0">
      <selection activeCell="E26" sqref="E2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Z882151BZK50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Z882151BZE00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Z882151BZD90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D4AB-ABCB-41E6-B736-B927DBE7C910}">
  <dimension ref="A1:AA5"/>
  <sheetViews>
    <sheetView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Bs2-Z8-19-001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NYKU8417026Z8s2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JP-YAZ-C-230608001-Z8s2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101" t="s">
        <v>567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EGSU9073529Z8s2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101" t="s">
        <v>567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87B-629D-411E-AB4C-C5ACC31586ED}">
  <dimension ref="A1:AB5"/>
  <sheetViews>
    <sheetView topLeftCell="I1"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Bs2-Z8-19-001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NYKU8417026Z8s2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JP-YAZ-C-230608001-Z8s2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101" t="s">
        <v>567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EGSU9073529Z8s2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101" t="s">
        <v>567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0DA2-48B5-4DD3-927C-889FAEC2808E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">
        <v>543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">
        <v>542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B62-294F-4272-B44E-A9A99F27230D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3" t="s">
        <v>223</v>
      </c>
      <c r="B1" s="1" t="s">
        <v>65</v>
      </c>
    </row>
    <row r="2" spans="1:2" ht="14.4">
      <c r="A2" t="s">
        <v>803</v>
      </c>
      <c r="B2" s="1" t="str">
        <f>'TC007-Received Req Info'!P2</f>
        <v>S2D-Z8-19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76F3-1BBF-44DA-BF9D-647025481D49}">
  <dimension ref="A1:AA5"/>
  <sheetViews>
    <sheetView workbookViewId="0">
      <selection activeCell="S4" sqref="S4:W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4" max="24" width="31.44140625" customWidth="1" collapsed="1"/>
    <col min="27" max="27" width="12.77734375" customWidth="1" collapsed="1"/>
  </cols>
  <sheetData>
    <row r="1" spans="1:27" s="243" customFormat="1" ht="41.4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Bs2-Z8-19-001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NYKU8417026Z8s2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JP-YAZ-C-230608001-Z8s2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101" t="s">
        <v>567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EGSU9073529Z8s2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101" t="s">
        <v>567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675E-E763-47CF-B63F-1CF32DD4A777}">
  <dimension ref="A1:V8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18" width="20.6640625" style="1" customWidth="1" collapsed="1"/>
    <col min="19" max="22" width="20.77734375" style="1" customWidth="1" collapsed="1"/>
    <col min="23" max="16384" width="8.88671875" style="1" collapsed="1"/>
  </cols>
  <sheetData>
    <row r="1" spans="1:22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560</v>
      </c>
      <c r="P1" s="30" t="s">
        <v>561</v>
      </c>
      <c r="Q1" s="30" t="s">
        <v>562</v>
      </c>
      <c r="R1" s="30" t="s">
        <v>563</v>
      </c>
      <c r="S1" s="1" t="s">
        <v>560</v>
      </c>
      <c r="T1" s="1" t="s">
        <v>561</v>
      </c>
      <c r="U1" s="1" t="s">
        <v>562</v>
      </c>
      <c r="V1" s="1" t="s">
        <v>562</v>
      </c>
    </row>
    <row r="2" spans="1:22">
      <c r="A2" s="1" t="s">
        <v>571</v>
      </c>
      <c r="B2" s="8"/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</row>
    <row r="3" spans="1:22">
      <c r="A3" s="1" t="s">
        <v>571</v>
      </c>
      <c r="B3" s="1" t="s">
        <v>572</v>
      </c>
      <c r="C3" s="30" t="s">
        <v>566</v>
      </c>
      <c r="D3" s="30" t="s">
        <v>567</v>
      </c>
      <c r="E3" s="30" t="s">
        <v>568</v>
      </c>
      <c r="F3" s="30" t="s">
        <v>568</v>
      </c>
      <c r="G3" s="30" t="s">
        <v>568</v>
      </c>
      <c r="H3" s="30" t="s">
        <v>568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</row>
    <row r="4" spans="1:22">
      <c r="A4" s="1" t="s">
        <v>571</v>
      </c>
      <c r="B4" s="8" t="s">
        <v>565</v>
      </c>
      <c r="C4" s="30" t="s">
        <v>566</v>
      </c>
      <c r="D4" s="30" t="s">
        <v>567</v>
      </c>
      <c r="E4" s="30" t="s">
        <v>568</v>
      </c>
      <c r="F4" s="30" t="s">
        <v>568</v>
      </c>
      <c r="G4" s="30" t="s">
        <v>568</v>
      </c>
      <c r="H4" s="30" t="s">
        <v>568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</row>
    <row r="5" spans="1:22">
      <c r="B5" s="1" t="s">
        <v>573</v>
      </c>
      <c r="C5" s="30" t="s">
        <v>566</v>
      </c>
      <c r="D5" s="30" t="s">
        <v>567</v>
      </c>
      <c r="E5" s="30" t="s">
        <v>568</v>
      </c>
      <c r="F5" s="30" t="s">
        <v>568</v>
      </c>
      <c r="G5" s="30" t="s">
        <v>568</v>
      </c>
      <c r="H5" s="30" t="s">
        <v>568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</row>
    <row r="6" spans="1:22">
      <c r="A6" s="1" t="s">
        <v>574</v>
      </c>
      <c r="B6" s="1" t="s">
        <v>575</v>
      </c>
      <c r="C6" s="30" t="s">
        <v>566</v>
      </c>
      <c r="D6" s="30" t="s">
        <v>567</v>
      </c>
      <c r="E6" s="30" t="s">
        <v>568</v>
      </c>
      <c r="F6" s="30" t="s">
        <v>568</v>
      </c>
      <c r="G6" s="30" t="s">
        <v>568</v>
      </c>
      <c r="H6" s="30" t="s">
        <v>568</v>
      </c>
      <c r="I6" s="30" t="s">
        <v>568</v>
      </c>
      <c r="J6" s="30" t="s">
        <v>568</v>
      </c>
      <c r="K6" s="30" t="s">
        <v>568</v>
      </c>
      <c r="L6" s="30" t="s">
        <v>568</v>
      </c>
      <c r="M6" s="30" t="s">
        <v>568</v>
      </c>
      <c r="N6" s="30" t="s">
        <v>568</v>
      </c>
      <c r="O6" s="30" t="s">
        <v>568</v>
      </c>
      <c r="P6" s="30" t="s">
        <v>568</v>
      </c>
      <c r="Q6" s="30" t="s">
        <v>568</v>
      </c>
      <c r="R6" s="30" t="s">
        <v>568</v>
      </c>
      <c r="S6" s="30" t="s">
        <v>568</v>
      </c>
      <c r="T6" s="30" t="s">
        <v>568</v>
      </c>
      <c r="U6" s="30" t="s">
        <v>568</v>
      </c>
      <c r="V6" s="30" t="s">
        <v>568</v>
      </c>
    </row>
    <row r="7" spans="1:22">
      <c r="A7" s="1" t="s">
        <v>574</v>
      </c>
      <c r="B7" s="1" t="s">
        <v>576</v>
      </c>
      <c r="C7" s="30" t="s">
        <v>566</v>
      </c>
      <c r="D7" s="30" t="s">
        <v>567</v>
      </c>
      <c r="E7" s="30" t="s">
        <v>568</v>
      </c>
      <c r="F7" s="30" t="s">
        <v>568</v>
      </c>
      <c r="G7" s="30" t="s">
        <v>568</v>
      </c>
      <c r="H7" s="30" t="s">
        <v>568</v>
      </c>
      <c r="I7" s="30" t="s">
        <v>568</v>
      </c>
      <c r="J7" s="30" t="s">
        <v>568</v>
      </c>
      <c r="K7" s="30" t="s">
        <v>568</v>
      </c>
      <c r="L7" s="30" t="s">
        <v>568</v>
      </c>
      <c r="M7" s="30" t="s">
        <v>568</v>
      </c>
      <c r="N7" s="30" t="s">
        <v>568</v>
      </c>
      <c r="O7" s="30" t="s">
        <v>568</v>
      </c>
      <c r="P7" s="30" t="s">
        <v>568</v>
      </c>
      <c r="Q7" s="30" t="s">
        <v>568</v>
      </c>
      <c r="R7" s="30" t="s">
        <v>568</v>
      </c>
      <c r="S7" s="30" t="s">
        <v>568</v>
      </c>
      <c r="T7" s="30" t="s">
        <v>568</v>
      </c>
      <c r="U7" s="30" t="s">
        <v>568</v>
      </c>
      <c r="V7" s="30" t="s">
        <v>568</v>
      </c>
    </row>
    <row r="8" spans="1:22">
      <c r="A8" s="1" t="s">
        <v>574</v>
      </c>
      <c r="B8" s="46" t="s">
        <v>573</v>
      </c>
      <c r="C8" s="30" t="s">
        <v>566</v>
      </c>
      <c r="D8" s="30" t="s">
        <v>567</v>
      </c>
      <c r="E8" s="30" t="s">
        <v>568</v>
      </c>
      <c r="F8" s="30" t="s">
        <v>568</v>
      </c>
      <c r="G8" s="30" t="s">
        <v>568</v>
      </c>
      <c r="H8" s="30" t="s">
        <v>568</v>
      </c>
      <c r="I8" s="30" t="s">
        <v>568</v>
      </c>
      <c r="J8" s="30" t="s">
        <v>568</v>
      </c>
      <c r="K8" s="30" t="s">
        <v>568</v>
      </c>
      <c r="L8" s="30" t="s">
        <v>568</v>
      </c>
      <c r="M8" s="30" t="s">
        <v>568</v>
      </c>
      <c r="N8" s="30" t="s">
        <v>568</v>
      </c>
      <c r="O8" s="30" t="s">
        <v>568</v>
      </c>
      <c r="P8" s="30" t="s">
        <v>568</v>
      </c>
      <c r="Q8" s="30" t="s">
        <v>568</v>
      </c>
      <c r="R8" s="30" t="s">
        <v>568</v>
      </c>
      <c r="S8" s="30" t="s">
        <v>568</v>
      </c>
      <c r="T8" s="30" t="s">
        <v>568</v>
      </c>
      <c r="U8" s="30" t="s">
        <v>568</v>
      </c>
      <c r="V8" s="30" t="s">
        <v>568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D8B2-A960-4DF9-B7AE-8C4526CB4CDA}">
  <dimension ref="A1:AB5"/>
  <sheetViews>
    <sheetView workbookViewId="0">
      <selection activeCell="E2" sqref="E2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Bs2-Z8-19-001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NYKU8417026Z8s2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JP-YAZ-C-230608001-Z8s2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101" t="s">
        <v>567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EGSU9073529Z8s2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101" t="s">
        <v>567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40C-C7BC-4845-9D47-2E4304797DD1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">
        <v>577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">
        <v>573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F3E-3B8E-434B-B16A-CA17FF83C76D}">
  <dimension ref="A1:E20"/>
  <sheetViews>
    <sheetView workbookViewId="0">
      <selection activeCell="A19" sqref="A19:A20"/>
    </sheetView>
  </sheetViews>
  <sheetFormatPr defaultRowHeight="13.8"/>
  <cols>
    <col min="1" max="1" width="27.77734375" style="1" customWidth="1" collapsed="1"/>
    <col min="2" max="2" width="15.77734375" style="1" customWidth="1" collapsed="1"/>
    <col min="3" max="16384" width="8.88671875" style="1" collapsed="1"/>
  </cols>
  <sheetData>
    <row r="1" spans="1:5" s="128" customFormat="1" ht="13.95" customHeight="1">
      <c r="A1" s="128" t="s">
        <v>578</v>
      </c>
      <c r="B1" s="128" t="s">
        <v>579</v>
      </c>
      <c r="C1" s="128" t="s">
        <v>500</v>
      </c>
      <c r="D1" s="128" t="s">
        <v>580</v>
      </c>
      <c r="E1" s="128" t="s">
        <v>581</v>
      </c>
    </row>
    <row r="2" spans="1:5">
      <c r="A2" s="129" t="str">
        <f>"i-MY-PNA-DC-"&amp;AutoIncrement!$B$2&amp;"-01-003"</f>
        <v>i-MY-PNA-DC-Z8-01-003</v>
      </c>
      <c r="B2" s="1" t="str">
        <f ca="1">TEXT(DATE(YEAR(TODAY()), MONTH(TODAY()), DAY(TODAY())), "dd MMM yyyy")</f>
        <v>17 Nov 2023</v>
      </c>
    </row>
    <row r="3" spans="1:5">
      <c r="A3" s="129" t="str">
        <f>"i-MY-PNA-DC-"&amp;AutoIncrement!$B$2&amp;"-01-003"</f>
        <v>i-MY-PNA-DC-Z8-01-003</v>
      </c>
      <c r="B3" s="1" t="str">
        <f t="shared" ref="B3:B20" ca="1" si="0">TEXT(DATE(YEAR(TODAY()), MONTH(TODAY()), DAY(TODAY())), "dd MMM yyyy")</f>
        <v>17 Nov 2023</v>
      </c>
    </row>
    <row r="4" spans="1:5">
      <c r="A4" s="129" t="str">
        <f>"i-MY-PNA-DC-"&amp;AutoIncrement!$B$2&amp;"-01-003"</f>
        <v>i-MY-PNA-DC-Z8-01-003</v>
      </c>
      <c r="B4" s="1" t="str">
        <f t="shared" ca="1" si="0"/>
        <v>17 Nov 2023</v>
      </c>
    </row>
    <row r="5" spans="1:5">
      <c r="A5" s="129" t="str">
        <f>"i-MY-PNA-DC-"&amp;AutoIncrement!$B$2&amp;"-01-003"</f>
        <v>i-MY-PNA-DC-Z8-01-003</v>
      </c>
      <c r="B5" s="1" t="str">
        <f t="shared" ca="1" si="0"/>
        <v>17 Nov 2023</v>
      </c>
    </row>
    <row r="6" spans="1:5">
      <c r="A6" s="129" t="str">
        <f>"i-MY-PNA-DC-"&amp;AutoIncrement!$B$2&amp;"-01-003"</f>
        <v>i-MY-PNA-DC-Z8-01-003</v>
      </c>
      <c r="B6" s="1" t="str">
        <f t="shared" ca="1" si="0"/>
        <v>17 Nov 2023</v>
      </c>
    </row>
    <row r="7" spans="1:5">
      <c r="A7" s="129" t="str">
        <f>"i-MY-PNA-DC-"&amp;AutoIncrement!$B$2&amp;"-01-003"</f>
        <v>i-MY-PNA-DC-Z8-01-003</v>
      </c>
      <c r="B7" s="1" t="str">
        <f t="shared" ca="1" si="0"/>
        <v>17 Nov 2023</v>
      </c>
    </row>
    <row r="8" spans="1:5">
      <c r="A8" s="129" t="str">
        <f>"i-MY-PNA-DC-"&amp;AutoIncrement!$B$2&amp;"-01-003"</f>
        <v>i-MY-PNA-DC-Z8-01-003</v>
      </c>
      <c r="B8" s="1" t="str">
        <f t="shared" ca="1" si="0"/>
        <v>17 Nov 2023</v>
      </c>
    </row>
    <row r="9" spans="1:5">
      <c r="A9" s="129" t="str">
        <f>"i-MY-PNA-DC-"&amp;AutoIncrement!$B$2&amp;"-01-003"</f>
        <v>i-MY-PNA-DC-Z8-01-003</v>
      </c>
      <c r="B9" s="1" t="str">
        <f t="shared" ca="1" si="0"/>
        <v>17 Nov 2023</v>
      </c>
    </row>
    <row r="10" spans="1:5">
      <c r="A10" s="129" t="str">
        <f>"i-MY-PNA-DC-"&amp;AutoIncrement!$B$2&amp;"-01-003"</f>
        <v>i-MY-PNA-DC-Z8-01-003</v>
      </c>
      <c r="B10" s="1" t="str">
        <f t="shared" ca="1" si="0"/>
        <v>17 Nov 2023</v>
      </c>
    </row>
    <row r="11" spans="1:5">
      <c r="A11" s="129" t="str">
        <f>"i-MY-PNA-DC-"&amp;AutoIncrement!$B$2&amp;"-01-001"</f>
        <v>i-MY-PNA-DC-Z8-01-001</v>
      </c>
      <c r="B11" s="1" t="str">
        <f t="shared" ca="1" si="0"/>
        <v>17 Nov 2023</v>
      </c>
      <c r="C11" s="130">
        <v>100.001</v>
      </c>
      <c r="D11" s="130">
        <v>100.001</v>
      </c>
      <c r="E11" s="130">
        <v>100.001</v>
      </c>
    </row>
    <row r="12" spans="1:5">
      <c r="A12" s="129" t="str">
        <f>"i-MY-PNA-DC-"&amp;AutoIncrement!$B$2&amp;"-01-001"</f>
        <v>i-MY-PNA-DC-Z8-01-001</v>
      </c>
      <c r="B12" s="1" t="str">
        <f t="shared" ca="1" si="0"/>
        <v>17 Nov 2023</v>
      </c>
    </row>
    <row r="13" spans="1:5">
      <c r="A13" s="129" t="str">
        <f>"i-MY-PNA-DC-"&amp;AutoIncrement!$B$2&amp;"-01-001"</f>
        <v>i-MY-PNA-DC-Z8-01-001</v>
      </c>
      <c r="B13" s="1" t="str">
        <f t="shared" ca="1" si="0"/>
        <v>17 Nov 2023</v>
      </c>
    </row>
    <row r="14" spans="1:5">
      <c r="A14" s="129" t="str">
        <f>"i-MY-PNA-DC-"&amp;AutoIncrement!$B$2&amp;"-01-001"</f>
        <v>i-MY-PNA-DC-Z8-01-001</v>
      </c>
      <c r="B14" s="1" t="str">
        <f t="shared" ca="1" si="0"/>
        <v>17 Nov 2023</v>
      </c>
    </row>
    <row r="15" spans="1:5">
      <c r="A15" s="129" t="str">
        <f>"i-MY-PNA-DC-"&amp;AutoIncrement!$B$2&amp;"-01-001"</f>
        <v>i-MY-PNA-DC-Z8-01-001</v>
      </c>
      <c r="B15" s="1" t="str">
        <f t="shared" ca="1" si="0"/>
        <v>17 Nov 2023</v>
      </c>
    </row>
    <row r="16" spans="1:5">
      <c r="A16" s="129" t="str">
        <f>"i-MY-PNA-DC-"&amp;AutoIncrement!$B$2&amp;"-01-001"</f>
        <v>i-MY-PNA-DC-Z8-01-001</v>
      </c>
      <c r="B16" s="1" t="str">
        <f t="shared" ca="1" si="0"/>
        <v>17 Nov 2023</v>
      </c>
    </row>
    <row r="17" spans="1:2">
      <c r="A17" s="129" t="str">
        <f>"i-MY-PNA-DC-"&amp;AutoIncrement!$B$2&amp;"-01-001"</f>
        <v>i-MY-PNA-DC-Z8-01-001</v>
      </c>
      <c r="B17" s="1" t="str">
        <f t="shared" ca="1" si="0"/>
        <v>17 Nov 2023</v>
      </c>
    </row>
    <row r="18" spans="1:2">
      <c r="A18" s="129" t="str">
        <f>"i-MY-PNA-DC-"&amp;AutoIncrement!$B$2&amp;"-01-001"</f>
        <v>i-MY-PNA-DC-Z8-01-001</v>
      </c>
      <c r="B18" s="1" t="str">
        <f t="shared" ca="1" si="0"/>
        <v>17 Nov 2023</v>
      </c>
    </row>
    <row r="19" spans="1:2">
      <c r="A19" s="129" t="str">
        <f>"i-MY-PNA-DC-"&amp;AutoIncrement!$B$2&amp;"-01-002"</f>
        <v>i-MY-PNA-DC-Z8-01-002</v>
      </c>
      <c r="B19" s="1" t="str">
        <f t="shared" ca="1" si="0"/>
        <v>17 Nov 2023</v>
      </c>
    </row>
    <row r="20" spans="1:2">
      <c r="A20" s="129" t="str">
        <f>"i-MY-PNA-DC-"&amp;AutoIncrement!$B$2&amp;"-01-002"</f>
        <v>i-MY-PNA-DC-Z8-01-002</v>
      </c>
      <c r="B20" s="1" t="str">
        <f t="shared" ca="1" si="0"/>
        <v>17 Nov 2023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7E3-4E58-46DD-961B-81149D45BEF1}">
  <dimension ref="A1:B8"/>
  <sheetViews>
    <sheetView workbookViewId="0">
      <selection activeCell="A2" sqref="A2:A8"/>
    </sheetView>
  </sheetViews>
  <sheetFormatPr defaultRowHeight="13.8"/>
  <cols>
    <col min="1" max="1" width="30.77734375" style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36</v>
      </c>
      <c r="B1" s="1" t="s">
        <v>582</v>
      </c>
    </row>
    <row r="2" spans="1:2">
      <c r="A2" s="131" t="str">
        <f>'TC007-Contract Parts Info'!$D$2</f>
        <v>Z8ATEST202306050000000000001</v>
      </c>
      <c r="B2" s="132">
        <v>250</v>
      </c>
    </row>
    <row r="3" spans="1:2">
      <c r="A3" s="131" t="str">
        <f>'TC007-Contract Parts Info'!$D$3</f>
        <v>Z8ATEST202306050000000000002</v>
      </c>
      <c r="B3" s="132">
        <v>250</v>
      </c>
    </row>
    <row r="4" spans="1:2">
      <c r="A4" s="131" t="str">
        <f>'TC007-Contract Parts Info'!$D$4</f>
        <v>Z8pna1219AS1</v>
      </c>
      <c r="B4" s="132">
        <v>250</v>
      </c>
    </row>
    <row r="5" spans="1:2">
      <c r="A5" s="131" t="str">
        <f>'TC007-Contract Parts Info'!$D$5</f>
        <v>Z8pna18001404835</v>
      </c>
      <c r="B5" s="132">
        <v>250</v>
      </c>
    </row>
    <row r="6" spans="1:2">
      <c r="A6" s="131" t="str">
        <f>'TC007-Contract Parts Info'!$D$6</f>
        <v>Z8pna18007703930</v>
      </c>
      <c r="B6" s="132">
        <v>250</v>
      </c>
    </row>
    <row r="7" spans="1:2">
      <c r="A7" s="131" t="str">
        <f>'TC007-Contract Parts Info'!$D$7</f>
        <v>Z8pna45050040130</v>
      </c>
      <c r="B7" s="132">
        <v>250</v>
      </c>
    </row>
    <row r="8" spans="1:2">
      <c r="A8" s="131" t="str">
        <f>'TC007-Contract Parts Info'!$D$8</f>
        <v>Z8pnaNSL2BLACK</v>
      </c>
      <c r="B8" s="132">
        <v>250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174A-3A3D-4E81-A451-6DD08BDBF947}">
  <dimension ref="A1:C2"/>
  <sheetViews>
    <sheetView workbookViewId="0">
      <selection activeCell="D12" sqref="D12"/>
    </sheetView>
  </sheetViews>
  <sheetFormatPr defaultRowHeight="14.4"/>
  <cols>
    <col min="1" max="1" width="20.88671875" customWidth="1" collapsed="1"/>
    <col min="2" max="2" width="9.88671875" customWidth="1" collapsed="1"/>
  </cols>
  <sheetData>
    <row r="1" spans="1:3">
      <c r="A1" t="s">
        <v>583</v>
      </c>
      <c r="B1" t="s">
        <v>584</v>
      </c>
    </row>
    <row r="2" spans="1:3">
      <c r="A2" t="str">
        <f ca="1">TEXT(DATE(YEAR(TODAY()), MONTH(TODAY()), DAY(TODAY())), "dd MMM yyyy")</f>
        <v>17 Nov 2023</v>
      </c>
      <c r="B2">
        <v>30</v>
      </c>
      <c r="C2" t="str">
        <f ca="1">TEXT(DAY(TODAY()), "dd")</f>
        <v>17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6142-3E21-4850-8BE8-0709525924E9}">
  <dimension ref="A1:C11"/>
  <sheetViews>
    <sheetView workbookViewId="0">
      <selection activeCell="A5" sqref="A5"/>
    </sheetView>
  </sheetViews>
  <sheetFormatPr defaultRowHeight="13.8"/>
  <cols>
    <col min="1" max="3" width="30.77734375" style="1" customWidth="1" collapsed="1"/>
    <col min="4" max="16384" width="8.88671875" style="1" collapsed="1"/>
  </cols>
  <sheetData>
    <row r="1" spans="1:3">
      <c r="A1" s="1" t="s">
        <v>36</v>
      </c>
      <c r="B1" s="133" t="s">
        <v>585</v>
      </c>
      <c r="C1" s="133" t="s">
        <v>586</v>
      </c>
    </row>
    <row r="2" spans="1:3">
      <c r="A2" s="8" t="str">
        <f>AutoIncrement!$B$2&amp;"82151BZD90"</f>
        <v>Z882151BZD90</v>
      </c>
      <c r="B2" s="134">
        <v>50</v>
      </c>
      <c r="C2" s="134">
        <v>10</v>
      </c>
    </row>
    <row r="3" spans="1:3">
      <c r="A3" s="8" t="str">
        <f>AutoIncrement!$B$2&amp;"82151BZE00"</f>
        <v>Z882151BZE00</v>
      </c>
      <c r="B3" s="134">
        <v>50</v>
      </c>
      <c r="C3" s="134">
        <v>10</v>
      </c>
    </row>
    <row r="4" spans="1:3">
      <c r="A4" s="8" t="str">
        <f>AutoIncrement!$B$2&amp;"82151BZK50"</f>
        <v>Z882151BZK50</v>
      </c>
      <c r="B4" s="134">
        <v>50</v>
      </c>
      <c r="C4" s="134">
        <v>10</v>
      </c>
    </row>
    <row r="5" spans="1:3">
      <c r="A5" s="131" t="str">
        <f>'TC007-Contract Parts Info'!$D$2</f>
        <v>Z8ATEST202306050000000000001</v>
      </c>
      <c r="B5" s="134">
        <v>50</v>
      </c>
      <c r="C5" s="134">
        <v>10</v>
      </c>
    </row>
    <row r="6" spans="1:3">
      <c r="A6" s="131" t="str">
        <f>'TC007-Contract Parts Info'!$D$3</f>
        <v>Z8ATEST202306050000000000002</v>
      </c>
      <c r="B6" s="134">
        <v>50</v>
      </c>
      <c r="C6" s="134">
        <v>10</v>
      </c>
    </row>
    <row r="7" spans="1:3">
      <c r="A7" s="131" t="str">
        <f>'TC007-Contract Parts Info'!$D$4</f>
        <v>Z8pna1219AS1</v>
      </c>
      <c r="B7" s="134">
        <v>50</v>
      </c>
      <c r="C7" s="134">
        <v>10</v>
      </c>
    </row>
    <row r="8" spans="1:3">
      <c r="A8" s="131" t="str">
        <f>'TC007-Contract Parts Info'!$D$5</f>
        <v>Z8pna18001404835</v>
      </c>
      <c r="B8" s="134">
        <v>50</v>
      </c>
      <c r="C8" s="134">
        <v>10</v>
      </c>
    </row>
    <row r="9" spans="1:3">
      <c r="A9" s="131" t="str">
        <f>'TC007-Contract Parts Info'!$D$6</f>
        <v>Z8pna18007703930</v>
      </c>
      <c r="B9" s="134">
        <v>50</v>
      </c>
      <c r="C9" s="134">
        <v>10</v>
      </c>
    </row>
    <row r="10" spans="1:3">
      <c r="A10" s="131" t="str">
        <f>'TC007-Contract Parts Info'!$D$7</f>
        <v>Z8pna45050040130</v>
      </c>
      <c r="B10" s="134">
        <v>50</v>
      </c>
      <c r="C10" s="134">
        <v>10</v>
      </c>
    </row>
    <row r="11" spans="1:3">
      <c r="A11" s="131" t="str">
        <f>'TC007-Contract Parts Info'!$D$8</f>
        <v>Z8pnaNSL2BLACK</v>
      </c>
      <c r="B11" s="134">
        <v>50</v>
      </c>
      <c r="C11" s="134">
        <v>10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CBD2-5495-49A4-9F95-44677202763E}">
  <dimension ref="A1:A2"/>
  <sheetViews>
    <sheetView workbookViewId="0">
      <selection activeCell="A3" sqref="A3"/>
    </sheetView>
  </sheetViews>
  <sheetFormatPr defaultRowHeight="14.4"/>
  <cols>
    <col min="1" max="1" width="30.88671875" customWidth="1" collapsed="1"/>
  </cols>
  <sheetData>
    <row r="1" spans="1:1">
      <c r="A1" t="s">
        <v>587</v>
      </c>
    </row>
    <row r="2" spans="1:1">
      <c r="A2" t="str">
        <f ca="1">TEXT(DATE(YEAR(TODAY()), MONTH(TODAY()), DAY(TODAY())), "dd MMM yyyy")</f>
        <v>17 Nov 2023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A25F-9E01-4523-A470-9DB3587A0B46}">
  <dimension ref="A1:T8"/>
  <sheetViews>
    <sheetView topLeftCell="F1" workbookViewId="0">
      <selection activeCell="K24" sqref="K24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Z8pnaNSL2BLACK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Z8pna45050040130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Z8pna18007703930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Z8pna18001404835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Z8pna1219AS1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Z8ATEST202306050000000000002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Z8ATEST202306050000000000001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D19-ED5B-4A88-8F4C-110D14458663}">
  <dimension ref="A1:X2"/>
  <sheetViews>
    <sheetView topLeftCell="E1" zoomScale="90" zoomScaleNormal="90" workbookViewId="0">
      <selection activeCell="O1" sqref="O1"/>
    </sheetView>
  </sheetViews>
  <sheetFormatPr defaultColWidth="8.88671875" defaultRowHeight="13.8"/>
  <cols>
    <col min="1" max="1" width="54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0" t="s">
        <v>72</v>
      </c>
      <c r="B1" s="30" t="s">
        <v>73</v>
      </c>
      <c r="C1" s="30" t="s">
        <v>23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  <c r="K1" s="30" t="s">
        <v>81</v>
      </c>
      <c r="L1" s="30" t="s">
        <v>82</v>
      </c>
      <c r="M1" s="30" t="s">
        <v>83</v>
      </c>
      <c r="N1" s="30" t="s">
        <v>84</v>
      </c>
      <c r="O1" s="31" t="s">
        <v>85</v>
      </c>
      <c r="P1" s="30" t="s">
        <v>86</v>
      </c>
      <c r="Q1" s="30" t="s">
        <v>87</v>
      </c>
      <c r="R1" s="30" t="s">
        <v>88</v>
      </c>
      <c r="S1" s="30" t="s">
        <v>89</v>
      </c>
      <c r="T1" s="30" t="s">
        <v>90</v>
      </c>
      <c r="U1" s="30" t="s">
        <v>91</v>
      </c>
      <c r="V1" s="30" t="s">
        <v>92</v>
      </c>
      <c r="W1" s="30" t="s">
        <v>93</v>
      </c>
      <c r="X1" s="31" t="s">
        <v>94</v>
      </c>
    </row>
    <row r="2" spans="1:24">
      <c r="A2" s="30" t="str">
        <f>"ELASUP-PNDC-"&amp;AutoIncrement!A2</f>
        <v>ELASUP-PNDC-19</v>
      </c>
      <c r="B2" s="30" t="str">
        <f>A2</f>
        <v>ELASUP-PNDC-19</v>
      </c>
      <c r="C2" s="30" t="s">
        <v>4</v>
      </c>
      <c r="D2" s="30" t="s">
        <v>95</v>
      </c>
      <c r="E2" s="30" t="s">
        <v>96</v>
      </c>
      <c r="F2" s="30" t="s">
        <v>96</v>
      </c>
      <c r="G2" s="30"/>
      <c r="H2" s="30"/>
      <c r="I2" s="30" t="s">
        <v>145</v>
      </c>
      <c r="J2" s="30" t="s">
        <v>98</v>
      </c>
      <c r="K2" s="30"/>
      <c r="L2" s="30"/>
      <c r="M2" s="30">
        <v>3</v>
      </c>
      <c r="N2" s="30">
        <v>2</v>
      </c>
      <c r="O2" s="30" t="str">
        <f>'TC010.1ETAWeek'!I2</f>
        <v>MON,WED,FRI,</v>
      </c>
      <c r="P2" s="30">
        <v>0</v>
      </c>
      <c r="Q2" s="30">
        <v>0</v>
      </c>
      <c r="R2" s="30">
        <v>12</v>
      </c>
      <c r="S2" s="30">
        <v>6</v>
      </c>
      <c r="T2" s="30">
        <v>2023</v>
      </c>
      <c r="U2" s="30">
        <v>31</v>
      </c>
      <c r="V2" s="30">
        <v>12</v>
      </c>
      <c r="W2" s="30">
        <v>2024</v>
      </c>
      <c r="X2" s="30" t="str">
        <f>'TC010.1ETAWeek'!O2</f>
        <v>1st Week,2nd Week,3rd Week,</v>
      </c>
    </row>
  </sheetData>
  <hyperlinks>
    <hyperlink ref="O1" location="RANGE!A1" display="ETDWeekDay (click here to set ETD days)" xr:uid="{07EA3ADF-C5D8-453B-8DA3-AE36EE64384B}"/>
    <hyperlink ref="X1" location="RANGE!A1" display="Shipping Frequency Weeks (Click here to add week)" xr:uid="{23F0ED97-4FA0-44F6-B84E-2101C24EDD5A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9702-A129-4F47-BFF7-6F8485EF8CB7}">
  <dimension ref="A1:H4"/>
  <sheetViews>
    <sheetView workbookViewId="0">
      <selection activeCell="E23" sqref="E23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Z882151BZK50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Z882151BZE00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Z882151BZD90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C3C-B4BE-4D6E-B76D-058992CB3AB6}">
  <dimension ref="A1:I4"/>
  <sheetViews>
    <sheetView workbookViewId="0">
      <selection activeCell="A4" sqref="A4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135" t="s">
        <v>339</v>
      </c>
      <c r="B1" s="135" t="s">
        <v>342</v>
      </c>
      <c r="C1" s="135" t="s">
        <v>588</v>
      </c>
      <c r="D1" s="135" t="s">
        <v>589</v>
      </c>
      <c r="E1" s="135" t="s">
        <v>590</v>
      </c>
      <c r="F1" s="135" t="s">
        <v>484</v>
      </c>
      <c r="G1" s="135" t="s">
        <v>105</v>
      </c>
      <c r="H1" s="136" t="s">
        <v>591</v>
      </c>
      <c r="I1" s="136" t="s">
        <v>592</v>
      </c>
    </row>
    <row r="2" spans="1:9">
      <c r="A2" s="137" t="str">
        <f>'TC021-Contrct Part Info L2 (BU)'!$C2</f>
        <v>Z882151BZD90</v>
      </c>
      <c r="B2" s="137" t="str">
        <f>'TC021-Contrct Part Info L2 (BU)'!$B2</f>
        <v>Z882151-BZD90</v>
      </c>
      <c r="C2" s="137" t="s">
        <v>190</v>
      </c>
      <c r="D2" s="137" t="str">
        <f>'TC021-Setup Data'!$A$2</f>
        <v>PNABU-L2-Z8-019</v>
      </c>
      <c r="E2" s="137" t="s">
        <v>301</v>
      </c>
      <c r="F2" s="137" t="s">
        <v>20</v>
      </c>
      <c r="G2" s="138">
        <v>10</v>
      </c>
      <c r="H2" s="139">
        <v>100</v>
      </c>
      <c r="I2" s="139"/>
    </row>
    <row r="3" spans="1:9">
      <c r="A3" s="137" t="str">
        <f>'TC021-Contrct Part Info L2 (BU)'!$C3</f>
        <v>Z882151BZE00</v>
      </c>
      <c r="B3" s="137" t="str">
        <f>'TC021-Contrct Part Info L2 (BU)'!$B3</f>
        <v>Z882151-BZE00</v>
      </c>
      <c r="C3" s="137" t="s">
        <v>190</v>
      </c>
      <c r="D3" s="137" t="str">
        <f>'TC021-Setup Data'!$A$2</f>
        <v>PNABU-L2-Z8-019</v>
      </c>
      <c r="E3" s="137" t="s">
        <v>301</v>
      </c>
      <c r="F3" s="137" t="s">
        <v>20</v>
      </c>
      <c r="G3" s="138">
        <v>10</v>
      </c>
      <c r="H3" s="139"/>
      <c r="I3" s="139">
        <v>100</v>
      </c>
    </row>
    <row r="4" spans="1:9">
      <c r="A4" s="137" t="str">
        <f>'TC021-Contrct Part Info L2 (BU)'!$C4</f>
        <v>Z882151BZK50</v>
      </c>
      <c r="B4" s="137" t="str">
        <f>'TC021-Contrct Part Info L2 (BU)'!$B4</f>
        <v>Z882151-BZK50</v>
      </c>
      <c r="C4" s="137" t="s">
        <v>190</v>
      </c>
      <c r="D4" s="137" t="str">
        <f>'TC021-Setup Data'!$A$2</f>
        <v>PNABU-L2-Z8-019</v>
      </c>
      <c r="E4" s="137" t="s">
        <v>302</v>
      </c>
      <c r="F4" s="137" t="s">
        <v>20</v>
      </c>
      <c r="G4" s="138">
        <v>10</v>
      </c>
      <c r="H4" s="139">
        <v>40</v>
      </c>
      <c r="I4" s="139">
        <v>60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4A-DE1B-45BC-A721-C59A5078F577}">
  <dimension ref="A1:B2"/>
  <sheetViews>
    <sheetView workbookViewId="0">
      <selection activeCell="K28" sqref="K28"/>
    </sheetView>
  </sheetViews>
  <sheetFormatPr defaultRowHeight="14.4"/>
  <cols>
    <col min="1" max="2" width="15.77734375" customWidth="1" collapsed="1"/>
  </cols>
  <sheetData>
    <row r="1" spans="1:2">
      <c r="A1" s="136" t="s">
        <v>591</v>
      </c>
      <c r="B1" s="136" t="s">
        <v>592</v>
      </c>
    </row>
    <row r="2" spans="1:2">
      <c r="A2" s="136" t="str">
        <f ca="1">TEXT(DATE(YEAR(TODAY()), MONTH(TODAY()), DAY(TODAY())+1), "dd MMM yyyy")</f>
        <v>18 Nov 2023</v>
      </c>
      <c r="B2" s="136">
        <f ca="1">EOMONTH(TODAY(),0)</f>
        <v>45260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84A-3BB9-4022-902E-6DC188EEC2BE}">
  <dimension ref="A1:C3"/>
  <sheetViews>
    <sheetView workbookViewId="0">
      <selection activeCell="D21" sqref="D21"/>
    </sheetView>
  </sheetViews>
  <sheetFormatPr defaultRowHeight="14.4"/>
  <cols>
    <col min="1" max="1" width="5.77734375" customWidth="1" collapsed="1"/>
    <col min="2" max="2" width="46" customWidth="1" collapsed="1"/>
    <col min="3" max="3" width="13.6640625" customWidth="1" collapsed="1"/>
  </cols>
  <sheetData>
    <row r="1" spans="1:3">
      <c r="A1" t="s">
        <v>34</v>
      </c>
      <c r="B1" s="209" t="s">
        <v>593</v>
      </c>
    </row>
    <row r="2" spans="1:3">
      <c r="A2">
        <v>1</v>
      </c>
      <c r="B2" t="s">
        <v>767</v>
      </c>
      <c r="C2" t="str">
        <f>'TC021-Contrct Part Info L2 (BU)'!$C2</f>
        <v>Z882151BZD90</v>
      </c>
    </row>
    <row r="3" spans="1:3">
      <c r="A3">
        <v>2</v>
      </c>
      <c r="B3" t="s">
        <v>768</v>
      </c>
      <c r="C3" t="str">
        <f>'TC021-Contrct Part Info L2 (BU)'!$C3</f>
        <v>Z882151BZE00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A9C-E7F2-4F2D-8A8D-9ACC0E252F0C}">
  <dimension ref="A1:C3"/>
  <sheetViews>
    <sheetView workbookViewId="0">
      <selection activeCell="B2" sqref="B2"/>
    </sheetView>
  </sheetViews>
  <sheetFormatPr defaultRowHeight="14.4"/>
  <cols>
    <col min="1" max="1" width="5.77734375" customWidth="1" collapsed="1"/>
    <col min="2" max="2" width="46" customWidth="1" collapsed="1"/>
    <col min="3" max="3" width="18" customWidth="1" collapsed="1"/>
  </cols>
  <sheetData>
    <row r="1" spans="1:3">
      <c r="A1" t="s">
        <v>34</v>
      </c>
      <c r="B1" s="209" t="s">
        <v>769</v>
      </c>
      <c r="C1" t="s">
        <v>872</v>
      </c>
    </row>
    <row r="2" spans="1:3">
      <c r="A2">
        <v>1</v>
      </c>
      <c r="B2" t="s">
        <v>867</v>
      </c>
      <c r="C2" s="137" t="str">
        <f>'TC021-Contrct Part Info L2 (BU)'!$C$3</f>
        <v>Z882151BZE00</v>
      </c>
    </row>
    <row r="3" spans="1:3">
      <c r="A3">
        <v>2</v>
      </c>
      <c r="B3" t="s">
        <v>866</v>
      </c>
      <c r="C3" s="137" t="str">
        <f>'TC021-Contrct Part Info L2 (BU)'!$C$2</f>
        <v>Z882151BZD90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465E-0528-43E4-B404-5641881654B4}">
  <dimension ref="A1:C3"/>
  <sheetViews>
    <sheetView workbookViewId="0">
      <selection activeCell="C1" sqref="C1:C3"/>
    </sheetView>
  </sheetViews>
  <sheetFormatPr defaultRowHeight="14.4"/>
  <cols>
    <col min="1" max="1" width="5.77734375" customWidth="1" collapsed="1"/>
    <col min="2" max="2" width="15.77734375" customWidth="1" collapsed="1"/>
    <col min="3" max="3" width="23.44140625" customWidth="1" collapsed="1"/>
  </cols>
  <sheetData>
    <row r="1" spans="1:3">
      <c r="A1" t="s">
        <v>34</v>
      </c>
      <c r="B1" s="209" t="s">
        <v>770</v>
      </c>
      <c r="C1" t="s">
        <v>872</v>
      </c>
    </row>
    <row r="2" spans="1:3">
      <c r="A2">
        <v>1</v>
      </c>
      <c r="B2" t="s">
        <v>869</v>
      </c>
      <c r="C2" s="137" t="str">
        <f>'TC021-Contrct Part Info L2 (BU)'!$C$3</f>
        <v>Z882151BZE00</v>
      </c>
    </row>
    <row r="3" spans="1:3">
      <c r="A3">
        <v>2</v>
      </c>
      <c r="B3" t="s">
        <v>868</v>
      </c>
      <c r="C3" s="137" t="str">
        <f>'TC021-Contrct Part Info L2 (BU)'!$C$2</f>
        <v>Z882151BZD90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61C-AB7D-4835-B94B-BE590D63C681}">
  <dimension ref="A1:D2"/>
  <sheetViews>
    <sheetView workbookViewId="0">
      <selection activeCell="F7" sqref="F7"/>
    </sheetView>
  </sheetViews>
  <sheetFormatPr defaultRowHeight="14.4"/>
  <cols>
    <col min="1" max="3" width="15.77734375" customWidth="1" collapsed="1"/>
    <col min="4" max="4" width="17.77734375" customWidth="1" collapsed="1"/>
  </cols>
  <sheetData>
    <row r="1" spans="1:4">
      <c r="A1" t="s">
        <v>594</v>
      </c>
      <c r="B1" t="s">
        <v>595</v>
      </c>
      <c r="C1" t="s">
        <v>596</v>
      </c>
      <c r="D1" t="s">
        <v>489</v>
      </c>
    </row>
    <row r="2" spans="1:4">
      <c r="A2">
        <v>18</v>
      </c>
      <c r="B2">
        <v>9</v>
      </c>
      <c r="C2">
        <v>2023</v>
      </c>
      <c r="D2" s="136" t="str">
        <f ca="1">TEXT(DATE(YEAR(TODAY()), MONTH(TODAY()), DAY(TODAY())+1), "dd MMM yyyy")</f>
        <v>18 Nov 2023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AAFA-D16F-4832-B2B2-450C25C07AE7}">
  <sheetPr>
    <tabColor rgb="FFFF0000"/>
  </sheetPr>
  <dimension ref="A1:W5"/>
  <sheetViews>
    <sheetView zoomScale="90" zoomScaleNormal="90" workbookViewId="0">
      <selection activeCell="G2" sqref="G2:G3"/>
    </sheetView>
  </sheetViews>
  <sheetFormatPr defaultColWidth="8.88671875" defaultRowHeight="13.8"/>
  <cols>
    <col min="1" max="1" width="25.6640625" style="113" customWidth="1" collapsed="1"/>
    <col min="2" max="13" width="15.6640625" style="113" customWidth="1" collapsed="1"/>
    <col min="14" max="14" width="29" style="113" customWidth="1" collapsed="1"/>
    <col min="15" max="18" width="15.6640625" style="113" customWidth="1" collapsed="1"/>
    <col min="19" max="19" width="33.109375" style="113" customWidth="1" collapsed="1"/>
    <col min="20" max="20" width="15.6640625" style="113" customWidth="1" collapsed="1"/>
    <col min="21" max="23" width="20.6640625" style="113" customWidth="1" collapsed="1"/>
    <col min="24" max="26" width="15.6640625" style="113" customWidth="1" collapsed="1"/>
    <col min="27" max="16384" width="8.88671875" style="113" collapsed="1"/>
  </cols>
  <sheetData>
    <row r="1" spans="1:23" ht="13.95" customHeight="1">
      <c r="A1" s="113" t="s">
        <v>480</v>
      </c>
      <c r="B1" s="113" t="s">
        <v>481</v>
      </c>
      <c r="C1" s="113" t="s">
        <v>483</v>
      </c>
      <c r="D1" s="113" t="s">
        <v>485</v>
      </c>
      <c r="E1" s="113" t="s">
        <v>489</v>
      </c>
      <c r="F1" s="113" t="s">
        <v>490</v>
      </c>
      <c r="G1" s="113" t="s">
        <v>491</v>
      </c>
      <c r="H1" s="113" t="s">
        <v>492</v>
      </c>
      <c r="I1" s="113" t="s">
        <v>493</v>
      </c>
      <c r="J1" s="113" t="s">
        <v>494</v>
      </c>
      <c r="K1" s="113" t="s">
        <v>495</v>
      </c>
      <c r="L1" s="113" t="s">
        <v>496</v>
      </c>
      <c r="M1" s="113" t="s">
        <v>497</v>
      </c>
      <c r="N1" s="113" t="s">
        <v>498</v>
      </c>
      <c r="O1" s="113" t="s">
        <v>499</v>
      </c>
      <c r="P1" s="113" t="s">
        <v>500</v>
      </c>
      <c r="Q1" s="113" t="s">
        <v>501</v>
      </c>
      <c r="R1" s="113" t="s">
        <v>502</v>
      </c>
      <c r="S1" s="113" t="s">
        <v>503</v>
      </c>
      <c r="T1" s="113" t="s">
        <v>504</v>
      </c>
      <c r="U1" s="113" t="s">
        <v>505</v>
      </c>
      <c r="V1" s="113" t="s">
        <v>506</v>
      </c>
      <c r="W1" s="113" t="s">
        <v>507</v>
      </c>
    </row>
    <row r="2" spans="1:23">
      <c r="A2" s="114" t="str">
        <f>"o-MY-PNA-DC-"&amp;AutoIncrement!B2&amp;"-"&amp;AutoIncrement!A2&amp;"-001"</f>
        <v>o-MY-PNA-DC-Z8-19-001</v>
      </c>
      <c r="B2" s="113" t="str">
        <f ca="1">TEXT(DATE(YEAR(TODAY()), MONTH(TODAY()), DAY(TODAY())), "dd MMM yyyy")</f>
        <v>17 Nov 2023</v>
      </c>
      <c r="D2" s="115">
        <v>100</v>
      </c>
      <c r="E2" s="231"/>
      <c r="F2" s="231"/>
      <c r="G2" s="8" t="str">
        <f>"TLLU6124978"&amp;AutoIncrement!$D$2</f>
        <v>TLLU6124978Z8s2</v>
      </c>
      <c r="H2" s="8"/>
      <c r="I2" s="8"/>
      <c r="J2" s="8"/>
      <c r="K2" s="232"/>
      <c r="L2" s="232"/>
      <c r="M2" s="232"/>
      <c r="N2" s="8" t="s">
        <v>780</v>
      </c>
      <c r="O2" s="8" t="s">
        <v>771</v>
      </c>
      <c r="P2" s="232"/>
      <c r="Q2" s="232"/>
      <c r="R2" s="232"/>
      <c r="S2" s="8"/>
      <c r="T2" s="233"/>
      <c r="U2" s="232"/>
      <c r="V2" s="232"/>
      <c r="W2" s="232"/>
    </row>
    <row r="3" spans="1:23">
      <c r="A3" s="114" t="str">
        <f>"o-MY-PNA-DC-"&amp;AutoIncrement!B2&amp;"-"&amp;AutoIncrement!A2&amp;"-001"</f>
        <v>o-MY-PNA-DC-Z8-19-001</v>
      </c>
      <c r="B3" s="113" t="str">
        <f t="shared" ref="B3:B5" ca="1" si="0">TEXT(DATE(YEAR(TODAY()), MONTH(TODAY()), DAY(TODAY())), "dd MMM yyyy")</f>
        <v>17 Nov 2023</v>
      </c>
      <c r="D3" s="246">
        <v>40</v>
      </c>
      <c r="E3" s="231"/>
      <c r="F3" s="231"/>
      <c r="G3" s="8" t="str">
        <f>"C-20130614001"&amp;AutoIncrement!$D$2</f>
        <v>C-20130614001Z8s2</v>
      </c>
      <c r="H3" s="8" t="s">
        <v>772</v>
      </c>
      <c r="I3" s="8" t="s">
        <v>773</v>
      </c>
      <c r="J3" s="8" t="s">
        <v>774</v>
      </c>
      <c r="K3" s="232">
        <v>1000.001</v>
      </c>
      <c r="L3" s="232">
        <v>1000.001</v>
      </c>
      <c r="M3" s="232">
        <v>1000.001</v>
      </c>
      <c r="N3" s="8" t="s">
        <v>781</v>
      </c>
      <c r="O3" s="8" t="s">
        <v>775</v>
      </c>
      <c r="P3" s="232">
        <v>10</v>
      </c>
      <c r="Q3" s="232">
        <v>10</v>
      </c>
      <c r="R3" s="232">
        <v>10</v>
      </c>
      <c r="S3" s="8" t="s">
        <v>782</v>
      </c>
      <c r="T3" s="233"/>
      <c r="U3" s="232"/>
      <c r="V3" s="232"/>
      <c r="W3" s="232"/>
    </row>
    <row r="4" spans="1:23">
      <c r="A4" s="114" t="str">
        <f>"o-MY-PNA-DC-"&amp;AutoIncrement!B2&amp;"-"&amp;AutoIncrement!A2&amp;"-002"</f>
        <v>o-MY-PNA-DC-Z8-19-002</v>
      </c>
      <c r="B4" s="113" t="str">
        <f t="shared" ca="1" si="0"/>
        <v>17 Nov 2023</v>
      </c>
      <c r="C4" s="113" t="str">
        <f>"B-NT-"&amp;AutoIncrement!$B$2&amp;"-"&amp;AutoIncrement!$A$2&amp;"-001"</f>
        <v>B-NT-Z8-19-001</v>
      </c>
      <c r="D4" s="115">
        <v>100</v>
      </c>
      <c r="E4" s="231"/>
      <c r="F4" s="231"/>
      <c r="G4" s="8" t="s">
        <v>776</v>
      </c>
      <c r="H4" s="8" t="s">
        <v>772</v>
      </c>
      <c r="I4" s="8" t="s">
        <v>773</v>
      </c>
      <c r="J4" s="8" t="s">
        <v>774</v>
      </c>
      <c r="K4" s="232">
        <v>1000.001</v>
      </c>
      <c r="L4" s="232">
        <v>1000.001</v>
      </c>
      <c r="M4" s="232">
        <v>1000.001</v>
      </c>
      <c r="N4" s="8" t="s">
        <v>780</v>
      </c>
      <c r="O4" s="8" t="s">
        <v>777</v>
      </c>
      <c r="P4" s="232">
        <v>10</v>
      </c>
      <c r="Q4" s="232">
        <v>10</v>
      </c>
      <c r="R4" s="232">
        <v>10</v>
      </c>
      <c r="S4" s="8" t="s">
        <v>782</v>
      </c>
      <c r="T4" s="233" t="s">
        <v>778</v>
      </c>
      <c r="U4" s="232">
        <v>1</v>
      </c>
      <c r="V4" s="232">
        <v>1</v>
      </c>
      <c r="W4" s="232">
        <v>1</v>
      </c>
    </row>
    <row r="5" spans="1:23">
      <c r="A5" s="114" t="str">
        <f>"o-MY-PNA-DC-"&amp;AutoIncrement!B2&amp;"-"&amp;AutoIncrement!A2&amp;"-002"</f>
        <v>o-MY-PNA-DC-Z8-19-002</v>
      </c>
      <c r="B5" s="113" t="str">
        <f t="shared" ca="1" si="0"/>
        <v>17 Nov 2023</v>
      </c>
      <c r="C5" s="113" t="str">
        <f>"B-NT-"&amp;AutoIncrement!$B$2&amp;"-"&amp;AutoIncrement!$A$2&amp;"-001"</f>
        <v>B-NT-Z8-19-001</v>
      </c>
      <c r="D5" s="115">
        <v>60</v>
      </c>
      <c r="E5" s="231"/>
      <c r="F5" s="231"/>
      <c r="G5" s="8"/>
      <c r="H5" s="8"/>
      <c r="I5" s="8"/>
      <c r="J5" s="8"/>
      <c r="K5" s="232"/>
      <c r="L5" s="232"/>
      <c r="M5" s="232"/>
      <c r="N5" s="8" t="s">
        <v>781</v>
      </c>
      <c r="O5" s="8" t="s">
        <v>779</v>
      </c>
      <c r="P5" s="232">
        <v>10</v>
      </c>
      <c r="Q5" s="232">
        <v>10</v>
      </c>
      <c r="R5" s="232">
        <v>10</v>
      </c>
      <c r="S5" s="8" t="s">
        <v>783</v>
      </c>
      <c r="T5" s="233" t="s">
        <v>778</v>
      </c>
      <c r="U5" s="232">
        <v>1</v>
      </c>
      <c r="V5" s="232">
        <v>1</v>
      </c>
      <c r="W5" s="232">
        <v>1</v>
      </c>
    </row>
  </sheetData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2883-68BE-4003-868B-CDA4547FC697}">
  <dimension ref="A1:B3"/>
  <sheetViews>
    <sheetView workbookViewId="0">
      <selection activeCell="A26" sqref="A26:A27"/>
    </sheetView>
  </sheetViews>
  <sheetFormatPr defaultRowHeight="14.4"/>
  <cols>
    <col min="1" max="2" width="30.77734375" customWidth="1" collapsed="1"/>
  </cols>
  <sheetData>
    <row r="1" spans="1:2">
      <c r="A1" t="s">
        <v>534</v>
      </c>
      <c r="B1" s="209" t="s">
        <v>480</v>
      </c>
    </row>
    <row r="2" spans="1:2">
      <c r="A2" t="str">
        <f>"o-MY-PNA-DC-"&amp;AutoIncrement!$B$2&amp;"-"&amp;AutoIncrement!A2&amp;"-001"</f>
        <v>o-MY-PNA-DC-Z8-19-001</v>
      </c>
      <c r="B2" t="s">
        <v>870</v>
      </c>
    </row>
    <row r="3" spans="1:2">
      <c r="A3" t="str">
        <f>"o-MY-PNA-DC-"&amp;AutoIncrement!$B$2&amp;"-"&amp;AutoIncrement!$A$2&amp;"-002"</f>
        <v>o-MY-PNA-DC-Z8-19-002</v>
      </c>
      <c r="B3" t="s">
        <v>871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932-8611-44C4-8E65-522D588E8DBE}">
  <sheetPr>
    <tabColor theme="5" tint="0.59999389629810485"/>
  </sheetPr>
  <dimension ref="A1:P3"/>
  <sheetViews>
    <sheetView topLeftCell="C1" workbookViewId="0">
      <selection activeCell="D2" sqref="D2:D3"/>
    </sheetView>
  </sheetViews>
  <sheetFormatPr defaultRowHeight="14.4"/>
  <cols>
    <col min="1" max="14" width="15.77734375" customWidth="1" collapsed="1"/>
    <col min="15" max="15" width="19.6640625" customWidth="1" collapsed="1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(BU)'!$C$3</f>
        <v>Z882151BZE00</v>
      </c>
      <c r="B2" s="137" t="str">
        <f>'TC021-Contrct Part Info L2 (BU)'!$B$3</f>
        <v>Z882151-BZE00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s="247" t="s">
        <v>429</v>
      </c>
      <c r="P2">
        <v>100</v>
      </c>
    </row>
    <row r="3" spans="1:16">
      <c r="A3" s="137" t="str">
        <f>'TC021-Contrct Part Info L2 (BU)'!$C$4</f>
        <v>Z882151BZK50</v>
      </c>
      <c r="B3" s="137" t="str">
        <f>'TC021-Contrct Part Info L2 (BU)'!$B$4</f>
        <v>Z882151-BZK50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60</v>
      </c>
      <c r="O3" s="247" t="s">
        <v>429</v>
      </c>
      <c r="P3">
        <v>60</v>
      </c>
    </row>
  </sheetData>
  <phoneticPr fontId="2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24F7-E1CB-4B93-B72E-C8734450C6F1}">
  <dimension ref="A1:O2"/>
  <sheetViews>
    <sheetView zoomScale="90" zoomScaleNormal="90" workbookViewId="0">
      <selection activeCell="A2" sqref="A2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145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7488-D356-48C7-B502-85E1238EE4E2}">
  <dimension ref="A1:P3"/>
  <sheetViews>
    <sheetView workbookViewId="0">
      <selection activeCell="P3" sqref="P3"/>
    </sheetView>
  </sheetViews>
  <sheetFormatPr defaultRowHeight="14.4"/>
  <cols>
    <col min="1" max="15" width="15.77734375" customWidth="1" collapsed="1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(BU)'!$C$2</f>
        <v>Z882151BZD90</v>
      </c>
      <c r="B2" s="137" t="str">
        <f>'TC021-Contrct Part Info L2 (BU)'!$B$2</f>
        <v>Z882151-BZD90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t="s">
        <v>785</v>
      </c>
      <c r="P2">
        <v>100</v>
      </c>
    </row>
    <row r="3" spans="1:16">
      <c r="A3" s="137" t="str">
        <f>'TC021-Contrct Part Info L2 (BU)'!$C$4</f>
        <v>Z882151BZK50</v>
      </c>
      <c r="B3" s="137" t="str">
        <f>'TC021-Contrct Part Info L2 (BU)'!$B$4</f>
        <v>Z882151-BZK50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40</v>
      </c>
      <c r="O3" t="s">
        <v>787</v>
      </c>
      <c r="P3">
        <v>40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746A-80E2-4E96-B590-EEC0EC114F29}">
  <sheetPr>
    <tabColor theme="5" tint="0.39997558519241921"/>
  </sheetPr>
  <dimension ref="A1:P3"/>
  <sheetViews>
    <sheetView topLeftCell="C1" workbookViewId="0">
      <selection activeCell="D2" sqref="D2:D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Z882151BZE00</v>
      </c>
      <c r="B2" s="137" t="str">
        <f>'TC021-Contrct Part Info L2 (BU)'!$B$3</f>
        <v>Z882151-BZE00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Z882151BZK50</v>
      </c>
      <c r="B3" s="137" t="str">
        <f>'TC021-Contrct Part Info L2 (BU)'!$B$4</f>
        <v>Z882151-BZK50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 s="247">
        <v>60</v>
      </c>
      <c r="M3" s="247">
        <v>60</v>
      </c>
      <c r="N3">
        <v>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E345-6856-4037-B893-E246E127D77E}">
  <dimension ref="A1:P3"/>
  <sheetViews>
    <sheetView workbookViewId="0">
      <selection activeCell="L2" sqref="L2:M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Z882151BZD90</v>
      </c>
      <c r="B2" s="137" t="str">
        <f>'TC021-Contrct Part Info L2 (BU)'!$B$2</f>
        <v>Z882151-BZD90</v>
      </c>
      <c r="D2" t="str">
        <f>'TC160'!B3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Z882151BZK50</v>
      </c>
      <c r="B3" s="137" t="str">
        <f>'TC021-Contrct Part Info L2 (BU)'!$B$4</f>
        <v>Z882151-BZK50</v>
      </c>
      <c r="D3" t="str">
        <f>'TC160'!B3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 s="247">
        <v>40</v>
      </c>
      <c r="M3" s="247">
        <v>40</v>
      </c>
      <c r="N3">
        <v>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1EFA-925B-4C66-BDCB-73EE5B5D01D0}">
  <dimension ref="A1:AB5"/>
  <sheetViews>
    <sheetView workbookViewId="0">
      <selection activeCell="B10" sqref="B10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TLLU6124978Z8s2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'TC162'!$B$3</f>
        <v>sZ5L225-2311001</v>
      </c>
      <c r="C3" s="8" t="str">
        <f>"C-20130614001"&amp;AutoIncrement!$D$2</f>
        <v>C-20130614001Z8s2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B-NT-Z8-19-001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B-NT-Z8-19-001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7C4A-7921-4351-8B58-36B067B86431}">
  <dimension ref="A1:AB5"/>
  <sheetViews>
    <sheetView workbookViewId="0">
      <selection sqref="A1: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873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TLLU6124978Z8s2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'TC160'!$B$3</f>
        <v>cZ5L225-2311001</v>
      </c>
      <c r="C3" s="8" t="str">
        <f>"C-20130614001"&amp;AutoIncrement!$D$2</f>
        <v>C-20130614001Z8s2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B-NT-Z8-19-001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B-NT-Z8-19-001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DB9-C282-47A1-AA25-D9F3DB6BD17E}">
  <sheetPr>
    <tabColor rgb="FFFFFF00"/>
  </sheetPr>
  <dimension ref="A1:K5"/>
  <sheetViews>
    <sheetView workbookViewId="0">
      <selection sqref="A1:F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TLLU6124978Z8s2</v>
      </c>
      <c r="F2" s="184" t="s">
        <v>677</v>
      </c>
      <c r="G2" s="186">
        <f t="shared" ref="G2:G5" ca="1" si="0">TODAY()</f>
        <v>45247</v>
      </c>
      <c r="H2" t="str">
        <f>'TC126-Setup'!$A$2</f>
        <v>BL-1</v>
      </c>
      <c r="I2" s="186">
        <f t="shared" ref="I2:I5" ca="1" si="1">TODAY()</f>
        <v>45247</v>
      </c>
      <c r="J2" t="str">
        <f>'TC126-Setup'!$B$2</f>
        <v>Vessel-1</v>
      </c>
      <c r="K2" t="str">
        <f>'TC126-Setup'!$C$2</f>
        <v>v-1</v>
      </c>
    </row>
    <row r="3" spans="1:11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C-20130614001Z8s2</v>
      </c>
      <c r="F3" t="s">
        <v>677</v>
      </c>
      <c r="G3" s="186">
        <f ca="1">TODAY()</f>
        <v>45247</v>
      </c>
      <c r="H3" t="str">
        <f>'TC126-Setup'!$A$2</f>
        <v>BL-1</v>
      </c>
      <c r="I3" s="186">
        <f ca="1">TODAY()</f>
        <v>45247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B-NT-Z8-19-001</v>
      </c>
      <c r="D4" s="8" t="s">
        <v>776</v>
      </c>
      <c r="F4" t="s">
        <v>677</v>
      </c>
      <c r="G4" s="186">
        <f t="shared" ca="1" si="0"/>
        <v>45247</v>
      </c>
      <c r="H4" t="str">
        <f>'TC126-Setup'!$A$2</f>
        <v>BL-1</v>
      </c>
      <c r="I4" s="186">
        <f t="shared" ca="1" si="1"/>
        <v>45247</v>
      </c>
      <c r="J4" t="str">
        <f>'TC126-Setup'!$B$2</f>
        <v>Vessel-1</v>
      </c>
      <c r="K4" t="str">
        <f>'TC126-Setup'!$C$2</f>
        <v>v-1</v>
      </c>
    </row>
    <row r="5" spans="1:11" s="228" customFormat="1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B-NT-Z8-19-001</v>
      </c>
      <c r="D5" s="8"/>
      <c r="E5"/>
      <c r="F5" t="s">
        <v>677</v>
      </c>
      <c r="G5" s="230">
        <f t="shared" ca="1" si="0"/>
        <v>45247</v>
      </c>
      <c r="H5" s="228" t="str">
        <f>'TC126-Setup'!$A$2</f>
        <v>BL-1</v>
      </c>
      <c r="I5" s="230">
        <f t="shared" ca="1" si="1"/>
        <v>45247</v>
      </c>
      <c r="J5" s="228" t="str">
        <f>'TC126-Setup'!$B$2</f>
        <v>Vessel-1</v>
      </c>
      <c r="K5" s="228" t="str">
        <f>'TC126-Setup'!$C$2</f>
        <v>v-1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3DB7-5427-4D18-AF96-1F0DDA08176B}">
  <dimension ref="A1:A3"/>
  <sheetViews>
    <sheetView workbookViewId="0">
      <selection activeCell="A2" sqref="A2"/>
    </sheetView>
  </sheetViews>
  <sheetFormatPr defaultRowHeight="14.4"/>
  <cols>
    <col min="1" max="1" width="21.109375" customWidth="1" collapsed="1"/>
  </cols>
  <sheetData>
    <row r="1" spans="1:1">
      <c r="A1" s="209" t="s">
        <v>535</v>
      </c>
    </row>
    <row r="2" spans="1:1">
      <c r="A2" t="s">
        <v>874</v>
      </c>
    </row>
    <row r="3" spans="1:1">
      <c r="A3" t="s">
        <v>875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288F-2290-4358-B2E9-75069482FE0A}">
  <sheetPr>
    <tabColor rgb="FFFF0000"/>
  </sheetPr>
  <dimension ref="A1:H5"/>
  <sheetViews>
    <sheetView workbookViewId="0">
      <selection activeCell="B8" sqref="B8"/>
    </sheetView>
  </sheetViews>
  <sheetFormatPr defaultRowHeight="14.4"/>
  <cols>
    <col min="1" max="1" width="25.77734375" customWidth="1" collapsed="1"/>
    <col min="2" max="8" width="15.77734375" customWidth="1" collapsed="1"/>
  </cols>
  <sheetData>
    <row r="1" spans="1:8">
      <c r="A1" s="128" t="s">
        <v>578</v>
      </c>
      <c r="B1" s="128" t="s">
        <v>579</v>
      </c>
      <c r="C1" t="s">
        <v>788</v>
      </c>
      <c r="D1" t="s">
        <v>789</v>
      </c>
      <c r="E1" t="s">
        <v>790</v>
      </c>
      <c r="F1" t="s">
        <v>500</v>
      </c>
      <c r="G1" t="s">
        <v>501</v>
      </c>
      <c r="H1" t="s">
        <v>502</v>
      </c>
    </row>
    <row r="2" spans="1:8">
      <c r="A2" s="239" t="str">
        <f>"i-MY-PNA-CUS-"&amp;AutoIncrement!$B$2&amp;"-01-001"</f>
        <v>i-MY-PNA-CUS-Z8-01-001</v>
      </c>
      <c r="B2" s="1" t="str">
        <f ca="1">TEXT(DATE(YEAR(TODAY()), MONTH(TODAY()), DAY(TODAY())), "dd MMM yyyy")</f>
        <v>17 Nov 2023</v>
      </c>
    </row>
    <row r="3" spans="1:8">
      <c r="A3" s="239" t="str">
        <f>"i-MY-PNA-CUS-"&amp;AutoIncrement!$B$2&amp;"-01-002"</f>
        <v>i-MY-PNA-CUS-Z8-01-002</v>
      </c>
      <c r="B3" s="1" t="str">
        <f ca="1">TEXT(DATE(YEAR(TODAY()), MONTH(TODAY()), DAY(TODAY())), "dd MMM yyyy")</f>
        <v>17 Nov 2023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239" t="str">
        <f>"i-MY-PNA-CUS-"&amp;AutoIncrement!$B$2&amp;"-01-003"</f>
        <v>i-MY-PNA-CUS-Z8-01-003</v>
      </c>
      <c r="B4" s="1" t="str">
        <f ca="1">TEXT(DATE(YEAR(TODAY()), MONTH(TODAY()), DAY(TODAY())), "dd MMM yyyy")</f>
        <v>17 Nov 2023</v>
      </c>
    </row>
    <row r="5" spans="1:8">
      <c r="A5" s="239" t="str">
        <f>"i-MY-PNA-CUS-"&amp;AutoIncrement!$B$2&amp;"-01-004"</f>
        <v>i-MY-PNA-CUS-Z8-01-004</v>
      </c>
      <c r="B5" s="1" t="str">
        <f ca="1">TEXT(DATE(YEAR(TODAY()), MONTH(TODAY()), DAY(TODAY())), "dd MMM yyyy")</f>
        <v>17 Nov 2023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37E5-195C-4307-8D42-02EEF84427EE}">
  <dimension ref="A1"/>
  <sheetViews>
    <sheetView workbookViewId="0"/>
  </sheetViews>
  <sheetFormatPr defaultRowHeight="14.4"/>
  <sheetData>
    <row r="1" spans="1:1">
      <c r="A1" s="209" t="s">
        <v>791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0A2-96A0-4968-96C9-3E33ACE1CC62}">
  <dimension ref="A1:O3"/>
  <sheetViews>
    <sheetView topLeftCell="B1" workbookViewId="0">
      <selection activeCell="N3" sqref="N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(BU)'!$C$3</f>
        <v>Z882151BZE00</v>
      </c>
      <c r="B2" s="137" t="str">
        <f>'TC021-Contrct Part Info L2 (BU)'!$B$3</f>
        <v>Z882151-BZE00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Z882151BZK50</v>
      </c>
      <c r="B3" s="137" t="str">
        <f>'TC021-Contrct Part Info L2 (BU)'!$B$4</f>
        <v>Z882151-BZK50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608</v>
      </c>
      <c r="M3">
        <v>60</v>
      </c>
      <c r="N3">
        <v>60</v>
      </c>
      <c r="O3" t="s">
        <v>429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F49-653A-464E-85F1-D62F53F5C9C7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6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"ELA 60 DAYS "&amp;AutoIncrement!A2</f>
        <v>ELA 60 DAYS 19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61E-455F-4B49-AA70-F08A8E5D837C}">
  <dimension ref="A1:O3"/>
  <sheetViews>
    <sheetView topLeftCell="B1" workbookViewId="0">
      <selection activeCell="N3" sqref="N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(BU)'!$C$2</f>
        <v>Z882151BZD90</v>
      </c>
      <c r="B2" s="137" t="str">
        <f>'TC021-Contrct Part Info L2 (BU)'!$B$2</f>
        <v>Z882151-BZD90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Z882151BZK50</v>
      </c>
      <c r="B3" s="137" t="str">
        <f>'TC021-Contrct Part Info L2 (BU)'!$B$4</f>
        <v>Z882151-BZK50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608</v>
      </c>
      <c r="M3">
        <v>40</v>
      </c>
      <c r="N3">
        <v>40</v>
      </c>
      <c r="O3" t="s">
        <v>429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567-9C67-4487-B148-B94CC23046CB}">
  <dimension ref="A1:P3"/>
  <sheetViews>
    <sheetView topLeftCell="C1" workbookViewId="0">
      <selection activeCell="O7" sqref="O7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Z882151BZE00</v>
      </c>
      <c r="B2" s="137" t="str">
        <f>'TC021-Contrct Part Info L2 (BU)'!$B$3</f>
        <v>Z882151-BZE00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Z882151BZK50</v>
      </c>
      <c r="B3" s="137" t="str">
        <f>'TC021-Contrct Part Info L2 (BU)'!$B$4</f>
        <v>Z882151-BZK50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>
        <v>60</v>
      </c>
      <c r="M3">
        <v>0</v>
      </c>
      <c r="N3">
        <v>60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DE2-6A15-4B36-876E-3477460B2615}">
  <dimension ref="A1:P3"/>
  <sheetViews>
    <sheetView workbookViewId="0">
      <selection activeCell="O7" sqref="O7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Z882151BZD90</v>
      </c>
      <c r="B2" s="137" t="str">
        <f>'TC021-Contrct Part Info L2 (BU)'!$B$2</f>
        <v>Z882151-BZD90</v>
      </c>
      <c r="D2" t="str">
        <f>'TC160'!$B$3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Z882151BZK50</v>
      </c>
      <c r="B3" s="137" t="str">
        <f>'TC021-Contrct Part Info L2 (BU)'!$B$4</f>
        <v>Z882151-BZK50</v>
      </c>
      <c r="D3" t="str">
        <f>'TC160'!$B$3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>
        <v>40</v>
      </c>
      <c r="M3">
        <v>0</v>
      </c>
      <c r="N3">
        <v>40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FD96-5C6F-4DB5-8ADD-4CB627E596D6}">
  <dimension ref="A1:B5"/>
  <sheetViews>
    <sheetView workbookViewId="0">
      <selection activeCell="B5" sqref="B5"/>
    </sheetView>
  </sheetViews>
  <sheetFormatPr defaultRowHeight="14.4"/>
  <cols>
    <col min="1" max="2" width="25.77734375" customWidth="1" collapsed="1"/>
  </cols>
  <sheetData>
    <row r="1" spans="1:2">
      <c r="A1" t="s">
        <v>483</v>
      </c>
      <c r="B1" t="s">
        <v>491</v>
      </c>
    </row>
    <row r="2" spans="1:2">
      <c r="A2" s="113"/>
      <c r="B2" s="8" t="str">
        <f>"TLLU6124978"&amp;AutoIncrement!$D$2</f>
        <v>TLLU6124978Z8s2</v>
      </c>
    </row>
    <row r="3" spans="1:2">
      <c r="A3" s="1"/>
      <c r="B3" s="8" t="str">
        <f>"C-20130614001"&amp;AutoIncrement!$D$2</f>
        <v>C-20130614001Z8s2</v>
      </c>
    </row>
    <row r="4" spans="1:2">
      <c r="A4" s="1" t="str">
        <f>"B-NT-"&amp;AutoIncrement!$B$2&amp;"-"&amp;AutoIncrement!$A$2&amp;"-001"</f>
        <v>B-NT-Z8-19-001</v>
      </c>
      <c r="B4" s="8" t="s">
        <v>776</v>
      </c>
    </row>
    <row r="5" spans="1:2">
      <c r="A5" s="1" t="str">
        <f>"B-NT-"&amp;AutoIncrement!$B$2&amp;"-"&amp;AutoIncrement!$A$2&amp;"-001"</f>
        <v>B-NT-Z8-19-001</v>
      </c>
      <c r="B5" s="8"/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B139-2414-4BCB-ACAB-0831CC54C9FF}">
  <dimension ref="A1:F5"/>
  <sheetViews>
    <sheetView workbookViewId="0">
      <selection activeCell="E2" sqref="E2:E5"/>
    </sheetView>
  </sheetViews>
  <sheetFormatPr defaultRowHeight="14.4"/>
  <cols>
    <col min="1" max="1" width="21.33203125" customWidth="1"/>
    <col min="2" max="2" width="21.77734375" customWidth="1"/>
    <col min="3" max="3" width="23.77734375" customWidth="1"/>
    <col min="4" max="4" width="21.33203125" customWidth="1"/>
    <col min="5" max="5" width="26.33203125" customWidth="1"/>
  </cols>
  <sheetData>
    <row r="1" spans="1:6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</row>
    <row r="2" spans="1:6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TLLU6124978Z8s2</v>
      </c>
      <c r="E2" t="s">
        <v>563</v>
      </c>
      <c r="F2" s="184" t="s">
        <v>677</v>
      </c>
    </row>
    <row r="3" spans="1:6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C-20130614001Z8s2</v>
      </c>
      <c r="E3" t="s">
        <v>563</v>
      </c>
      <c r="F3" t="s">
        <v>677</v>
      </c>
    </row>
    <row r="4" spans="1:6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B-NT-Z8-19-001</v>
      </c>
      <c r="D4" s="8" t="s">
        <v>776</v>
      </c>
      <c r="E4" t="s">
        <v>563</v>
      </c>
      <c r="F4" t="s">
        <v>677</v>
      </c>
    </row>
    <row r="5" spans="1:6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B-NT-Z8-19-001</v>
      </c>
      <c r="D5" s="8"/>
      <c r="E5" t="s">
        <v>563</v>
      </c>
      <c r="F5" t="s">
        <v>677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EF5A-F64C-444A-8871-440C96A76A75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 ht="14.4">
      <c r="A2" t="s">
        <v>611</v>
      </c>
      <c r="B2" t="s">
        <v>609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</row>
    <row r="3" spans="1:26" ht="14.4">
      <c r="A3" t="s">
        <v>611</v>
      </c>
      <c r="B3"/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</row>
    <row r="4" spans="1:26" ht="14.4">
      <c r="A4"/>
      <c r="B4" t="s">
        <v>609</v>
      </c>
      <c r="C4" s="30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</row>
    <row r="5" spans="1:26" ht="14.4">
      <c r="A5"/>
      <c r="B5" t="s">
        <v>610</v>
      </c>
      <c r="C5" s="30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863-4AC1-4703-9F80-C1C68F19B888}">
  <dimension ref="A1:AB5"/>
  <sheetViews>
    <sheetView workbookViewId="0">
      <selection sqref="A1: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873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TLLU6124978Z8s2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'TC160'!$B$3</f>
        <v>cZ5L225-2311001</v>
      </c>
      <c r="C3" s="8" t="str">
        <f>"C-20130614001"&amp;AutoIncrement!$D$2</f>
        <v>C-20130614001Z8s2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B-NT-Z8-19-001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B-NT-Z8-19-001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ED2A-AADC-450C-84A2-5AD7E834C795}">
  <dimension ref="A1:AB5"/>
  <sheetViews>
    <sheetView workbookViewId="0">
      <selection activeCell="C26" sqref="C2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TLLU6124978Z8s2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'TC162'!$B$3</f>
        <v>sZ5L225-2311001</v>
      </c>
      <c r="C3" s="8" t="str">
        <f>"C-20130614001"&amp;AutoIncrement!$D$2</f>
        <v>C-20130614001Z8s2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B-NT-Z8-19-001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B-NT-Z8-19-001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F38-CF9A-4C56-86D6-A6B8B2AD3297}">
  <dimension ref="A1:A7"/>
  <sheetViews>
    <sheetView workbookViewId="0"/>
  </sheetViews>
  <sheetFormatPr defaultRowHeight="14.4"/>
  <cols>
    <col min="1" max="1" width="25.44140625" customWidth="1" collapsed="1"/>
  </cols>
  <sheetData>
    <row r="1" spans="1:1">
      <c r="A1" t="s">
        <v>792</v>
      </c>
    </row>
    <row r="2" spans="1:1">
      <c r="A2" t="str">
        <f>'TC049 autogen'!$A$2</f>
        <v>pZ525-2310003</v>
      </c>
    </row>
    <row r="3" spans="1:1">
      <c r="A3" t="str">
        <f>'TC049 autogen'!$A$3</f>
        <v>pZ525-2310001</v>
      </c>
    </row>
    <row r="4" spans="1:1">
      <c r="A4" t="str">
        <f>'TC049 autogen'!$A$4</f>
        <v>pZ525-2310002</v>
      </c>
    </row>
    <row r="5" spans="1:1">
      <c r="A5" t="str">
        <f>'TC073 AutoGen'!$A$2</f>
        <v>pZ525-2310005</v>
      </c>
    </row>
    <row r="6" spans="1:1">
      <c r="A6" t="str">
        <f>'TC073 AutoGen'!$A$3</f>
        <v>pZ525-2310004</v>
      </c>
    </row>
    <row r="7" spans="1:1">
      <c r="A7" t="str">
        <f>'TC078-BU AutoGen PO'!$Q$2</f>
        <v>pZ5s125-2310001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FF00-0E3C-4CBD-BBF9-466538115A61}">
  <dimension ref="A1:D4"/>
  <sheetViews>
    <sheetView workbookViewId="0">
      <selection activeCell="B11" sqref="B11"/>
    </sheetView>
  </sheetViews>
  <sheetFormatPr defaultRowHeight="14.4"/>
  <cols>
    <col min="2" max="2" width="22" customWidth="1" collapsed="1"/>
    <col min="3" max="3" width="12.33203125" bestFit="1" customWidth="1" collapsed="1"/>
  </cols>
  <sheetData>
    <row r="1" spans="1:4">
      <c r="A1" t="s">
        <v>183</v>
      </c>
      <c r="B1" t="s">
        <v>712</v>
      </c>
      <c r="C1" t="s">
        <v>711</v>
      </c>
      <c r="D1" t="s">
        <v>793</v>
      </c>
    </row>
    <row r="2" spans="1:4">
      <c r="A2" t="s">
        <v>260</v>
      </c>
      <c r="B2" s="176">
        <v>31122320</v>
      </c>
      <c r="C2" t="s">
        <v>755</v>
      </c>
      <c r="D2" t="s">
        <v>755</v>
      </c>
    </row>
    <row r="3" spans="1:4">
      <c r="A3" t="s">
        <v>144</v>
      </c>
      <c r="B3" t="s">
        <v>755</v>
      </c>
      <c r="C3" s="176">
        <v>3226009468</v>
      </c>
      <c r="D3" t="s">
        <v>755</v>
      </c>
    </row>
    <row r="4" spans="1:4">
      <c r="A4" t="s">
        <v>442</v>
      </c>
      <c r="B4" t="s">
        <v>755</v>
      </c>
      <c r="C4" s="176">
        <v>6603319</v>
      </c>
      <c r="D4" t="s">
        <v>755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C53-E4A0-4B8A-8F71-907D54F0CF9B}">
  <dimension ref="A1:R4"/>
  <sheetViews>
    <sheetView zoomScale="90" zoomScaleNormal="90" workbookViewId="0">
      <selection activeCell="C3" sqref="C3"/>
    </sheetView>
  </sheetViews>
  <sheetFormatPr defaultColWidth="8.88671875" defaultRowHeight="13.8"/>
  <cols>
    <col min="1" max="1" width="5.77734375" style="1" customWidth="1" collapsed="1"/>
    <col min="2" max="4" width="30.77734375" style="1" customWidth="1" collapsed="1"/>
    <col min="5" max="5" width="48.109375" style="1" customWidth="1" collapsed="1"/>
    <col min="6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AutoIncrement!B2&amp;"BU-PNATEST,20230605000000000000-1"</f>
        <v>Z8BU-PNATEST,20230605000000000000-1</v>
      </c>
      <c r="C2" s="8" t="str">
        <f>AutoIncrement!$B$2&amp;"SUP-PNATEST,20230605000000000000-1"</f>
        <v>Z8SUP-PNATEST,20230605000000000000-1</v>
      </c>
      <c r="D2" s="8" t="str">
        <f>AutoIncrement!$B$2&amp;"ATEST202306050000000000001"</f>
        <v>Z8ATEST202306050000000000001</v>
      </c>
      <c r="E2" s="8" t="s">
        <v>518</v>
      </c>
      <c r="F2" s="8" t="s">
        <v>99</v>
      </c>
      <c r="G2" s="1" t="str">
        <f>'TC011-Setup Data'!A2</f>
        <v>ELASUP-Z8s1-019</v>
      </c>
      <c r="H2" s="8" t="s">
        <v>114</v>
      </c>
      <c r="I2" s="16" t="s">
        <v>247</v>
      </c>
      <c r="J2" s="16">
        <v>1E-3</v>
      </c>
      <c r="K2" s="17">
        <v>20</v>
      </c>
      <c r="L2" s="5">
        <v>10</v>
      </c>
      <c r="M2" s="5">
        <v>1.1100000000000001</v>
      </c>
      <c r="N2" s="21">
        <v>1.1100000000000001</v>
      </c>
      <c r="O2" s="22">
        <v>1.1100000000000001</v>
      </c>
      <c r="P2" s="8" t="s">
        <v>144</v>
      </c>
      <c r="Q2" s="33">
        <v>1.0009999999999999</v>
      </c>
      <c r="R2" s="34">
        <v>2</v>
      </c>
    </row>
    <row r="3" spans="1:18">
      <c r="A3" s="1">
        <f>'TC007-Contract Parts Info'!A3</f>
        <v>2</v>
      </c>
      <c r="B3" s="8" t="str">
        <f>AutoIncrement!B2&amp;"BU-PNATEST,20230605000000000000-2"</f>
        <v>Z8BU-PNATEST,20230605000000000000-2</v>
      </c>
      <c r="C3" s="8" t="str">
        <f>AutoIncrement!$B$2&amp;"SUP-PNATEST,20230605000000000000-2"</f>
        <v>Z8SUP-PNATEST,20230605000000000000-2</v>
      </c>
      <c r="D3" s="8" t="str">
        <f>AutoIncrement!$B$2&amp;"ATEST202306050000000000002"</f>
        <v>Z8ATEST202306050000000000002</v>
      </c>
      <c r="E3" s="8" t="s">
        <v>248</v>
      </c>
      <c r="F3" s="8" t="s">
        <v>99</v>
      </c>
      <c r="G3" s="1" t="str">
        <f>'TC011-Setup Data'!A2</f>
        <v>ELASUP-Z8s1-019</v>
      </c>
      <c r="H3" s="8" t="s">
        <v>114</v>
      </c>
      <c r="I3" s="16" t="s">
        <v>247</v>
      </c>
      <c r="J3" s="16">
        <v>1E-3</v>
      </c>
      <c r="K3" s="17">
        <v>20</v>
      </c>
      <c r="L3" s="5">
        <v>10</v>
      </c>
      <c r="M3" s="5">
        <v>1.1100000000000001</v>
      </c>
      <c r="N3" s="21">
        <v>1.1100000000000001</v>
      </c>
      <c r="O3" s="22">
        <v>1.1100000000000001</v>
      </c>
      <c r="P3" s="8" t="s">
        <v>144</v>
      </c>
      <c r="Q3" s="33">
        <v>1.0009999999999999</v>
      </c>
      <c r="R3" s="34">
        <v>2</v>
      </c>
    </row>
    <row r="4" spans="1:18">
      <c r="A4" s="1">
        <f>'TC007-Contract Parts Info'!A4</f>
        <v>3</v>
      </c>
      <c r="B4" s="8" t="str">
        <f>AutoIncrement!B2&amp;"pna-1219AS-1"</f>
        <v>Z8pna-1219AS-1</v>
      </c>
      <c r="C4" s="8" t="str">
        <f>AutoIncrement!$B$2&amp;"pna-1219AS-1"</f>
        <v>Z8pna-1219AS-1</v>
      </c>
      <c r="D4" s="8" t="str">
        <f>AutoIncrement!$B$2&amp;"pna1219AS1"</f>
        <v>Z8pna1219AS1</v>
      </c>
      <c r="E4" s="8" t="s">
        <v>249</v>
      </c>
      <c r="F4" s="8" t="s">
        <v>99</v>
      </c>
      <c r="G4" s="1" t="str">
        <f>'TC011-Setup Data'!A2</f>
        <v>ELASUP-Z8s1-019</v>
      </c>
      <c r="H4" s="8" t="s">
        <v>20</v>
      </c>
      <c r="I4" s="8" t="s">
        <v>20</v>
      </c>
      <c r="J4" s="16">
        <v>1</v>
      </c>
      <c r="K4" s="17">
        <v>22000</v>
      </c>
      <c r="L4" s="5">
        <v>22000</v>
      </c>
      <c r="M4" s="5">
        <v>1</v>
      </c>
      <c r="N4" s="21">
        <v>1</v>
      </c>
      <c r="O4" s="22">
        <v>1</v>
      </c>
      <c r="P4" s="8" t="s">
        <v>144</v>
      </c>
      <c r="Q4" s="33">
        <v>1.0009999999999999</v>
      </c>
      <c r="R4" s="34">
        <v>4</v>
      </c>
    </row>
  </sheetData>
  <dataValidations count="2">
    <dataValidation type="list" allowBlank="1" showErrorMessage="1" sqref="I2:I3" xr:uid="{4CAC3F80-93EB-4B4E-B90B-262BE3E76FF1}">
      <formula1>UOM_CODE</formula1>
    </dataValidation>
    <dataValidation type="list" allowBlank="1" showErrorMessage="1" sqref="P2:P4" xr:uid="{A5FCD6EA-6F4B-4D90-A8B2-49F9F49F91E6}">
      <formula1>CURRENCY_CODE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CF7-5E57-4F04-AA05-8359C165FBB5}">
  <dimension ref="A1:F3"/>
  <sheetViews>
    <sheetView workbookViewId="0">
      <selection activeCell="C10" sqref="C10"/>
    </sheetView>
  </sheetViews>
  <sheetFormatPr defaultRowHeight="14.4"/>
  <cols>
    <col min="1" max="2" width="14.109375" customWidth="1" collapsed="1"/>
    <col min="3" max="3" width="14" customWidth="1" collapsed="1"/>
    <col min="4" max="4" width="18.5546875" customWidth="1" collapsed="1"/>
    <col min="5" max="5" width="16.77734375" customWidth="1" collapsed="1"/>
  </cols>
  <sheetData>
    <row r="1" spans="1:6">
      <c r="A1" t="s">
        <v>794</v>
      </c>
      <c r="B1" t="s">
        <v>799</v>
      </c>
      <c r="C1" t="s">
        <v>795</v>
      </c>
      <c r="D1" t="s">
        <v>796</v>
      </c>
      <c r="E1" t="s">
        <v>797</v>
      </c>
      <c r="F1" t="s">
        <v>798</v>
      </c>
    </row>
    <row r="2" spans="1:6">
      <c r="A2" t="str">
        <f>'TC172-Seller GI Invoice'!$A$2</f>
        <v>PNA2311003</v>
      </c>
      <c r="B2" t="s">
        <v>190</v>
      </c>
      <c r="C2" s="176">
        <v>1600</v>
      </c>
      <c r="D2" s="176">
        <v>1600</v>
      </c>
      <c r="E2">
        <v>100</v>
      </c>
      <c r="F2">
        <v>1</v>
      </c>
    </row>
    <row r="3" spans="1:6">
      <c r="A3" t="str">
        <f>'TC172-Seller GI Invoice'!$A$3</f>
        <v>PNA2311004</v>
      </c>
      <c r="B3" t="s">
        <v>190</v>
      </c>
      <c r="C3" s="176">
        <v>1400</v>
      </c>
      <c r="D3" s="176">
        <v>1400</v>
      </c>
      <c r="E3">
        <v>100</v>
      </c>
      <c r="F3">
        <v>1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D794-A3F0-43F6-824D-0308B4604ED5}">
  <dimension ref="A1:B5"/>
  <sheetViews>
    <sheetView workbookViewId="0">
      <selection activeCell="B3" sqref="B3"/>
    </sheetView>
  </sheetViews>
  <sheetFormatPr defaultRowHeight="14.4"/>
  <cols>
    <col min="1" max="1" width="11.6640625" customWidth="1" collapsed="1"/>
    <col min="2" max="2" width="32.33203125" customWidth="1" collapsed="1"/>
  </cols>
  <sheetData>
    <row r="1" spans="1:2">
      <c r="A1" t="s">
        <v>708</v>
      </c>
      <c r="B1" t="s">
        <v>129</v>
      </c>
    </row>
    <row r="2" spans="1:2">
      <c r="A2" t="s">
        <v>709</v>
      </c>
      <c r="B2" t="str">
        <f>'TC007-Setup Data'!B2</f>
        <v>PNABU-L3-Z8-019</v>
      </c>
    </row>
    <row r="3" spans="1:2">
      <c r="A3" t="s">
        <v>710</v>
      </c>
      <c r="B3" t="str">
        <f>'TC021-Setup Data'!A2</f>
        <v>PNABU-L2-Z8-019</v>
      </c>
    </row>
    <row r="4" spans="1:2">
      <c r="A4" t="s">
        <v>711</v>
      </c>
      <c r="B4" t="str">
        <f>'TC011-Setup Data'!A2</f>
        <v>ELASUP-Z8s1-019</v>
      </c>
    </row>
    <row r="5" spans="1:2">
      <c r="A5" t="s">
        <v>712</v>
      </c>
      <c r="B5" t="str">
        <f>'TC012-Setup Data'!A2</f>
        <v>JPYAZ-Z8s2-019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8F4-974B-4593-82DE-8A98D2824969}">
  <dimension ref="A1:Q1"/>
  <sheetViews>
    <sheetView workbookViewId="0">
      <selection activeCell="C20" sqref="C20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79" customFormat="1" ht="65.25" customHeight="1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77" t="s">
        <v>656</v>
      </c>
      <c r="G1" s="177" t="s">
        <v>657</v>
      </c>
      <c r="H1" s="177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229-66E3-4F0D-A596-303E6129BB16}">
  <dimension ref="A1:Q1"/>
  <sheetViews>
    <sheetView workbookViewId="0">
      <selection activeCell="F2" sqref="F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79" customFormat="1" ht="65.25" customHeight="1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80" t="s">
        <v>656</v>
      </c>
      <c r="G1" s="180" t="s">
        <v>657</v>
      </c>
      <c r="H1" s="181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8D9C-6997-407B-B121-0DE941A8E78D}">
  <dimension ref="A1:K5"/>
  <sheetViews>
    <sheetView workbookViewId="0">
      <selection activeCell="D15" sqref="D1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"Bs2-"&amp;AutoIncrement!$B$2&amp;"-"&amp;AutoIncrement!$A$2&amp;"-001"</f>
        <v>Bs2-Z8-19-001</v>
      </c>
      <c r="D2" s="8" t="s">
        <v>565</v>
      </c>
      <c r="E2" t="s">
        <v>548</v>
      </c>
      <c r="F2" s="184" t="s">
        <v>677</v>
      </c>
      <c r="G2" s="186">
        <f t="shared" ref="G2:G5" ca="1" si="0">TODAY()</f>
        <v>45247</v>
      </c>
      <c r="H2" t="str">
        <f>'TC126-Setup'!$A$2</f>
        <v>BL-1</v>
      </c>
      <c r="I2" s="186">
        <f t="shared" ref="I2:I5" ca="1" si="1">TODAY()</f>
        <v>45247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">
        <v>569</v>
      </c>
      <c r="E3" t="s">
        <v>548</v>
      </c>
      <c r="F3" t="s">
        <v>677</v>
      </c>
      <c r="G3" s="186">
        <f ca="1">TODAY()</f>
        <v>45247</v>
      </c>
      <c r="H3" t="str">
        <f>'TC126-Setup'!$A$2</f>
        <v>BL-1</v>
      </c>
      <c r="I3" s="186">
        <f ca="1">TODAY()</f>
        <v>45247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">
        <v>543</v>
      </c>
      <c r="E4" t="s">
        <v>548</v>
      </c>
      <c r="F4" t="s">
        <v>677</v>
      </c>
      <c r="G4" s="186">
        <f t="shared" ca="1" si="0"/>
        <v>45247</v>
      </c>
      <c r="H4" t="str">
        <f>'TC126-Setup'!$A$2</f>
        <v>BL-1</v>
      </c>
      <c r="I4" s="186">
        <f t="shared" ca="1" si="1"/>
        <v>45247</v>
      </c>
      <c r="J4" t="str">
        <f>'TC126-Setup'!$B$2</f>
        <v>Vessel-1</v>
      </c>
      <c r="K4" t="str">
        <f>'TC126-Setup'!$C$2</f>
        <v>v-1</v>
      </c>
    </row>
    <row r="5" spans="1:11">
      <c r="A5">
        <v>3</v>
      </c>
      <c r="B5" s="1" t="str">
        <f>'TC115-Outbound No'!$B$3</f>
        <v>o-JP-YAZ-SUP-231026002</v>
      </c>
      <c r="C5" s="1"/>
      <c r="D5" s="8" t="s">
        <v>529</v>
      </c>
      <c r="E5" t="s">
        <v>765</v>
      </c>
      <c r="F5" t="s">
        <v>240</v>
      </c>
      <c r="G5" s="186">
        <f t="shared" ca="1" si="0"/>
        <v>45247</v>
      </c>
      <c r="H5" t="str">
        <f>'TC126-Setup'!$A$2</f>
        <v>BL-1</v>
      </c>
      <c r="I5" s="186">
        <f t="shared" ca="1" si="1"/>
        <v>45247</v>
      </c>
      <c r="J5" t="str">
        <f>'TC126-Setup'!$B$2</f>
        <v>Vessel-1</v>
      </c>
      <c r="K5" t="str">
        <f>'TC126-Setup'!$C$2</f>
        <v>v-1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785-5580-45DD-9D79-A705F21A8E52}">
  <dimension ref="A1:L6"/>
  <sheetViews>
    <sheetView topLeftCell="B1" zoomScale="90" zoomScaleNormal="90" workbookViewId="0">
      <selection activeCell="D8" sqref="D8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>
      <c r="A1" s="8" t="s">
        <v>34</v>
      </c>
      <c r="B1" s="8" t="s">
        <v>33</v>
      </c>
      <c r="C1" s="8" t="s">
        <v>32</v>
      </c>
      <c r="D1" s="8" t="s">
        <v>31</v>
      </c>
      <c r="E1" s="8" t="s">
        <v>30</v>
      </c>
      <c r="F1" s="8" t="s">
        <v>29</v>
      </c>
      <c r="G1" s="8" t="s">
        <v>28</v>
      </c>
      <c r="H1" s="8" t="s">
        <v>27</v>
      </c>
      <c r="I1" s="8" t="s">
        <v>26</v>
      </c>
      <c r="J1" s="8" t="s">
        <v>25</v>
      </c>
      <c r="K1" s="8" t="s">
        <v>24</v>
      </c>
      <c r="L1" s="8" t="s">
        <v>23</v>
      </c>
    </row>
    <row r="2" spans="1:12">
      <c r="A2" s="7">
        <v>1</v>
      </c>
      <c r="B2" s="7" t="s">
        <v>245</v>
      </c>
      <c r="C2" s="10" t="str">
        <f>AutoIncrement!$B$2&amp;"pna1219AS1"</f>
        <v>Z8pna1219AS1</v>
      </c>
      <c r="D2" s="7"/>
      <c r="E2" s="6" t="s">
        <v>22</v>
      </c>
      <c r="F2" s="6" t="s">
        <v>21</v>
      </c>
      <c r="G2" s="6" t="s">
        <v>20</v>
      </c>
      <c r="H2" s="5">
        <v>0.1</v>
      </c>
      <c r="I2" s="4" t="s">
        <v>12</v>
      </c>
      <c r="J2" s="3"/>
      <c r="K2" s="3" t="s">
        <v>5</v>
      </c>
      <c r="L2" s="3" t="s">
        <v>4</v>
      </c>
    </row>
    <row r="3" spans="1:12">
      <c r="A3" s="7">
        <v>2</v>
      </c>
      <c r="B3" s="7" t="s">
        <v>245</v>
      </c>
      <c r="C3" s="10" t="str">
        <f>AutoIncrement!$B$2&amp;"pna18001404835"</f>
        <v>Z8pna18001404835</v>
      </c>
      <c r="D3" s="7"/>
      <c r="E3" s="6">
        <v>18001404835</v>
      </c>
      <c r="F3" s="6" t="s">
        <v>19</v>
      </c>
      <c r="G3" s="6" t="s">
        <v>18</v>
      </c>
      <c r="H3" s="5">
        <v>0.1</v>
      </c>
      <c r="I3" s="4" t="s">
        <v>12</v>
      </c>
      <c r="J3" s="3"/>
      <c r="K3" s="3" t="s">
        <v>17</v>
      </c>
      <c r="L3" s="3" t="s">
        <v>4</v>
      </c>
    </row>
    <row r="4" spans="1:12">
      <c r="A4" s="7">
        <v>3</v>
      </c>
      <c r="B4" s="7" t="s">
        <v>245</v>
      </c>
      <c r="C4" s="10" t="str">
        <f>AutoIncrement!B2&amp;"pna18007703930"</f>
        <v>Z8pna18007703930</v>
      </c>
      <c r="D4" s="7"/>
      <c r="E4" s="6">
        <v>18007703930</v>
      </c>
      <c r="F4" s="6" t="s">
        <v>16</v>
      </c>
      <c r="G4" s="6" t="s">
        <v>13</v>
      </c>
      <c r="H4" s="5">
        <v>0.1</v>
      </c>
      <c r="I4" s="4" t="s">
        <v>12</v>
      </c>
      <c r="J4" s="3"/>
      <c r="K4" s="3" t="s">
        <v>15</v>
      </c>
      <c r="L4" s="3" t="s">
        <v>4</v>
      </c>
    </row>
    <row r="5" spans="1:12">
      <c r="A5" s="7">
        <v>4</v>
      </c>
      <c r="B5" s="7" t="s">
        <v>245</v>
      </c>
      <c r="C5" s="11" t="str">
        <f>AutoIncrement!B2&amp;"pna45050040130"</f>
        <v>Z8pna45050040130</v>
      </c>
      <c r="D5" s="3">
        <v>45051040130</v>
      </c>
      <c r="E5" s="6">
        <v>45050040130</v>
      </c>
      <c r="F5" s="6" t="s">
        <v>14</v>
      </c>
      <c r="G5" s="6" t="s">
        <v>13</v>
      </c>
      <c r="H5" s="5">
        <v>0.1</v>
      </c>
      <c r="I5" s="4" t="s">
        <v>12</v>
      </c>
      <c r="J5" s="3"/>
      <c r="K5" s="3" t="s">
        <v>11</v>
      </c>
      <c r="L5" s="3" t="s">
        <v>4</v>
      </c>
    </row>
    <row r="6" spans="1:12">
      <c r="A6" s="7">
        <v>5</v>
      </c>
      <c r="B6" s="7" t="s">
        <v>245</v>
      </c>
      <c r="C6" s="10" t="str">
        <f>AutoIncrement!B2&amp;"pnaNSL2BLACK"</f>
        <v>Z8pnaNSL2BLACK</v>
      </c>
      <c r="D6" s="7"/>
      <c r="E6" s="6" t="s">
        <v>9</v>
      </c>
      <c r="F6" s="6" t="s">
        <v>8</v>
      </c>
      <c r="G6" s="6" t="s">
        <v>6</v>
      </c>
      <c r="H6" s="5">
        <v>0.1</v>
      </c>
      <c r="I6" s="4" t="s">
        <v>7</v>
      </c>
      <c r="J6" s="3" t="s">
        <v>6</v>
      </c>
      <c r="K6" s="3" t="s">
        <v>5</v>
      </c>
      <c r="L6" s="3" t="s">
        <v>4</v>
      </c>
    </row>
  </sheetData>
  <dataValidations count="5">
    <dataValidation type="list" allowBlank="1" showErrorMessage="1" sqref="L2:L6" xr:uid="{90F0C2FF-2C08-4679-9B8A-B7C3ACC3CA5D}">
      <formula1>activeFlagListArr</formula1>
    </dataValidation>
    <dataValidation type="list" allowBlank="1" showErrorMessage="1" sqref="K2:K6" xr:uid="{55E058B5-32A3-410A-9391-4AE66ED751AD}">
      <formula1>partsTypeArr</formula1>
    </dataValidation>
    <dataValidation type="list" allowBlank="1" showErrorMessage="1" sqref="J2:J6" xr:uid="{FC667BE4-A489-48F0-B4E5-1E1C51F90A91}">
      <formula1>rolledPartsUomArr</formula1>
    </dataValidation>
    <dataValidation type="list" allowBlank="1" showErrorMessage="1" sqref="I2:I6" xr:uid="{C343B240-B63E-406A-B363-CA051B7D429C}">
      <formula1>rolledPartsFlagArr</formula1>
    </dataValidation>
    <dataValidation type="list" allowBlank="1" showErrorMessage="1" sqref="G2:G6" xr:uid="{15078B40-3694-428A-98BA-006BE65D33F2}">
      <formula1>findAllUomArr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11E0-1AFB-4F9C-93CB-756AF3D2CD96}">
  <dimension ref="A1:A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5.7773437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"ELASUP-"&amp;AutoIncrement!C2&amp;"-0"&amp;AutoIncrement!A2</f>
        <v>ELASUP-Z8s1-019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7E48-3FBE-4332-8C55-678275FB70AA}">
  <dimension ref="A1:O2"/>
  <sheetViews>
    <sheetView topLeftCell="E1" zoomScale="90" zoomScaleNormal="90" workbookViewId="0">
      <selection activeCell="N11" sqref="N11"/>
    </sheetView>
  </sheetViews>
  <sheetFormatPr defaultColWidth="8.88671875" defaultRowHeight="13.8"/>
  <cols>
    <col min="1" max="1" width="5.7773437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211" t="s">
        <v>164</v>
      </c>
    </row>
    <row r="2" spans="1:15" ht="14.4">
      <c r="A2" s="1">
        <v>1</v>
      </c>
      <c r="B2" s="1" t="s">
        <v>98</v>
      </c>
      <c r="C2" s="1">
        <v>1</v>
      </c>
      <c r="D2" s="1">
        <v>1</v>
      </c>
      <c r="E2" s="1">
        <v>1</v>
      </c>
      <c r="F2" s="1" t="str">
        <f>AutoIncrement!C2&amp;AutoIncrement!A2</f>
        <v>Z8s119</v>
      </c>
      <c r="G2" s="1" t="str">
        <f>"CD-"&amp;F2&amp;"-"&amp;AutoIncrement!A2</f>
        <v>CD-Z8s119-19</v>
      </c>
      <c r="H2" s="1" t="str">
        <f>'TC10.2'!C2&amp;"("&amp;'TC10.2'!D2&amp;")"</f>
        <v>ELA 60 DAYS 19(60 DAYS BY INV DATE)</v>
      </c>
      <c r="I2" s="1" t="s">
        <v>144</v>
      </c>
      <c r="J2" s="1" t="s">
        <v>167</v>
      </c>
      <c r="K2" s="1" t="s">
        <v>98</v>
      </c>
      <c r="L2" s="1" t="str">
        <f>'TC010.1'!A2&amp;"("&amp;'TC010.1'!B2&amp;")"</f>
        <v>ELASUP-PNDC-19(ELASUP-PNDC-19)</v>
      </c>
      <c r="M2" s="1" t="str">
        <f>"RD-"&amp;F2&amp;"-"&amp;AutoIncrement!A2</f>
        <v>RD-Z8s119-19</v>
      </c>
      <c r="N2" s="1" t="s">
        <v>148</v>
      </c>
      <c r="O2" t="s">
        <v>801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819-C7C4-47B6-86B2-D9218C315929}">
  <dimension ref="A1:X2"/>
  <sheetViews>
    <sheetView topLeftCell="N1" zoomScale="90" zoomScaleNormal="90" workbookViewId="0">
      <selection activeCell="A2" sqref="A2"/>
    </sheetView>
  </sheetViews>
  <sheetFormatPr defaultColWidth="8.88671875" defaultRowHeight="13.8"/>
  <cols>
    <col min="1" max="1" width="15.6640625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2" t="s">
        <v>72</v>
      </c>
      <c r="B1" s="32" t="s">
        <v>73</v>
      </c>
      <c r="C1" s="32" t="s">
        <v>23</v>
      </c>
      <c r="D1" s="32" t="s">
        <v>74</v>
      </c>
      <c r="E1" s="32" t="s">
        <v>75</v>
      </c>
      <c r="F1" s="32" t="s">
        <v>76</v>
      </c>
      <c r="G1" s="32" t="s">
        <v>77</v>
      </c>
      <c r="H1" s="32" t="s">
        <v>78</v>
      </c>
      <c r="I1" s="32" t="s">
        <v>79</v>
      </c>
      <c r="J1" s="32" t="s">
        <v>80</v>
      </c>
      <c r="K1" s="32" t="s">
        <v>81</v>
      </c>
      <c r="L1" s="32" t="s">
        <v>82</v>
      </c>
      <c r="M1" s="32" t="s">
        <v>83</v>
      </c>
      <c r="N1" s="32" t="s">
        <v>84</v>
      </c>
      <c r="O1" s="31" t="s">
        <v>85</v>
      </c>
      <c r="P1" s="32" t="s">
        <v>86</v>
      </c>
      <c r="Q1" s="32" t="s">
        <v>87</v>
      </c>
      <c r="R1" s="32" t="s">
        <v>88</v>
      </c>
      <c r="S1" s="32" t="s">
        <v>89</v>
      </c>
      <c r="T1" s="32" t="s">
        <v>90</v>
      </c>
      <c r="U1" s="32" t="s">
        <v>91</v>
      </c>
      <c r="V1" s="32" t="s">
        <v>92</v>
      </c>
      <c r="W1" s="32" t="s">
        <v>93</v>
      </c>
      <c r="X1" s="31" t="s">
        <v>94</v>
      </c>
    </row>
    <row r="2" spans="1:24">
      <c r="A2" s="32" t="str">
        <f>"YAZSUP-PNDC-"&amp;AutoIncrement!B2</f>
        <v>YAZSUP-PNDC-Z8</v>
      </c>
      <c r="B2" s="32" t="str">
        <f>A2</f>
        <v>YAZSUP-PNDC-Z8</v>
      </c>
      <c r="C2" s="32" t="s">
        <v>4</v>
      </c>
      <c r="D2" s="32" t="s">
        <v>255</v>
      </c>
      <c r="E2" s="32" t="s">
        <v>256</v>
      </c>
      <c r="F2" s="32" t="s">
        <v>96</v>
      </c>
      <c r="G2" s="32"/>
      <c r="H2" s="32"/>
      <c r="I2" s="32" t="s">
        <v>150</v>
      </c>
      <c r="J2" s="32" t="s">
        <v>98</v>
      </c>
      <c r="K2" s="32" t="s">
        <v>257</v>
      </c>
      <c r="L2" s="32" t="s">
        <v>258</v>
      </c>
      <c r="M2" s="32">
        <v>3</v>
      </c>
      <c r="N2" s="32">
        <v>2</v>
      </c>
      <c r="O2" s="32" t="str">
        <f>'TC011.1ETAWeek'!I2</f>
        <v>MON,WED,FRI,</v>
      </c>
      <c r="P2" s="32">
        <v>0</v>
      </c>
      <c r="Q2" s="32">
        <v>0</v>
      </c>
      <c r="R2" s="32">
        <v>12</v>
      </c>
      <c r="S2" s="32">
        <v>6</v>
      </c>
      <c r="T2" s="32">
        <v>2023</v>
      </c>
      <c r="U2" s="32">
        <v>31</v>
      </c>
      <c r="V2" s="32">
        <v>12</v>
      </c>
      <c r="W2" s="32">
        <v>2024</v>
      </c>
      <c r="X2" s="32" t="str">
        <f>'TC011.1ETAWeek'!O2</f>
        <v>1st Week,2nd Week,3rd Week,</v>
      </c>
    </row>
  </sheetData>
  <hyperlinks>
    <hyperlink ref="O1" location="RANGE!A1" display="ETDWeekDay (click here to set ETD days)" xr:uid="{538531F2-D852-4CDD-8261-73143680A5AC}"/>
    <hyperlink ref="X1" location="RANGE!A1" display="Shipping Frequency Weeks (Click here to add week)" xr:uid="{0E998B3B-A421-478C-B638-A480DBE803B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12D3-00BF-49EA-81F0-16DAFD9B9575}">
  <dimension ref="A1:O2"/>
  <sheetViews>
    <sheetView topLeftCell="E1" zoomScale="90" zoomScaleNormal="90" workbookViewId="0">
      <selection activeCell="K36" sqref="K36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150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19DF-D458-4A53-AE5A-1AF5ED576708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"YAZ 60 DAYS "&amp;AutoIncrement!B2</f>
        <v>YAZ 60 DAYS Z8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8D3B-DF41-4055-8E48-94A42A40A618}">
  <dimension ref="A1:R5"/>
  <sheetViews>
    <sheetView zoomScale="90" zoomScaleNormal="90" workbookViewId="0">
      <selection activeCell="D4" sqref="D4"/>
    </sheetView>
  </sheetViews>
  <sheetFormatPr defaultColWidth="8.88671875" defaultRowHeight="13.8"/>
  <cols>
    <col min="1" max="1" width="5.6640625" style="1" customWidth="1" collapsed="1"/>
    <col min="2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AutoIncrement!B2&amp;"pna-18001404835"</f>
        <v>Z8pna-18001404835</v>
      </c>
      <c r="C2" s="8" t="str">
        <f>AutoIncrement!B2&amp;"pna-18001404835"</f>
        <v>Z8pna-18001404835</v>
      </c>
      <c r="D2" s="8" t="str">
        <f>AutoIncrement!$B$2&amp;"pna18001404835"</f>
        <v>Z8pna18001404835</v>
      </c>
      <c r="E2" s="8" t="s">
        <v>259</v>
      </c>
      <c r="F2" s="8" t="s">
        <v>99</v>
      </c>
      <c r="G2" s="1" t="str">
        <f>'TC012-Setup Data'!A2</f>
        <v>JPYAZ-Z8s2-019</v>
      </c>
      <c r="H2" s="8" t="s">
        <v>13</v>
      </c>
      <c r="I2" s="8" t="s">
        <v>13</v>
      </c>
      <c r="J2" s="16">
        <v>1</v>
      </c>
      <c r="K2" s="17">
        <v>100</v>
      </c>
      <c r="L2" s="5">
        <v>100</v>
      </c>
      <c r="M2" s="5">
        <v>1</v>
      </c>
      <c r="N2" s="21">
        <v>1</v>
      </c>
      <c r="O2" s="22">
        <v>1</v>
      </c>
      <c r="P2" s="8" t="s">
        <v>260</v>
      </c>
      <c r="Q2" s="33">
        <v>10.02</v>
      </c>
      <c r="R2" s="35">
        <v>9</v>
      </c>
    </row>
    <row r="3" spans="1:18">
      <c r="A3" s="1">
        <f>'TC007-Contract Parts Info'!A3</f>
        <v>2</v>
      </c>
      <c r="B3" s="8" t="str">
        <f>AutoIncrement!B2&amp;"pna-18007703930"</f>
        <v>Z8pna-18007703930</v>
      </c>
      <c r="C3" s="8" t="str">
        <f>AutoIncrement!B2&amp;"pna-18007703930"</f>
        <v>Z8pna-18007703930</v>
      </c>
      <c r="D3" s="8" t="str">
        <f>AutoIncrement!$B$2&amp;"pna18007703930"</f>
        <v>Z8pna18007703930</v>
      </c>
      <c r="E3" s="8" t="s">
        <v>261</v>
      </c>
      <c r="F3" s="8" t="s">
        <v>99</v>
      </c>
      <c r="G3" s="1" t="str">
        <f>'TC012-Setup Data'!A2</f>
        <v>JPYAZ-Z8s2-019</v>
      </c>
      <c r="H3" s="8" t="s">
        <v>13</v>
      </c>
      <c r="I3" s="8" t="s">
        <v>13</v>
      </c>
      <c r="J3" s="16">
        <v>1</v>
      </c>
      <c r="K3" s="17">
        <v>1500</v>
      </c>
      <c r="L3" s="5">
        <v>1500</v>
      </c>
      <c r="M3" s="5">
        <v>1</v>
      </c>
      <c r="N3" s="21">
        <v>1</v>
      </c>
      <c r="O3" s="22">
        <v>1</v>
      </c>
      <c r="P3" s="8" t="s">
        <v>260</v>
      </c>
      <c r="Q3" s="33">
        <v>10.02</v>
      </c>
      <c r="R3" s="35">
        <v>9</v>
      </c>
    </row>
    <row r="4" spans="1:18">
      <c r="A4" s="1">
        <f>'TC007-Contract Parts Info'!A4</f>
        <v>3</v>
      </c>
      <c r="B4" s="8" t="str">
        <f>AutoIncrement!B2&amp;"pna-45050040130"</f>
        <v>Z8pna-45050040130</v>
      </c>
      <c r="C4" s="8" t="str">
        <f>AutoIncrement!B2&amp;"pna-45050040130"</f>
        <v>Z8pna-45050040130</v>
      </c>
      <c r="D4" s="8" t="str">
        <f>AutoIncrement!$B$2&amp;"pna45050040130"</f>
        <v>Z8pna45050040130</v>
      </c>
      <c r="E4" s="8" t="s">
        <v>262</v>
      </c>
      <c r="F4" s="8" t="s">
        <v>99</v>
      </c>
      <c r="G4" s="1" t="str">
        <f>'TC012-Setup Data'!A2</f>
        <v>JPYAZ-Z8s2-019</v>
      </c>
      <c r="H4" s="8" t="s">
        <v>13</v>
      </c>
      <c r="I4" s="8" t="s">
        <v>13</v>
      </c>
      <c r="J4" s="16">
        <v>1</v>
      </c>
      <c r="K4" s="17">
        <v>6000</v>
      </c>
      <c r="L4" s="5">
        <v>6000</v>
      </c>
      <c r="M4" s="5">
        <v>1</v>
      </c>
      <c r="N4" s="21">
        <v>1</v>
      </c>
      <c r="O4" s="22">
        <v>1</v>
      </c>
      <c r="P4" s="8" t="s">
        <v>260</v>
      </c>
      <c r="Q4" s="33">
        <v>10.02</v>
      </c>
      <c r="R4" s="35">
        <v>9</v>
      </c>
    </row>
    <row r="5" spans="1:18">
      <c r="A5" s="1">
        <f>'TC007-Contract Parts Info'!A5</f>
        <v>4</v>
      </c>
      <c r="B5" s="8" t="str">
        <f>AutoIncrement!B2&amp;"pna-NSL-2BLACK"</f>
        <v>Z8pna-NSL-2BLACK</v>
      </c>
      <c r="C5" s="8" t="str">
        <f>AutoIncrement!B2&amp;"pna-NSL-2BLACK"</f>
        <v>Z8pna-NSL-2BLACK</v>
      </c>
      <c r="D5" s="8" t="str">
        <f>AutoIncrement!$B$2&amp;"pnaNSL2BLACK"</f>
        <v>Z8pnaNSL2BLACK</v>
      </c>
      <c r="E5" s="8" t="s">
        <v>263</v>
      </c>
      <c r="F5" s="8" t="s">
        <v>99</v>
      </c>
      <c r="G5" s="1" t="str">
        <f>'TC012-Setup Data'!A2</f>
        <v>JPYAZ-Z8s2-019</v>
      </c>
      <c r="H5" s="8" t="s">
        <v>6</v>
      </c>
      <c r="I5" s="16" t="s">
        <v>264</v>
      </c>
      <c r="J5" s="16">
        <v>1000</v>
      </c>
      <c r="K5" s="17">
        <v>20</v>
      </c>
      <c r="L5" s="5">
        <v>20</v>
      </c>
      <c r="M5" s="5">
        <v>1</v>
      </c>
      <c r="N5" s="21">
        <v>1</v>
      </c>
      <c r="O5" s="22">
        <v>1</v>
      </c>
      <c r="P5" s="8" t="s">
        <v>260</v>
      </c>
      <c r="Q5" s="33">
        <v>10.02</v>
      </c>
      <c r="R5" s="35">
        <v>9</v>
      </c>
    </row>
  </sheetData>
  <dataValidations count="2">
    <dataValidation type="list" allowBlank="1" showErrorMessage="1" sqref="I5" xr:uid="{B4CCBCB6-9B47-4B60-8712-62278BA2BC79}">
      <formula1>UOM_CODE</formula1>
    </dataValidation>
    <dataValidation type="list" allowBlank="1" showErrorMessage="1" sqref="P2:P5" xr:uid="{9FE5CBCF-5D0C-4D86-9A0A-4CCEED1438B2}">
      <formula1>CURRENCY_CODE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906F-E6CD-40B7-8C8E-0A5331D1B1B2}">
  <dimension ref="A1:T2"/>
  <sheetViews>
    <sheetView topLeftCell="J1" zoomScale="90" zoomScaleNormal="90" workbookViewId="0">
      <selection activeCell="S15" sqref="S15"/>
    </sheetView>
  </sheetViews>
  <sheetFormatPr defaultColWidth="8.88671875" defaultRowHeight="13.8"/>
  <cols>
    <col min="1" max="1" width="5.77734375" style="1" customWidth="1" collapsed="1"/>
    <col min="2" max="20" width="20.77734375" style="1" customWidth="1" collapsed="1"/>
    <col min="21" max="16384" width="8.88671875" style="1" collapsed="1"/>
  </cols>
  <sheetData>
    <row r="1" spans="1:20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23" t="s">
        <v>164</v>
      </c>
    </row>
    <row r="2" spans="1:20" ht="14.4">
      <c r="A2" s="1">
        <v>1</v>
      </c>
      <c r="B2" s="1" t="s">
        <v>98</v>
      </c>
      <c r="C2" s="1">
        <v>1</v>
      </c>
      <c r="D2" s="1">
        <v>3</v>
      </c>
      <c r="E2" s="1">
        <v>0</v>
      </c>
      <c r="F2" s="1" t="str">
        <f>AutoIncrement!E2&amp;AutoIncrement!A2</f>
        <v>19s219</v>
      </c>
      <c r="G2" s="1" t="str">
        <f>"CD-"&amp;F2&amp;"-"&amp;AutoIncrement!A2</f>
        <v>CD-19s219-19</v>
      </c>
      <c r="H2" s="1" t="str">
        <f>'TC11.2'!C2&amp;"("&amp;'TC11.2'!D2&amp;")"</f>
        <v>YAZ 60 DAYS Z8(60 DAYS BY INV DATE)</v>
      </c>
      <c r="I2" s="1" t="s">
        <v>260</v>
      </c>
      <c r="J2" s="1" t="s">
        <v>167</v>
      </c>
      <c r="K2" s="1" t="s">
        <v>98</v>
      </c>
      <c r="L2" s="1" t="str">
        <f>'TC011.1'!A2&amp;"("&amp;'TC011.1'!A2&amp;")"</f>
        <v>YAZSUP-PNDC-Z8(YAZSUP-PNDC-Z8)</v>
      </c>
      <c r="M2" s="1" t="str">
        <f>"RD-"&amp;AutoIncrement!D2&amp;"-"&amp;AutoIncrement!A2</f>
        <v>RD-Z8s2-19</v>
      </c>
      <c r="N2" s="1" t="s">
        <v>146</v>
      </c>
      <c r="O2" s="1" t="s">
        <v>150</v>
      </c>
      <c r="P2" s="1" t="s">
        <v>190</v>
      </c>
      <c r="Q2" s="1" t="s">
        <v>148</v>
      </c>
      <c r="R2" s="1" t="s">
        <v>270</v>
      </c>
      <c r="S2" s="1" t="s">
        <v>258</v>
      </c>
      <c r="T2" t="s">
        <v>801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E97B-291E-4706-BDFE-BBD6A63E03DE}">
  <dimension ref="A1:A2"/>
  <sheetViews>
    <sheetView zoomScale="90" zoomScaleNormal="90" workbookViewId="0"/>
  </sheetViews>
  <sheetFormatPr defaultColWidth="8.88671875" defaultRowHeight="13.8"/>
  <cols>
    <col min="1" max="1" width="25.664062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"JPYAZ-"&amp;AutoIncrement!D2&amp;"-0"&amp;AutoIncrement!A2</f>
        <v>JPYAZ-Z8s2-019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8E5-66B1-4D58-A610-56A9CEC079AB}">
  <dimension ref="A1:V4"/>
  <sheetViews>
    <sheetView zoomScale="70" zoomScaleNormal="70" workbookViewId="0">
      <selection activeCell="F16" sqref="F16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'TC011'!B2</f>
        <v>Z8BU-PNATEST,20230605000000000000-1</v>
      </c>
      <c r="B2" s="8" t="str">
        <f>'TC011'!D2</f>
        <v>Z8ATEST202306050000000000001</v>
      </c>
      <c r="C2" s="8" t="str">
        <f>'TC011'!C2</f>
        <v>Z8SUP-PNATEST,20230605000000000000-1</v>
      </c>
      <c r="D2" s="8" t="str">
        <f>'TC011'!B2</f>
        <v>Z8BU-PNATEST,20230605000000000000-1</v>
      </c>
      <c r="E2" s="40" t="s">
        <v>715</v>
      </c>
      <c r="F2" s="8" t="s">
        <v>4</v>
      </c>
      <c r="G2" s="41">
        <v>1.0009999999999999</v>
      </c>
      <c r="H2" s="36" t="str">
        <f ca="1">TEXT(DATE(YEAR(TODAY()), MONTH(TODAY()), DAY(TODAY())), "mmm d, yyyy")</f>
        <v>Nov 17,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'TC011'!B3</f>
        <v>Z8BU-PNATEST,20230605000000000000-2</v>
      </c>
      <c r="B3" s="8" t="str">
        <f>'TC011'!D3</f>
        <v>Z8ATEST202306050000000000002</v>
      </c>
      <c r="C3" s="8" t="str">
        <f>'TC011'!C3</f>
        <v>Z8SUP-PNATEST,20230605000000000000-2</v>
      </c>
      <c r="D3" s="8" t="str">
        <f>'TC011'!B3</f>
        <v>Z8BU-PNATEST,20230605000000000000-2</v>
      </c>
      <c r="E3" s="40" t="s">
        <v>716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Nov 17,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'TC011'!B4</f>
        <v>Z8pna-1219AS-1</v>
      </c>
      <c r="B4" s="8" t="str">
        <f>'TC011'!D4</f>
        <v>Z8pna1219AS1</v>
      </c>
      <c r="C4" s="8" t="str">
        <f>'TC011'!C4</f>
        <v>Z8pna-1219AS-1</v>
      </c>
      <c r="D4" s="8" t="str">
        <f>'TC011'!B4</f>
        <v>Z8pna-1219AS-1</v>
      </c>
      <c r="E4" s="40" t="s">
        <v>43</v>
      </c>
      <c r="F4" s="8" t="s">
        <v>4</v>
      </c>
      <c r="G4" s="41">
        <v>1.0009999999999999</v>
      </c>
      <c r="H4" s="36" t="str">
        <f t="shared" ca="1" si="0"/>
        <v>Nov 17,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621-7EDD-4E37-B924-E73CB999EA7F}">
  <dimension ref="A1:V5"/>
  <sheetViews>
    <sheetView zoomScale="70" zoomScaleNormal="70" workbookViewId="0">
      <selection activeCell="E2" sqref="E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Z8pna-18001404835</v>
      </c>
      <c r="B2" s="8" t="str">
        <f>'TC012'!D2</f>
        <v>Z8pna18001404835</v>
      </c>
      <c r="C2" s="8" t="str">
        <f>'TC012'!C2</f>
        <v>Z8pna-18001404835</v>
      </c>
      <c r="D2" s="8" t="str">
        <f>'TC012'!B2</f>
        <v>Z8pna-18001404835</v>
      </c>
      <c r="E2" s="7" t="str">
        <f>'TC005-Req to Parts Master'!D5</f>
        <v>CABL- CABLE AVF 30.0 B/R</v>
      </c>
      <c r="F2" s="8" t="s">
        <v>4</v>
      </c>
      <c r="G2" s="22">
        <v>10.02</v>
      </c>
      <c r="H2" s="36" t="str">
        <f ca="1">TEXT(DATE(YEAR(TODAY()), MONTH(TODAY()), DAY(TODAY())), "mmm d, yyyy")</f>
        <v>Nov 17,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Z8pna-18007703930</v>
      </c>
      <c r="B3" s="8" t="str">
        <f>'TC012'!D3</f>
        <v>Z8pna18007703930</v>
      </c>
      <c r="C3" s="8" t="str">
        <f>'TC012'!C3</f>
        <v>Z8pna-18007703930</v>
      </c>
      <c r="D3" s="8" t="str">
        <f>'TC012'!B3</f>
        <v>Z8pna-18007703930</v>
      </c>
      <c r="E3" s="7" t="str">
        <f>'TC005-Req to Parts Master'!D6</f>
        <v>CABL- CABLE AVSSF 0.5 B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Nov 17,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Z8pna-45050040130</v>
      </c>
      <c r="B4" s="8" t="str">
        <f>'TC012'!D4</f>
        <v>Z8pna45050040130</v>
      </c>
      <c r="C4" s="8" t="str">
        <f>'TC012'!C4</f>
        <v>Z8pna-45050040130</v>
      </c>
      <c r="D4" s="8" t="str">
        <f>'TC012'!B4</f>
        <v>Z8pna-45050040130</v>
      </c>
      <c r="E4" s="7" t="str">
        <f>'TC005-Req to Parts Master'!D7</f>
        <v>TUBV- TUBE VO 6 7 MM NON-SLIT</v>
      </c>
      <c r="F4" s="8" t="s">
        <v>4</v>
      </c>
      <c r="G4" s="22">
        <v>10.02</v>
      </c>
      <c r="H4" s="36" t="str">
        <f t="shared" ca="1" si="0"/>
        <v>Nov 17,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Z8pna-NSL-2BLACK</v>
      </c>
      <c r="B5" s="8" t="str">
        <f>'TC012'!D5</f>
        <v>Z8pnaNSL2BLACK</v>
      </c>
      <c r="C5" s="8" t="str">
        <f>'TC012'!C5</f>
        <v>Z8pna-NSL-2BLACK</v>
      </c>
      <c r="D5" s="8" t="str">
        <f>'TC012'!B5</f>
        <v>Z8pna-NSL-2BLACK</v>
      </c>
      <c r="E5" s="7" t="str">
        <f>'TC005-Req to Parts Master'!D8</f>
        <v>NAMS- 2 LAYER LABEL GUN INK BLACK</v>
      </c>
      <c r="F5" s="8" t="s">
        <v>4</v>
      </c>
      <c r="G5" s="22">
        <v>10.02</v>
      </c>
      <c r="H5" s="36" t="str">
        <f t="shared" ca="1" si="0"/>
        <v>Nov 17,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B354-0AC7-40E0-B568-7B62793207AD}">
  <dimension ref="A1:K6"/>
  <sheetViews>
    <sheetView zoomScale="90" zoomScaleNormal="90" workbookViewId="0">
      <selection activeCell="D3" sqref="D3:D6"/>
    </sheetView>
  </sheetViews>
  <sheetFormatPr defaultColWidth="8.88671875" defaultRowHeight="13.8"/>
  <cols>
    <col min="1" max="1" width="5.77734375" style="1" customWidth="1" collapsed="1"/>
    <col min="2" max="4" width="20.77734375" style="1" customWidth="1" collapsed="1"/>
    <col min="5" max="5" width="63.44140625" style="1" customWidth="1" collapsed="1"/>
    <col min="6" max="11" width="20.77734375" style="1" customWidth="1" collapsed="1"/>
    <col min="12" max="16384" width="8.88671875" style="1" collapsed="1"/>
  </cols>
  <sheetData>
    <row r="1" spans="1:11">
      <c r="A1" s="8" t="s">
        <v>34</v>
      </c>
      <c r="B1" s="8" t="s">
        <v>33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23</v>
      </c>
    </row>
    <row r="2" spans="1:11">
      <c r="A2" s="8">
        <v>1</v>
      </c>
      <c r="B2" s="8" t="s">
        <v>245</v>
      </c>
      <c r="C2" s="10" t="str">
        <f>AutoIncrement!B2&amp;"pna-1219AS-1"</f>
        <v>Z8pna-1219AS-1</v>
      </c>
      <c r="D2" s="10" t="str">
        <f>AutoIncrement!$B$2&amp;"pna1219AS1"</f>
        <v>Z8pna1219AS1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20</v>
      </c>
      <c r="J2" s="3" t="s">
        <v>47</v>
      </c>
      <c r="K2" s="3" t="s">
        <v>4</v>
      </c>
    </row>
    <row r="3" spans="1:11">
      <c r="A3" s="8">
        <v>2</v>
      </c>
      <c r="B3" s="8" t="s">
        <v>245</v>
      </c>
      <c r="C3" s="10" t="str">
        <f>AutoIncrement!B2&amp;"pna-18001404835"</f>
        <v>Z8pna-18001404835</v>
      </c>
      <c r="D3" s="10" t="str">
        <f>AutoIncrement!$B$2&amp;"pna18001404835"</f>
        <v>Z8pna18001404835</v>
      </c>
      <c r="E3" s="3" t="s">
        <v>48</v>
      </c>
      <c r="F3" s="10" t="s">
        <v>49</v>
      </c>
      <c r="G3" s="3" t="s">
        <v>50</v>
      </c>
      <c r="H3" s="3" t="s">
        <v>51</v>
      </c>
      <c r="I3" s="3" t="s">
        <v>13</v>
      </c>
      <c r="J3" s="3" t="s">
        <v>47</v>
      </c>
      <c r="K3" s="3" t="s">
        <v>4</v>
      </c>
    </row>
    <row r="4" spans="1:11">
      <c r="A4" s="8">
        <v>3</v>
      </c>
      <c r="B4" s="8" t="s">
        <v>245</v>
      </c>
      <c r="C4" s="10" t="str">
        <f>AutoIncrement!B2&amp;"pna-18007703930"</f>
        <v>Z8pna-18007703930</v>
      </c>
      <c r="D4" s="10" t="str">
        <f>AutoIncrement!$B$2&amp;"pna18007703930"</f>
        <v>Z8pna18007703930</v>
      </c>
      <c r="E4" s="3" t="s">
        <v>52</v>
      </c>
      <c r="F4" s="10" t="s">
        <v>53</v>
      </c>
      <c r="G4" s="3" t="s">
        <v>54</v>
      </c>
      <c r="H4" s="3" t="s">
        <v>55</v>
      </c>
      <c r="I4" s="3" t="s">
        <v>13</v>
      </c>
      <c r="J4" s="3" t="s">
        <v>47</v>
      </c>
      <c r="K4" s="3" t="s">
        <v>4</v>
      </c>
    </row>
    <row r="5" spans="1:11">
      <c r="A5" s="8">
        <v>4</v>
      </c>
      <c r="B5" s="8" t="s">
        <v>245</v>
      </c>
      <c r="C5" s="10" t="str">
        <f>AutoIncrement!B2&amp;"pna-45050040130"</f>
        <v>Z8pna-45050040130</v>
      </c>
      <c r="D5" s="10" t="str">
        <f>AutoIncrement!$B$2&amp;"pna45050040130"</f>
        <v>Z8pna45050040130</v>
      </c>
      <c r="E5" s="3" t="s">
        <v>56</v>
      </c>
      <c r="F5" s="10" t="s">
        <v>57</v>
      </c>
      <c r="G5" s="3" t="s">
        <v>58</v>
      </c>
      <c r="H5" s="3" t="s">
        <v>59</v>
      </c>
      <c r="I5" s="3" t="s">
        <v>13</v>
      </c>
      <c r="J5" s="3" t="s">
        <v>47</v>
      </c>
      <c r="K5" s="3" t="s">
        <v>4</v>
      </c>
    </row>
    <row r="6" spans="1:11">
      <c r="A6" s="8">
        <v>5</v>
      </c>
      <c r="B6" s="8" t="s">
        <v>245</v>
      </c>
      <c r="C6" s="10" t="str">
        <f>AutoIncrement!B2&amp;"pna-NSL-2BLACK"</f>
        <v>Z8pna-NSL-2BLACK</v>
      </c>
      <c r="D6" s="10" t="str">
        <f>AutoIncrement!$B$2&amp;"pnaNSL2BLACK"</f>
        <v>Z8pnaNSL2BLACK</v>
      </c>
      <c r="E6" s="3" t="s">
        <v>60</v>
      </c>
      <c r="F6" s="3" t="s">
        <v>61</v>
      </c>
      <c r="G6" s="3" t="s">
        <v>62</v>
      </c>
      <c r="H6" s="3" t="s">
        <v>63</v>
      </c>
      <c r="I6" s="3" t="s">
        <v>6</v>
      </c>
      <c r="J6" s="3" t="s">
        <v>47</v>
      </c>
      <c r="K6" s="3" t="s">
        <v>4</v>
      </c>
    </row>
  </sheetData>
  <dataValidations disablePrompts="1" count="3">
    <dataValidation type="list" allowBlank="1" showErrorMessage="1" sqref="K2:K6" xr:uid="{7A570286-E27F-4F23-A3BE-57A393E5A324}">
      <formula1>activeFlagStrArr</formula1>
    </dataValidation>
    <dataValidation type="list" allowBlank="1" showErrorMessage="1" sqref="I2:I6" xr:uid="{5ECB259D-E693-437C-988E-9C82E5D82788}">
      <formula1>rolledPartsUomArr</formula1>
    </dataValidation>
    <dataValidation type="list" allowBlank="1" showErrorMessage="1" sqref="J2:J6" xr:uid="{4F17AFBA-647F-4CA0-BA74-DFF288EDC6FF}">
      <formula1>pairedPartsFlagStrArr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805-E058-42D6-A049-119468FD5B4D}">
  <dimension ref="A1:Y2"/>
  <sheetViews>
    <sheetView zoomScale="85" zoomScaleNormal="85" workbookViewId="0">
      <selection activeCell="D27" sqref="D27"/>
    </sheetView>
  </sheetViews>
  <sheetFormatPr defaultRowHeight="14.4"/>
  <cols>
    <col min="1" max="15" width="20.77734375" customWidth="1" collapsed="1"/>
    <col min="16" max="16" width="43.44140625" customWidth="1" collapsed="1"/>
    <col min="17" max="25" width="20.77734375" customWidth="1" collapsed="1"/>
  </cols>
  <sheetData>
    <row r="1" spans="1:25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s="39" t="s">
        <v>273</v>
      </c>
      <c r="N1" t="s">
        <v>179</v>
      </c>
      <c r="O1" t="s">
        <v>180</v>
      </c>
      <c r="P1" t="s">
        <v>181</v>
      </c>
      <c r="Q1" t="s">
        <v>274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</row>
    <row r="2" spans="1:25">
      <c r="A2" s="24" t="str">
        <f>'TC011-Setup Data'!A2</f>
        <v>ELASUP-Z8s1-019</v>
      </c>
      <c r="B2" t="s">
        <v>145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1</v>
      </c>
      <c r="M2">
        <v>1</v>
      </c>
      <c r="N2" t="str">
        <f>'TC011-Received Req Info (SUP1)'!F2</f>
        <v>Z8s119</v>
      </c>
      <c r="O2" t="str">
        <f>'TC011-Received Req Info (SUP1)'!G2</f>
        <v>CD-Z8s119-19</v>
      </c>
      <c r="P2" t="str">
        <f>'TC10.2'!C2&amp;"("&amp;'TC10.2'!D2&amp;")"</f>
        <v>ELA 60 DAYS 19(60 DAYS BY INV DATE)</v>
      </c>
      <c r="R2" t="s">
        <v>144</v>
      </c>
      <c r="S2" t="s">
        <v>167</v>
      </c>
      <c r="T2" t="s">
        <v>98</v>
      </c>
      <c r="V2" s="39" t="str">
        <f>'TC010.1'!A2</f>
        <v>ELASUP-PNDC-19</v>
      </c>
      <c r="W2" t="s">
        <v>148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09FB-DE1D-4868-BB95-3FABD6F57079}">
  <dimension ref="A1:V4"/>
  <sheetViews>
    <sheetView zoomScale="70" zoomScaleNormal="70" workbookViewId="0">
      <selection activeCell="C3" sqref="C3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'TC011'!$C2</f>
        <v>Z8SUP-PNATEST,20230605000000000000-1</v>
      </c>
      <c r="B2" s="8" t="str">
        <f>'TC011'!D2</f>
        <v>Z8ATEST202306050000000000001</v>
      </c>
      <c r="C2" s="8" t="str">
        <f>'TC011'!C2</f>
        <v>Z8SUP-PNATEST,20230605000000000000-1</v>
      </c>
      <c r="D2" s="8" t="str">
        <f>'TC011'!B2</f>
        <v>Z8BU-PNATEST,20230605000000000000-1</v>
      </c>
      <c r="E2" s="40" t="str">
        <f>'TC011'!E2</f>
        <v>MYSUP-PNATEST,20230605000000000000-1</v>
      </c>
      <c r="F2" s="8" t="s">
        <v>4</v>
      </c>
      <c r="G2" s="41">
        <v>1.0009999999999999</v>
      </c>
      <c r="H2" s="36" t="str">
        <f ca="1">TEXT(DATE(YEAR(TODAY()), MONTH(TODAY()), DAY(TODAY())), "mmm d, yyyy")</f>
        <v>Nov 17,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'TC011'!$C3</f>
        <v>Z8SUP-PNATEST,20230605000000000000-2</v>
      </c>
      <c r="B3" s="8" t="str">
        <f>'TC011'!D3</f>
        <v>Z8ATEST202306050000000000002</v>
      </c>
      <c r="C3" s="8" t="str">
        <f>'TC011'!C3</f>
        <v>Z8SUP-PNATEST,20230605000000000000-2</v>
      </c>
      <c r="D3" s="8" t="str">
        <f>'TC011'!B3</f>
        <v>Z8BU-PNATEST,20230605000000000000-2</v>
      </c>
      <c r="E3" s="40" t="str">
        <f>'TC011'!E3</f>
        <v>MYSUP-PNATEST,20230605000000000000-2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Nov 17,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'TC011'!$C4</f>
        <v>Z8pna-1219AS-1</v>
      </c>
      <c r="B4" s="8" t="str">
        <f>'TC011'!D4</f>
        <v>Z8pna1219AS1</v>
      </c>
      <c r="C4" s="8" t="str">
        <f>'TC011'!C4</f>
        <v>Z8pna-1219AS-1</v>
      </c>
      <c r="D4" s="8" t="str">
        <f>'TC011'!B4</f>
        <v>Z8pna-1219AS-1</v>
      </c>
      <c r="E4" s="40" t="str">
        <f>'TC011'!E4</f>
        <v>pna-1219AS-1</v>
      </c>
      <c r="F4" s="8" t="s">
        <v>4</v>
      </c>
      <c r="G4" s="41">
        <v>1.0009999999999999</v>
      </c>
      <c r="H4" s="36" t="str">
        <f t="shared" ca="1" si="0"/>
        <v>Nov 17,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F11B-C548-400E-AE06-8540A96AD1B5}">
  <dimension ref="A1:AD2"/>
  <sheetViews>
    <sheetView zoomScale="85" zoomScaleNormal="85" workbookViewId="0">
      <selection activeCell="A2" sqref="A2"/>
    </sheetView>
  </sheetViews>
  <sheetFormatPr defaultRowHeight="14.4"/>
  <cols>
    <col min="1" max="15" width="20.77734375" customWidth="1" collapsed="1"/>
    <col min="16" max="16" width="35.6640625" customWidth="1" collapsed="1"/>
    <col min="17" max="17" width="28.33203125" customWidth="1" collapsed="1"/>
    <col min="18" max="30" width="20.77734375" customWidth="1" collapsed="1"/>
  </cols>
  <sheetData>
    <row r="1" spans="1:30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t="s">
        <v>273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277</v>
      </c>
      <c r="Y1" t="s">
        <v>278</v>
      </c>
      <c r="Z1" t="s">
        <v>279</v>
      </c>
      <c r="AA1" t="s">
        <v>280</v>
      </c>
      <c r="AB1" t="s">
        <v>281</v>
      </c>
      <c r="AC1" t="s">
        <v>188</v>
      </c>
      <c r="AD1" t="s">
        <v>189</v>
      </c>
    </row>
    <row r="2" spans="1:30">
      <c r="A2" s="24" t="str">
        <f>'TC012-Setup Data'!A2</f>
        <v>JPYAZ-Z8s2-019</v>
      </c>
      <c r="B2" t="s">
        <v>150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3</v>
      </c>
      <c r="M2">
        <v>0</v>
      </c>
      <c r="N2" t="str">
        <f>'TC012-Received Req Info (SUP2)'!F2</f>
        <v>19s219</v>
      </c>
      <c r="O2" t="str">
        <f>'TC012-Received Req Info (SUP2)'!G2</f>
        <v>CD-19s219-19</v>
      </c>
      <c r="P2" t="str">
        <f>'TC11.2'!C2&amp;"("&amp;'TC11.2'!D2&amp;")"</f>
        <v>YAZ 60 DAYS Z8(60 DAYS BY INV DATE)</v>
      </c>
      <c r="Q2" t="str">
        <f>'TC11.2'!C2&amp;"("&amp;'TC11.2'!D2&amp;")"</f>
        <v>YAZ 60 DAYS Z8(60 DAYS BY INV DATE)</v>
      </c>
      <c r="R2" t="s">
        <v>260</v>
      </c>
      <c r="S2" t="s">
        <v>167</v>
      </c>
      <c r="T2" t="s">
        <v>98</v>
      </c>
      <c r="V2" s="39" t="str">
        <f>'TC011.1'!A2</f>
        <v>YAZSUP-PNDC-Z8</v>
      </c>
      <c r="W2" t="s">
        <v>146</v>
      </c>
      <c r="X2" t="s">
        <v>150</v>
      </c>
      <c r="Y2" t="s">
        <v>190</v>
      </c>
      <c r="Z2" t="s">
        <v>148</v>
      </c>
      <c r="AA2" t="s">
        <v>270</v>
      </c>
      <c r="AB2" t="s">
        <v>258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2315-80A1-437C-9C96-D4E0C457BBEA}">
  <dimension ref="A1:V5"/>
  <sheetViews>
    <sheetView zoomScale="70" zoomScaleNormal="70" workbookViewId="0">
      <selection activeCell="E32" sqref="E3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Z8pna-18001404835</v>
      </c>
      <c r="B2" s="8" t="str">
        <f>'TC012'!D2</f>
        <v>Z8pna18001404835</v>
      </c>
      <c r="C2" s="8" t="str">
        <f>'TC012'!C2</f>
        <v>Z8pna-18001404835</v>
      </c>
      <c r="D2" s="8" t="str">
        <f>'TC012'!B2</f>
        <v>Z8pna-18001404835</v>
      </c>
      <c r="E2" s="8" t="str">
        <f>'TC012'!E2</f>
        <v>pna-18001404835</v>
      </c>
      <c r="F2" s="8" t="s">
        <v>4</v>
      </c>
      <c r="G2" s="22">
        <v>10.02</v>
      </c>
      <c r="H2" s="36" t="str">
        <f ca="1">TEXT(DATE(YEAR(TODAY()), MONTH(TODAY()), DAY(TODAY())), "mmm d, yyyy")</f>
        <v>Nov 17,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Z8pna-18007703930</v>
      </c>
      <c r="B3" s="8" t="str">
        <f>'TC012'!D3</f>
        <v>Z8pna18007703930</v>
      </c>
      <c r="C3" s="8" t="str">
        <f>'TC012'!C3</f>
        <v>Z8pna-18007703930</v>
      </c>
      <c r="D3" s="8" t="str">
        <f>'TC012'!B3</f>
        <v>Z8pna-18007703930</v>
      </c>
      <c r="E3" s="8" t="str">
        <f>'TC012'!E3</f>
        <v>pna-18007703930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Nov 17,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Z8pna-45050040130</v>
      </c>
      <c r="B4" s="8" t="str">
        <f>'TC012'!D4</f>
        <v>Z8pna45050040130</v>
      </c>
      <c r="C4" s="8" t="str">
        <f>'TC012'!C4</f>
        <v>Z8pna-45050040130</v>
      </c>
      <c r="D4" s="8" t="str">
        <f>'TC012'!B4</f>
        <v>Z8pna-45050040130</v>
      </c>
      <c r="E4" s="8" t="str">
        <f>'TC012'!E4</f>
        <v>pna-45050040130</v>
      </c>
      <c r="F4" s="8" t="s">
        <v>4</v>
      </c>
      <c r="G4" s="22">
        <v>10.02</v>
      </c>
      <c r="H4" s="36" t="str">
        <f t="shared" ca="1" si="0"/>
        <v>Nov 17,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Z8pna-NSL-2BLACK</v>
      </c>
      <c r="B5" s="8" t="str">
        <f>'TC012'!D5</f>
        <v>Z8pnaNSL2BLACK</v>
      </c>
      <c r="C5" s="8" t="str">
        <f>'TC012'!C5</f>
        <v>Z8pna-NSL-2BLACK</v>
      </c>
      <c r="D5" s="8" t="str">
        <f>'TC012'!B5</f>
        <v>Z8pna-NSL-2BLACK</v>
      </c>
      <c r="E5" s="8" t="str">
        <f>'TC012'!E5</f>
        <v>pna-NSL-2BLACK</v>
      </c>
      <c r="F5" s="8" t="s">
        <v>4</v>
      </c>
      <c r="G5" s="22">
        <v>10.02</v>
      </c>
      <c r="H5" s="36" t="str">
        <f t="shared" ca="1" si="0"/>
        <v>Nov 17,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C6EF-ED34-4C5E-91F5-B6EED5CD2419}">
  <dimension ref="A1:J8"/>
  <sheetViews>
    <sheetView zoomScale="80" zoomScaleNormal="80" workbookViewId="0">
      <selection activeCell="A3" sqref="A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 ht="14.4">
      <c r="A2" t="s">
        <v>801</v>
      </c>
      <c r="B2" s="30" t="s">
        <v>99</v>
      </c>
      <c r="C2" s="30" t="s">
        <v>291</v>
      </c>
      <c r="D2" s="10" t="str">
        <f>'TC007-Contract Parts Info'!D2</f>
        <v>Z8ATEST202306050000000000001</v>
      </c>
      <c r="E2" s="10" t="str">
        <f>'TC007-Contract Parts Info'!B2</f>
        <v>Z8CUS-PNATEST,20230605000000000000-1</v>
      </c>
      <c r="F2" s="10" t="s">
        <v>190</v>
      </c>
      <c r="G2" s="10" t="str">
        <f>'TC007-Setup Data'!B2</f>
        <v>PNABU-L3-Z8-019</v>
      </c>
      <c r="H2" s="30" t="s">
        <v>167</v>
      </c>
      <c r="I2" s="30" t="s">
        <v>98</v>
      </c>
      <c r="J2" s="10" t="str">
        <f>'TC004'!$A$2</f>
        <v>PNDC-PNCUS-Z8</v>
      </c>
    </row>
    <row r="3" spans="1:10">
      <c r="A3" s="30"/>
      <c r="B3" s="30"/>
      <c r="C3" s="30"/>
      <c r="D3" s="10" t="str">
        <f>'TC007-Contract Parts Info'!D3</f>
        <v>Z8ATEST202306050000000000002</v>
      </c>
      <c r="E3" s="10" t="str">
        <f>'TC007-Contract Parts Info'!B3</f>
        <v>Z8CUS-PNATEST,20230605000000000000-2</v>
      </c>
      <c r="F3" s="10" t="s">
        <v>190</v>
      </c>
      <c r="G3" s="10" t="str">
        <f>'TC007-Setup Data'!B2</f>
        <v>PNABU-L3-Z8-019</v>
      </c>
      <c r="H3" s="30" t="s">
        <v>167</v>
      </c>
      <c r="I3" s="30" t="s">
        <v>98</v>
      </c>
      <c r="J3" s="10" t="str">
        <f>'TC004'!$A$2</f>
        <v>PNDC-PNCUS-Z8</v>
      </c>
    </row>
    <row r="4" spans="1:10">
      <c r="A4" s="30"/>
      <c r="B4" s="30"/>
      <c r="C4" s="30"/>
      <c r="D4" s="10" t="str">
        <f>'TC007-Contract Parts Info'!D4</f>
        <v>Z8pna1219AS1</v>
      </c>
      <c r="E4" s="10" t="str">
        <f>'TC007-Contract Parts Info'!B4</f>
        <v>Z8pna-1219AS-1</v>
      </c>
      <c r="F4" s="10" t="s">
        <v>190</v>
      </c>
      <c r="G4" s="10" t="str">
        <f>'TC007-Setup Data'!B2</f>
        <v>PNABU-L3-Z8-019</v>
      </c>
      <c r="H4" s="30" t="s">
        <v>167</v>
      </c>
      <c r="I4" s="30" t="s">
        <v>98</v>
      </c>
      <c r="J4" s="10" t="str">
        <f>'TC004'!$A$2</f>
        <v>PNDC-PNCUS-Z8</v>
      </c>
    </row>
    <row r="5" spans="1:10">
      <c r="D5" s="10" t="str">
        <f>'TC007-Contract Parts Info'!D5</f>
        <v>Z8pna18001404835</v>
      </c>
      <c r="E5" s="10" t="str">
        <f>'TC007-Contract Parts Info'!B5</f>
        <v>Z8pna-18001404835</v>
      </c>
      <c r="F5" s="10" t="s">
        <v>190</v>
      </c>
      <c r="G5" s="10" t="str">
        <f>'TC007-Setup Data'!B2</f>
        <v>PNABU-L3-Z8-019</v>
      </c>
      <c r="H5" s="30" t="s">
        <v>167</v>
      </c>
      <c r="I5" s="30" t="s">
        <v>98</v>
      </c>
      <c r="J5" s="10" t="str">
        <f>'TC004'!$A$2</f>
        <v>PNDC-PNCUS-Z8</v>
      </c>
    </row>
    <row r="6" spans="1:10">
      <c r="D6" s="10" t="str">
        <f>'TC007-Contract Parts Info'!D6</f>
        <v>Z8pna18007703930</v>
      </c>
      <c r="E6" s="10" t="str">
        <f>'TC007-Contract Parts Info'!B6</f>
        <v>Z8pna-18007703930</v>
      </c>
      <c r="F6" s="10" t="s">
        <v>190</v>
      </c>
      <c r="G6" s="10" t="str">
        <f>'TC007-Setup Data'!B2</f>
        <v>PNABU-L3-Z8-019</v>
      </c>
      <c r="H6" s="30" t="s">
        <v>167</v>
      </c>
      <c r="I6" s="30" t="s">
        <v>98</v>
      </c>
      <c r="J6" s="10" t="str">
        <f>'TC004'!$A$2</f>
        <v>PNDC-PNCUS-Z8</v>
      </c>
    </row>
    <row r="7" spans="1:10">
      <c r="D7" s="10" t="str">
        <f>'TC007-Contract Parts Info'!D7</f>
        <v>Z8pna45050040130</v>
      </c>
      <c r="E7" s="10" t="str">
        <f>'TC007-Contract Parts Info'!B7</f>
        <v>Z8pna-45050040130</v>
      </c>
      <c r="F7" s="10" t="s">
        <v>190</v>
      </c>
      <c r="G7" s="10" t="str">
        <f>'TC007-Setup Data'!B2</f>
        <v>PNABU-L3-Z8-019</v>
      </c>
      <c r="H7" s="30" t="s">
        <v>167</v>
      </c>
      <c r="I7" s="30" t="s">
        <v>98</v>
      </c>
      <c r="J7" s="10" t="str">
        <f>'TC004'!$A$2</f>
        <v>PNDC-PNCUS-Z8</v>
      </c>
    </row>
    <row r="8" spans="1:10">
      <c r="D8" s="10" t="str">
        <f>'TC007-Contract Parts Info'!D8</f>
        <v>Z8pnaNSL2BLACK</v>
      </c>
      <c r="E8" s="10" t="str">
        <f>'TC007-Contract Parts Info'!B8</f>
        <v>Z8pna-NSL-2BLACK</v>
      </c>
      <c r="F8" s="10" t="s">
        <v>190</v>
      </c>
      <c r="G8" s="10" t="str">
        <f>'TC007-Setup Data'!B2</f>
        <v>PNABU-L3-Z8-019</v>
      </c>
      <c r="H8" s="30" t="s">
        <v>167</v>
      </c>
      <c r="I8" s="30" t="s">
        <v>98</v>
      </c>
      <c r="J8" s="10" t="str">
        <f>'TC004'!$A$2</f>
        <v>PNDC-PNCUS-Z8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31F-5A8A-473C-8874-006658254C18}">
  <dimension ref="A1:O8"/>
  <sheetViews>
    <sheetView zoomScale="70" zoomScaleNormal="70" workbookViewId="0">
      <selection activeCell="A2" sqref="A2"/>
    </sheetView>
  </sheetViews>
  <sheetFormatPr defaultRowHeight="13.8"/>
  <cols>
    <col min="1" max="5" width="30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'TC007-Received Req Info'!$Q$2</f>
        <v>CR-MY-PNA-CUS-2310033</v>
      </c>
      <c r="B2" s="30" t="s">
        <v>99</v>
      </c>
      <c r="C2" s="30" t="s">
        <v>291</v>
      </c>
      <c r="D2" s="10" t="str">
        <f>'TC007-Contract Parts Info'!D2</f>
        <v>Z8ATEST202306050000000000001</v>
      </c>
      <c r="E2" s="42" t="str">
        <f>'TC007-Contract Parts Info'!C2</f>
        <v>Z8BU-PNATEST,20230605000000000000-1</v>
      </c>
      <c r="F2" s="10" t="s">
        <v>99</v>
      </c>
      <c r="G2" s="10" t="str">
        <f>'TC007-Setup Data'!B2</f>
        <v>PNABU-L3-Z8-019</v>
      </c>
      <c r="H2" s="30" t="s">
        <v>167</v>
      </c>
      <c r="I2" s="30" t="s">
        <v>99</v>
      </c>
      <c r="J2" s="10" t="str">
        <f>'TC004'!$A$2</f>
        <v>PNDC-PNCUS-Z8</v>
      </c>
      <c r="K2" s="43" t="s">
        <v>145</v>
      </c>
      <c r="L2" s="44" t="str">
        <f>'TC011-Setup Data'!A2</f>
        <v>ELASUP-Z8s1-019</v>
      </c>
      <c r="M2" s="30" t="s">
        <v>167</v>
      </c>
      <c r="N2" s="43" t="s">
        <v>145</v>
      </c>
      <c r="O2" s="10" t="str">
        <f>'TC010.1'!$A$2</f>
        <v>ELASUP-PNDC-19</v>
      </c>
    </row>
    <row r="3" spans="1:15">
      <c r="A3" s="30"/>
      <c r="B3" s="30"/>
      <c r="C3" s="30"/>
      <c r="D3" s="10" t="str">
        <f>'TC007-Contract Parts Info'!D3</f>
        <v>Z8ATEST202306050000000000002</v>
      </c>
      <c r="E3" s="42" t="str">
        <f>'TC007-Contract Parts Info'!C3</f>
        <v>Z8BU-PNATEST,20230605000000000000-2</v>
      </c>
      <c r="F3" s="10" t="s">
        <v>99</v>
      </c>
      <c r="G3" s="10" t="str">
        <f>'TC007-Setup Data'!B2</f>
        <v>PNABU-L3-Z8-019</v>
      </c>
      <c r="H3" s="30" t="s">
        <v>167</v>
      </c>
      <c r="I3" s="30" t="s">
        <v>99</v>
      </c>
      <c r="J3" s="10" t="str">
        <f>'TC004'!$A$2</f>
        <v>PNDC-PNCUS-Z8</v>
      </c>
      <c r="K3" s="43" t="s">
        <v>145</v>
      </c>
      <c r="L3" s="44" t="str">
        <f>'TC011-Setup Data'!A2</f>
        <v>ELASUP-Z8s1-019</v>
      </c>
      <c r="M3" s="30" t="s">
        <v>167</v>
      </c>
      <c r="N3" s="43" t="s">
        <v>145</v>
      </c>
      <c r="O3" s="10" t="str">
        <f>'TC010.1'!$A$2</f>
        <v>ELASUP-PNDC-19</v>
      </c>
    </row>
    <row r="4" spans="1:15">
      <c r="A4" s="30"/>
      <c r="B4" s="30"/>
      <c r="C4" s="30"/>
      <c r="D4" s="10" t="str">
        <f>'TC007-Contract Parts Info'!D4</f>
        <v>Z8pna1219AS1</v>
      </c>
      <c r="E4" s="42" t="str">
        <f>'TC007-Contract Parts Info'!C4</f>
        <v>Z8pna-1219AS-1</v>
      </c>
      <c r="F4" s="10" t="s">
        <v>99</v>
      </c>
      <c r="G4" s="10" t="str">
        <f>'TC007-Setup Data'!B2</f>
        <v>PNABU-L3-Z8-019</v>
      </c>
      <c r="H4" s="30" t="s">
        <v>167</v>
      </c>
      <c r="I4" s="30" t="s">
        <v>99</v>
      </c>
      <c r="J4" s="10" t="str">
        <f>'TC004'!$A$2</f>
        <v>PNDC-PNCUS-Z8</v>
      </c>
      <c r="K4" s="43" t="s">
        <v>145</v>
      </c>
      <c r="L4" s="44" t="str">
        <f>'TC011-Setup Data'!A2</f>
        <v>ELASUP-Z8s1-019</v>
      </c>
      <c r="M4" s="30" t="s">
        <v>167</v>
      </c>
      <c r="N4" s="43" t="s">
        <v>145</v>
      </c>
      <c r="O4" s="10" t="str">
        <f>'TC010.1'!$A$2</f>
        <v>ELASUP-PNDC-19</v>
      </c>
    </row>
    <row r="5" spans="1:15">
      <c r="D5" s="10" t="str">
        <f>'TC007-Contract Parts Info'!D5</f>
        <v>Z8pna18001404835</v>
      </c>
      <c r="E5" s="42" t="str">
        <f>'TC007-Contract Parts Info'!C5</f>
        <v>Z8pna-18001404835</v>
      </c>
      <c r="F5" s="10" t="s">
        <v>99</v>
      </c>
      <c r="G5" s="10" t="str">
        <f>'TC007-Setup Data'!B2</f>
        <v>PNABU-L3-Z8-019</v>
      </c>
      <c r="H5" s="30" t="s">
        <v>167</v>
      </c>
      <c r="I5" s="30" t="s">
        <v>99</v>
      </c>
      <c r="J5" s="10" t="str">
        <f>'TC004'!$A$2</f>
        <v>PNDC-PNCUS-Z8</v>
      </c>
      <c r="K5" s="43" t="s">
        <v>150</v>
      </c>
      <c r="L5" s="44" t="str">
        <f>'TC012-Setup Data'!A2</f>
        <v>JPYAZ-Z8s2-019</v>
      </c>
      <c r="M5" s="30" t="s">
        <v>167</v>
      </c>
      <c r="N5" s="43" t="s">
        <v>150</v>
      </c>
      <c r="O5" s="10" t="str">
        <f>'TC011.1'!$A$2</f>
        <v>YAZSUP-PNDC-Z8</v>
      </c>
    </row>
    <row r="6" spans="1:15">
      <c r="D6" s="10" t="str">
        <f>'TC007-Contract Parts Info'!D6</f>
        <v>Z8pna18007703930</v>
      </c>
      <c r="E6" s="42" t="str">
        <f>'TC007-Contract Parts Info'!C6</f>
        <v>Z8pna-18007703930</v>
      </c>
      <c r="F6" s="10" t="s">
        <v>99</v>
      </c>
      <c r="G6" s="10" t="str">
        <f>'TC007-Setup Data'!B2</f>
        <v>PNABU-L3-Z8-019</v>
      </c>
      <c r="H6" s="30" t="s">
        <v>167</v>
      </c>
      <c r="I6" s="30" t="s">
        <v>99</v>
      </c>
      <c r="J6" s="10" t="str">
        <f>'TC004'!$A$2</f>
        <v>PNDC-PNCUS-Z8</v>
      </c>
      <c r="K6" s="43" t="s">
        <v>150</v>
      </c>
      <c r="L6" s="44" t="str">
        <f>'TC012-Setup Data'!A2</f>
        <v>JPYAZ-Z8s2-019</v>
      </c>
      <c r="M6" s="30" t="s">
        <v>167</v>
      </c>
      <c r="N6" s="43" t="s">
        <v>150</v>
      </c>
      <c r="O6" s="10" t="str">
        <f>'TC011.1'!$A$2</f>
        <v>YAZSUP-PNDC-Z8</v>
      </c>
    </row>
    <row r="7" spans="1:15">
      <c r="D7" s="10" t="str">
        <f>'TC007-Contract Parts Info'!D7</f>
        <v>Z8pna45050040130</v>
      </c>
      <c r="E7" s="42" t="str">
        <f>'TC007-Contract Parts Info'!C7</f>
        <v>Z8pna-45050040130</v>
      </c>
      <c r="F7" s="10" t="s">
        <v>99</v>
      </c>
      <c r="G7" s="10" t="str">
        <f>'TC007-Setup Data'!B2</f>
        <v>PNABU-L3-Z8-019</v>
      </c>
      <c r="H7" s="30" t="s">
        <v>167</v>
      </c>
      <c r="I7" s="30" t="s">
        <v>99</v>
      </c>
      <c r="J7" s="10" t="str">
        <f>'TC004'!$A$2</f>
        <v>PNDC-PNCUS-Z8</v>
      </c>
      <c r="K7" s="43" t="s">
        <v>150</v>
      </c>
      <c r="L7" s="44" t="str">
        <f>'TC012-Setup Data'!A2</f>
        <v>JPYAZ-Z8s2-019</v>
      </c>
      <c r="M7" s="30" t="s">
        <v>167</v>
      </c>
      <c r="N7" s="43" t="s">
        <v>150</v>
      </c>
      <c r="O7" s="10" t="str">
        <f>'TC011.1'!$A$2</f>
        <v>YAZSUP-PNDC-Z8</v>
      </c>
    </row>
    <row r="8" spans="1:15">
      <c r="D8" s="10" t="str">
        <f>'TC007-Contract Parts Info'!D8</f>
        <v>Z8pnaNSL2BLACK</v>
      </c>
      <c r="E8" s="42" t="str">
        <f>'TC007-Contract Parts Info'!C8</f>
        <v>Z8pna-NSL-2BLACK</v>
      </c>
      <c r="F8" s="10" t="s">
        <v>99</v>
      </c>
      <c r="G8" s="10" t="str">
        <f>'TC007-Setup Data'!B2</f>
        <v>PNABU-L3-Z8-019</v>
      </c>
      <c r="H8" s="30" t="s">
        <v>167</v>
      </c>
      <c r="I8" s="30" t="s">
        <v>99</v>
      </c>
      <c r="J8" s="10" t="str">
        <f>'TC004'!$A$2</f>
        <v>PNDC-PNCUS-Z8</v>
      </c>
      <c r="K8" s="43" t="s">
        <v>150</v>
      </c>
      <c r="L8" s="44" t="str">
        <f>'TC012-Setup Data'!A2</f>
        <v>JPYAZ-Z8s2-019</v>
      </c>
      <c r="M8" s="30" t="s">
        <v>167</v>
      </c>
      <c r="N8" s="43" t="s">
        <v>150</v>
      </c>
      <c r="O8" s="10" t="str">
        <f>'TC011.1'!$A$2</f>
        <v>YAZSUP-PNDC-Z8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59BA-588E-4507-8126-49BAAA5B3848}">
  <dimension ref="A1:J4"/>
  <sheetViews>
    <sheetView zoomScale="85" zoomScaleNormal="85" workbookViewId="0">
      <selection activeCell="J4" sqref="J4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'TC011-Received Req Info (SUP1)'!O2</f>
        <v>CR-MY-PNA-CUS-2310033</v>
      </c>
      <c r="B2" s="30" t="s">
        <v>99</v>
      </c>
      <c r="C2" s="30" t="s">
        <v>291</v>
      </c>
      <c r="D2" s="10" t="str">
        <f>'TC011'!D2</f>
        <v>Z8ATEST202306050000000000001</v>
      </c>
      <c r="E2" s="45" t="str">
        <f>'TC011'!C2</f>
        <v>Z8SUP-PNATEST,20230605000000000000-1</v>
      </c>
      <c r="F2" s="10" t="s">
        <v>190</v>
      </c>
      <c r="G2" s="10" t="str">
        <f>'TC011-Setup Data'!A2</f>
        <v>ELASUP-Z8s1-019</v>
      </c>
      <c r="H2" s="30" t="s">
        <v>167</v>
      </c>
      <c r="I2" s="30" t="s">
        <v>98</v>
      </c>
      <c r="J2" s="10" t="str">
        <f>'TC010.1'!$A$2</f>
        <v>ELASUP-PNDC-19</v>
      </c>
    </row>
    <row r="3" spans="1:10">
      <c r="A3" s="30"/>
      <c r="B3" s="30"/>
      <c r="C3" s="30"/>
      <c r="D3" s="10" t="str">
        <f>'TC011'!D3</f>
        <v>Z8ATEST202306050000000000002</v>
      </c>
      <c r="E3" s="45" t="str">
        <f>'TC011'!C3</f>
        <v>Z8SUP-PNATEST,20230605000000000000-2</v>
      </c>
      <c r="F3" s="10" t="s">
        <v>190</v>
      </c>
      <c r="G3" s="10" t="str">
        <f>'TC011-Setup Data'!A2</f>
        <v>ELASUP-Z8s1-019</v>
      </c>
      <c r="H3" s="30" t="s">
        <v>167</v>
      </c>
      <c r="I3" s="30" t="s">
        <v>98</v>
      </c>
      <c r="J3" s="10" t="str">
        <f>'TC010.1'!$A$2</f>
        <v>ELASUP-PNDC-19</v>
      </c>
    </row>
    <row r="4" spans="1:10">
      <c r="A4" s="30"/>
      <c r="B4" s="30"/>
      <c r="C4" s="30"/>
      <c r="D4" s="10" t="str">
        <f>'TC011'!D4</f>
        <v>Z8pna1219AS1</v>
      </c>
      <c r="E4" s="45" t="str">
        <f>'TC011'!C4</f>
        <v>Z8pna-1219AS-1</v>
      </c>
      <c r="F4" s="10" t="s">
        <v>190</v>
      </c>
      <c r="G4" s="10" t="str">
        <f>'TC011-Setup Data'!A2</f>
        <v>ELASUP-Z8s1-019</v>
      </c>
      <c r="H4" s="30" t="s">
        <v>167</v>
      </c>
      <c r="I4" s="30" t="s">
        <v>98</v>
      </c>
      <c r="J4" s="10" t="str">
        <f>'TC010.1'!$A$2</f>
        <v>ELASUP-PNDC-19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4CCE-B24B-46F5-BF7B-413DCB003D84}">
  <dimension ref="A1:J5"/>
  <sheetViews>
    <sheetView topLeftCell="C1" workbookViewId="0">
      <selection activeCell="G3" sqref="G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'TC012-Received Req Info (SUP2)'!T2</f>
        <v>CR-MY-PNA-CUS-2310033</v>
      </c>
      <c r="B2" s="30" t="s">
        <v>99</v>
      </c>
      <c r="C2" s="30" t="s">
        <v>291</v>
      </c>
      <c r="D2" s="10" t="str">
        <f>'TC012'!D2</f>
        <v>Z8pna18001404835</v>
      </c>
      <c r="E2" s="10" t="str">
        <f>'TC012'!C2</f>
        <v>Z8pna-18001404835</v>
      </c>
      <c r="F2" s="10" t="s">
        <v>190</v>
      </c>
      <c r="G2" s="10" t="str">
        <f>'TC012-Setup Data'!A2</f>
        <v>JPYAZ-Z8s2-019</v>
      </c>
      <c r="H2" s="30" t="s">
        <v>167</v>
      </c>
      <c r="I2" s="30" t="s">
        <v>98</v>
      </c>
      <c r="J2" s="10" t="str">
        <f>'TC011.1'!$A$2</f>
        <v>YAZSUP-PNDC-Z8</v>
      </c>
    </row>
    <row r="3" spans="1:10">
      <c r="D3" s="10" t="str">
        <f>'TC012'!D3</f>
        <v>Z8pna18007703930</v>
      </c>
      <c r="E3" s="10" t="str">
        <f>'TC012'!C3</f>
        <v>Z8pna-18007703930</v>
      </c>
      <c r="F3" s="10" t="s">
        <v>190</v>
      </c>
      <c r="G3" s="10" t="str">
        <f>'TC012-Setup Data'!A2</f>
        <v>JPYAZ-Z8s2-019</v>
      </c>
      <c r="H3" s="30" t="s">
        <v>167</v>
      </c>
      <c r="I3" s="30" t="s">
        <v>98</v>
      </c>
      <c r="J3" s="10" t="str">
        <f>'TC011.1'!$A$2</f>
        <v>YAZSUP-PNDC-Z8</v>
      </c>
    </row>
    <row r="4" spans="1:10">
      <c r="D4" s="10" t="str">
        <f>'TC012'!D4</f>
        <v>Z8pna45050040130</v>
      </c>
      <c r="E4" s="10" t="str">
        <f>'TC012'!C4</f>
        <v>Z8pna-45050040130</v>
      </c>
      <c r="F4" s="10" t="s">
        <v>190</v>
      </c>
      <c r="G4" s="10" t="str">
        <f>'TC012-Setup Data'!A2</f>
        <v>JPYAZ-Z8s2-019</v>
      </c>
      <c r="H4" s="30" t="s">
        <v>167</v>
      </c>
      <c r="I4" s="30" t="s">
        <v>98</v>
      </c>
      <c r="J4" s="10" t="str">
        <f>'TC011.1'!$A$2</f>
        <v>YAZSUP-PNDC-Z8</v>
      </c>
    </row>
    <row r="5" spans="1:10">
      <c r="D5" s="10" t="str">
        <f>'TC012'!D5</f>
        <v>Z8pnaNSL2BLACK</v>
      </c>
      <c r="E5" s="10" t="str">
        <f>'TC012'!C5</f>
        <v>Z8pna-NSL-2BLACK</v>
      </c>
      <c r="F5" s="10" t="s">
        <v>190</v>
      </c>
      <c r="G5" s="10" t="str">
        <f>'TC012-Setup Data'!A2</f>
        <v>JPYAZ-Z8s2-019</v>
      </c>
      <c r="H5" s="30" t="s">
        <v>167</v>
      </c>
      <c r="I5" s="30" t="s">
        <v>98</v>
      </c>
      <c r="J5" s="10" t="str">
        <f>'TC011.1'!$A$2</f>
        <v>YAZSUP-PNDC-Z8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5BCC-FE04-4B8D-BF4A-BD271308494C}">
  <dimension ref="A1:M4"/>
  <sheetViews>
    <sheetView zoomScale="90" zoomScaleNormal="90" workbookViewId="0">
      <selection activeCell="B2" sqref="B2"/>
    </sheetView>
  </sheetViews>
  <sheetFormatPr defaultColWidth="8.88671875" defaultRowHeight="13.8"/>
  <cols>
    <col min="1" max="1" width="5.6640625" style="1" customWidth="1" collapsed="1"/>
    <col min="2" max="13" width="20.77734375" style="1" customWidth="1" collapsed="1"/>
    <col min="14" max="16384" width="8.88671875" style="1" collapsed="1"/>
  </cols>
  <sheetData>
    <row r="1" spans="1:13">
      <c r="A1" s="1" t="s">
        <v>34</v>
      </c>
      <c r="B1" s="12" t="s">
        <v>35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104</v>
      </c>
      <c r="J1" s="12" t="s">
        <v>105</v>
      </c>
      <c r="K1" s="12" t="s">
        <v>106</v>
      </c>
      <c r="L1" s="12" t="s">
        <v>107</v>
      </c>
      <c r="M1" s="12" t="s">
        <v>108</v>
      </c>
    </row>
    <row r="2" spans="1:13" s="46" customFormat="1" ht="27.6">
      <c r="A2" s="46">
        <v>1</v>
      </c>
      <c r="B2" s="11" t="str">
        <f>AutoIncrement!$B$2&amp;"82151-BZD90"</f>
        <v>Z882151-BZD90</v>
      </c>
      <c r="C2" s="9" t="s">
        <v>297</v>
      </c>
      <c r="D2" s="9" t="s">
        <v>298</v>
      </c>
      <c r="E2" s="9" t="s">
        <v>299</v>
      </c>
      <c r="F2" s="9" t="s">
        <v>300</v>
      </c>
      <c r="G2" s="9" t="s">
        <v>20</v>
      </c>
      <c r="H2" s="9" t="s">
        <v>47</v>
      </c>
      <c r="I2" s="47">
        <v>10</v>
      </c>
      <c r="J2" s="47">
        <v>10</v>
      </c>
      <c r="K2" s="48">
        <v>1.1100000000000001</v>
      </c>
      <c r="L2" s="48">
        <v>1.1100000000000001</v>
      </c>
      <c r="M2" s="48">
        <v>1.1100000000000001</v>
      </c>
    </row>
    <row r="3" spans="1:13" ht="27.6">
      <c r="A3" s="1">
        <v>2</v>
      </c>
      <c r="B3" s="11" t="str">
        <f>AutoIncrement!$B$2&amp;"82151-BZE00"</f>
        <v>Z882151-BZE00</v>
      </c>
      <c r="C3" s="9" t="s">
        <v>301</v>
      </c>
      <c r="D3" s="9" t="s">
        <v>298</v>
      </c>
      <c r="E3" s="9" t="s">
        <v>299</v>
      </c>
      <c r="F3" s="9" t="s">
        <v>300</v>
      </c>
      <c r="G3" s="9" t="s">
        <v>20</v>
      </c>
      <c r="H3" s="9" t="s">
        <v>47</v>
      </c>
      <c r="I3" s="16">
        <v>10</v>
      </c>
      <c r="J3" s="16">
        <v>10</v>
      </c>
      <c r="K3" s="17">
        <v>1.1100000000000001</v>
      </c>
      <c r="L3" s="17">
        <v>1.1100000000000001</v>
      </c>
      <c r="M3" s="17">
        <v>1.1100000000000001</v>
      </c>
    </row>
    <row r="4" spans="1:13" ht="27.6">
      <c r="A4" s="1">
        <v>3</v>
      </c>
      <c r="B4" s="11" t="str">
        <f>AutoIncrement!$B$2&amp;"82151-BZK50"</f>
        <v>Z882151-BZK50</v>
      </c>
      <c r="C4" s="9" t="s">
        <v>302</v>
      </c>
      <c r="D4" s="9" t="s">
        <v>303</v>
      </c>
      <c r="E4" s="9" t="s">
        <v>304</v>
      </c>
      <c r="F4" s="9" t="s">
        <v>305</v>
      </c>
      <c r="G4" s="9" t="s">
        <v>20</v>
      </c>
      <c r="H4" s="9" t="s">
        <v>47</v>
      </c>
      <c r="I4" s="16">
        <v>10</v>
      </c>
      <c r="J4" s="16">
        <v>10</v>
      </c>
      <c r="K4" s="17">
        <v>1.1100000000000001</v>
      </c>
      <c r="L4" s="17">
        <v>1.1100000000000001</v>
      </c>
      <c r="M4" s="17">
        <v>1.1100000000000001</v>
      </c>
    </row>
  </sheetData>
  <dataValidations count="2">
    <dataValidation type="list" allowBlank="1" showErrorMessage="1" sqref="H2:H4" xr:uid="{89E8A954-5102-4E6A-88FA-B36A0064E506}">
      <formula1>PAIRED_FLAG</formula1>
    </dataValidation>
    <dataValidation type="list" allowBlank="1" showErrorMessage="1" sqref="G2:G4" xr:uid="{908115B6-CD2C-4366-A85B-40216025689A}">
      <formula1>UOM_CODE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59F6-CBD0-4E05-8257-D2E342A941D0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0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306</v>
      </c>
      <c r="B1" s="1" t="s">
        <v>65</v>
      </c>
    </row>
    <row r="2" spans="1:2">
      <c r="A2" s="1" t="s">
        <v>190</v>
      </c>
      <c r="B2" s="1" t="str">
        <f>AutoIncrement!B2&amp;"-"&amp;AutoIncrement!A2&amp;"-Request L2 Parts"</f>
        <v>Z8-19-Request L2 Parts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A7D-9DC1-4701-B4E4-89A7CCA22CEF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8" customWidth="1" collapsed="1"/>
    <col min="2" max="8" width="20.77734375" style="8" customWidth="1" collapsed="1"/>
    <col min="9" max="16384" width="8.88671875" style="8" collapsed="1"/>
  </cols>
  <sheetData>
    <row r="1" spans="1:8">
      <c r="A1" s="8" t="s">
        <v>34</v>
      </c>
      <c r="B1" s="8" t="s">
        <v>33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>
      <c r="A2" s="8">
        <v>1</v>
      </c>
      <c r="B2" s="8" t="s">
        <v>245</v>
      </c>
      <c r="C2" s="8" t="str">
        <f>"FN 60 DAYS-"&amp;AutoIncrement!B2</f>
        <v>FN 60 DAYS-Z8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8DB-8DFC-441F-953A-A963B3805CCE}">
  <dimension ref="A1:B2"/>
  <sheetViews>
    <sheetView zoomScale="90" zoomScaleNormal="90" workbookViewId="0">
      <selection activeCell="B1" sqref="B1"/>
    </sheetView>
  </sheetViews>
  <sheetFormatPr defaultColWidth="8.88671875" defaultRowHeight="13.8"/>
  <cols>
    <col min="1" max="1" width="5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211" t="s">
        <v>125</v>
      </c>
    </row>
    <row r="2" spans="1:2" ht="14.4">
      <c r="A2" s="1">
        <v>1</v>
      </c>
      <c r="B2" t="s">
        <v>804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B385-C3A4-45B0-A8E6-0653591F4DE3}">
  <dimension ref="A1:N4"/>
  <sheetViews>
    <sheetView zoomScale="90" zoomScaleNormal="90" workbookViewId="0">
      <selection activeCell="C1" sqref="C1"/>
    </sheetView>
  </sheetViews>
  <sheetFormatPr defaultColWidth="8.88671875" defaultRowHeight="13.8"/>
  <cols>
    <col min="1" max="1" width="5.77734375" style="10" customWidth="1" collapsed="1"/>
    <col min="2" max="14" width="20.77734375" style="10" customWidth="1" collapsed="1"/>
    <col min="15" max="16384" width="8.88671875" style="10" collapsed="1"/>
  </cols>
  <sheetData>
    <row r="1" spans="1:14">
      <c r="A1" s="10" t="s">
        <v>34</v>
      </c>
      <c r="B1" s="10" t="s">
        <v>109</v>
      </c>
      <c r="C1" s="10" t="s">
        <v>36</v>
      </c>
      <c r="D1" s="10" t="s">
        <v>127</v>
      </c>
      <c r="E1" s="10" t="s">
        <v>129</v>
      </c>
      <c r="F1" s="10" t="s">
        <v>130</v>
      </c>
      <c r="G1" s="10" t="s">
        <v>200</v>
      </c>
      <c r="H1" s="10" t="s">
        <v>131</v>
      </c>
      <c r="I1" s="10" t="s">
        <v>132</v>
      </c>
      <c r="J1" s="10" t="s">
        <v>133</v>
      </c>
      <c r="K1" s="10" t="s">
        <v>135</v>
      </c>
      <c r="L1" s="10" t="s">
        <v>136</v>
      </c>
      <c r="M1" s="10" t="s">
        <v>137</v>
      </c>
      <c r="N1" s="10" t="s">
        <v>138</v>
      </c>
    </row>
    <row r="2" spans="1:14" ht="27.6">
      <c r="A2" s="10">
        <v>1</v>
      </c>
      <c r="B2" s="8" t="str">
        <f>AutoIncrement!B2&amp;"82151-BZD90"</f>
        <v>Z882151-BZD90</v>
      </c>
      <c r="C2" s="8" t="str">
        <f>AutoIncrement!$B$2&amp;"82151BZD90"</f>
        <v>Z882151BZD90</v>
      </c>
      <c r="D2" s="9" t="s">
        <v>298</v>
      </c>
      <c r="E2" s="49" t="str">
        <f>'TC021-Setup Data'!A2</f>
        <v>PNABU-L2-Z8-019</v>
      </c>
      <c r="F2" s="14" t="s">
        <v>149</v>
      </c>
      <c r="G2" s="14"/>
      <c r="H2" s="20">
        <v>0.2</v>
      </c>
      <c r="I2" s="20">
        <v>1</v>
      </c>
      <c r="J2" s="20">
        <v>1</v>
      </c>
      <c r="K2" s="8" t="s">
        <v>20</v>
      </c>
      <c r="L2" s="16">
        <v>1</v>
      </c>
      <c r="M2" s="8" t="s">
        <v>144</v>
      </c>
      <c r="N2" s="21">
        <v>10</v>
      </c>
    </row>
    <row r="3" spans="1:14" ht="27.6">
      <c r="A3" s="10">
        <v>2</v>
      </c>
      <c r="B3" s="8" t="str">
        <f>AutoIncrement!B2&amp;"82151-BZE00"</f>
        <v>Z882151-BZE00</v>
      </c>
      <c r="C3" s="8" t="str">
        <f>AutoIncrement!$B$2&amp;"82151BZE00"</f>
        <v>Z882151BZE00</v>
      </c>
      <c r="D3" s="9" t="s">
        <v>298</v>
      </c>
      <c r="E3" s="49" t="str">
        <f>'TC021-Setup Data'!A2</f>
        <v>PNABU-L2-Z8-019</v>
      </c>
      <c r="F3" s="14" t="s">
        <v>149</v>
      </c>
      <c r="G3" s="14"/>
      <c r="H3" s="20">
        <v>0.2</v>
      </c>
      <c r="I3" s="20">
        <v>1</v>
      </c>
      <c r="J3" s="20">
        <v>1</v>
      </c>
      <c r="K3" s="8" t="s">
        <v>20</v>
      </c>
      <c r="L3" s="16">
        <v>1</v>
      </c>
      <c r="M3" s="8" t="s">
        <v>144</v>
      </c>
      <c r="N3" s="21">
        <v>10</v>
      </c>
    </row>
    <row r="4" spans="1:14" ht="27.6">
      <c r="A4" s="10">
        <v>3</v>
      </c>
      <c r="B4" s="8" t="str">
        <f>AutoIncrement!B2&amp;"82151-BZK50"</f>
        <v>Z882151-BZK50</v>
      </c>
      <c r="C4" s="8" t="str">
        <f>AutoIncrement!B2&amp;"82151BZK50"</f>
        <v>Z882151BZK50</v>
      </c>
      <c r="D4" s="9" t="s">
        <v>303</v>
      </c>
      <c r="E4" s="49" t="str">
        <f>'TC021-Setup Data'!A2</f>
        <v>PNABU-L2-Z8-019</v>
      </c>
      <c r="F4" s="14" t="s">
        <v>149</v>
      </c>
      <c r="G4" s="14"/>
      <c r="H4" s="20">
        <v>0.2</v>
      </c>
      <c r="I4" s="20">
        <v>1</v>
      </c>
      <c r="J4" s="20">
        <v>1</v>
      </c>
      <c r="K4" s="8" t="s">
        <v>20</v>
      </c>
      <c r="L4" s="16">
        <v>1</v>
      </c>
      <c r="M4" s="8" t="s">
        <v>144</v>
      </c>
      <c r="N4" s="21">
        <v>10</v>
      </c>
    </row>
  </sheetData>
  <dataValidations disablePrompts="1" count="2">
    <dataValidation type="list" allowBlank="1" showErrorMessage="1" sqref="M2:M4" xr:uid="{52D7B498-3313-41C8-A60D-B51F64B6C1BB}">
      <formula1>CURRENCY_CODE</formula1>
    </dataValidation>
    <dataValidation type="list" allowBlank="1" showErrorMessage="1" sqref="F2:G4" xr:uid="{B1480A5C-6FDC-4C1B-A4F8-AC586CBEE3DD}">
      <formula1>REPACKING_TYPE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AD63-2A66-421D-9EFD-AADBDED03325}">
  <dimension ref="A1:O2"/>
  <sheetViews>
    <sheetView topLeftCell="D1" zoomScale="90" zoomScaleNormal="90" workbookViewId="0">
      <selection activeCell="N1" sqref="N1"/>
    </sheetView>
  </sheetViews>
  <sheetFormatPr defaultColWidth="8.88671875" defaultRowHeight="13.8"/>
  <cols>
    <col min="1" max="1" width="5.664062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23" t="s">
        <v>164</v>
      </c>
    </row>
    <row r="2" spans="1:15" ht="14.4">
      <c r="A2" s="1">
        <v>1</v>
      </c>
      <c r="B2" s="1" t="s">
        <v>165</v>
      </c>
      <c r="C2" s="1" t="s">
        <v>166</v>
      </c>
      <c r="D2" s="1">
        <v>1</v>
      </c>
      <c r="E2" s="1">
        <v>1</v>
      </c>
      <c r="F2" s="1" t="str">
        <f>'TC021-Setup Data'!B2</f>
        <v>Z8L219</v>
      </c>
      <c r="G2" s="1" t="str">
        <f>"CD-01-"&amp;F2&amp;"-"&amp;AutoIncrement!A2</f>
        <v>CD-01-Z8L219-19</v>
      </c>
      <c r="H2" s="1" t="str">
        <f>'TC007-Received Req Info'!H2</f>
        <v>FN 60 DAYS-Z8(60 DAYS BY INV DATE)</v>
      </c>
      <c r="I2" s="1" t="s">
        <v>144</v>
      </c>
      <c r="J2" s="1" t="s">
        <v>167</v>
      </c>
      <c r="K2" s="1" t="s">
        <v>98</v>
      </c>
      <c r="L2" s="1" t="str">
        <f>'TC007-Received Req Info'!L2</f>
        <v>PNDC-PNCUS-Z8(PNDC-PNCUS-Z8)</v>
      </c>
      <c r="M2" s="1" t="str">
        <f>"RD-01-"&amp;F2&amp;""</f>
        <v>RD-01-Z8L219</v>
      </c>
      <c r="N2" s="1" t="s">
        <v>148</v>
      </c>
      <c r="O2" t="s">
        <v>805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2C59-2F7D-4EEF-A812-89E346A27495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30" style="1" bestFit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129</v>
      </c>
      <c r="B1" s="1" t="s">
        <v>155</v>
      </c>
    </row>
    <row r="2" spans="1:2">
      <c r="A2" s="49" t="str">
        <f>"PNABU-L2-"&amp;AutoIncrement!B2&amp;"-0"&amp;AutoIncrement!A2</f>
        <v>PNABU-L2-Z8-019</v>
      </c>
      <c r="B2" s="1" t="str">
        <f>AutoIncrement!B2&amp;"L2"&amp;AutoIncrement!A2</f>
        <v>Z8L219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25B-F1B3-4A82-8A59-06C1542CF5DA}">
  <dimension ref="A1:O4"/>
  <sheetViews>
    <sheetView topLeftCell="C1" zoomScale="70" zoomScaleNormal="70" workbookViewId="0">
      <selection activeCell="J2" sqref="J2:J4"/>
    </sheetView>
  </sheetViews>
  <sheetFormatPr defaultRowHeight="13.8"/>
  <cols>
    <col min="1" max="5" width="25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'TC021-Received Req Info L2 (BU)'!O2</f>
        <v>CR-MY-PNA-CUS-2310034</v>
      </c>
      <c r="B2" s="30" t="s">
        <v>99</v>
      </c>
      <c r="C2" s="30" t="s">
        <v>291</v>
      </c>
      <c r="D2" s="8" t="str">
        <f>'TC021-Contrct Part Info L2 (BU)'!C2</f>
        <v>Z882151BZD90</v>
      </c>
      <c r="E2" s="8" t="str">
        <f>'TC021-Contrct Part Info L2 (BU)'!B2</f>
        <v>Z882151-BZD90</v>
      </c>
      <c r="F2" s="3" t="s">
        <v>99</v>
      </c>
      <c r="G2" s="10" t="str">
        <f>'TC021-Setup Data'!A2</f>
        <v>PNABU-L2-Z8-019</v>
      </c>
      <c r="H2" s="30" t="s">
        <v>167</v>
      </c>
      <c r="I2" s="30" t="s">
        <v>99</v>
      </c>
      <c r="J2" s="10" t="str">
        <f>'TC004'!$A$2</f>
        <v>PNDC-PNCUS-Z8</v>
      </c>
      <c r="K2" s="43"/>
      <c r="L2" s="44"/>
      <c r="M2" s="30"/>
      <c r="N2" s="43"/>
      <c r="O2" s="3"/>
    </row>
    <row r="3" spans="1:15">
      <c r="A3" s="30"/>
      <c r="B3" s="30"/>
      <c r="C3" s="30"/>
      <c r="D3" s="8" t="str">
        <f>'TC021-Contrct Part Info L2 (BU)'!C3</f>
        <v>Z882151BZE00</v>
      </c>
      <c r="E3" s="8" t="str">
        <f>'TC021-Contrct Part Info L2 (BU)'!B3</f>
        <v>Z882151-BZE00</v>
      </c>
      <c r="F3" s="3" t="s">
        <v>99</v>
      </c>
      <c r="G3" s="10" t="str">
        <f>'TC021-Setup Data'!A2</f>
        <v>PNABU-L2-Z8-019</v>
      </c>
      <c r="H3" s="30" t="s">
        <v>167</v>
      </c>
      <c r="I3" s="30" t="s">
        <v>99</v>
      </c>
      <c r="J3" s="10" t="str">
        <f>'TC004'!$A$2</f>
        <v>PNDC-PNCUS-Z8</v>
      </c>
      <c r="K3" s="43"/>
      <c r="L3" s="44"/>
      <c r="M3" s="30"/>
      <c r="N3" s="43"/>
      <c r="O3" s="3"/>
    </row>
    <row r="4" spans="1:15">
      <c r="A4" s="30"/>
      <c r="B4" s="30"/>
      <c r="C4" s="30"/>
      <c r="D4" s="8" t="str">
        <f>'TC021-Contrct Part Info L2 (BU)'!C4</f>
        <v>Z882151BZK50</v>
      </c>
      <c r="E4" s="8" t="str">
        <f>'TC021-Contrct Part Info L2 (BU)'!B4</f>
        <v>Z882151-BZK50</v>
      </c>
      <c r="F4" s="3" t="s">
        <v>99</v>
      </c>
      <c r="G4" s="10" t="str">
        <f>'TC021-Setup Data'!A2</f>
        <v>PNABU-L2-Z8-019</v>
      </c>
      <c r="H4" s="30" t="s">
        <v>167</v>
      </c>
      <c r="I4" s="30" t="s">
        <v>99</v>
      </c>
      <c r="J4" s="10" t="str">
        <f>'TC004'!$A$2</f>
        <v>PNDC-PNCUS-Z8</v>
      </c>
      <c r="K4" s="43"/>
      <c r="L4" s="44"/>
      <c r="M4" s="30"/>
      <c r="N4" s="43"/>
      <c r="O4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56A6-2EB7-4997-8C38-4A232851609D}">
  <dimension ref="A1:K11"/>
  <sheetViews>
    <sheetView zoomScale="90" zoomScaleNormal="90" workbookViewId="0">
      <selection activeCell="B6" sqref="B6"/>
    </sheetView>
  </sheetViews>
  <sheetFormatPr defaultColWidth="8.88671875" defaultRowHeight="13.8"/>
  <cols>
    <col min="1" max="1" width="10.77734375" style="1" customWidth="1" collapsed="1"/>
    <col min="2" max="2" width="30.77734375" style="1" customWidth="1" collapsed="1"/>
    <col min="3" max="11" width="20.77734375" style="1" customWidth="1" collapsed="1"/>
    <col min="12" max="16384" width="8.88671875" style="1" collapsed="1"/>
  </cols>
  <sheetData>
    <row r="1" spans="1:11">
      <c r="A1" s="1" t="s">
        <v>307</v>
      </c>
      <c r="B1" s="1" t="s">
        <v>32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</row>
    <row r="2" spans="1:11">
      <c r="B2" s="1" t="str">
        <f>AutoIncrement!B2&amp;"82151BZD90"</f>
        <v>Z882151BZD90</v>
      </c>
    </row>
    <row r="3" spans="1:11">
      <c r="B3" s="1" t="str">
        <f>AutoIncrement!B2&amp;"82151BZE00"</f>
        <v>Z882151BZE00</v>
      </c>
    </row>
    <row r="4" spans="1:11">
      <c r="B4" s="1" t="str">
        <f>AutoIncrement!B2&amp;"82151BZK50"</f>
        <v>Z882151BZK50</v>
      </c>
    </row>
    <row r="5" spans="1:11">
      <c r="A5" s="15" t="s">
        <v>317</v>
      </c>
      <c r="B5" s="1" t="str">
        <f>AutoIncrement!B2&amp;"pna1219AS1"</f>
        <v>Z8pna1219AS1</v>
      </c>
      <c r="C5" s="1" t="s">
        <v>148</v>
      </c>
      <c r="D5" s="50">
        <v>9</v>
      </c>
      <c r="E5" s="50">
        <v>20</v>
      </c>
      <c r="F5" s="1" t="s">
        <v>148</v>
      </c>
      <c r="G5" s="1" t="s">
        <v>318</v>
      </c>
      <c r="H5" s="51">
        <v>0.1</v>
      </c>
      <c r="I5" s="1" t="s">
        <v>319</v>
      </c>
      <c r="J5" s="30" t="s">
        <v>320</v>
      </c>
      <c r="K5" s="30" t="s">
        <v>320</v>
      </c>
    </row>
    <row r="6" spans="1:11">
      <c r="A6" s="15" t="s">
        <v>317</v>
      </c>
      <c r="B6" s="1" t="str">
        <f>AutoIncrement!B2&amp;"pna18001404835"</f>
        <v>Z8pna18001404835</v>
      </c>
      <c r="C6" s="1" t="s">
        <v>148</v>
      </c>
      <c r="D6" s="50">
        <v>9</v>
      </c>
      <c r="E6" s="50">
        <v>20</v>
      </c>
      <c r="F6" s="1" t="s">
        <v>148</v>
      </c>
      <c r="G6" s="1" t="s">
        <v>318</v>
      </c>
      <c r="H6" s="51">
        <v>0.1</v>
      </c>
      <c r="I6" s="1" t="s">
        <v>319</v>
      </c>
      <c r="J6" s="30" t="s">
        <v>320</v>
      </c>
      <c r="K6" s="30" t="s">
        <v>320</v>
      </c>
    </row>
    <row r="7" spans="1:11">
      <c r="A7" s="15" t="s">
        <v>317</v>
      </c>
      <c r="B7" s="1" t="str">
        <f>AutoIncrement!B2&amp;"pna18007703930"</f>
        <v>Z8pna18007703930</v>
      </c>
      <c r="C7" s="1" t="s">
        <v>146</v>
      </c>
      <c r="D7" s="50">
        <v>9</v>
      </c>
      <c r="E7" s="50">
        <v>20</v>
      </c>
      <c r="F7" s="1" t="s">
        <v>148</v>
      </c>
      <c r="G7" s="1" t="s">
        <v>318</v>
      </c>
      <c r="H7" s="51">
        <v>0.1</v>
      </c>
      <c r="I7" s="1" t="s">
        <v>319</v>
      </c>
      <c r="J7" s="30" t="s">
        <v>320</v>
      </c>
      <c r="K7" s="30" t="s">
        <v>320</v>
      </c>
    </row>
    <row r="8" spans="1:11">
      <c r="A8" s="15" t="s">
        <v>317</v>
      </c>
      <c r="B8" s="1" t="str">
        <f>AutoIncrement!B2&amp;"pna45050040130"</f>
        <v>Z8pna45050040130</v>
      </c>
      <c r="C8" s="1" t="s">
        <v>146</v>
      </c>
      <c r="D8" s="50">
        <v>9</v>
      </c>
      <c r="E8" s="50">
        <v>20</v>
      </c>
      <c r="F8" s="1" t="s">
        <v>148</v>
      </c>
      <c r="G8" s="1" t="s">
        <v>318</v>
      </c>
      <c r="H8" s="51">
        <v>0.1</v>
      </c>
      <c r="I8" s="1" t="s">
        <v>319</v>
      </c>
      <c r="J8" s="30" t="s">
        <v>320</v>
      </c>
      <c r="K8" s="30" t="s">
        <v>320</v>
      </c>
    </row>
    <row r="9" spans="1:11">
      <c r="A9" s="15" t="s">
        <v>317</v>
      </c>
      <c r="B9" s="1" t="str">
        <f>AutoIncrement!B2&amp;"pnaNSL2BLACK"</f>
        <v>Z8pnaNSL2BLACK</v>
      </c>
      <c r="C9" s="1" t="s">
        <v>148</v>
      </c>
      <c r="D9" s="50">
        <v>9</v>
      </c>
      <c r="E9" s="50">
        <v>20</v>
      </c>
      <c r="F9" s="1" t="s">
        <v>148</v>
      </c>
      <c r="G9" s="1" t="s">
        <v>318</v>
      </c>
      <c r="H9" s="51">
        <v>0.1</v>
      </c>
      <c r="I9" s="1" t="s">
        <v>319</v>
      </c>
      <c r="J9" s="30" t="s">
        <v>320</v>
      </c>
      <c r="K9" s="30" t="s">
        <v>320</v>
      </c>
    </row>
    <row r="10" spans="1:11">
      <c r="A10" s="15" t="s">
        <v>317</v>
      </c>
      <c r="B10" s="1" t="str">
        <f>AutoIncrement!B2&amp;"ATEST202306050000000000001"</f>
        <v>Z8ATEST202306050000000000001</v>
      </c>
      <c r="C10" s="1" t="s">
        <v>148</v>
      </c>
      <c r="D10" s="50">
        <v>9</v>
      </c>
      <c r="E10" s="50">
        <v>20</v>
      </c>
      <c r="F10" s="1" t="s">
        <v>148</v>
      </c>
      <c r="G10" s="1" t="s">
        <v>318</v>
      </c>
      <c r="H10" s="51">
        <v>0.1</v>
      </c>
      <c r="I10" s="1" t="s">
        <v>319</v>
      </c>
      <c r="J10" s="30" t="s">
        <v>320</v>
      </c>
      <c r="K10" s="30" t="s">
        <v>320</v>
      </c>
    </row>
    <row r="11" spans="1:11">
      <c r="A11" s="15" t="s">
        <v>317</v>
      </c>
      <c r="B11" s="1" t="str">
        <f>AutoIncrement!B2&amp;"ATEST202306050000000000002"</f>
        <v>Z8ATEST202306050000000000002</v>
      </c>
      <c r="C11" s="1" t="s">
        <v>148</v>
      </c>
      <c r="D11" s="50">
        <v>9</v>
      </c>
      <c r="E11" s="50">
        <v>20</v>
      </c>
      <c r="F11" s="1" t="s">
        <v>148</v>
      </c>
      <c r="G11" s="1" t="s">
        <v>318</v>
      </c>
      <c r="H11" s="51">
        <v>0.1</v>
      </c>
      <c r="I11" s="1" t="s">
        <v>319</v>
      </c>
      <c r="J11" s="30" t="s">
        <v>320</v>
      </c>
      <c r="K11" s="30" t="s">
        <v>320</v>
      </c>
    </row>
  </sheetData>
  <dataValidations count="2">
    <dataValidation type="list" allowBlank="1" sqref="F5:F11 C5:C11" xr:uid="{9BD83762-6A90-415C-9A0E-888C10A1502A}">
      <formula1>"Y,N"</formula1>
    </dataValidation>
    <dataValidation type="list" allowBlank="1" sqref="G5:G11" xr:uid="{EF74E68B-9912-4DD2-B7A0-6609D381401F}">
      <formula1>"By Usage Rundown,By Average Usage of Two Month"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8C1D-7419-4EB4-9B62-2A685C745592}">
  <dimension ref="A1:D3"/>
  <sheetViews>
    <sheetView zoomScale="90" zoomScaleNormal="90" workbookViewId="0">
      <selection activeCell="G11" sqref="G11"/>
    </sheetView>
  </sheetViews>
  <sheetFormatPr defaultColWidth="8.88671875" defaultRowHeight="13.8"/>
  <cols>
    <col min="1" max="1" width="5.77734375" style="1" customWidth="1" collapsed="1"/>
    <col min="2" max="2" width="15.77734375" style="1" customWidth="1" collapsed="1"/>
    <col min="3" max="3" width="25.77734375" style="1" customWidth="1" collapsed="1"/>
    <col min="4" max="4" width="11" style="1" bestFit="1" customWidth="1" collapsed="1"/>
    <col min="5" max="16384" width="8.88671875" style="1" collapsed="1"/>
  </cols>
  <sheetData>
    <row r="1" spans="1:4">
      <c r="A1" s="14" t="s">
        <v>34</v>
      </c>
      <c r="B1" s="14" t="s">
        <v>321</v>
      </c>
      <c r="C1" s="14" t="s">
        <v>129</v>
      </c>
      <c r="D1" s="1" t="s">
        <v>583</v>
      </c>
    </row>
    <row r="2" spans="1:4">
      <c r="A2" s="1">
        <v>1</v>
      </c>
      <c r="B2" s="14" t="s">
        <v>322</v>
      </c>
      <c r="C2" s="46" t="str">
        <f>'TC007-Setup Data'!B2</f>
        <v>PNABU-L3-Z8-019</v>
      </c>
      <c r="D2" s="189">
        <f ca="1">TODAY()</f>
        <v>45247</v>
      </c>
    </row>
    <row r="3" spans="1:4">
      <c r="A3" s="1">
        <v>2</v>
      </c>
      <c r="B3" s="14" t="s">
        <v>323</v>
      </c>
      <c r="C3" s="46" t="str">
        <f>'TC021-Setup Data'!A2</f>
        <v>PNABU-L2-Z8-019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D5A-000D-46B4-9487-BB9516992308}">
  <dimension ref="A1:J8"/>
  <sheetViews>
    <sheetView workbookViewId="0">
      <selection activeCell="H2" sqref="H2:H8"/>
    </sheetView>
  </sheetViews>
  <sheetFormatPr defaultRowHeight="14.4"/>
  <cols>
    <col min="1" max="1" width="41.6640625" customWidth="1" collapsed="1"/>
    <col min="2" max="2" width="20.88671875" customWidth="1" collapsed="1"/>
    <col min="3" max="3" width="24.6640625" customWidth="1" collapsed="1"/>
    <col min="4" max="4" width="20.6640625" customWidth="1" collapsed="1"/>
    <col min="5" max="5" width="21.44140625" customWidth="1" collapsed="1"/>
    <col min="6" max="6" width="28" customWidth="1" collapsed="1"/>
    <col min="7" max="7" width="16.77734375" customWidth="1" collapsed="1"/>
    <col min="8" max="8" width="20.6640625" customWidth="1" collapsed="1"/>
    <col min="9" max="9" width="11" customWidth="1" collapsed="1"/>
    <col min="10" max="10" width="22.5546875" customWidth="1" collapsed="1"/>
  </cols>
  <sheetData>
    <row r="1" spans="1:8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s="10" t="str">
        <f>'TC007-Contract Parts Info'!D8</f>
        <v>Z8pnaNSL2BLACK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s="10" t="str">
        <f>'TC007-Contract Parts Info'!D7</f>
        <v>Z8pna45050040130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s="10" t="str">
        <f>'TC007-Contract Parts Info'!D6</f>
        <v>Z8pna18007703930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  <row r="5" spans="1:8">
      <c r="A5" s="10" t="str">
        <f>'TC007-Contract Parts Info'!D5</f>
        <v>Z8pna18001404835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754</v>
      </c>
    </row>
    <row r="6" spans="1:8">
      <c r="A6" s="10" t="str">
        <f>'TC007-Contract Parts Info'!D4</f>
        <v>Z8pna1219AS1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754</v>
      </c>
    </row>
    <row r="7" spans="1:8">
      <c r="A7" s="10" t="str">
        <f>'TC007-Contract Parts Info'!D3</f>
        <v>Z8ATEST202306050000000000002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754</v>
      </c>
    </row>
    <row r="8" spans="1:8">
      <c r="A8" s="10" t="str">
        <f>'TC007-Contract Parts Info'!D2</f>
        <v>Z8ATEST202306050000000000001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55B4-752E-484E-8474-45B6A6F89353}">
  <dimension ref="A1:H4"/>
  <sheetViews>
    <sheetView workbookViewId="0"/>
  </sheetViews>
  <sheetFormatPr defaultRowHeight="14.4"/>
  <cols>
    <col min="1" max="1" width="46.77734375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Z882151BZK50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t="str">
        <f>'TC021-Contrct Part Info L2 (BU)'!C3</f>
        <v>Z882151BZE00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t="str">
        <f>'TC021-Contrct Part Info L2 (BU)'!C2</f>
        <v>Z882151BZD90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7D22-6EDC-42E4-9055-19CD7619F6D4}">
  <dimension ref="A1:A15"/>
  <sheetViews>
    <sheetView workbookViewId="0">
      <selection activeCell="E11" sqref="E11"/>
    </sheetView>
  </sheetViews>
  <sheetFormatPr defaultRowHeight="14.4"/>
  <cols>
    <col min="1" max="1" width="25.6640625" customWidth="1" collapsed="1"/>
  </cols>
  <sheetData>
    <row r="1" spans="1:1">
      <c r="A1" t="s">
        <v>330</v>
      </c>
    </row>
    <row r="2" spans="1:1">
      <c r="A2" s="188" t="s">
        <v>333</v>
      </c>
    </row>
    <row r="3" spans="1:1">
      <c r="A3" s="188" t="s">
        <v>334</v>
      </c>
    </row>
    <row r="4" spans="1:1">
      <c r="A4" s="188" t="s">
        <v>335</v>
      </c>
    </row>
    <row r="5" spans="1:1">
      <c r="A5" s="188" t="s">
        <v>682</v>
      </c>
    </row>
    <row r="6" spans="1:1">
      <c r="A6" s="188" t="s">
        <v>683</v>
      </c>
    </row>
    <row r="7" spans="1:1">
      <c r="A7" s="188" t="s">
        <v>684</v>
      </c>
    </row>
    <row r="8" spans="1:1">
      <c r="A8" s="188" t="s">
        <v>685</v>
      </c>
    </row>
    <row r="9" spans="1:1">
      <c r="A9" s="188" t="s">
        <v>686</v>
      </c>
    </row>
    <row r="10" spans="1:1">
      <c r="A10" s="188" t="s">
        <v>687</v>
      </c>
    </row>
    <row r="11" spans="1:1">
      <c r="A11" s="188" t="s">
        <v>688</v>
      </c>
    </row>
    <row r="12" spans="1:1">
      <c r="A12" s="188" t="s">
        <v>689</v>
      </c>
    </row>
    <row r="13" spans="1:1">
      <c r="A13" s="188" t="s">
        <v>690</v>
      </c>
    </row>
    <row r="14" spans="1:1">
      <c r="A14" s="188" t="s">
        <v>691</v>
      </c>
    </row>
    <row r="15" spans="1:1">
      <c r="A15" s="188" t="s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10C-73B7-4C09-B257-0902D775A69F}">
  <dimension ref="A1:T2"/>
  <sheetViews>
    <sheetView topLeftCell="I1" zoomScale="90" zoomScaleNormal="90" workbookViewId="0">
      <selection activeCell="S1" sqref="S1"/>
    </sheetView>
  </sheetViews>
  <sheetFormatPr defaultColWidth="8.88671875" defaultRowHeight="13.8"/>
  <cols>
    <col min="1" max="20" width="20.77734375" style="1" customWidth="1" collapsed="1"/>
    <col min="21" max="16384" width="8.88671875" style="1" collapsed="1"/>
  </cols>
  <sheetData>
    <row r="1" spans="1:20">
      <c r="A1" s="12" t="s">
        <v>72</v>
      </c>
      <c r="B1" s="12" t="s">
        <v>73</v>
      </c>
      <c r="C1" s="12" t="s">
        <v>23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79</v>
      </c>
      <c r="J1" s="12" t="s">
        <v>80</v>
      </c>
      <c r="K1" s="12" t="s">
        <v>81</v>
      </c>
      <c r="L1" s="12" t="s">
        <v>82</v>
      </c>
      <c r="M1" s="12" t="s">
        <v>83</v>
      </c>
      <c r="N1" s="12" t="s">
        <v>84</v>
      </c>
      <c r="O1" s="13" t="s">
        <v>85</v>
      </c>
      <c r="P1" s="12" t="s">
        <v>86</v>
      </c>
      <c r="Q1" s="12" t="s">
        <v>87</v>
      </c>
      <c r="R1" s="12" t="s">
        <v>678</v>
      </c>
      <c r="S1" s="12" t="s">
        <v>680</v>
      </c>
      <c r="T1" s="13" t="s">
        <v>94</v>
      </c>
    </row>
    <row r="2" spans="1:20" s="15" customFormat="1">
      <c r="A2" s="12" t="str">
        <f>"PNDC-PNCUS-"&amp;AutoIncrement!B2</f>
        <v>PNDC-PNCUS-Z8</v>
      </c>
      <c r="B2" s="12" t="str">
        <f>A2</f>
        <v>PNDC-PNCUS-Z8</v>
      </c>
      <c r="C2" s="12" t="s">
        <v>4</v>
      </c>
      <c r="D2" s="12" t="s">
        <v>95</v>
      </c>
      <c r="E2" s="12" t="s">
        <v>96</v>
      </c>
      <c r="F2" s="12" t="s">
        <v>96</v>
      </c>
      <c r="G2" s="12" t="s">
        <v>97</v>
      </c>
      <c r="H2" s="12" t="s">
        <v>97</v>
      </c>
      <c r="I2" s="12" t="s">
        <v>98</v>
      </c>
      <c r="J2" s="12" t="s">
        <v>99</v>
      </c>
      <c r="K2" s="14"/>
      <c r="L2" s="14"/>
      <c r="M2" s="12">
        <v>3</v>
      </c>
      <c r="N2" s="12">
        <v>2</v>
      </c>
      <c r="O2" s="12" t="s">
        <v>100</v>
      </c>
      <c r="P2" s="12">
        <v>0</v>
      </c>
      <c r="Q2" s="12">
        <v>0</v>
      </c>
      <c r="R2" s="12" t="s">
        <v>679</v>
      </c>
      <c r="S2" s="12" t="s">
        <v>681</v>
      </c>
      <c r="T2" s="12" t="s">
        <v>101</v>
      </c>
    </row>
  </sheetData>
  <hyperlinks>
    <hyperlink ref="O1" location="RANGE!A1" display="ETDWeekDay (click here to set ETD days)" xr:uid="{90EFC15E-D80A-4C56-A90A-1A3A538E8F86}"/>
    <hyperlink ref="T1" location="RANGE!A1" display="Shipping Frequency Weeks (Click here to add week)" xr:uid="{6995156F-5F65-4F25-9E33-1392CF5DC50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880-1C05-441F-BA10-86738774C2CB}">
  <dimension ref="A1:C4"/>
  <sheetViews>
    <sheetView zoomScaleNormal="100" workbookViewId="0">
      <selection activeCell="K12" sqref="K12"/>
    </sheetView>
  </sheetViews>
  <sheetFormatPr defaultRowHeight="13.8"/>
  <cols>
    <col min="1" max="3" width="25.77734375" style="1" customWidth="1" collapsed="1"/>
    <col min="4" max="16384" width="8.88671875" style="1" collapsed="1"/>
  </cols>
  <sheetData>
    <row r="1" spans="1:3">
      <c r="A1" s="1" t="s">
        <v>324</v>
      </c>
      <c r="B1" s="1" t="s">
        <v>325</v>
      </c>
      <c r="C1" s="1" t="s">
        <v>326</v>
      </c>
    </row>
    <row r="2" spans="1:3">
      <c r="A2" s="1" t="str">
        <f>'TC20-Req Add New Part (L2)'!B2</f>
        <v>Z882151-BZD90</v>
      </c>
      <c r="B2" s="1" t="s">
        <v>327</v>
      </c>
      <c r="C2" s="1" t="s">
        <v>4</v>
      </c>
    </row>
    <row r="3" spans="1:3">
      <c r="A3" s="1" t="str">
        <f>'TC20-Req Add New Part (L2)'!B3</f>
        <v>Z882151-BZE00</v>
      </c>
      <c r="B3" s="1" t="s">
        <v>327</v>
      </c>
      <c r="C3" s="1" t="s">
        <v>4</v>
      </c>
    </row>
    <row r="4" spans="1:3">
      <c r="A4" s="1" t="str">
        <f>'TC20-Req Add New Part (L2)'!B4</f>
        <v>Z882151-BZK50</v>
      </c>
      <c r="B4" s="1" t="s">
        <v>328</v>
      </c>
      <c r="C4" s="1" t="s">
        <v>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7993-734E-4109-9A11-1E850C42A3B3}">
  <dimension ref="A1:C4"/>
  <sheetViews>
    <sheetView workbookViewId="0">
      <selection activeCell="L25" sqref="L25"/>
    </sheetView>
  </sheetViews>
  <sheetFormatPr defaultRowHeight="14.4"/>
  <cols>
    <col min="1" max="1" width="29.109375" customWidth="1" collapsed="1"/>
    <col min="2" max="2" width="28.6640625" customWidth="1" collapsed="1"/>
    <col min="3" max="3" width="19.44140625" customWidth="1" collapsed="1"/>
  </cols>
  <sheetData>
    <row r="1" spans="1:3" ht="19.8" customHeight="1">
      <c r="A1" s="52" t="s">
        <v>329</v>
      </c>
      <c r="B1" s="53" t="s">
        <v>330</v>
      </c>
      <c r="C1" s="54" t="s">
        <v>331</v>
      </c>
    </row>
    <row r="2" spans="1:3">
      <c r="A2" s="55" t="s">
        <v>332</v>
      </c>
      <c r="B2" s="55" t="s">
        <v>333</v>
      </c>
      <c r="C2" s="56">
        <v>1</v>
      </c>
    </row>
    <row r="3" spans="1:3">
      <c r="A3" s="55" t="s">
        <v>332</v>
      </c>
      <c r="B3" s="55" t="s">
        <v>334</v>
      </c>
      <c r="C3" s="56">
        <v>1</v>
      </c>
    </row>
    <row r="4" spans="1:3">
      <c r="A4" s="55" t="s">
        <v>332</v>
      </c>
      <c r="B4" s="55" t="s">
        <v>335</v>
      </c>
      <c r="C4" s="56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503-F71B-4A9A-B4E8-0FB80540465F}">
  <dimension ref="A1:E5"/>
  <sheetViews>
    <sheetView workbookViewId="0">
      <selection activeCell="B5" sqref="B5"/>
    </sheetView>
  </sheetViews>
  <sheetFormatPr defaultRowHeight="14.4"/>
  <cols>
    <col min="1" max="1" width="24.21875" customWidth="1" collapsed="1"/>
    <col min="2" max="2" width="20.88671875" customWidth="1" collapsed="1"/>
    <col min="3" max="3" width="22.6640625" customWidth="1" collapsed="1"/>
    <col min="4" max="4" width="20.21875" customWidth="1" collapsed="1"/>
    <col min="5" max="5" width="20.77734375" customWidth="1" collapsed="1"/>
  </cols>
  <sheetData>
    <row r="1" spans="1:5">
      <c r="A1" s="52" t="s">
        <v>330</v>
      </c>
      <c r="B1" s="53" t="s">
        <v>336</v>
      </c>
      <c r="C1" s="53" t="s">
        <v>337</v>
      </c>
      <c r="D1" s="53" t="s">
        <v>338</v>
      </c>
      <c r="E1" s="54" t="s">
        <v>331</v>
      </c>
    </row>
    <row r="2" spans="1:5">
      <c r="A2" s="55" t="s">
        <v>333</v>
      </c>
      <c r="B2" s="57" t="str">
        <f>'TC027-materialFieldLvl2'!A2</f>
        <v>Z882151-BZD90</v>
      </c>
      <c r="C2" s="55" t="s">
        <v>327</v>
      </c>
      <c r="D2" s="55" t="s">
        <v>4</v>
      </c>
      <c r="E2" s="56">
        <v>1</v>
      </c>
    </row>
    <row r="3" spans="1:5">
      <c r="A3" s="55" t="s">
        <v>334</v>
      </c>
      <c r="B3" s="57" t="str">
        <f>'TC027-materialFieldLvl2'!A3</f>
        <v>Z882151-BZE00</v>
      </c>
      <c r="C3" s="55" t="s">
        <v>327</v>
      </c>
      <c r="D3" s="55" t="s">
        <v>4</v>
      </c>
      <c r="E3" s="56">
        <v>1</v>
      </c>
    </row>
    <row r="4" spans="1:5">
      <c r="A4" s="55" t="s">
        <v>335</v>
      </c>
      <c r="B4" s="57" t="str">
        <f>'TC027-materialFieldLvl2'!A2</f>
        <v>Z882151-BZD90</v>
      </c>
      <c r="C4" s="55" t="s">
        <v>327</v>
      </c>
      <c r="D4" s="55" t="s">
        <v>4</v>
      </c>
      <c r="E4" s="56">
        <v>1</v>
      </c>
    </row>
    <row r="5" spans="1:5">
      <c r="A5" s="55" t="s">
        <v>335</v>
      </c>
      <c r="B5" s="57" t="str">
        <f>'TC027-materialFieldLvl2'!A4</f>
        <v>Z882151-BZK50</v>
      </c>
      <c r="C5" s="55" t="s">
        <v>328</v>
      </c>
      <c r="D5" s="55" t="s">
        <v>4</v>
      </c>
      <c r="E5" s="56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4064-F0D1-4C86-8285-88D44460F114}">
  <dimension ref="A1:H22"/>
  <sheetViews>
    <sheetView zoomScale="80" zoomScaleNormal="80" workbookViewId="0">
      <selection activeCell="D4" sqref="D4"/>
    </sheetView>
  </sheetViews>
  <sheetFormatPr defaultRowHeight="14.4"/>
  <cols>
    <col min="1" max="1" width="31.21875" customWidth="1" collapsed="1"/>
    <col min="2" max="2" width="21.33203125" customWidth="1" collapsed="1"/>
    <col min="3" max="3" width="23.6640625" customWidth="1" collapsed="1"/>
    <col min="4" max="4" width="47.33203125" customWidth="1" collapsed="1"/>
    <col min="5" max="5" width="27.33203125" customWidth="1" collapsed="1"/>
    <col min="6" max="6" width="25.21875" customWidth="1" collapsed="1"/>
    <col min="7" max="7" width="40.33203125" customWidth="1" collapsed="1"/>
    <col min="8" max="8" width="16.44140625" customWidth="1" collapsed="1"/>
  </cols>
  <sheetData>
    <row r="1" spans="1:8">
      <c r="A1" s="52" t="s">
        <v>336</v>
      </c>
      <c r="B1" s="53" t="s">
        <v>337</v>
      </c>
      <c r="C1" s="53" t="s">
        <v>338</v>
      </c>
      <c r="D1" s="58" t="s">
        <v>339</v>
      </c>
      <c r="E1" s="58" t="s">
        <v>340</v>
      </c>
      <c r="F1" s="58" t="s">
        <v>341</v>
      </c>
      <c r="G1" s="59" t="s">
        <v>342</v>
      </c>
      <c r="H1" s="54" t="s">
        <v>331</v>
      </c>
    </row>
    <row r="2" spans="1:8">
      <c r="A2" s="57" t="str">
        <f>'TC027-materialFieldLvl2'!A2</f>
        <v>Z882151-BZD90</v>
      </c>
      <c r="B2" s="55" t="s">
        <v>327</v>
      </c>
      <c r="C2" s="55" t="s">
        <v>4</v>
      </c>
      <c r="D2" s="60" t="str">
        <f>'TC007-Contract Parts Info'!D2</f>
        <v>Z8ATEST202306050000000000001</v>
      </c>
      <c r="E2" s="61" t="s">
        <v>99</v>
      </c>
      <c r="F2" s="60" t="str">
        <f>'TC007-Setup Data'!B2</f>
        <v>PNABU-L3-Z8-019</v>
      </c>
      <c r="G2" s="60" t="str">
        <f>'TC007-Contract Parts Info'!B2</f>
        <v>Z8CUS-PNATEST,20230605000000000000-1</v>
      </c>
      <c r="H2" s="56">
        <v>10</v>
      </c>
    </row>
    <row r="3" spans="1:8">
      <c r="A3" s="57" t="str">
        <f>'TC027-materialFieldLvl2'!A3</f>
        <v>Z882151-BZE00</v>
      </c>
      <c r="B3" s="55" t="s">
        <v>327</v>
      </c>
      <c r="C3" s="55" t="s">
        <v>4</v>
      </c>
      <c r="D3" s="60" t="str">
        <f>'TC007-Contract Parts Info'!D2</f>
        <v>Z8ATEST202306050000000000001</v>
      </c>
      <c r="E3" s="61" t="s">
        <v>99</v>
      </c>
      <c r="F3" s="60" t="str">
        <f>'TC007-Setup Data'!B2</f>
        <v>PNABU-L3-Z8-019</v>
      </c>
      <c r="G3" s="60" t="str">
        <f>'TC007-Contract Parts Info'!B2</f>
        <v>Z8CUS-PNATEST,20230605000000000000-1</v>
      </c>
      <c r="H3" s="56">
        <v>6</v>
      </c>
    </row>
    <row r="4" spans="1:8">
      <c r="A4" s="57" t="str">
        <f>'TC027-materialFieldLvl2'!A4</f>
        <v>Z882151-BZK50</v>
      </c>
      <c r="B4" s="55" t="s">
        <v>328</v>
      </c>
      <c r="C4" s="55" t="s">
        <v>4</v>
      </c>
      <c r="D4" s="60" t="str">
        <f>'TC007-Contract Parts Info'!D2</f>
        <v>Z8ATEST202306050000000000001</v>
      </c>
      <c r="E4" s="61" t="s">
        <v>99</v>
      </c>
      <c r="F4" s="60" t="str">
        <f>'TC007-Setup Data'!B2</f>
        <v>PNABU-L3-Z8-019</v>
      </c>
      <c r="G4" s="60" t="str">
        <f>'TC007-Contract Parts Info'!B2</f>
        <v>Z8CUS-PNATEST,20230605000000000000-1</v>
      </c>
      <c r="H4" s="56">
        <v>10</v>
      </c>
    </row>
    <row r="5" spans="1:8">
      <c r="A5" s="57" t="str">
        <f>'TC027-materialFieldLvl2'!A2</f>
        <v>Z882151-BZD90</v>
      </c>
      <c r="B5" s="55" t="s">
        <v>327</v>
      </c>
      <c r="C5" s="55" t="s">
        <v>4</v>
      </c>
      <c r="D5" s="60" t="str">
        <f>'TC007-Contract Parts Info'!D3</f>
        <v>Z8ATEST202306050000000000002</v>
      </c>
      <c r="E5" s="61" t="s">
        <v>99</v>
      </c>
      <c r="F5" s="60" t="str">
        <f>'TC007-Setup Data'!B2</f>
        <v>PNABU-L3-Z8-019</v>
      </c>
      <c r="G5" s="60" t="str">
        <f>'TC007-Contract Parts Info'!B3</f>
        <v>Z8CUS-PNATEST,20230605000000000000-2</v>
      </c>
      <c r="H5" s="56">
        <v>0</v>
      </c>
    </row>
    <row r="6" spans="1:8">
      <c r="A6" s="57" t="str">
        <f>'TC027-materialFieldLvl2'!A3</f>
        <v>Z882151-BZE00</v>
      </c>
      <c r="B6" s="55" t="s">
        <v>327</v>
      </c>
      <c r="C6" s="55" t="s">
        <v>4</v>
      </c>
      <c r="D6" s="60" t="str">
        <f>'TC007-Contract Parts Info'!D3</f>
        <v>Z8ATEST202306050000000000002</v>
      </c>
      <c r="E6" s="61" t="s">
        <v>99</v>
      </c>
      <c r="F6" s="60" t="str">
        <f>'TC007-Setup Data'!B2</f>
        <v>PNABU-L3-Z8-019</v>
      </c>
      <c r="G6" s="60" t="str">
        <f>'TC007-Contract Parts Info'!B3</f>
        <v>Z8CUS-PNATEST,20230605000000000000-2</v>
      </c>
      <c r="H6" s="56">
        <v>6</v>
      </c>
    </row>
    <row r="7" spans="1:8">
      <c r="A7" s="57" t="str">
        <f>'TC027-materialFieldLvl2'!A4</f>
        <v>Z882151-BZK50</v>
      </c>
      <c r="B7" s="55" t="s">
        <v>328</v>
      </c>
      <c r="C7" s="55" t="s">
        <v>4</v>
      </c>
      <c r="D7" s="60" t="str">
        <f>'TC007-Contract Parts Info'!D3</f>
        <v>Z8ATEST202306050000000000002</v>
      </c>
      <c r="E7" s="61" t="s">
        <v>99</v>
      </c>
      <c r="F7" s="60" t="str">
        <f>'TC007-Setup Data'!B2</f>
        <v>PNABU-L3-Z8-019</v>
      </c>
      <c r="G7" s="60" t="str">
        <f>'TC007-Contract Parts Info'!B3</f>
        <v>Z8CUS-PNATEST,20230605000000000000-2</v>
      </c>
      <c r="H7" s="56">
        <v>20</v>
      </c>
    </row>
    <row r="8" spans="1:8">
      <c r="A8" s="57" t="str">
        <f>'TC027-materialFieldLvl2'!A2</f>
        <v>Z882151-BZD90</v>
      </c>
      <c r="B8" s="55" t="s">
        <v>327</v>
      </c>
      <c r="C8" s="55" t="s">
        <v>4</v>
      </c>
      <c r="D8" s="60" t="str">
        <f>'TC007-Contract Parts Info'!D4</f>
        <v>Z8pna1219AS1</v>
      </c>
      <c r="E8" s="61" t="s">
        <v>99</v>
      </c>
      <c r="F8" s="60" t="str">
        <f>'TC007-Setup Data'!B2</f>
        <v>PNABU-L3-Z8-019</v>
      </c>
      <c r="G8" s="60" t="str">
        <f>'TC007-Contract Parts Info'!B4</f>
        <v>Z8pna-1219AS-1</v>
      </c>
      <c r="H8" s="56">
        <v>0</v>
      </c>
    </row>
    <row r="9" spans="1:8">
      <c r="A9" s="57" t="str">
        <f>'TC027-materialFieldLvl2'!A3</f>
        <v>Z882151-BZE00</v>
      </c>
      <c r="B9" s="55" t="s">
        <v>327</v>
      </c>
      <c r="C9" s="55" t="s">
        <v>4</v>
      </c>
      <c r="D9" s="60" t="str">
        <f>'TC007-Contract Parts Info'!D4</f>
        <v>Z8pna1219AS1</v>
      </c>
      <c r="E9" s="61" t="s">
        <v>99</v>
      </c>
      <c r="F9" s="60" t="str">
        <f>'TC007-Setup Data'!B2</f>
        <v>PNABU-L3-Z8-019</v>
      </c>
      <c r="G9" s="60" t="str">
        <f>'TC007-Contract Parts Info'!B4</f>
        <v>Z8pna-1219AS-1</v>
      </c>
      <c r="H9" s="56">
        <v>1</v>
      </c>
    </row>
    <row r="10" spans="1:8">
      <c r="A10" s="57" t="str">
        <f>'TC027-materialFieldLvl2'!A4</f>
        <v>Z882151-BZK50</v>
      </c>
      <c r="B10" s="55" t="s">
        <v>328</v>
      </c>
      <c r="C10" s="55" t="s">
        <v>4</v>
      </c>
      <c r="D10" s="60" t="str">
        <f>'TC007-Contract Parts Info'!D4</f>
        <v>Z8pna1219AS1</v>
      </c>
      <c r="E10" s="61" t="s">
        <v>99</v>
      </c>
      <c r="F10" s="60" t="str">
        <f>'TC007-Setup Data'!B2</f>
        <v>PNABU-L3-Z8-019</v>
      </c>
      <c r="G10" s="60" t="str">
        <f>'TC007-Contract Parts Info'!B4</f>
        <v>Z8pna-1219AS-1</v>
      </c>
      <c r="H10" s="56">
        <v>1</v>
      </c>
    </row>
    <row r="11" spans="1:8">
      <c r="A11" s="57" t="str">
        <f>'TC027-materialFieldLvl2'!A2</f>
        <v>Z882151-BZD90</v>
      </c>
      <c r="B11" s="55" t="s">
        <v>327</v>
      </c>
      <c r="C11" s="55" t="s">
        <v>4</v>
      </c>
      <c r="D11" s="60" t="str">
        <f>'TC007-Contract Parts Info'!D5</f>
        <v>Z8pna18001404835</v>
      </c>
      <c r="E11" s="61" t="s">
        <v>99</v>
      </c>
      <c r="F11" s="60" t="str">
        <f>'TC007-Setup Data'!B2</f>
        <v>PNABU-L3-Z8-019</v>
      </c>
      <c r="G11" s="60" t="str">
        <f>'TC007-Contract Parts Info'!B5</f>
        <v>Z8pna-18001404835</v>
      </c>
      <c r="H11" s="56">
        <v>0.64800000000000002</v>
      </c>
    </row>
    <row r="12" spans="1:8">
      <c r="A12" s="57" t="str">
        <f>'TC027-materialFieldLvl2'!A3</f>
        <v>Z882151-BZE00</v>
      </c>
      <c r="B12" s="55" t="s">
        <v>327</v>
      </c>
      <c r="C12" s="55" t="s">
        <v>4</v>
      </c>
      <c r="D12" s="60" t="str">
        <f>'TC007-Contract Parts Info'!D5</f>
        <v>Z8pna18001404835</v>
      </c>
      <c r="E12" s="61" t="s">
        <v>99</v>
      </c>
      <c r="F12" s="60" t="str">
        <f>'TC007-Setup Data'!B2</f>
        <v>PNABU-L3-Z8-019</v>
      </c>
      <c r="G12" s="60" t="str">
        <f>'TC007-Contract Parts Info'!B5</f>
        <v>Z8pna-18001404835</v>
      </c>
      <c r="H12" s="56">
        <v>2</v>
      </c>
    </row>
    <row r="13" spans="1:8">
      <c r="A13" s="57" t="str">
        <f>'TC027-materialFieldLvl2'!A4</f>
        <v>Z882151-BZK50</v>
      </c>
      <c r="B13" s="55" t="s">
        <v>328</v>
      </c>
      <c r="C13" s="55" t="s">
        <v>4</v>
      </c>
      <c r="D13" s="60" t="str">
        <f>'TC007-Contract Parts Info'!D5</f>
        <v>Z8pna18001404835</v>
      </c>
      <c r="E13" s="61" t="s">
        <v>99</v>
      </c>
      <c r="F13" s="60" t="str">
        <f>'TC007-Setup Data'!B2</f>
        <v>PNABU-L3-Z8-019</v>
      </c>
      <c r="G13" s="60" t="str">
        <f>'TC007-Contract Parts Info'!B5</f>
        <v>Z8pna-18001404835</v>
      </c>
      <c r="H13" s="56">
        <v>2</v>
      </c>
    </row>
    <row r="14" spans="1:8">
      <c r="A14" s="57" t="str">
        <f>'TC027-materialFieldLvl2'!A2</f>
        <v>Z882151-BZD90</v>
      </c>
      <c r="B14" s="55" t="s">
        <v>327</v>
      </c>
      <c r="C14" s="55" t="s">
        <v>4</v>
      </c>
      <c r="D14" s="60" t="str">
        <f>'TC007-Contract Parts Info'!D6</f>
        <v>Z8pna18007703930</v>
      </c>
      <c r="E14" s="61" t="s">
        <v>99</v>
      </c>
      <c r="F14" s="60" t="str">
        <f>'TC007-Setup Data'!B2</f>
        <v>PNABU-L3-Z8-019</v>
      </c>
      <c r="G14" s="60" t="str">
        <f>'TC007-Contract Parts Info'!B6</f>
        <v>Z8pna-18007703930</v>
      </c>
      <c r="H14" s="56">
        <v>1.5329999999999999</v>
      </c>
    </row>
    <row r="15" spans="1:8">
      <c r="A15" s="57" t="str">
        <f>'TC027-materialFieldLvl2'!A3</f>
        <v>Z882151-BZE00</v>
      </c>
      <c r="B15" s="55" t="s">
        <v>327</v>
      </c>
      <c r="C15" s="55" t="s">
        <v>4</v>
      </c>
      <c r="D15" s="60" t="str">
        <f>'TC007-Contract Parts Info'!D6</f>
        <v>Z8pna18007703930</v>
      </c>
      <c r="E15" s="61" t="s">
        <v>99</v>
      </c>
      <c r="F15" s="60" t="str">
        <f>'TC007-Setup Data'!B2</f>
        <v>PNABU-L3-Z8-019</v>
      </c>
      <c r="G15" s="60" t="str">
        <f>'TC007-Contract Parts Info'!B6</f>
        <v>Z8pna-18007703930</v>
      </c>
      <c r="H15" s="56">
        <v>3</v>
      </c>
    </row>
    <row r="16" spans="1:8">
      <c r="A16" s="57" t="str">
        <f>'TC027-materialFieldLvl2'!A4</f>
        <v>Z882151-BZK50</v>
      </c>
      <c r="B16" s="55" t="s">
        <v>328</v>
      </c>
      <c r="C16" s="55" t="s">
        <v>4</v>
      </c>
      <c r="D16" s="60" t="str">
        <f>'TC007-Contract Parts Info'!D6</f>
        <v>Z8pna18007703930</v>
      </c>
      <c r="E16" s="61" t="s">
        <v>99</v>
      </c>
      <c r="F16" s="60" t="str">
        <f>'TC007-Setup Data'!B2</f>
        <v>PNABU-L3-Z8-019</v>
      </c>
      <c r="G16" s="60" t="str">
        <f>'TC007-Contract Parts Info'!B6</f>
        <v>Z8pna-18007703930</v>
      </c>
      <c r="H16" s="56">
        <v>3</v>
      </c>
    </row>
    <row r="17" spans="1:8">
      <c r="A17" s="57" t="str">
        <f>'TC027-materialFieldLvl2'!A2</f>
        <v>Z882151-BZD90</v>
      </c>
      <c r="B17" s="55" t="s">
        <v>327</v>
      </c>
      <c r="C17" s="55" t="s">
        <v>4</v>
      </c>
      <c r="D17" s="60" t="str">
        <f>'TC007-Contract Parts Info'!D7</f>
        <v>Z8pna45050040130</v>
      </c>
      <c r="E17" s="61" t="s">
        <v>99</v>
      </c>
      <c r="F17" s="60" t="str">
        <f>'TC007-Setup Data'!B2</f>
        <v>PNABU-L3-Z8-019</v>
      </c>
      <c r="G17" s="60" t="str">
        <f>'TC007-Contract Parts Info'!B7</f>
        <v>Z8pna-45050040130</v>
      </c>
      <c r="H17" s="56">
        <v>1</v>
      </c>
    </row>
    <row r="18" spans="1:8">
      <c r="A18" s="57" t="str">
        <f>'TC027-materialFieldLvl2'!A3</f>
        <v>Z882151-BZE00</v>
      </c>
      <c r="B18" s="55" t="s">
        <v>327</v>
      </c>
      <c r="C18" s="55" t="s">
        <v>4</v>
      </c>
      <c r="D18" s="60" t="str">
        <f>'TC007-Contract Parts Info'!D7</f>
        <v>Z8pna45050040130</v>
      </c>
      <c r="E18" s="61" t="s">
        <v>99</v>
      </c>
      <c r="F18" s="60" t="str">
        <f>'TC007-Setup Data'!B2</f>
        <v>PNABU-L3-Z8-019</v>
      </c>
      <c r="G18" s="60" t="str">
        <f>'TC007-Contract Parts Info'!B7</f>
        <v>Z8pna-45050040130</v>
      </c>
      <c r="H18" s="56">
        <v>4</v>
      </c>
    </row>
    <row r="19" spans="1:8">
      <c r="A19" s="57" t="str">
        <f>'TC027-materialFieldLvl2'!A4</f>
        <v>Z882151-BZK50</v>
      </c>
      <c r="B19" s="55" t="s">
        <v>328</v>
      </c>
      <c r="C19" s="55" t="s">
        <v>4</v>
      </c>
      <c r="D19" s="60" t="str">
        <f>'TC007-Contract Parts Info'!D7</f>
        <v>Z8pna45050040130</v>
      </c>
      <c r="E19" s="61" t="s">
        <v>99</v>
      </c>
      <c r="F19" s="60" t="str">
        <f>'TC007-Setup Data'!B2</f>
        <v>PNABU-L3-Z8-019</v>
      </c>
      <c r="G19" s="60" t="str">
        <f>'TC007-Contract Parts Info'!B7</f>
        <v>Z8pna-45050040130</v>
      </c>
      <c r="H19" s="56">
        <v>4</v>
      </c>
    </row>
    <row r="20" spans="1:8">
      <c r="A20" s="57" t="str">
        <f>'TC027-materialFieldLvl2'!A2</f>
        <v>Z882151-BZD90</v>
      </c>
      <c r="B20" s="55" t="s">
        <v>327</v>
      </c>
      <c r="C20" s="55" t="s">
        <v>4</v>
      </c>
      <c r="D20" s="60" t="str">
        <f>'TC007-Contract Parts Info'!D8</f>
        <v>Z8pnaNSL2BLACK</v>
      </c>
      <c r="E20" s="61" t="s">
        <v>99</v>
      </c>
      <c r="F20" s="60" t="str">
        <f>'TC007-Setup Data'!B2</f>
        <v>PNABU-L3-Z8-019</v>
      </c>
      <c r="G20" s="60" t="str">
        <f>'TC007-Contract Parts Info'!B8</f>
        <v>Z8pna-NSL-2BLACK</v>
      </c>
      <c r="H20" s="56">
        <v>2</v>
      </c>
    </row>
    <row r="21" spans="1:8">
      <c r="A21" s="57" t="str">
        <f>'TC027-materialFieldLvl2'!A3</f>
        <v>Z882151-BZE00</v>
      </c>
      <c r="B21" s="55" t="s">
        <v>327</v>
      </c>
      <c r="C21" s="55" t="s">
        <v>4</v>
      </c>
      <c r="D21" s="60" t="str">
        <f>'TC007-Contract Parts Info'!D8</f>
        <v>Z8pnaNSL2BLACK</v>
      </c>
      <c r="E21" s="61" t="s">
        <v>99</v>
      </c>
      <c r="F21" s="60" t="str">
        <f>'TC007-Setup Data'!B2</f>
        <v>PNABU-L3-Z8-019</v>
      </c>
      <c r="G21" s="60" t="str">
        <f>'TC007-Contract Parts Info'!B8</f>
        <v>Z8pna-NSL-2BLACK</v>
      </c>
      <c r="H21" s="56">
        <v>5</v>
      </c>
    </row>
    <row r="22" spans="1:8">
      <c r="A22" s="57" t="str">
        <f>'TC027-materialFieldLvl2'!A4</f>
        <v>Z882151-BZK50</v>
      </c>
      <c r="B22" s="55" t="s">
        <v>328</v>
      </c>
      <c r="C22" s="55" t="s">
        <v>4</v>
      </c>
      <c r="D22" s="60" t="str">
        <f>'TC007-Contract Parts Info'!D8</f>
        <v>Z8pnaNSL2BLACK</v>
      </c>
      <c r="E22" s="61" t="s">
        <v>99</v>
      </c>
      <c r="F22" s="60" t="str">
        <f>'TC007-Setup Data'!B2</f>
        <v>PNABU-L3-Z8-019</v>
      </c>
      <c r="G22" s="60" t="str">
        <f>'TC007-Contract Parts Info'!B8</f>
        <v>Z8pna-NSL-2BLACK</v>
      </c>
      <c r="H22" s="56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D1DB-BAA3-4D35-B042-83F12CDD5A48}">
  <dimension ref="A1:G4"/>
  <sheetViews>
    <sheetView topLeftCell="A4" workbookViewId="0">
      <selection activeCell="L25" sqref="L25"/>
    </sheetView>
  </sheetViews>
  <sheetFormatPr defaultRowHeight="14.4"/>
  <cols>
    <col min="1" max="1" width="24" customWidth="1" collapsed="1"/>
    <col min="2" max="2" width="13.6640625" customWidth="1" collapsed="1"/>
    <col min="3" max="3" width="13.21875" customWidth="1" collapsed="1"/>
  </cols>
  <sheetData>
    <row r="1" spans="1:7">
      <c r="A1" s="62" t="s">
        <v>336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</row>
    <row r="2" spans="1:7">
      <c r="A2" t="str">
        <f>'TC027-materialFieldLvl2'!A2</f>
        <v>Z882151-BZD90</v>
      </c>
      <c r="B2" s="63">
        <v>50</v>
      </c>
      <c r="C2" s="63">
        <v>50</v>
      </c>
      <c r="D2" s="63">
        <v>50</v>
      </c>
      <c r="E2" s="63">
        <v>50</v>
      </c>
      <c r="F2" s="63">
        <v>50</v>
      </c>
      <c r="G2" s="63">
        <v>50</v>
      </c>
    </row>
    <row r="3" spans="1:7">
      <c r="A3" t="str">
        <f>'TC027-materialFieldLvl2'!A3</f>
        <v>Z882151-BZE00</v>
      </c>
      <c r="B3" s="63">
        <v>3109.0909999999999</v>
      </c>
      <c r="C3" s="63">
        <v>3572.2730000000001</v>
      </c>
      <c r="D3" s="63">
        <v>3060.9090000000001</v>
      </c>
      <c r="E3" s="63">
        <v>4358.1819999999998</v>
      </c>
      <c r="F3" s="63">
        <v>3973.636</v>
      </c>
      <c r="G3" s="63">
        <v>3202.7269999999999</v>
      </c>
    </row>
    <row r="4" spans="1:7">
      <c r="A4" t="str">
        <f>'TC027-materialFieldLvl2'!A4</f>
        <v>Z882151-BZK50</v>
      </c>
      <c r="B4" s="63">
        <v>1000</v>
      </c>
      <c r="C4" s="63">
        <v>1000</v>
      </c>
      <c r="D4" s="63">
        <v>1000</v>
      </c>
      <c r="E4" s="63">
        <v>1000</v>
      </c>
      <c r="F4" s="63">
        <v>1000</v>
      </c>
      <c r="G4" s="63">
        <v>1000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89BA-EEBB-4C01-AF1A-C7DF7EFA0D1A}">
  <dimension ref="A1:B2"/>
  <sheetViews>
    <sheetView workbookViewId="0"/>
  </sheetViews>
  <sheetFormatPr defaultRowHeight="14.4"/>
  <cols>
    <col min="1" max="1" width="30.77734375" customWidth="1" collapsed="1"/>
    <col min="2" max="2" width="20.77734375" customWidth="1" collapsed="1"/>
  </cols>
  <sheetData>
    <row r="1" spans="1:2">
      <c r="A1" s="209" t="s">
        <v>349</v>
      </c>
      <c r="B1" t="s">
        <v>350</v>
      </c>
    </row>
    <row r="2" spans="1:2">
      <c r="A2" t="s">
        <v>806</v>
      </c>
      <c r="B2" t="str">
        <f>"PR-"&amp;AutoIncrement!B2&amp;"-"&amp;AutoIncrement!A2</f>
        <v>PR-Z8-19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B57F-B1C3-4E3D-B808-F99953D61446}">
  <dimension ref="A1:G8"/>
  <sheetViews>
    <sheetView workbookViewId="0">
      <selection activeCell="A8" sqref="A8"/>
    </sheetView>
  </sheetViews>
  <sheetFormatPr defaultRowHeight="14.4"/>
  <cols>
    <col min="1" max="1" width="33.33203125" customWidth="1" collapsed="1"/>
    <col min="2" max="2" width="19.33203125" customWidth="1" collapsed="1"/>
    <col min="3" max="3" width="21.5546875" customWidth="1" collapsed="1"/>
    <col min="4" max="4" width="20.109375" customWidth="1" collapsed="1"/>
    <col min="5" max="5" width="18" customWidth="1" collapsed="1"/>
    <col min="6" max="6" width="18.21875" customWidth="1" collapsed="1"/>
    <col min="7" max="7" width="19.44140625" customWidth="1" collapsed="1"/>
  </cols>
  <sheetData>
    <row r="1" spans="1:7">
      <c r="A1" s="64" t="s">
        <v>339</v>
      </c>
      <c r="B1" s="64" t="s">
        <v>351</v>
      </c>
      <c r="C1" s="64" t="s">
        <v>352</v>
      </c>
      <c r="D1" s="64" t="s">
        <v>353</v>
      </c>
      <c r="E1" s="64" t="s">
        <v>354</v>
      </c>
      <c r="F1" s="64" t="s">
        <v>355</v>
      </c>
      <c r="G1" s="64" t="s">
        <v>356</v>
      </c>
    </row>
    <row r="2" spans="1:7">
      <c r="A2" s="65" t="str">
        <f>'TC007-Contract Parts Info'!D2</f>
        <v>Z8ATEST202306050000000000001</v>
      </c>
      <c r="B2" s="66">
        <v>29154.55</v>
      </c>
      <c r="C2" s="66">
        <v>31933.64</v>
      </c>
      <c r="D2" s="66">
        <v>28865.45</v>
      </c>
      <c r="E2" s="66">
        <v>36649.089999999997</v>
      </c>
      <c r="F2" s="66">
        <v>34341.82</v>
      </c>
      <c r="G2" s="66">
        <v>29716.36</v>
      </c>
    </row>
    <row r="3" spans="1:7">
      <c r="A3" s="65" t="str">
        <f>'TC007-Contract Parts Info'!D3</f>
        <v>Z8ATEST202306050000000000002</v>
      </c>
      <c r="B3" s="66">
        <v>38654.550000000003</v>
      </c>
      <c r="C3" s="66">
        <v>41433.64</v>
      </c>
      <c r="D3" s="66">
        <v>38365.449999999997</v>
      </c>
      <c r="E3" s="66">
        <v>46149.09</v>
      </c>
      <c r="F3" s="66">
        <v>43841.82</v>
      </c>
      <c r="G3" s="66">
        <v>39216.36</v>
      </c>
    </row>
    <row r="4" spans="1:7">
      <c r="A4" s="65" t="str">
        <f>'TC007-Contract Parts Info'!D4</f>
        <v>Z8pna1219AS1</v>
      </c>
      <c r="B4" s="67">
        <v>4109</v>
      </c>
      <c r="C4" s="67">
        <v>4572</v>
      </c>
      <c r="D4" s="67">
        <v>4061</v>
      </c>
      <c r="E4" s="67">
        <v>5358</v>
      </c>
      <c r="F4" s="67">
        <v>4974</v>
      </c>
      <c r="G4" s="67">
        <v>4203</v>
      </c>
    </row>
    <row r="5" spans="1:7">
      <c r="A5" s="65" t="str">
        <f>'TC007-Contract Parts Info'!D5</f>
        <v>Z8pna18001404835</v>
      </c>
      <c r="B5" s="66">
        <v>8250.58</v>
      </c>
      <c r="C5" s="66">
        <v>9176.9500000000007</v>
      </c>
      <c r="D5" s="66">
        <v>8154.22</v>
      </c>
      <c r="E5" s="66">
        <v>10748.76</v>
      </c>
      <c r="F5" s="66">
        <v>9979.67</v>
      </c>
      <c r="G5" s="66">
        <v>8437.85</v>
      </c>
    </row>
    <row r="6" spans="1:7">
      <c r="A6" s="65" t="str">
        <f>'TC007-Contract Parts Info'!D6</f>
        <v>Z8pna18007703930</v>
      </c>
      <c r="B6" s="66">
        <v>12403.92</v>
      </c>
      <c r="C6" s="66">
        <v>13793.47</v>
      </c>
      <c r="D6" s="66">
        <v>12259.38</v>
      </c>
      <c r="E6" s="67">
        <v>16151.2</v>
      </c>
      <c r="F6" s="66">
        <v>14997.56</v>
      </c>
      <c r="G6" s="66">
        <v>12684.83</v>
      </c>
    </row>
    <row r="7" spans="1:7">
      <c r="A7" s="65" t="str">
        <f>'TC007-Contract Parts Info'!D7</f>
        <v>Z8pna45050040130</v>
      </c>
      <c r="B7" s="66">
        <v>16486.36</v>
      </c>
      <c r="C7" s="66">
        <v>18339.09</v>
      </c>
      <c r="D7" s="66">
        <v>16293.64</v>
      </c>
      <c r="E7" s="66">
        <v>21482.73</v>
      </c>
      <c r="F7" s="66">
        <v>19944.54</v>
      </c>
      <c r="G7" s="66">
        <v>16860.91</v>
      </c>
    </row>
    <row r="8" spans="1:7">
      <c r="A8" s="65" t="str">
        <f>'TC007-Contract Parts Info'!D8</f>
        <v>Z8pnaNSL2BLACK</v>
      </c>
      <c r="B8" s="67">
        <v>21645</v>
      </c>
      <c r="C8" s="67">
        <v>23961</v>
      </c>
      <c r="D8" s="67">
        <v>21405</v>
      </c>
      <c r="E8" s="67">
        <v>27891</v>
      </c>
      <c r="F8" s="67">
        <v>25968</v>
      </c>
      <c r="G8" s="67">
        <v>22114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9743-57DE-4511-8B07-EC31761913BE}">
  <dimension ref="A1:A11"/>
  <sheetViews>
    <sheetView workbookViewId="0">
      <selection activeCell="F26" sqref="F26:G26"/>
    </sheetView>
  </sheetViews>
  <sheetFormatPr defaultRowHeight="14.4"/>
  <cols>
    <col min="1" max="1" width="31.109375" customWidth="1" collapsed="1"/>
  </cols>
  <sheetData>
    <row r="1" spans="1:1">
      <c r="A1" t="s">
        <v>32</v>
      </c>
    </row>
    <row r="2" spans="1:1">
      <c r="A2" s="10" t="str">
        <f>'TC007-Contract Parts Info'!D8</f>
        <v>Z8pnaNSL2BLACK</v>
      </c>
    </row>
    <row r="3" spans="1:1">
      <c r="A3" s="10" t="str">
        <f>'TC007-Contract Parts Info'!D7</f>
        <v>Z8pna45050040130</v>
      </c>
    </row>
    <row r="4" spans="1:1">
      <c r="A4" s="10" t="str">
        <f>'TC007-Contract Parts Info'!D6</f>
        <v>Z8pna18007703930</v>
      </c>
    </row>
    <row r="5" spans="1:1">
      <c r="A5" s="10" t="str">
        <f>'TC007-Contract Parts Info'!D5</f>
        <v>Z8pna18001404835</v>
      </c>
    </row>
    <row r="6" spans="1:1">
      <c r="A6" s="10" t="str">
        <f>'TC007-Contract Parts Info'!D4</f>
        <v>Z8pna1219AS1</v>
      </c>
    </row>
    <row r="7" spans="1:1">
      <c r="A7" s="10" t="str">
        <f>'TC007-Contract Parts Info'!D3</f>
        <v>Z8ATEST202306050000000000002</v>
      </c>
    </row>
    <row r="8" spans="1:1">
      <c r="A8" s="10" t="str">
        <f>'TC007-Contract Parts Info'!D2</f>
        <v>Z8ATEST202306050000000000001</v>
      </c>
    </row>
    <row r="9" spans="1:1">
      <c r="A9" t="str">
        <f>'TC021-Contrct Part Info L2 (BU)'!C4</f>
        <v>Z882151BZK50</v>
      </c>
    </row>
    <row r="10" spans="1:1">
      <c r="A10" t="str">
        <f>'TC021-Contrct Part Info L2 (BU)'!C3</f>
        <v>Z882151BZE00</v>
      </c>
    </row>
    <row r="11" spans="1:1">
      <c r="A11" t="str">
        <f>'TC021-Contrct Part Info L2 (BU)'!C2</f>
        <v>Z882151BZD90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3C4-B131-4CDC-A848-85E89D9FD689}">
  <dimension ref="A1:T8"/>
  <sheetViews>
    <sheetView topLeftCell="E1" workbookViewId="0">
      <selection activeCell="I2" sqref="I2:AF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Z8pnaNSL2BLACK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Z8pna45050040130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Z8pna18007703930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Z8pna18001404835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Z8pna1219AS1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Z8ATEST202306050000000000002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Z8ATEST202306050000000000001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2AD9-0150-400A-B54E-7A276C83B418}">
  <dimension ref="A1:I4"/>
  <sheetViews>
    <sheetView workbookViewId="0">
      <selection activeCell="I6" sqref="I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Z882151BZK50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  <c r="I2" s="240">
        <v>0</v>
      </c>
    </row>
    <row r="3" spans="1:9">
      <c r="A3" t="str">
        <f>'TC021-Contrct Part Info L2 (BU)'!C3</f>
        <v>Z882151BZE00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  <c r="I3" s="240">
        <v>0</v>
      </c>
    </row>
    <row r="4" spans="1:9">
      <c r="A4" t="str">
        <f>'TC021-Contrct Part Info L2 (BU)'!C2</f>
        <v>Z882151BZD90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  <c r="I4" s="2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77BD-3352-423E-8364-D268C843615F}">
  <dimension ref="A1:Q8"/>
  <sheetViews>
    <sheetView topLeftCell="E1" zoomScale="90" zoomScaleNormal="90" workbookViewId="0">
      <selection activeCell="C5" sqref="C5:C8"/>
    </sheetView>
  </sheetViews>
  <sheetFormatPr defaultColWidth="8.88671875" defaultRowHeight="13.8"/>
  <cols>
    <col min="1" max="1" width="5.77734375" style="14" customWidth="1" collapsed="1"/>
    <col min="2" max="2" width="38.21875" style="18" customWidth="1" collapsed="1"/>
    <col min="3" max="3" width="36.33203125" style="18" customWidth="1" collapsed="1"/>
    <col min="4" max="4" width="30.77734375" style="18" customWidth="1" collapsed="1"/>
    <col min="5" max="5" width="62.88671875" style="18" customWidth="1" collapsed="1"/>
    <col min="6" max="9" width="15.77734375" style="18" customWidth="1" collapsed="1"/>
    <col min="10" max="10" width="30.77734375" style="18" customWidth="1" collapsed="1"/>
    <col min="11" max="17" width="15.77734375" style="18" customWidth="1" collapsed="1"/>
    <col min="18" max="16384" width="8.88671875" style="18" collapsed="1"/>
  </cols>
  <sheetData>
    <row r="1" spans="1:17" s="8" customFormat="1">
      <c r="A1" s="14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108</v>
      </c>
      <c r="Q1" s="8" t="s">
        <v>109</v>
      </c>
    </row>
    <row r="2" spans="1:17" s="8" customFormat="1">
      <c r="A2" s="14">
        <v>1</v>
      </c>
      <c r="B2" s="10" t="str">
        <f>AutoIncrement!B2&amp;"CUS-PNATEST,20230605000000000000-1"</f>
        <v>Z8CUS-PNATEST,20230605000000000000-1</v>
      </c>
      <c r="C2" s="10"/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10" t="str">
        <f>AutoIncrement!B2&amp;"CUS-PNATEST,20230605000000000000-2"</f>
        <v>Z8CUS-PNATEST,20230605000000000000-2</v>
      </c>
      <c r="K2" s="3" t="s">
        <v>116</v>
      </c>
      <c r="L2" s="16">
        <v>20</v>
      </c>
      <c r="M2" s="16">
        <v>10</v>
      </c>
      <c r="N2" s="17">
        <v>1.1100000000000001</v>
      </c>
      <c r="O2" s="17">
        <v>1.1100000000000001</v>
      </c>
      <c r="P2" s="17">
        <v>1.1100000000000001</v>
      </c>
    </row>
    <row r="3" spans="1:17" s="8" customFormat="1">
      <c r="A3" s="14">
        <v>2</v>
      </c>
      <c r="B3" s="10" t="str">
        <f>AutoIncrement!B2&amp;"CUS-PNATEST,20230605000000000000-2"</f>
        <v>Z8CUS-PNATEST,20230605000000000000-2</v>
      </c>
      <c r="C3" s="10"/>
      <c r="D3" s="3" t="s">
        <v>117</v>
      </c>
      <c r="E3" s="3" t="s">
        <v>118</v>
      </c>
      <c r="F3" s="3" t="s">
        <v>119</v>
      </c>
      <c r="G3" s="3" t="s">
        <v>119</v>
      </c>
      <c r="H3" s="3" t="s">
        <v>114</v>
      </c>
      <c r="I3" s="3" t="s">
        <v>115</v>
      </c>
      <c r="J3" s="10" t="str">
        <f>AutoIncrement!B2&amp;"CUS-PNATEST,20230605000000000000-1"</f>
        <v>Z8CUS-PNATEST,20230605000000000000-1</v>
      </c>
      <c r="K3" s="3" t="s">
        <v>116</v>
      </c>
      <c r="L3" s="16">
        <v>20</v>
      </c>
      <c r="M3" s="16">
        <v>10</v>
      </c>
      <c r="N3" s="17">
        <v>1.1100000000000001</v>
      </c>
      <c r="O3" s="17">
        <v>1.1100000000000001</v>
      </c>
      <c r="P3" s="17">
        <v>1.1100000000000001</v>
      </c>
    </row>
    <row r="4" spans="1:17" s="8" customFormat="1">
      <c r="A4" s="14">
        <v>3</v>
      </c>
      <c r="B4" s="10" t="str">
        <f>AutoIncrement!B2&amp;"pna-1219AS-1"</f>
        <v>Z8pna-1219AS-1</v>
      </c>
      <c r="C4" s="10" t="str">
        <f>'TC002'!D2</f>
        <v>Z8pna1219AS1</v>
      </c>
      <c r="D4" s="3" t="s">
        <v>43</v>
      </c>
      <c r="E4" s="3" t="s">
        <v>22</v>
      </c>
      <c r="F4" s="3" t="s">
        <v>120</v>
      </c>
      <c r="G4" s="3" t="s">
        <v>46</v>
      </c>
      <c r="H4" s="3" t="s">
        <v>20</v>
      </c>
      <c r="I4" s="3" t="s">
        <v>47</v>
      </c>
      <c r="J4" s="3"/>
      <c r="K4" s="3"/>
      <c r="L4" s="16">
        <v>22000</v>
      </c>
      <c r="M4" s="16">
        <v>22000</v>
      </c>
      <c r="N4" s="17">
        <v>1</v>
      </c>
      <c r="O4" s="5">
        <v>1</v>
      </c>
      <c r="P4" s="5">
        <v>1</v>
      </c>
    </row>
    <row r="5" spans="1:17" s="8" customFormat="1">
      <c r="A5" s="14">
        <v>4</v>
      </c>
      <c r="B5" s="10" t="str">
        <f>AutoIncrement!B2&amp;"pna-18001404835"</f>
        <v>Z8pna-18001404835</v>
      </c>
      <c r="C5" s="10" t="str">
        <f>'TC002'!D3</f>
        <v>Z8pna18001404835</v>
      </c>
      <c r="D5" s="3" t="s">
        <v>48</v>
      </c>
      <c r="E5" s="3" t="s">
        <v>121</v>
      </c>
      <c r="F5" s="3" t="s">
        <v>50</v>
      </c>
      <c r="G5" s="3" t="s">
        <v>51</v>
      </c>
      <c r="H5" s="3" t="s">
        <v>13</v>
      </c>
      <c r="I5" s="3" t="s">
        <v>47</v>
      </c>
      <c r="J5" s="3"/>
      <c r="K5" s="3"/>
      <c r="L5" s="16">
        <v>100</v>
      </c>
      <c r="M5" s="16">
        <v>100</v>
      </c>
      <c r="N5" s="17">
        <v>1</v>
      </c>
      <c r="O5" s="5">
        <v>1</v>
      </c>
      <c r="P5" s="5">
        <v>1</v>
      </c>
    </row>
    <row r="6" spans="1:17" s="8" customFormat="1">
      <c r="A6" s="14">
        <v>5</v>
      </c>
      <c r="B6" s="10" t="str">
        <f>AutoIncrement!B2&amp;"pna-18007703930"</f>
        <v>Z8pna-18007703930</v>
      </c>
      <c r="C6" s="10" t="str">
        <f>'TC002'!D4</f>
        <v>Z8pna18007703930</v>
      </c>
      <c r="D6" s="3" t="s">
        <v>52</v>
      </c>
      <c r="E6" s="3" t="s">
        <v>122</v>
      </c>
      <c r="F6" s="3" t="s">
        <v>54</v>
      </c>
      <c r="G6" s="3" t="s">
        <v>55</v>
      </c>
      <c r="H6" s="3" t="s">
        <v>13</v>
      </c>
      <c r="I6" s="3" t="s">
        <v>47</v>
      </c>
      <c r="J6" s="3"/>
      <c r="K6" s="3"/>
      <c r="L6" s="16">
        <v>1500</v>
      </c>
      <c r="M6" s="16">
        <v>1500</v>
      </c>
      <c r="N6" s="17">
        <v>1</v>
      </c>
      <c r="O6" s="5">
        <v>1</v>
      </c>
      <c r="P6" s="5">
        <v>1</v>
      </c>
    </row>
    <row r="7" spans="1:17" s="8" customFormat="1">
      <c r="A7" s="14">
        <v>6</v>
      </c>
      <c r="B7" s="10" t="str">
        <f>AutoIncrement!B2&amp;"pna-45050040130"</f>
        <v>Z8pna-45050040130</v>
      </c>
      <c r="C7" s="10" t="str">
        <f>'TC002'!D5</f>
        <v>Z8pna45050040130</v>
      </c>
      <c r="D7" s="3" t="s">
        <v>56</v>
      </c>
      <c r="E7" s="3" t="s">
        <v>123</v>
      </c>
      <c r="F7" s="3" t="s">
        <v>58</v>
      </c>
      <c r="G7" s="3" t="s">
        <v>59</v>
      </c>
      <c r="H7" s="3" t="s">
        <v>13</v>
      </c>
      <c r="I7" s="3" t="s">
        <v>47</v>
      </c>
      <c r="J7" s="3"/>
      <c r="K7" s="3"/>
      <c r="L7" s="16">
        <v>6000</v>
      </c>
      <c r="M7" s="16">
        <v>6000</v>
      </c>
      <c r="N7" s="17">
        <v>1</v>
      </c>
      <c r="O7" s="5">
        <v>1</v>
      </c>
      <c r="P7" s="5">
        <v>1</v>
      </c>
    </row>
    <row r="8" spans="1:17" s="8" customFormat="1">
      <c r="A8" s="14">
        <v>7</v>
      </c>
      <c r="B8" s="10" t="str">
        <f>AutoIncrement!B2&amp;"pna-NSL-2BLACK"</f>
        <v>Z8pna-NSL-2BLACK</v>
      </c>
      <c r="C8" s="10" t="str">
        <f>'TC002'!D6</f>
        <v>Z8pnaNSL2BLACK</v>
      </c>
      <c r="D8" s="3" t="s">
        <v>60</v>
      </c>
      <c r="E8" s="3" t="s">
        <v>124</v>
      </c>
      <c r="F8" s="3" t="s">
        <v>62</v>
      </c>
      <c r="G8" s="3" t="s">
        <v>63</v>
      </c>
      <c r="H8" s="3" t="s">
        <v>6</v>
      </c>
      <c r="I8" s="3" t="s">
        <v>47</v>
      </c>
      <c r="J8" s="3"/>
      <c r="K8" s="3"/>
      <c r="L8" s="16">
        <v>20</v>
      </c>
      <c r="M8" s="16">
        <v>20</v>
      </c>
      <c r="N8" s="17">
        <v>1</v>
      </c>
      <c r="O8" s="5">
        <v>1</v>
      </c>
      <c r="P8" s="5">
        <v>1</v>
      </c>
    </row>
  </sheetData>
  <dataValidations count="3">
    <dataValidation type="list" allowBlank="1" showErrorMessage="1" sqref="I2:I8" xr:uid="{1B889253-39AA-43A3-80C2-856F79E18A33}">
      <formula1>PAIRED_FLAG</formula1>
    </dataValidation>
    <dataValidation type="list" allowBlank="1" showErrorMessage="1" sqref="K2:K8" xr:uid="{8D98662B-F30E-4367-8C32-C64F4EF709FB}">
      <formula1>PAIRED_ORDER_FLAG</formula1>
    </dataValidation>
    <dataValidation type="list" allowBlank="1" showErrorMessage="1" sqref="H2:H8" xr:uid="{5BF82AF3-4389-413B-AC8B-326A2048ECE1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2953-B0CB-446A-BF2F-5B9F33A289B8}">
  <dimension ref="A1:L2"/>
  <sheetViews>
    <sheetView workbookViewId="0">
      <selection activeCell="D2" sqref="D2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 s="18" customFormat="1">
      <c r="A1" s="18" t="s">
        <v>34</v>
      </c>
      <c r="B1" s="68" t="s">
        <v>357</v>
      </c>
      <c r="C1" s="69" t="s">
        <v>358</v>
      </c>
      <c r="D1" s="68" t="s">
        <v>359</v>
      </c>
      <c r="E1" s="68" t="s">
        <v>360</v>
      </c>
      <c r="F1" s="68" t="s">
        <v>361</v>
      </c>
      <c r="G1" s="68" t="s">
        <v>153</v>
      </c>
      <c r="H1" s="68" t="s">
        <v>362</v>
      </c>
      <c r="I1" s="68" t="s">
        <v>152</v>
      </c>
      <c r="J1" s="68" t="s">
        <v>363</v>
      </c>
      <c r="K1" s="68" t="s">
        <v>364</v>
      </c>
      <c r="L1" s="68" t="s">
        <v>23</v>
      </c>
    </row>
    <row r="2" spans="1:12" s="18" customFormat="1">
      <c r="A2" s="18">
        <v>1</v>
      </c>
      <c r="B2" s="18" t="s">
        <v>245</v>
      </c>
      <c r="D2" s="18" t="str">
        <f>AutoIncrement!B2&amp;"-"&amp;AutoIncrement!A2&amp;"-OCGN"</f>
        <v>Z8-19-OCGN</v>
      </c>
      <c r="E2" s="18" t="s">
        <v>99</v>
      </c>
      <c r="G2" s="18">
        <v>0</v>
      </c>
      <c r="H2" s="43" t="s">
        <v>365</v>
      </c>
      <c r="I2" s="70" t="s">
        <v>166</v>
      </c>
      <c r="L2" s="70" t="s">
        <v>4</v>
      </c>
    </row>
  </sheetData>
  <dataValidations count="3">
    <dataValidation type="list" allowBlank="1" sqref="L2" xr:uid="{5897A404-8596-4007-9A0B-0CA759B183FE}">
      <formula1>"Active,Inactive"</formula1>
    </dataValidation>
    <dataValidation type="list" allowBlank="1" sqref="I2" xr:uid="{FF2354A7-0311-492D-9FE3-13818B37ED12}">
      <formula1>"Weekly,Monthly"</formula1>
    </dataValidation>
    <dataValidation type="list" allowBlank="1" sqref="H2" xr:uid="{78CE28F5-DCB2-4B83-BE11-F98944538054}">
      <formula1>"By Usage of Next Range,By Max Usage of all Next Ranages"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89F-383D-4BE5-9269-68B834F2C92A}">
  <sheetPr>
    <tabColor rgb="FFFFFF00"/>
  </sheetPr>
  <dimension ref="A1:S8"/>
  <sheetViews>
    <sheetView topLeftCell="G1" zoomScale="90" zoomScaleNormal="90" workbookViewId="0">
      <selection activeCell="O8" sqref="O2:O8"/>
    </sheetView>
  </sheetViews>
  <sheetFormatPr defaultColWidth="8.88671875" defaultRowHeight="13.8"/>
  <cols>
    <col min="1" max="1" width="5.77734375" style="1" customWidth="1" collapsed="1"/>
    <col min="2" max="2" width="30.77734375" style="1" customWidth="1" collapsed="1"/>
    <col min="3" max="5" width="15.77734375" style="1" customWidth="1" collapsed="1"/>
    <col min="6" max="6" width="15.77734375" style="76" customWidth="1" collapsed="1"/>
    <col min="7" max="7" width="15.77734375" style="1" customWidth="1" collapsed="1"/>
    <col min="8" max="8" width="30.77734375" style="1" customWidth="1" collapsed="1"/>
    <col min="9" max="12" width="15.77734375" style="1" customWidth="1" collapsed="1"/>
    <col min="13" max="13" width="30.77734375" style="1" customWidth="1" collapsed="1"/>
    <col min="14" max="17" width="15.77734375" style="1" customWidth="1" collapsed="1"/>
    <col min="18" max="19" width="15.77734375" style="2" customWidth="1" collapsed="1"/>
    <col min="20" max="16384" width="8.88671875" style="1" collapsed="1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19" t="s">
        <v>374</v>
      </c>
      <c r="S1" s="219" t="s">
        <v>375</v>
      </c>
    </row>
    <row r="2" spans="1:19">
      <c r="A2" s="15">
        <v>1</v>
      </c>
      <c r="B2" s="1" t="str">
        <f>'TC024'!$B10</f>
        <v>Z8ATEST202306050000000000001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Z8-19-OCGN</v>
      </c>
      <c r="N2" s="30" t="s">
        <v>377</v>
      </c>
      <c r="O2" s="30" t="s">
        <v>378</v>
      </c>
      <c r="P2" s="30" t="s">
        <v>379</v>
      </c>
      <c r="Q2" s="30" t="s">
        <v>380</v>
      </c>
      <c r="R2" s="1">
        <v>0.25</v>
      </c>
      <c r="S2" s="1">
        <v>1</v>
      </c>
    </row>
    <row r="3" spans="1:19">
      <c r="A3" s="15">
        <v>2</v>
      </c>
      <c r="B3" s="1" t="str">
        <f>'TC024'!$B11</f>
        <v>Z8ATEST202306050000000000002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Z8-19-OCGN</v>
      </c>
      <c r="N3" s="30" t="s">
        <v>377</v>
      </c>
      <c r="O3" s="30" t="s">
        <v>378</v>
      </c>
      <c r="P3" s="30" t="s">
        <v>379</v>
      </c>
      <c r="Q3" s="30" t="s">
        <v>380</v>
      </c>
      <c r="R3" s="1">
        <v>0.25</v>
      </c>
      <c r="S3" s="1">
        <v>1</v>
      </c>
    </row>
    <row r="4" spans="1:19">
      <c r="A4" s="15">
        <v>3</v>
      </c>
      <c r="B4" s="1" t="str">
        <f>'TC024'!$B5</f>
        <v>Z8pna1219AS1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Z8-19-OCGN</v>
      </c>
      <c r="N4" s="30" t="s">
        <v>381</v>
      </c>
      <c r="O4" s="30" t="s">
        <v>382</v>
      </c>
      <c r="P4" s="30" t="s">
        <v>383</v>
      </c>
      <c r="Q4" s="30" t="s">
        <v>380</v>
      </c>
      <c r="R4" s="1">
        <v>25</v>
      </c>
      <c r="S4" s="1">
        <v>100</v>
      </c>
    </row>
    <row r="5" spans="1:19">
      <c r="A5" s="15">
        <v>4</v>
      </c>
      <c r="B5" s="1" t="str">
        <f>'TC024'!B6</f>
        <v>Z8pna18001404835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Z8-19-OCGN</v>
      </c>
      <c r="N5" s="30" t="s">
        <v>384</v>
      </c>
      <c r="O5" s="30" t="s">
        <v>382</v>
      </c>
      <c r="P5" s="30" t="s">
        <v>383</v>
      </c>
      <c r="Q5" s="30" t="s">
        <v>380</v>
      </c>
      <c r="R5" s="1">
        <v>25</v>
      </c>
      <c r="S5" s="1">
        <v>100</v>
      </c>
    </row>
    <row r="6" spans="1:19">
      <c r="A6" s="15">
        <v>5</v>
      </c>
      <c r="B6" s="1" t="str">
        <f>'TC024'!$B7</f>
        <v>Z8pna18007703930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Z8-19-OCGN</v>
      </c>
      <c r="N6" s="30" t="s">
        <v>377</v>
      </c>
      <c r="O6" s="30" t="s">
        <v>378</v>
      </c>
      <c r="P6" s="30" t="s">
        <v>379</v>
      </c>
      <c r="Q6" s="30" t="s">
        <v>380</v>
      </c>
      <c r="R6" s="1">
        <v>0.25</v>
      </c>
      <c r="S6" s="1">
        <v>1</v>
      </c>
    </row>
    <row r="7" spans="1:19">
      <c r="A7" s="15">
        <v>6</v>
      </c>
      <c r="B7" s="1" t="str">
        <f>'TC024'!$B8</f>
        <v>Z8pna45050040130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Z8-19-OCGN</v>
      </c>
      <c r="N7" s="30" t="s">
        <v>377</v>
      </c>
      <c r="O7" s="30" t="s">
        <v>378</v>
      </c>
      <c r="P7" s="30" t="s">
        <v>379</v>
      </c>
      <c r="Q7" s="30" t="s">
        <v>380</v>
      </c>
      <c r="R7" s="1">
        <v>0.25</v>
      </c>
      <c r="S7" s="1">
        <v>1</v>
      </c>
    </row>
    <row r="8" spans="1:19">
      <c r="A8" s="15">
        <v>7</v>
      </c>
      <c r="B8" s="1" t="str">
        <f>'TC024'!$B9</f>
        <v>Z8pnaNSL2BLACK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Z8-19-OCGN</v>
      </c>
      <c r="N8" s="30" t="s">
        <v>377</v>
      </c>
      <c r="O8" s="30" t="s">
        <v>378</v>
      </c>
      <c r="P8" s="30" t="s">
        <v>379</v>
      </c>
      <c r="Q8" s="30" t="s">
        <v>380</v>
      </c>
      <c r="R8" s="1">
        <v>0.25</v>
      </c>
      <c r="S8" s="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AB3B-9FEC-40E5-8737-D94DA7C3CE44}">
  <dimension ref="A1:I2"/>
  <sheetViews>
    <sheetView zoomScale="90" zoomScaleNormal="90" workbookViewId="0">
      <selection activeCell="I1" sqref="I1:I1048576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3" width="25.77734375" style="77" customWidth="1" collapsed="1"/>
    <col min="4" max="4" width="25.77734375" style="189" customWidth="1" collapsed="1"/>
    <col min="5" max="7" width="25.77734375" style="2" customWidth="1" collapsed="1"/>
    <col min="8" max="9" width="25.77734375" style="1" customWidth="1" collapsed="1"/>
    <col min="10" max="16384" width="8.88671875" style="1" collapsed="1"/>
  </cols>
  <sheetData>
    <row r="1" spans="1:9">
      <c r="A1" s="1" t="s">
        <v>34</v>
      </c>
      <c r="B1" s="1" t="s">
        <v>385</v>
      </c>
      <c r="C1" s="77" t="s">
        <v>386</v>
      </c>
      <c r="D1" s="189" t="s">
        <v>387</v>
      </c>
      <c r="E1" s="2" t="s">
        <v>88</v>
      </c>
      <c r="F1" s="2" t="s">
        <v>89</v>
      </c>
      <c r="G1" s="2" t="s">
        <v>90</v>
      </c>
      <c r="H1" s="1" t="s">
        <v>388</v>
      </c>
      <c r="I1" s="123" t="s">
        <v>389</v>
      </c>
    </row>
    <row r="2" spans="1:9" ht="14.4">
      <c r="A2" s="1">
        <v>1</v>
      </c>
      <c r="B2" s="1" t="str">
        <f>'TC031-Create Order Calc Group'!D2</f>
        <v>Z8-19-OCGN</v>
      </c>
      <c r="C2" s="77">
        <v>45180</v>
      </c>
      <c r="D2" s="189">
        <f ca="1">TODAY()</f>
        <v>45247</v>
      </c>
      <c r="E2" s="1">
        <v>21</v>
      </c>
      <c r="F2" t="s">
        <v>693</v>
      </c>
      <c r="G2" s="1">
        <v>2023</v>
      </c>
      <c r="H2" s="1" t="str">
        <f>'TC027-AutoGen'!A2</f>
        <v>Bom-ver202310261147555708</v>
      </c>
      <c r="I2" t="s">
        <v>807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1296-D3E9-4932-AD08-09581FA9F67D}">
  <dimension ref="A1:F8"/>
  <sheetViews>
    <sheetView workbookViewId="0">
      <selection activeCell="C12" sqref="C12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Z8ATEST202306050000000000001</v>
      </c>
      <c r="B2" s="190">
        <v>140000000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Z8ATEST202306050000000000002</v>
      </c>
      <c r="B3" s="190">
        <v>140000000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Z8pna1219AS1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Z8pna18001404835</v>
      </c>
      <c r="B5" s="190">
        <v>49000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Z8pna18007703930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Z8pna45050040130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Z8pnaNSL2BLACK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honeticPr fontId="25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23CD-6119-4468-9522-5246A43E1E53}">
  <dimension ref="A1:F3"/>
  <sheetViews>
    <sheetView workbookViewId="0">
      <selection activeCell="E3" sqref="E3"/>
    </sheetView>
  </sheetViews>
  <sheetFormatPr defaultRowHeight="14.4"/>
  <cols>
    <col min="1" max="3" width="36.6640625" customWidth="1" collapsed="1"/>
    <col min="4" max="4" width="37.21875" customWidth="1" collapsed="1"/>
    <col min="5" max="5" width="18.6640625" customWidth="1" collapsed="1"/>
    <col min="6" max="6" width="23.6640625" customWidth="1" collapsed="1"/>
  </cols>
  <sheetData>
    <row r="1" spans="1:6">
      <c r="A1" t="s">
        <v>390</v>
      </c>
      <c r="B1" s="78" t="s">
        <v>340</v>
      </c>
      <c r="C1" s="78" t="s">
        <v>391</v>
      </c>
      <c r="D1" s="78" t="s">
        <v>392</v>
      </c>
      <c r="E1" s="79" t="s">
        <v>393</v>
      </c>
      <c r="F1" s="79" t="s">
        <v>394</v>
      </c>
    </row>
    <row r="2" spans="1:6">
      <c r="A2" t="str">
        <f>'TC007-Contract Parts Info'!D4</f>
        <v>Z8pna1219AS1</v>
      </c>
      <c r="B2" s="80" t="s">
        <v>99</v>
      </c>
      <c r="C2" s="81" t="str">
        <f>'TC007-Setup Data'!B2</f>
        <v>PNABU-L3-Z8-019</v>
      </c>
      <c r="D2" t="str">
        <f>'TC007-Contract Parts Info'!B4</f>
        <v>Z8pna-1219AS-1</v>
      </c>
      <c r="E2" s="82" t="str">
        <f ca="1">TEXT(DATE(YEAR(TODAY()), MONTH(TODAY()), DAY(TODAY()-1)), "dd MMM yyyy")</f>
        <v>16 Nov 2023</v>
      </c>
      <c r="F2" s="83">
        <v>-10</v>
      </c>
    </row>
    <row r="3" spans="1:6">
      <c r="A3" t="str">
        <f>'TC007-Contract Parts Info'!D2</f>
        <v>Z8ATEST202306050000000000001</v>
      </c>
      <c r="B3" s="80" t="s">
        <v>99</v>
      </c>
      <c r="C3" s="81" t="str">
        <f>'TC007-Setup Data'!B2</f>
        <v>PNABU-L3-Z8-019</v>
      </c>
      <c r="D3" t="str">
        <f>'TC007-Contract Parts Info'!B2</f>
        <v>Z8CUS-PNATEST,20230605000000000000-1</v>
      </c>
      <c r="E3" s="82" t="str">
        <f ca="1">TEXT(DATE(YEAR(TODAY()), MONTH(TODAY()), DAY(TODAY()-2)), "dd MMM yyyy")</f>
        <v>15 Nov 2023</v>
      </c>
      <c r="F3" s="83">
        <v>-100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C7E8-FA21-4091-82B2-F7BC122A9F41}">
  <dimension ref="A1:C4"/>
  <sheetViews>
    <sheetView workbookViewId="0">
      <selection activeCell="B4" sqref="B4"/>
    </sheetView>
  </sheetViews>
  <sheetFormatPr defaultRowHeight="14.4"/>
  <cols>
    <col min="1" max="2" width="25.77734375" customWidth="1" collapsed="1"/>
    <col min="3" max="3" width="15.77734375" customWidth="1" collapsed="1"/>
  </cols>
  <sheetData>
    <row r="1" spans="1:3">
      <c r="A1" s="84" t="s">
        <v>339</v>
      </c>
      <c r="B1" s="84" t="s">
        <v>395</v>
      </c>
      <c r="C1" s="85" t="s">
        <v>396</v>
      </c>
    </row>
    <row r="2" spans="1:3">
      <c r="A2" s="86" t="str">
        <f>'TC021-Contrct Part Info L2 (BU)'!C2</f>
        <v>Z882151BZD90</v>
      </c>
      <c r="B2" s="87" t="str">
        <f ca="1">TEXT(DATE(YEAR(TODAY()), MONTH(TODAY()), DAY(TODAY())), "dd MMM yyyy")</f>
        <v>17 Nov 2023</v>
      </c>
      <c r="C2" s="88">
        <v>100</v>
      </c>
    </row>
    <row r="3" spans="1:3">
      <c r="A3" s="86" t="str">
        <f>'TC021-Contrct Part Info L2 (BU)'!C3</f>
        <v>Z882151BZE00</v>
      </c>
      <c r="B3" s="87" t="str">
        <f ca="1">TEXT(DATE(YEAR(TODAY()), MONTH(TODAY()), DAY(TODAY())), "dd MMM yyyy")</f>
        <v>17 Nov 2023</v>
      </c>
      <c r="C3" s="88">
        <v>100</v>
      </c>
    </row>
    <row r="4" spans="1:3">
      <c r="A4" s="86" t="str">
        <f>'TC021-Contrct Part Info L2 (BU)'!C4</f>
        <v>Z882151BZK50</v>
      </c>
      <c r="B4" s="87" t="str">
        <f ca="1">TEXT(DATE(YEAR(TODAY()), MONTH(TODAY()), DAY(TODAY())), "dd MMM yyyy")</f>
        <v>17 Nov 2023</v>
      </c>
      <c r="C4" s="88">
        <v>100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7DC3-AD0C-40B3-8FC0-93484F999F3F}">
  <dimension ref="A1:T8"/>
  <sheetViews>
    <sheetView topLeftCell="E1" workbookViewId="0">
      <selection activeCell="I2" sqref="I2:AF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Z8pnaNSL2BLACK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Z8pna45050040130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Z8pna18007703930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Z8pna18001404835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Z8pna1219AS1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Z8ATEST202306050000000000002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Z8ATEST202306050000000000001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199D-29E2-49E4-8696-6B60AD93CF46}">
  <dimension ref="A1:I4"/>
  <sheetViews>
    <sheetView workbookViewId="0">
      <selection activeCell="D27" sqref="D27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Z882151BZK50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  <c r="I2" s="214">
        <v>100</v>
      </c>
    </row>
    <row r="3" spans="1:9">
      <c r="A3" t="str">
        <f>'TC021-Contrct Part Info L2 (BU)'!C3</f>
        <v>Z882151BZE00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  <c r="I3" s="214">
        <v>100</v>
      </c>
    </row>
    <row r="4" spans="1:9">
      <c r="A4" t="str">
        <f>'TC021-Contrct Part Info L2 (BU)'!C2</f>
        <v>Z882151BZD90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  <c r="I4" s="214">
        <v>100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6CBC-91AF-47D6-839F-79578B40EDBD}">
  <dimension ref="A1:F8"/>
  <sheetViews>
    <sheetView workbookViewId="0">
      <selection activeCell="D14" sqref="D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Z8ATEST202306050000000000001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Z8ATEST202306050000000000002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Z8pna1219AS1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Z8pna18001404835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Z8pna18007703930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Z8pna45050040130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Z8pnaNSL2BLACK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8D8B-011B-4DE3-BE98-DE0868BAFE23}">
  <dimension ref="A1:I2"/>
  <sheetViews>
    <sheetView workbookViewId="0">
      <selection activeCell="H2" sqref="H2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89" t="s">
        <v>339</v>
      </c>
      <c r="B1" s="89" t="s">
        <v>340</v>
      </c>
      <c r="C1" s="89" t="s">
        <v>391</v>
      </c>
      <c r="D1" s="90" t="s">
        <v>392</v>
      </c>
      <c r="E1" s="90" t="s">
        <v>397</v>
      </c>
      <c r="F1" s="90" t="s">
        <v>398</v>
      </c>
      <c r="G1" s="90" t="s">
        <v>399</v>
      </c>
      <c r="H1" s="91" t="s">
        <v>400</v>
      </c>
      <c r="I1" s="91" t="s">
        <v>401</v>
      </c>
    </row>
    <row r="2" spans="1:9" ht="14.4">
      <c r="A2" s="137" t="str">
        <f>'TC002'!$D$2</f>
        <v>Z8pna1219AS1</v>
      </c>
      <c r="B2" s="92" t="s">
        <v>99</v>
      </c>
      <c r="C2" s="81" t="str">
        <f>'TC007-Setup Data'!B2</f>
        <v>PNABU-L3-Z8-019</v>
      </c>
      <c r="D2" s="137" t="str">
        <f>'TC002'!$C$2</f>
        <v>Z8pna-1219AS-1</v>
      </c>
      <c r="E2" s="92"/>
      <c r="F2" s="92" t="s">
        <v>96</v>
      </c>
      <c r="G2" s="92" t="s">
        <v>145</v>
      </c>
      <c r="H2" s="82" t="str">
        <f ca="1">TEXT(DATE(YEAR(TODAY()), MONTH(TODAY()), DAY(TODAY()-2)), "dd MMM yyyy")</f>
        <v>15 Nov 2023</v>
      </c>
      <c r="I2" s="93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46D-B9E6-4C86-85B8-9DC2019EA047}">
  <dimension ref="A1:A2"/>
  <sheetViews>
    <sheetView zoomScale="90" zoomScaleNormal="90" workbookViewId="0">
      <selection activeCell="J3" sqref="J3"/>
    </sheetView>
  </sheetViews>
  <sheetFormatPr defaultColWidth="8.88671875" defaultRowHeight="13.8"/>
  <cols>
    <col min="1" max="1" width="20.77734375" style="1" customWidth="1" collapsed="1"/>
    <col min="2" max="16384" width="8.88671875" style="1" collapsed="1"/>
  </cols>
  <sheetData>
    <row r="1" spans="1:1">
      <c r="A1" s="1" t="s">
        <v>65</v>
      </c>
    </row>
    <row r="2" spans="1:1">
      <c r="A2" s="1" t="str">
        <f>AutoIncrement!B2&amp;"-"&amp;AutoIncrement!A2&amp;"-Request L3 Parts"</f>
        <v>Z8-19-Request L3 Parts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063-5B2A-45A0-9157-41D634E11B37}">
  <dimension ref="A1:T8"/>
  <sheetViews>
    <sheetView topLeftCell="E1" workbookViewId="0">
      <selection activeCell="I2" sqref="I2:AF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Z8pnaNSL2BLACK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Z8pna45050040130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Z8pna18007703930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Z8pna18001404835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Z8pna1219AS1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Z8ATEST202306050000000000002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Z8ATEST202306050000000000001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D0A1-2BEB-4F9D-B5A7-8FB9AE87EA38}">
  <dimension ref="A1:H4"/>
  <sheetViews>
    <sheetView workbookViewId="0">
      <selection activeCell="I23" sqref="I23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Z882151BZK50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Z882151BZE00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Z882151BZD90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95F7-E2FA-4AB2-840F-8647F3E89F7D}">
  <dimension ref="A1:F8"/>
  <sheetViews>
    <sheetView workbookViewId="0">
      <selection activeCell="C14" sqref="C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Z8ATEST202306050000000000001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Z8ATEST202306050000000000002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Z8pna1219AS1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Z8pna18001404835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Z8pna18007703930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Z8pna45050040130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Z8pnaNSL2BLACK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FB08-33DD-4736-987B-00A1AE9CA69C}">
  <dimension ref="A1:G8"/>
  <sheetViews>
    <sheetView workbookViewId="0">
      <selection activeCell="B2" sqref="B2"/>
    </sheetView>
  </sheetViews>
  <sheetFormatPr defaultRowHeight="13.8"/>
  <cols>
    <col min="1" max="1" width="39.6640625" style="1" customWidth="1" collapsed="1"/>
    <col min="2" max="2" width="20.77734375" style="1" customWidth="1" collapsed="1"/>
    <col min="3" max="3" width="30.77734375" style="1" customWidth="1" collapsed="1"/>
    <col min="4" max="7" width="20.77734375" style="1" customWidth="1" collapsed="1"/>
    <col min="8" max="16384" width="8.88671875" style="1" collapsed="1"/>
  </cols>
  <sheetData>
    <row r="1" spans="1:7">
      <c r="A1" s="1" t="s">
        <v>129</v>
      </c>
      <c r="B1" s="1" t="s">
        <v>402</v>
      </c>
      <c r="C1" s="1" t="s">
        <v>195</v>
      </c>
      <c r="D1" s="1" t="s">
        <v>403</v>
      </c>
      <c r="E1" s="1" t="s">
        <v>404</v>
      </c>
      <c r="F1" s="1" t="s">
        <v>405</v>
      </c>
      <c r="G1" s="1" t="s">
        <v>406</v>
      </c>
    </row>
    <row r="2" spans="1:7">
      <c r="A2" s="1" t="str">
        <f>'TC007-Setup Data'!B2</f>
        <v>PNABU-L3-Z8-019</v>
      </c>
      <c r="B2" s="1" t="str">
        <f>'TC034-Create Order Calculation'!I2</f>
        <v>MY-PNA-CUS-2310-003</v>
      </c>
      <c r="C2" s="94" t="str">
        <f>'TC007-Contract Parts Info'!D2</f>
        <v>Z8ATEST202306050000000000001</v>
      </c>
      <c r="D2" s="191">
        <v>140085460</v>
      </c>
      <c r="E2" s="191">
        <v>140085460</v>
      </c>
      <c r="F2" s="192"/>
      <c r="G2" s="192"/>
    </row>
    <row r="3" spans="1:7">
      <c r="C3" s="94" t="str">
        <f>'TC007-Contract Parts Info'!D3</f>
        <v>Z8ATEST202306050000000000002</v>
      </c>
      <c r="D3" s="191">
        <v>140085460</v>
      </c>
      <c r="E3" s="191">
        <v>140085460</v>
      </c>
      <c r="F3" s="192"/>
      <c r="G3" s="192"/>
    </row>
    <row r="4" spans="1:7">
      <c r="C4" s="94" t="str">
        <f>'TC007-Contract Parts Info'!D4</f>
        <v>Z8pna1219AS1</v>
      </c>
      <c r="D4" s="191">
        <v>44000</v>
      </c>
      <c r="E4" s="193"/>
      <c r="F4" s="193">
        <v>44000</v>
      </c>
      <c r="G4" s="193"/>
    </row>
    <row r="5" spans="1:7">
      <c r="C5" s="94" t="str">
        <f>'TC007-Contract Parts Info'!D5</f>
        <v>Z8pna18001404835</v>
      </c>
      <c r="D5" s="191">
        <v>49500</v>
      </c>
      <c r="E5" s="193"/>
      <c r="F5" s="193"/>
      <c r="G5" s="193">
        <v>49500</v>
      </c>
    </row>
    <row r="6" spans="1:7">
      <c r="C6" s="94" t="str">
        <f>'TC007-Contract Parts Info'!D6</f>
        <v>Z8pna18007703930</v>
      </c>
      <c r="D6" s="191">
        <v>75000</v>
      </c>
      <c r="E6" s="193">
        <v>75000</v>
      </c>
      <c r="F6" s="193"/>
      <c r="G6" s="193"/>
    </row>
    <row r="7" spans="1:7">
      <c r="C7" s="94" t="str">
        <f>'TC007-Contract Parts Info'!D7</f>
        <v>Z8pna45050040130</v>
      </c>
      <c r="D7" s="191">
        <v>102000</v>
      </c>
      <c r="E7" s="193"/>
      <c r="F7" s="193"/>
      <c r="G7" s="193">
        <v>102000</v>
      </c>
    </row>
    <row r="8" spans="1:7">
      <c r="C8" s="94" t="str">
        <f>'TC007-Contract Parts Info'!D8</f>
        <v>Z8pnaNSL2BLACK</v>
      </c>
      <c r="D8" s="191">
        <v>140</v>
      </c>
      <c r="E8" s="193">
        <v>140</v>
      </c>
      <c r="F8" s="193"/>
      <c r="G8" s="193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3229-2F15-4B49-8E92-E966DB553658}">
  <dimension ref="A1:C4"/>
  <sheetViews>
    <sheetView workbookViewId="0">
      <selection activeCell="A4" sqref="A4"/>
    </sheetView>
  </sheetViews>
  <sheetFormatPr defaultRowHeight="14.4"/>
  <cols>
    <col min="1" max="1" width="19.21875" customWidth="1" collapsed="1"/>
    <col min="2" max="2" width="26.77734375" customWidth="1" collapsed="1"/>
    <col min="3" max="3" width="15.44140625" customWidth="1" collapsed="1"/>
  </cols>
  <sheetData>
    <row r="1" spans="1:2">
      <c r="A1" s="197" t="s">
        <v>705</v>
      </c>
      <c r="B1" t="s">
        <v>129</v>
      </c>
    </row>
    <row r="2" spans="1:2">
      <c r="A2" t="s">
        <v>808</v>
      </c>
      <c r="B2" t="str">
        <f>'TC011-Setup Data'!A2</f>
        <v>ELASUP-Z8s1-019</v>
      </c>
    </row>
    <row r="3" spans="1:2">
      <c r="A3" t="s">
        <v>809</v>
      </c>
      <c r="B3" t="str">
        <f>'TC012-Setup Data'!A2</f>
        <v>JPYAZ-Z8s2-019</v>
      </c>
    </row>
    <row r="4" spans="1:2">
      <c r="A4" t="s">
        <v>810</v>
      </c>
      <c r="B4" t="str">
        <f>'TC012-Setup Data'!A2</f>
        <v>JPYAZ-Z8s2-019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62BB-A0FC-49C9-BEF9-36F94FB3614D}">
  <dimension ref="A1:J4"/>
  <sheetViews>
    <sheetView workbookViewId="0">
      <selection activeCell="H2" sqref="H2"/>
    </sheetView>
  </sheetViews>
  <sheetFormatPr defaultRowHeight="14.4"/>
  <cols>
    <col min="1" max="1" width="7.88671875" customWidth="1" collapsed="1"/>
    <col min="2" max="3" width="24" customWidth="1" collapsed="1"/>
    <col min="4" max="4" width="12.33203125" customWidth="1" collapsed="1"/>
    <col min="5" max="5" width="11" customWidth="1" collapsed="1"/>
    <col min="6" max="6" width="21.44140625" customWidth="1" collapsed="1"/>
    <col min="7" max="8" width="19.6640625" customWidth="1" collapsed="1"/>
    <col min="9" max="9" width="19" customWidth="1" collapsed="1"/>
    <col min="10" max="10" width="17.77734375" customWidth="1" collapsed="1"/>
  </cols>
  <sheetData>
    <row r="1" spans="1:10">
      <c r="A1" t="s">
        <v>34</v>
      </c>
      <c r="B1" t="s">
        <v>407</v>
      </c>
      <c r="C1" t="s">
        <v>129</v>
      </c>
      <c r="D1" t="s">
        <v>702</v>
      </c>
      <c r="E1" t="s">
        <v>283</v>
      </c>
      <c r="F1" t="s">
        <v>152</v>
      </c>
      <c r="G1" t="s">
        <v>74</v>
      </c>
      <c r="H1" t="s">
        <v>509</v>
      </c>
      <c r="I1" t="s">
        <v>487</v>
      </c>
      <c r="J1" t="s">
        <v>703</v>
      </c>
    </row>
    <row r="2" spans="1:10" ht="15" thickBot="1">
      <c r="A2">
        <v>1</v>
      </c>
      <c r="B2" t="str">
        <f>'TC049 autogen'!A2</f>
        <v>pZ525-2310003</v>
      </c>
      <c r="C2" t="str">
        <f>'TC011-Setup Data'!A2</f>
        <v>ELASUP-Z8s1-019</v>
      </c>
      <c r="D2" s="196" t="s">
        <v>704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198">
        <f ca="1">TODAY()</f>
        <v>45247</v>
      </c>
    </row>
    <row r="3" spans="1:10" ht="15" thickBot="1">
      <c r="A3">
        <v>2</v>
      </c>
      <c r="B3" t="str">
        <f>'TC049 autogen'!A3</f>
        <v>pZ525-2310001</v>
      </c>
      <c r="C3" t="str">
        <f>'TC012-Setup Data'!A2</f>
        <v>JPYAZ-Z8s2-019</v>
      </c>
      <c r="D3" s="196" t="s">
        <v>704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198">
        <f t="shared" ref="J3:J4" ca="1" si="0">TODAY()</f>
        <v>45247</v>
      </c>
    </row>
    <row r="4" spans="1:10" ht="15" thickBot="1">
      <c r="A4">
        <v>3</v>
      </c>
      <c r="B4" t="str">
        <f>'TC049 autogen'!A4</f>
        <v>pZ525-2310002</v>
      </c>
      <c r="C4" t="str">
        <f>'TC012-Setup Data'!A2</f>
        <v>JPYAZ-Z8s2-019</v>
      </c>
      <c r="D4" s="196" t="s">
        <v>704</v>
      </c>
      <c r="E4" s="196" t="s">
        <v>428</v>
      </c>
      <c r="F4" s="196" t="s">
        <v>166</v>
      </c>
      <c r="G4" s="196" t="s">
        <v>255</v>
      </c>
      <c r="H4" s="196" t="s">
        <v>150</v>
      </c>
      <c r="I4" s="196" t="s">
        <v>98</v>
      </c>
      <c r="J4" s="198">
        <f t="shared" ca="1" si="0"/>
        <v>45247</v>
      </c>
    </row>
  </sheetData>
  <phoneticPr fontId="2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87E1-2BDE-4721-BAD6-C96529AE6FD1}">
  <dimension ref="A1:B2"/>
  <sheetViews>
    <sheetView workbookViewId="0">
      <selection activeCell="B8" sqref="B8"/>
    </sheetView>
  </sheetViews>
  <sheetFormatPr defaultRowHeight="14.4"/>
  <cols>
    <col min="1" max="1" width="19.21875" customWidth="1" collapsed="1"/>
    <col min="2" max="2" width="25.88671875" customWidth="1" collapsed="1"/>
  </cols>
  <sheetData>
    <row r="1" spans="1:2">
      <c r="A1" s="197" t="s">
        <v>508</v>
      </c>
      <c r="B1" t="s">
        <v>129</v>
      </c>
    </row>
    <row r="2" spans="1:2">
      <c r="A2" t="s">
        <v>811</v>
      </c>
      <c r="B2" t="str">
        <f>'TC011-Setup Data'!A2</f>
        <v>ELASUP-Z8s1-019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D999-E0D5-4997-AA6E-9D3F2F5C17B7}">
  <dimension ref="A1:B4"/>
  <sheetViews>
    <sheetView workbookViewId="0">
      <selection activeCell="A2" sqref="A2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2">
      <c r="A1" s="97" t="s">
        <v>339</v>
      </c>
      <c r="B1" s="98" t="s">
        <v>408</v>
      </c>
    </row>
    <row r="2" spans="1:2">
      <c r="A2" s="99" t="str">
        <f>'TC051'!F2</f>
        <v>Z8ATEST202306050000000000001</v>
      </c>
      <c r="B2" s="100">
        <v>2.0019999999999998</v>
      </c>
    </row>
    <row r="3" spans="1:2">
      <c r="A3" s="99" t="str">
        <f>'TC051'!F3</f>
        <v>Z8ATEST202306050000000000002</v>
      </c>
      <c r="B3" s="100">
        <v>1.0009999999999999</v>
      </c>
    </row>
    <row r="4" spans="1:2">
      <c r="A4" s="99" t="str">
        <f>'TC051'!F4</f>
        <v>Z8pna1219AS1</v>
      </c>
      <c r="B4" s="100">
        <v>1.0009999999999999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6995-D2F8-4336-8458-77DEEFFAE014}">
  <dimension ref="A1:Y4"/>
  <sheetViews>
    <sheetView workbookViewId="0">
      <selection activeCell="B13" sqref="B13"/>
    </sheetView>
  </sheetViews>
  <sheetFormatPr defaultRowHeight="14.4"/>
  <cols>
    <col min="1" max="1" width="30.77734375" customWidth="1" collapsed="1"/>
    <col min="2" max="5" width="15.77734375" customWidth="1" collapsed="1"/>
    <col min="6" max="7" width="30.77734375" customWidth="1" collapsed="1"/>
    <col min="8" max="25" width="15.77734375" customWidth="1" collapsed="1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1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r="2" spans="1:25" ht="15.75" customHeight="1">
      <c r="A2" s="102" t="str">
        <f>'TC011-Setup Data'!A2</f>
        <v>ELASUP-Z8s1-019</v>
      </c>
      <c r="B2" s="101" t="s">
        <v>428</v>
      </c>
      <c r="C2" s="101"/>
      <c r="D2" s="101"/>
      <c r="E2" s="101"/>
      <c r="F2" s="102" t="str">
        <f>'TC011'!D2</f>
        <v>Z8ATEST202306050000000000001</v>
      </c>
      <c r="G2" s="102" t="str">
        <f>'TC011'!C2</f>
        <v>Z8SUP-PNATEST,20230605000000000000-1</v>
      </c>
      <c r="H2" s="101"/>
      <c r="I2" s="101" t="str">
        <f>'TC050-Sup1 SO List'!A2</f>
        <v>sZ5s125-2310001</v>
      </c>
      <c r="J2" s="102" t="s">
        <v>99</v>
      </c>
      <c r="K2" s="101">
        <v>10</v>
      </c>
      <c r="L2" s="101">
        <v>20</v>
      </c>
      <c r="M2" s="103">
        <v>140085460</v>
      </c>
      <c r="N2" s="102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3">
        <v>140085460</v>
      </c>
      <c r="U2" s="101" t="s">
        <v>429</v>
      </c>
      <c r="V2" s="101">
        <v>0</v>
      </c>
      <c r="W2" s="101" t="s">
        <v>429</v>
      </c>
      <c r="X2" s="103">
        <v>140085460</v>
      </c>
      <c r="Y2" s="101">
        <v>0</v>
      </c>
    </row>
    <row r="3" spans="1:25" ht="43.2">
      <c r="A3" s="101" t="str">
        <f>'TC012-Setup Data'!A2</f>
        <v>JPYAZ-Z8s2-019</v>
      </c>
      <c r="B3" s="101"/>
      <c r="C3" s="101"/>
      <c r="D3" s="101"/>
      <c r="E3" s="101"/>
      <c r="F3" s="102" t="str">
        <f>'TC011'!D3</f>
        <v>Z8ATEST202306050000000000002</v>
      </c>
      <c r="G3" s="102" t="str">
        <f>'TC011'!C3</f>
        <v>Z8SUP-PNATEST,20230605000000000000-2</v>
      </c>
      <c r="H3" s="101"/>
      <c r="I3" s="101" t="str">
        <f>'TC050-Sup1 SO List'!A2</f>
        <v>sZ5s125-2310001</v>
      </c>
      <c r="J3" s="102" t="s">
        <v>99</v>
      </c>
      <c r="K3" s="101">
        <v>10</v>
      </c>
      <c r="L3" s="101">
        <v>20</v>
      </c>
      <c r="M3" s="103">
        <v>140085460</v>
      </c>
      <c r="N3" s="102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3">
        <v>140085460</v>
      </c>
      <c r="U3" s="101" t="s">
        <v>429</v>
      </c>
      <c r="V3" s="101">
        <v>0</v>
      </c>
      <c r="W3" s="101" t="s">
        <v>429</v>
      </c>
      <c r="X3" s="103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2" t="str">
        <f>'TC011'!D4</f>
        <v>Z8pna1219AS1</v>
      </c>
      <c r="G4" s="102" t="str">
        <f>'TC011'!C4</f>
        <v>Z8pna-1219AS-1</v>
      </c>
      <c r="H4" s="101"/>
      <c r="I4" s="101" t="str">
        <f>'TC050-Sup1 SO List'!A2</f>
        <v>sZ5s125-2310001</v>
      </c>
      <c r="J4" s="102" t="s">
        <v>99</v>
      </c>
      <c r="K4" s="104">
        <v>22000</v>
      </c>
      <c r="L4" s="104">
        <v>22000</v>
      </c>
      <c r="M4" s="104">
        <v>44000</v>
      </c>
      <c r="N4" s="102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4">
        <v>44000</v>
      </c>
      <c r="W4" s="101" t="s">
        <v>429</v>
      </c>
      <c r="X4" s="101">
        <v>0</v>
      </c>
      <c r="Y4" s="104">
        <v>44000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14A4-1303-49C9-A4F7-B53B0223C065}">
  <dimension ref="A1:T8"/>
  <sheetViews>
    <sheetView topLeftCell="V1" workbookViewId="0">
      <selection activeCell="AG1" sqref="AG1:FW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Z8pnaNSL2BLACK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Z8pna45050040130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Z8pna18007703930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Z8pna18001404835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Z8pna1219AS1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Z8ATEST202306050000000000002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Z8ATEST202306050000000000001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50D-66D0-4E4B-8D77-EF5A6B1594D6}">
  <dimension ref="A1:B2"/>
  <sheetViews>
    <sheetView zoomScale="90" zoomScaleNormal="90" workbookViewId="0">
      <selection activeCell="F8" sqref="F8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123" t="s">
        <v>125</v>
      </c>
    </row>
    <row r="2" spans="1:2" ht="14.4">
      <c r="A2" s="1">
        <v>1</v>
      </c>
      <c r="B2" t="s">
        <v>800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38CE-BC68-4A2C-A5A5-6C8EA982F097}">
  <dimension ref="A1:AJ4"/>
  <sheetViews>
    <sheetView workbookViewId="0">
      <selection activeCell="H2" sqref="H2:H4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  <col min="10" max="10" width="15.21875" customWidth="1" collapsed="1"/>
    <col min="11" max="11" width="13.21875" customWidth="1" collapsed="1"/>
    <col min="12" max="12" width="20.33203125" customWidth="1" collapsed="1"/>
    <col min="13" max="13" width="12" customWidth="1" collapsed="1"/>
    <col min="15" max="15" width="15" customWidth="1" collapsed="1"/>
    <col min="16" max="16" width="16.109375" customWidth="1" collapsed="1"/>
    <col min="20" max="20" width="21.109375" customWidth="1" collapsed="1"/>
    <col min="21" max="21" width="20.21875" customWidth="1" collapsed="1"/>
    <col min="23" max="23" width="21.5546875" customWidth="1" collapsed="1"/>
    <col min="28" max="28" width="27.44140625" customWidth="1" collapsed="1"/>
    <col min="32" max="32" width="16.6640625" customWidth="1" collapsed="1"/>
    <col min="33" max="33" width="15.109375" customWidth="1" collapsed="1"/>
    <col min="34" max="34" width="25.33203125" customWidth="1" collapsed="1"/>
    <col min="35" max="35" width="16.33203125" customWidth="1" collapsed="1"/>
    <col min="36" max="36" width="20.5546875" customWidth="1" collapsed="1"/>
  </cols>
  <sheetData>
    <row r="1" spans="1:36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  <c r="J1" t="s">
        <v>725</v>
      </c>
      <c r="K1" t="s">
        <v>726</v>
      </c>
      <c r="L1" t="s">
        <v>727</v>
      </c>
      <c r="M1" t="s">
        <v>728</v>
      </c>
      <c r="N1" t="s">
        <v>729</v>
      </c>
      <c r="O1" t="s">
        <v>730</v>
      </c>
      <c r="P1" t="s">
        <v>731</v>
      </c>
      <c r="Q1" t="s">
        <v>732</v>
      </c>
      <c r="R1" t="s">
        <v>733</v>
      </c>
      <c r="S1" t="s">
        <v>734</v>
      </c>
      <c r="T1" t="s">
        <v>735</v>
      </c>
      <c r="U1" t="s">
        <v>736</v>
      </c>
      <c r="V1" t="s">
        <v>737</v>
      </c>
      <c r="W1" t="s">
        <v>738</v>
      </c>
      <c r="X1" t="s">
        <v>739</v>
      </c>
      <c r="Y1" t="s">
        <v>740</v>
      </c>
      <c r="Z1" t="s">
        <v>741</v>
      </c>
      <c r="AA1" t="s">
        <v>742</v>
      </c>
      <c r="AB1" t="s">
        <v>743</v>
      </c>
      <c r="AC1" t="s">
        <v>744</v>
      </c>
      <c r="AD1" t="s">
        <v>745</v>
      </c>
      <c r="AE1" t="s">
        <v>746</v>
      </c>
      <c r="AF1" t="s">
        <v>747</v>
      </c>
      <c r="AG1" t="s">
        <v>748</v>
      </c>
      <c r="AH1" t="s">
        <v>749</v>
      </c>
      <c r="AI1" t="s">
        <v>750</v>
      </c>
      <c r="AJ1" t="s">
        <v>751</v>
      </c>
    </row>
    <row r="2" spans="1:36">
      <c r="A2" s="10" t="str">
        <f>'TC007-Contract Parts Info'!D4</f>
        <v>Z8pna1219AS1</v>
      </c>
      <c r="B2" s="214">
        <v>100</v>
      </c>
      <c r="C2" s="214">
        <v>0</v>
      </c>
      <c r="D2" s="214">
        <v>0</v>
      </c>
      <c r="E2" s="214">
        <v>0</v>
      </c>
      <c r="F2" s="214">
        <f t="shared" ref="F2:F4" si="0">B2-C2+D2-E2</f>
        <v>100</v>
      </c>
      <c r="G2" s="217" t="s">
        <v>754</v>
      </c>
      <c r="I2" s="218">
        <v>0</v>
      </c>
      <c r="J2" s="214">
        <v>1104</v>
      </c>
      <c r="K2" s="214">
        <v>-1104</v>
      </c>
      <c r="L2" s="216">
        <v>0</v>
      </c>
      <c r="M2" s="218">
        <v>0</v>
      </c>
      <c r="N2" s="214">
        <v>1104</v>
      </c>
      <c r="O2" s="214">
        <v>-2208</v>
      </c>
      <c r="P2" s="216">
        <v>0</v>
      </c>
      <c r="Q2" s="218">
        <v>0</v>
      </c>
      <c r="R2" s="214">
        <v>1020</v>
      </c>
      <c r="S2" s="214">
        <v>-3228</v>
      </c>
      <c r="T2" s="216">
        <v>0</v>
      </c>
      <c r="U2" s="218">
        <v>0</v>
      </c>
      <c r="V2" s="214">
        <v>936</v>
      </c>
      <c r="W2" s="214">
        <v>-4164</v>
      </c>
      <c r="X2" s="216">
        <v>0</v>
      </c>
      <c r="Y2" s="218">
        <v>0</v>
      </c>
      <c r="Z2" s="214">
        <v>935</v>
      </c>
      <c r="AA2" s="214">
        <v>-5099</v>
      </c>
      <c r="AB2" s="216">
        <v>0</v>
      </c>
      <c r="AC2" s="214">
        <v>0</v>
      </c>
      <c r="AD2" s="214">
        <v>932</v>
      </c>
      <c r="AE2" s="214">
        <v>-6031</v>
      </c>
      <c r="AF2" s="216">
        <v>0</v>
      </c>
      <c r="AG2" s="218">
        <v>0</v>
      </c>
      <c r="AH2" s="214">
        <v>932</v>
      </c>
      <c r="AI2" s="214">
        <v>-6963</v>
      </c>
      <c r="AJ2" s="216">
        <v>0</v>
      </c>
    </row>
    <row r="3" spans="1:36">
      <c r="A3" s="10" t="str">
        <f>'TC007-Contract Parts Info'!D3</f>
        <v>Z8ATEST202306050000000000002</v>
      </c>
      <c r="B3" s="214">
        <v>100</v>
      </c>
      <c r="C3" s="214">
        <v>0</v>
      </c>
      <c r="D3" s="214">
        <v>0</v>
      </c>
      <c r="E3" s="214">
        <v>0</v>
      </c>
      <c r="F3" s="214">
        <f t="shared" si="0"/>
        <v>100</v>
      </c>
      <c r="G3" s="217" t="s">
        <v>754</v>
      </c>
      <c r="I3" s="218">
        <v>0</v>
      </c>
      <c r="J3" s="215">
        <v>9743.82</v>
      </c>
      <c r="K3" s="215">
        <v>-9743.82</v>
      </c>
      <c r="L3" s="216">
        <v>0</v>
      </c>
      <c r="M3" s="218">
        <v>0</v>
      </c>
      <c r="N3" s="215">
        <v>9740</v>
      </c>
      <c r="O3" s="215">
        <v>-19483.82</v>
      </c>
      <c r="P3" s="216">
        <v>0</v>
      </c>
      <c r="Q3" s="218">
        <v>0</v>
      </c>
      <c r="R3" s="215">
        <v>9228</v>
      </c>
      <c r="S3" s="215">
        <v>-28711.82</v>
      </c>
      <c r="T3" s="216">
        <v>0</v>
      </c>
      <c r="U3" s="218">
        <v>0</v>
      </c>
      <c r="V3" s="215">
        <v>8716</v>
      </c>
      <c r="W3" s="215">
        <v>-37427.82</v>
      </c>
      <c r="X3" s="216">
        <v>0</v>
      </c>
      <c r="Y3" s="218">
        <v>0</v>
      </c>
      <c r="Z3" s="215">
        <v>8716</v>
      </c>
      <c r="AA3" s="215">
        <v>-46143.82</v>
      </c>
      <c r="AB3" s="216">
        <v>0</v>
      </c>
      <c r="AC3" s="218">
        <v>0</v>
      </c>
      <c r="AD3" s="215">
        <v>8714.36</v>
      </c>
      <c r="AE3" s="215">
        <v>-54858.18</v>
      </c>
      <c r="AF3" s="216">
        <v>0</v>
      </c>
      <c r="AG3" s="218">
        <v>0</v>
      </c>
      <c r="AH3" s="215">
        <v>8712</v>
      </c>
      <c r="AI3" s="215">
        <v>-63570.18</v>
      </c>
      <c r="AJ3" s="216">
        <v>0</v>
      </c>
    </row>
    <row r="4" spans="1:36">
      <c r="A4" s="10" t="str">
        <f>'TC007-Contract Parts Info'!D2</f>
        <v>Z8ATEST202306050000000000001</v>
      </c>
      <c r="B4" s="214">
        <v>100</v>
      </c>
      <c r="C4" s="214">
        <v>0</v>
      </c>
      <c r="D4" s="214">
        <v>0</v>
      </c>
      <c r="E4" s="214">
        <v>0</v>
      </c>
      <c r="F4" s="214">
        <f t="shared" si="0"/>
        <v>100</v>
      </c>
      <c r="G4" s="217" t="s">
        <v>754</v>
      </c>
      <c r="I4" s="218">
        <v>0</v>
      </c>
      <c r="J4" s="215">
        <v>7632</v>
      </c>
      <c r="K4" s="215">
        <v>-7632</v>
      </c>
      <c r="L4" s="216">
        <v>0</v>
      </c>
      <c r="M4" s="218">
        <v>0</v>
      </c>
      <c r="N4" s="215">
        <v>7631.82</v>
      </c>
      <c r="O4" s="215">
        <v>-15263.82</v>
      </c>
      <c r="P4" s="216">
        <v>0</v>
      </c>
      <c r="Q4" s="218">
        <v>0</v>
      </c>
      <c r="R4" s="215">
        <v>7116</v>
      </c>
      <c r="S4" s="215">
        <v>-22379.82</v>
      </c>
      <c r="T4" s="216">
        <v>0</v>
      </c>
      <c r="U4" s="218">
        <v>0</v>
      </c>
      <c r="V4" s="215">
        <v>6604</v>
      </c>
      <c r="W4" s="215">
        <v>-28983.82</v>
      </c>
      <c r="X4" s="216">
        <v>0</v>
      </c>
      <c r="Y4" s="218">
        <v>0</v>
      </c>
      <c r="Z4" s="215">
        <v>6604</v>
      </c>
      <c r="AA4" s="215">
        <v>-35587.82</v>
      </c>
      <c r="AB4" s="216">
        <v>0</v>
      </c>
      <c r="AC4" s="218">
        <v>0</v>
      </c>
      <c r="AD4" s="215">
        <v>6604</v>
      </c>
      <c r="AE4" s="215">
        <v>-42191.82</v>
      </c>
      <c r="AF4" s="216">
        <v>0</v>
      </c>
      <c r="AG4" s="218">
        <v>0</v>
      </c>
      <c r="AH4" s="215">
        <v>6602.36</v>
      </c>
      <c r="AI4" s="215">
        <v>-48794.18</v>
      </c>
      <c r="AJ4" s="216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5FE8-AB3A-4F7A-A3A0-31E25F7128AF}">
  <dimension ref="A1:G4"/>
  <sheetViews>
    <sheetView workbookViewId="0">
      <selection activeCell="A2" sqref="A2"/>
    </sheetView>
  </sheetViews>
  <sheetFormatPr defaultRowHeight="14.4"/>
  <cols>
    <col min="1" max="1" width="31.77734375" customWidth="1" collapsed="1"/>
    <col min="2" max="2" width="35.44140625" customWidth="1" collapsed="1"/>
    <col min="3" max="4" width="10.44140625" bestFit="1" customWidth="1" collapsed="1"/>
    <col min="5" max="7" width="9" bestFit="1" customWidth="1" collapsed="1"/>
  </cols>
  <sheetData>
    <row r="1" spans="1:7" ht="26.4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"S10TC58 "&amp;AutoIncrement!B2</f>
        <v>S10TC58 Z8</v>
      </c>
      <c r="B2" s="99" t="str">
        <f>'TC051'!F2</f>
        <v>Z8ATEST202306050000000000001</v>
      </c>
      <c r="C2" s="141">
        <v>20</v>
      </c>
      <c r="D2" s="141">
        <v>5</v>
      </c>
      <c r="E2" s="141">
        <v>1.1100000000000001</v>
      </c>
      <c r="F2" s="141">
        <v>1.1100000000000001</v>
      </c>
      <c r="G2" s="141">
        <v>1.1100000000000001</v>
      </c>
    </row>
    <row r="3" spans="1:7">
      <c r="B3" s="99" t="str">
        <f>'TC051'!F3</f>
        <v>Z8ATEST202306050000000000002</v>
      </c>
      <c r="C3" s="141">
        <v>40</v>
      </c>
      <c r="D3" s="141">
        <v>10</v>
      </c>
      <c r="E3" s="141">
        <v>2.11</v>
      </c>
      <c r="F3" s="141">
        <v>2.11</v>
      </c>
      <c r="G3" s="141">
        <v>2.11</v>
      </c>
    </row>
    <row r="4" spans="1:7">
      <c r="B4" s="99" t="str">
        <f>'TC051'!F4</f>
        <v>Z8pna1219AS1</v>
      </c>
      <c r="C4" s="141">
        <v>44000</v>
      </c>
      <c r="D4" s="141">
        <v>44000</v>
      </c>
      <c r="E4" s="141">
        <v>1</v>
      </c>
      <c r="F4" s="141">
        <v>1</v>
      </c>
      <c r="G4" s="14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8AF-F769-4DA0-9064-1A786B1C0410}">
  <dimension ref="A1:A2"/>
  <sheetViews>
    <sheetView workbookViewId="0"/>
  </sheetViews>
  <sheetFormatPr defaultRowHeight="14.4"/>
  <cols>
    <col min="1" max="1" width="21.5546875" customWidth="1" collapsed="1"/>
  </cols>
  <sheetData>
    <row r="1" spans="1:1">
      <c r="A1" s="197" t="s">
        <v>125</v>
      </c>
    </row>
    <row r="2" spans="1:1">
      <c r="A2" t="s">
        <v>812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C06C-E9C1-44B8-9DD7-6E9ADAC518D4}">
  <dimension ref="A1:G4"/>
  <sheetViews>
    <sheetView workbookViewId="0">
      <selection activeCell="A3" sqref="A3"/>
    </sheetView>
  </sheetViews>
  <sheetFormatPr defaultRowHeight="14.4"/>
  <cols>
    <col min="1" max="1" width="31.77734375" customWidth="1" collapsed="1"/>
    <col min="2" max="2" width="49.109375" customWidth="1" collapsed="1"/>
    <col min="3" max="3" width="20" customWidth="1" collapsed="1"/>
    <col min="4" max="4" width="10.44140625" bestFit="1" customWidth="1" collapsed="1"/>
  </cols>
  <sheetData>
    <row r="1" spans="1:7" ht="26.4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'TC59 AutoGen'!A2</f>
        <v>R-MY-PNA-BU-2310067</v>
      </c>
      <c r="B2" s="99" t="str">
        <f>'TC051'!F2</f>
        <v>Z8ATEST202306050000000000001</v>
      </c>
      <c r="C2" s="142">
        <f>TC058n59!C2</f>
        <v>20</v>
      </c>
      <c r="D2" s="142">
        <f>TC058n59!D2</f>
        <v>5</v>
      </c>
      <c r="E2" s="141">
        <f>TC058n59!E2</f>
        <v>1.1100000000000001</v>
      </c>
      <c r="F2" s="141">
        <f>TC058n59!F2</f>
        <v>1.1100000000000001</v>
      </c>
      <c r="G2" s="141">
        <f>TC058n59!G2</f>
        <v>1.1100000000000001</v>
      </c>
    </row>
    <row r="3" spans="1:7">
      <c r="A3" t="str">
        <f>TC058n59!A2</f>
        <v>S10TC58 Z8</v>
      </c>
      <c r="B3" s="99" t="str">
        <f>'TC051'!F3</f>
        <v>Z8ATEST202306050000000000002</v>
      </c>
      <c r="C3" s="142">
        <f>TC058n59!C3</f>
        <v>40</v>
      </c>
      <c r="D3" s="142">
        <f>TC058n59!D3</f>
        <v>10</v>
      </c>
      <c r="E3" s="141">
        <f>TC058n59!E3</f>
        <v>2.11</v>
      </c>
      <c r="F3" s="141">
        <f>TC058n59!F3</f>
        <v>2.11</v>
      </c>
      <c r="G3" s="141">
        <f>TC058n59!G3</f>
        <v>2.11</v>
      </c>
    </row>
    <row r="4" spans="1:7">
      <c r="B4" s="99" t="str">
        <f>'TC051'!F4</f>
        <v>Z8pna1219AS1</v>
      </c>
      <c r="C4" s="142">
        <f>TC058n59!C4</f>
        <v>44000</v>
      </c>
      <c r="D4" s="142">
        <f>TC058n59!D4</f>
        <v>44000</v>
      </c>
      <c r="E4" s="143">
        <f>TC058n59!E4</f>
        <v>1</v>
      </c>
      <c r="F4" s="143">
        <f>TC058n59!F4</f>
        <v>1</v>
      </c>
      <c r="G4" s="143">
        <f>TC058n59!G4</f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B53-0218-4A44-8CE1-EB6A4F818CAE}">
  <dimension ref="A1:E4"/>
  <sheetViews>
    <sheetView workbookViewId="0">
      <selection activeCell="E1" sqref="E1"/>
    </sheetView>
  </sheetViews>
  <sheetFormatPr defaultRowHeight="14.4"/>
  <cols>
    <col min="1" max="1" width="33.2187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21.5546875" customWidth="1" collapsed="1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"S10TC61 "&amp;AutoIncrement!B2</f>
        <v>S10TC61 Z8</v>
      </c>
      <c r="B2" s="99" t="str">
        <f>'TC051'!F2</f>
        <v>Z8ATEST202306050000000000001</v>
      </c>
      <c r="C2" s="146">
        <v>1</v>
      </c>
      <c r="D2" s="145" t="s">
        <v>144</v>
      </c>
      <c r="E2" t="s">
        <v>813</v>
      </c>
    </row>
    <row r="3" spans="1:5">
      <c r="B3" s="99" t="str">
        <f>'TC051'!F3</f>
        <v>Z8ATEST202306050000000000002</v>
      </c>
      <c r="C3" s="144">
        <v>10.000999999999999</v>
      </c>
      <c r="D3" s="145" t="s">
        <v>144</v>
      </c>
    </row>
    <row r="4" spans="1:5">
      <c r="B4" s="99" t="str">
        <f>'TC051'!F4</f>
        <v>Z8pna1219AS1</v>
      </c>
      <c r="C4" s="144">
        <v>2.0019999999999998</v>
      </c>
      <c r="D4" s="145" t="s">
        <v>144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F187-C2F3-4F73-BF9D-2814B8189056}">
  <dimension ref="A1:E2"/>
  <sheetViews>
    <sheetView workbookViewId="0">
      <selection activeCell="C1" sqref="C1:D1"/>
    </sheetView>
  </sheetViews>
  <sheetFormatPr defaultRowHeight="14.4"/>
  <cols>
    <col min="1" max="1" width="17.4414062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17.5546875" customWidth="1" collapsed="1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"S10TC63 "&amp;AutoIncrement!B2</f>
        <v>S10TC63 Z8</v>
      </c>
      <c r="B2" s="194" t="str">
        <f>'TC001'!C3</f>
        <v>Z8pna18001404835</v>
      </c>
      <c r="C2" s="147">
        <v>1.23</v>
      </c>
      <c r="D2" s="145" t="s">
        <v>144</v>
      </c>
      <c r="E2" t="s">
        <v>814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ECD-4D95-4367-8361-AD5CD8ECAA19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  <col min="3" max="3" width="13.33203125" customWidth="1" collapsed="1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"S10TC65 "&amp;AutoIncrement!B2</f>
        <v>S10TC65 Z8</v>
      </c>
      <c r="B2" s="194" t="str">
        <f>'TC001'!C3</f>
        <v>Z8pna18001404835</v>
      </c>
      <c r="C2" t="s">
        <v>815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EB20-B649-4C65-933C-21112F38253F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"S10TC67 "&amp;AutoIncrement!B2</f>
        <v>S10TC67 Z8</v>
      </c>
      <c r="B2" s="194" t="str">
        <f>'TC001'!C3</f>
        <v>Z8pna18001404835</v>
      </c>
      <c r="C2" t="s">
        <v>816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AA9-D528-4CD4-AEF1-29E2F6111EB5}">
  <dimension ref="A1:H8"/>
  <sheetViews>
    <sheetView workbookViewId="0">
      <selection activeCell="A6" sqref="A6"/>
    </sheetView>
  </sheetViews>
  <sheetFormatPr defaultRowHeight="14.4"/>
  <cols>
    <col min="1" max="1" width="35.21875" customWidth="1" collapsed="1"/>
    <col min="2" max="2" width="34.77734375" customWidth="1" collapsed="1"/>
    <col min="3" max="3" width="30.33203125" customWidth="1" collapsed="1"/>
    <col min="4" max="4" width="27.77734375" customWidth="1" collapsed="1"/>
    <col min="5" max="5" width="23.109375" customWidth="1" collapsed="1"/>
  </cols>
  <sheetData>
    <row r="1" spans="1:8">
      <c r="A1" s="148" t="s">
        <v>339</v>
      </c>
      <c r="B1" s="148" t="s">
        <v>614</v>
      </c>
      <c r="C1" s="149" t="s">
        <v>10</v>
      </c>
      <c r="D1" s="150" t="s">
        <v>615</v>
      </c>
      <c r="E1" s="150" t="s">
        <v>616</v>
      </c>
      <c r="F1" s="150" t="s">
        <v>617</v>
      </c>
      <c r="G1" s="150" t="s">
        <v>618</v>
      </c>
      <c r="H1" s="150" t="s">
        <v>619</v>
      </c>
    </row>
    <row r="2" spans="1:8">
      <c r="A2" t="str">
        <f>'TC033-Up Stock Mngmt Calc Set'!B2</f>
        <v>Z8ATEST202306050000000000001</v>
      </c>
      <c r="B2" s="153" t="str">
        <f>'TC007-Setup Data'!B$2</f>
        <v>PNABU-L3-Z8-019</v>
      </c>
      <c r="C2" s="151" t="s">
        <v>317</v>
      </c>
      <c r="D2" s="152">
        <v>1532</v>
      </c>
      <c r="E2" s="152">
        <v>2200</v>
      </c>
      <c r="F2" s="152">
        <v>2200</v>
      </c>
      <c r="G2" s="152">
        <v>2200</v>
      </c>
      <c r="H2" s="152">
        <v>2200</v>
      </c>
    </row>
    <row r="3" spans="1:8">
      <c r="A3" t="str">
        <f>'TC033-Up Stock Mngmt Calc Set'!B3</f>
        <v>Z8ATEST202306050000000000002</v>
      </c>
      <c r="B3" s="153" t="str">
        <f>'TC007-Setup Data'!B$2</f>
        <v>PNABU-L3-Z8-019</v>
      </c>
      <c r="C3" s="151" t="s">
        <v>317</v>
      </c>
      <c r="D3" s="152">
        <v>2304</v>
      </c>
      <c r="E3" s="152">
        <v>3200</v>
      </c>
      <c r="F3" s="152">
        <v>3200</v>
      </c>
      <c r="G3" s="152">
        <v>3200</v>
      </c>
      <c r="H3" s="152">
        <v>3200</v>
      </c>
    </row>
    <row r="4" spans="1:8">
      <c r="A4" t="str">
        <f>'TC033-Up Stock Mngmt Calc Set'!B4</f>
        <v>Z8pna1219AS1</v>
      </c>
      <c r="B4" s="153" t="str">
        <f>'TC007-Setup Data'!B$2</f>
        <v>PNABU-L3-Z8-019</v>
      </c>
      <c r="C4" s="151" t="s">
        <v>317</v>
      </c>
      <c r="D4" s="152">
        <v>764</v>
      </c>
      <c r="E4" s="152">
        <v>1200</v>
      </c>
      <c r="F4" s="152">
        <v>1200</v>
      </c>
      <c r="G4" s="152">
        <v>1200</v>
      </c>
      <c r="H4" s="152">
        <v>1200</v>
      </c>
    </row>
    <row r="5" spans="1:8">
      <c r="A5" t="str">
        <f>'TC033-Up Stock Mngmt Calc Set'!B5</f>
        <v>Z8pna18001404835</v>
      </c>
      <c r="B5" s="153" t="str">
        <f>'TC007-Setup Data'!B$2</f>
        <v>PNABU-L3-Z8-019</v>
      </c>
      <c r="C5" s="151" t="s">
        <v>317</v>
      </c>
      <c r="D5" s="152">
        <v>4020</v>
      </c>
      <c r="E5" s="152">
        <v>5000</v>
      </c>
      <c r="F5" s="152">
        <v>5000</v>
      </c>
      <c r="G5" s="152">
        <v>5000</v>
      </c>
      <c r="H5" s="152">
        <v>5000</v>
      </c>
    </row>
    <row r="6" spans="1:8">
      <c r="A6" t="str">
        <f>'TC033-Up Stock Mngmt Calc Set'!B6</f>
        <v>Z8pna18007703930</v>
      </c>
      <c r="B6" s="153" t="str">
        <f>'TC007-Setup Data'!B$2</f>
        <v>PNABU-L3-Z8-019</v>
      </c>
      <c r="C6" s="151" t="s">
        <v>317</v>
      </c>
      <c r="D6" s="152">
        <v>3064</v>
      </c>
      <c r="E6" s="152">
        <v>4200</v>
      </c>
      <c r="F6" s="152">
        <v>4200</v>
      </c>
      <c r="G6" s="152">
        <v>4200</v>
      </c>
      <c r="H6" s="152">
        <v>4200</v>
      </c>
    </row>
    <row r="7" spans="1:8">
      <c r="A7" t="str">
        <f>'TC033-Up Stock Mngmt Calc Set'!B7</f>
        <v>Z8pna45050040130</v>
      </c>
      <c r="B7" s="153" t="str">
        <f>'TC007-Setup Data'!B$2</f>
        <v>PNABU-L3-Z8-019</v>
      </c>
      <c r="C7" s="151" t="s">
        <v>317</v>
      </c>
      <c r="D7" s="152">
        <v>5400</v>
      </c>
      <c r="E7" s="152">
        <v>5500</v>
      </c>
      <c r="F7" s="152">
        <v>5500</v>
      </c>
      <c r="G7" s="152">
        <v>5500</v>
      </c>
      <c r="H7" s="152">
        <v>5500</v>
      </c>
    </row>
    <row r="8" spans="1:8" ht="13.8" customHeight="1">
      <c r="A8" t="str">
        <f>'TC033-Up Stock Mngmt Calc Set'!B8</f>
        <v>Z8pnaNSL2BLACK</v>
      </c>
      <c r="B8" s="153" t="str">
        <f>'TC007-Setup Data'!B$2</f>
        <v>PNABU-L3-Z8-019</v>
      </c>
      <c r="C8" s="151" t="s">
        <v>317</v>
      </c>
      <c r="D8" s="152">
        <v>7128</v>
      </c>
      <c r="E8" s="152">
        <v>9750</v>
      </c>
      <c r="F8" s="152">
        <v>9750</v>
      </c>
      <c r="G8" s="152">
        <v>9750</v>
      </c>
      <c r="H8" s="152">
        <v>9750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D132-814C-4B1D-8B68-D6DF4B5152B4}">
  <dimension ref="A1:A2"/>
  <sheetViews>
    <sheetView workbookViewId="0">
      <selection activeCell="A23" sqref="A23"/>
    </sheetView>
  </sheetViews>
  <sheetFormatPr defaultRowHeight="14.4"/>
  <cols>
    <col min="1" max="1" width="34.5546875" customWidth="1" collapsed="1"/>
  </cols>
  <sheetData>
    <row r="1" spans="1:1">
      <c r="A1" t="s">
        <v>434</v>
      </c>
    </row>
    <row r="2" spans="1:1">
      <c r="A2" t="str">
        <f>'TC034-Create Order Calculation'!I2&amp;"-#1"</f>
        <v>MY-PNA-CUS-2310-003-#1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EF94-68E5-4525-B8AE-5245E9250F86}">
  <dimension ref="A1:X8"/>
  <sheetViews>
    <sheetView zoomScale="90" zoomScaleNormal="90" workbookViewId="0">
      <selection activeCell="C4" sqref="C4:C8"/>
    </sheetView>
  </sheetViews>
  <sheetFormatPr defaultColWidth="8.88671875" defaultRowHeight="13.8"/>
  <cols>
    <col min="1" max="1" width="5.77734375" style="14" customWidth="1" collapsed="1"/>
    <col min="2" max="5" width="30.77734375" style="18" customWidth="1" collapsed="1"/>
    <col min="6" max="24" width="20.77734375" style="18" customWidth="1" collapsed="1"/>
    <col min="25" max="16384" width="8.88671875" style="18" collapsed="1"/>
  </cols>
  <sheetData>
    <row r="1" spans="1:24">
      <c r="A1" s="14" t="s">
        <v>34</v>
      </c>
      <c r="B1" s="18" t="s">
        <v>126</v>
      </c>
      <c r="C1" s="18" t="s">
        <v>109</v>
      </c>
      <c r="D1" s="18" t="s">
        <v>36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  <c r="J1" s="18" t="s">
        <v>132</v>
      </c>
      <c r="K1" s="18" t="s">
        <v>133</v>
      </c>
      <c r="L1" s="18" t="s">
        <v>134</v>
      </c>
      <c r="M1" s="18" t="s">
        <v>135</v>
      </c>
      <c r="N1" s="18" t="s">
        <v>136</v>
      </c>
      <c r="O1" s="18" t="s">
        <v>104</v>
      </c>
      <c r="P1" s="18" t="s">
        <v>105</v>
      </c>
      <c r="Q1" s="18" t="s">
        <v>106</v>
      </c>
      <c r="R1" s="18" t="s">
        <v>107</v>
      </c>
      <c r="S1" s="18" t="s">
        <v>108</v>
      </c>
      <c r="T1" s="18" t="s">
        <v>137</v>
      </c>
      <c r="U1" s="18" t="s">
        <v>138</v>
      </c>
      <c r="V1" s="18" t="s">
        <v>139</v>
      </c>
      <c r="W1" s="18" t="s">
        <v>140</v>
      </c>
      <c r="X1" s="18" t="s">
        <v>141</v>
      </c>
    </row>
    <row r="2" spans="1:24">
      <c r="A2" s="14">
        <v>1</v>
      </c>
      <c r="B2" s="8" t="str">
        <f>AutoIncrement!B2&amp;"CUS-PNATEST,20230605000000000000-1"</f>
        <v>Z8CUS-PNATEST,20230605000000000000-1</v>
      </c>
      <c r="C2" s="8" t="str">
        <f>AutoIncrement!$B$2&amp;"BU-PNATEST,20230605000000000000-1"</f>
        <v>Z8BU-PNATEST,20230605000000000000-1</v>
      </c>
      <c r="D2" s="8" t="str">
        <f>AutoIncrement!$B$2&amp;"ATEST202306050000000000001"</f>
        <v>Z8ATEST202306050000000000001</v>
      </c>
      <c r="E2" s="8" t="s">
        <v>142</v>
      </c>
      <c r="F2" s="19" t="s">
        <v>99</v>
      </c>
      <c r="G2" s="18" t="str">
        <f>'TC007-Setup Data'!$B$2</f>
        <v>PNABU-L3-Z8-019</v>
      </c>
      <c r="H2" s="14" t="s">
        <v>143</v>
      </c>
      <c r="I2" s="20">
        <v>0.25</v>
      </c>
      <c r="J2" s="20">
        <v>0.2</v>
      </c>
      <c r="K2" s="20">
        <v>0.2</v>
      </c>
      <c r="L2" s="8" t="s">
        <v>114</v>
      </c>
      <c r="M2" s="8" t="s">
        <v>114</v>
      </c>
      <c r="N2" s="16">
        <v>1</v>
      </c>
      <c r="O2" s="17">
        <v>20</v>
      </c>
      <c r="P2" s="5">
        <v>10</v>
      </c>
      <c r="Q2" s="5">
        <v>1.1100000000000001</v>
      </c>
      <c r="R2" s="21">
        <v>1.1100000000000001</v>
      </c>
      <c r="S2" s="22">
        <v>1.1100000000000001</v>
      </c>
      <c r="T2" s="8" t="s">
        <v>144</v>
      </c>
      <c r="U2" s="22">
        <v>0.02</v>
      </c>
      <c r="V2" s="7" t="s">
        <v>145</v>
      </c>
      <c r="W2" s="7"/>
      <c r="X2" s="18" t="s">
        <v>146</v>
      </c>
    </row>
    <row r="3" spans="1:24">
      <c r="A3" s="14">
        <v>2</v>
      </c>
      <c r="B3" s="8" t="str">
        <f>AutoIncrement!B2&amp;"CUS-PNATEST,20230605000000000000-2"</f>
        <v>Z8CUS-PNATEST,20230605000000000000-2</v>
      </c>
      <c r="C3" s="8" t="str">
        <f>AutoIncrement!$B$2&amp;"BU-PNATEST,20230605000000000000-2"</f>
        <v>Z8BU-PNATEST,20230605000000000000-2</v>
      </c>
      <c r="D3" s="8" t="str">
        <f>AutoIncrement!$B$2&amp;"ATEST202306050000000000002"</f>
        <v>Z8ATEST202306050000000000002</v>
      </c>
      <c r="E3" s="8" t="s">
        <v>147</v>
      </c>
      <c r="F3" s="19" t="s">
        <v>99</v>
      </c>
      <c r="G3" s="18" t="str">
        <f>'TC007-Setup Data'!$B$2</f>
        <v>PNABU-L3-Z8-019</v>
      </c>
      <c r="H3" s="14" t="s">
        <v>143</v>
      </c>
      <c r="I3" s="20">
        <v>0.25</v>
      </c>
      <c r="J3" s="20">
        <v>0.2</v>
      </c>
      <c r="K3" s="20">
        <v>0.2</v>
      </c>
      <c r="L3" s="8" t="s">
        <v>114</v>
      </c>
      <c r="M3" s="8" t="s">
        <v>114</v>
      </c>
      <c r="N3" s="16">
        <v>1</v>
      </c>
      <c r="O3" s="17">
        <v>20</v>
      </c>
      <c r="P3" s="5">
        <v>10</v>
      </c>
      <c r="Q3" s="5">
        <v>1.1100000000000001</v>
      </c>
      <c r="R3" s="21">
        <v>1.1100000000000001</v>
      </c>
      <c r="S3" s="22">
        <v>1.1100000000000001</v>
      </c>
      <c r="T3" s="8" t="s">
        <v>144</v>
      </c>
      <c r="U3" s="22">
        <v>12.85</v>
      </c>
      <c r="V3" s="7" t="s">
        <v>145</v>
      </c>
      <c r="W3" s="7"/>
      <c r="X3" s="18" t="s">
        <v>148</v>
      </c>
    </row>
    <row r="4" spans="1:24">
      <c r="A4" s="14">
        <v>3</v>
      </c>
      <c r="B4" s="8" t="str">
        <f>AutoIncrement!B2&amp;"pna-1219AS-1"</f>
        <v>Z8pna-1219AS-1</v>
      </c>
      <c r="C4" s="8" t="str">
        <f>AutoIncrement!$B$2&amp;"pna-1219AS-1"</f>
        <v>Z8pna-1219AS-1</v>
      </c>
      <c r="D4" s="8" t="str">
        <f>'TC005-Req to Parts Master'!C4</f>
        <v>Z8pna1219AS1</v>
      </c>
      <c r="E4" s="9" t="s">
        <v>43</v>
      </c>
      <c r="F4" s="19" t="s">
        <v>99</v>
      </c>
      <c r="G4" s="18" t="str">
        <f>'TC007-Setup Data'!$B$2</f>
        <v>PNABU-L3-Z8-019</v>
      </c>
      <c r="H4" s="14" t="s">
        <v>149</v>
      </c>
      <c r="I4" s="20">
        <v>0.25</v>
      </c>
      <c r="J4" s="20">
        <v>0.2</v>
      </c>
      <c r="K4" s="20">
        <v>0.2</v>
      </c>
      <c r="L4" s="8" t="s">
        <v>20</v>
      </c>
      <c r="M4" s="8" t="s">
        <v>20</v>
      </c>
      <c r="N4" s="16">
        <v>1</v>
      </c>
      <c r="O4" s="17">
        <v>22000</v>
      </c>
      <c r="P4" s="5">
        <v>22000</v>
      </c>
      <c r="Q4" s="5">
        <v>1</v>
      </c>
      <c r="R4" s="21">
        <v>1</v>
      </c>
      <c r="S4" s="22">
        <v>1</v>
      </c>
      <c r="T4" s="8" t="s">
        <v>144</v>
      </c>
      <c r="U4" s="22">
        <v>0.23</v>
      </c>
      <c r="V4" s="7" t="s">
        <v>145</v>
      </c>
      <c r="W4" s="7"/>
      <c r="X4" s="18" t="s">
        <v>146</v>
      </c>
    </row>
    <row r="5" spans="1:24">
      <c r="A5" s="14">
        <v>4</v>
      </c>
      <c r="B5" s="8" t="str">
        <f>AutoIncrement!B2&amp;"pna-18001404835"</f>
        <v>Z8pna-18001404835</v>
      </c>
      <c r="C5" s="8" t="str">
        <f>AutoIncrement!$B$2&amp;"pna-18001404835"</f>
        <v>Z8pna-18001404835</v>
      </c>
      <c r="D5" s="8" t="str">
        <f>'TC005-Req to Parts Master'!C5</f>
        <v>Z8pna18001404835</v>
      </c>
      <c r="E5" s="9" t="s">
        <v>48</v>
      </c>
      <c r="F5" s="19" t="s">
        <v>99</v>
      </c>
      <c r="G5" s="18" t="str">
        <f>'TC007-Setup Data'!$B$2</f>
        <v>PNABU-L3-Z8-019</v>
      </c>
      <c r="H5" s="14" t="s">
        <v>149</v>
      </c>
      <c r="I5" s="20">
        <v>0.25</v>
      </c>
      <c r="J5" s="20">
        <v>0.2</v>
      </c>
      <c r="K5" s="20">
        <v>0.2</v>
      </c>
      <c r="L5" s="8" t="s">
        <v>13</v>
      </c>
      <c r="M5" s="8" t="s">
        <v>13</v>
      </c>
      <c r="N5" s="16">
        <v>1</v>
      </c>
      <c r="O5" s="17">
        <v>100</v>
      </c>
      <c r="P5" s="5">
        <v>100</v>
      </c>
      <c r="Q5" s="5">
        <v>1</v>
      </c>
      <c r="R5" s="21">
        <v>1</v>
      </c>
      <c r="S5" s="22">
        <v>1</v>
      </c>
      <c r="T5" s="8" t="s">
        <v>144</v>
      </c>
      <c r="U5" s="22">
        <v>0.23</v>
      </c>
      <c r="V5" s="23" t="s">
        <v>150</v>
      </c>
      <c r="W5" s="23"/>
      <c r="X5" s="18" t="s">
        <v>148</v>
      </c>
    </row>
    <row r="6" spans="1:24">
      <c r="A6" s="14">
        <v>5</v>
      </c>
      <c r="B6" s="8" t="str">
        <f>AutoIncrement!B2&amp;"pna-18007703930"</f>
        <v>Z8pna-18007703930</v>
      </c>
      <c r="C6" s="8" t="str">
        <f>AutoIncrement!$B$2&amp;"pna-18007703930"</f>
        <v>Z8pna-18007703930</v>
      </c>
      <c r="D6" s="8" t="str">
        <f>'TC005-Req to Parts Master'!C6</f>
        <v>Z8pna18007703930</v>
      </c>
      <c r="E6" s="9" t="s">
        <v>52</v>
      </c>
      <c r="F6" s="19" t="s">
        <v>99</v>
      </c>
      <c r="G6" s="18" t="str">
        <f>'TC007-Setup Data'!$B$2</f>
        <v>PNABU-L3-Z8-019</v>
      </c>
      <c r="H6" s="14" t="s">
        <v>149</v>
      </c>
      <c r="I6" s="20">
        <v>0.25</v>
      </c>
      <c r="J6" s="20">
        <v>0.2</v>
      </c>
      <c r="K6" s="20">
        <v>0.2</v>
      </c>
      <c r="L6" s="8" t="s">
        <v>13</v>
      </c>
      <c r="M6" s="8" t="s">
        <v>13</v>
      </c>
      <c r="N6" s="16">
        <v>1</v>
      </c>
      <c r="O6" s="17">
        <v>1500</v>
      </c>
      <c r="P6" s="5">
        <v>1500</v>
      </c>
      <c r="Q6" s="5">
        <v>1</v>
      </c>
      <c r="R6" s="21">
        <v>1</v>
      </c>
      <c r="S6" s="22">
        <v>1</v>
      </c>
      <c r="T6" s="8" t="s">
        <v>144</v>
      </c>
      <c r="U6" s="22">
        <v>0.23</v>
      </c>
      <c r="V6" s="23" t="s">
        <v>150</v>
      </c>
      <c r="W6" s="23"/>
      <c r="X6" s="18" t="s">
        <v>148</v>
      </c>
    </row>
    <row r="7" spans="1:24">
      <c r="A7" s="14">
        <v>6</v>
      </c>
      <c r="B7" s="8" t="str">
        <f>AutoIncrement!B2&amp;"pna-45050040130"</f>
        <v>Z8pna-45050040130</v>
      </c>
      <c r="C7" s="8" t="str">
        <f>AutoIncrement!$B$2&amp;"pna-45050040130"</f>
        <v>Z8pna-45050040130</v>
      </c>
      <c r="D7" s="8" t="str">
        <f>'TC005-Req to Parts Master'!C7</f>
        <v>Z8pna45050040130</v>
      </c>
      <c r="E7" s="9" t="s">
        <v>56</v>
      </c>
      <c r="F7" s="19" t="s">
        <v>99</v>
      </c>
      <c r="G7" s="18" t="str">
        <f>'TC007-Setup Data'!$B$2</f>
        <v>PNABU-L3-Z8-019</v>
      </c>
      <c r="H7" s="14" t="s">
        <v>149</v>
      </c>
      <c r="I7" s="20">
        <v>0.25</v>
      </c>
      <c r="J7" s="20">
        <v>0.2</v>
      </c>
      <c r="K7" s="20">
        <v>0.2</v>
      </c>
      <c r="L7" s="8" t="s">
        <v>13</v>
      </c>
      <c r="M7" s="8" t="s">
        <v>13</v>
      </c>
      <c r="N7" s="16">
        <v>1</v>
      </c>
      <c r="O7" s="17">
        <v>6000</v>
      </c>
      <c r="P7" s="5">
        <v>6000</v>
      </c>
      <c r="Q7" s="5">
        <v>1</v>
      </c>
      <c r="R7" s="21">
        <v>1</v>
      </c>
      <c r="S7" s="22">
        <v>1</v>
      </c>
      <c r="T7" s="8" t="s">
        <v>144</v>
      </c>
      <c r="U7" s="22">
        <v>0.23</v>
      </c>
      <c r="V7" s="23" t="s">
        <v>150</v>
      </c>
      <c r="W7" s="23"/>
      <c r="X7" s="18" t="s">
        <v>148</v>
      </c>
    </row>
    <row r="8" spans="1:24" ht="13.95" customHeight="1">
      <c r="A8" s="14">
        <v>7</v>
      </c>
      <c r="B8" s="8" t="str">
        <f>AutoIncrement!B2&amp;"pna-NSL-2BLACK"</f>
        <v>Z8pna-NSL-2BLACK</v>
      </c>
      <c r="C8" s="8" t="str">
        <f>AutoIncrement!$B$2&amp;"pna-NSL-2BLACK"</f>
        <v>Z8pna-NSL-2BLACK</v>
      </c>
      <c r="D8" s="8" t="str">
        <f>'TC005-Req to Parts Master'!C8</f>
        <v>Z8pnaNSL2BLACK</v>
      </c>
      <c r="E8" s="9" t="s">
        <v>60</v>
      </c>
      <c r="F8" s="19" t="s">
        <v>99</v>
      </c>
      <c r="G8" s="18" t="str">
        <f>'TC007-Setup Data'!$B$2</f>
        <v>PNABU-L3-Z8-019</v>
      </c>
      <c r="H8" s="14" t="s">
        <v>149</v>
      </c>
      <c r="I8" s="20">
        <v>0.25</v>
      </c>
      <c r="J8" s="20">
        <v>0.2</v>
      </c>
      <c r="K8" s="20">
        <v>0.2</v>
      </c>
      <c r="L8" s="8" t="s">
        <v>6</v>
      </c>
      <c r="M8" s="8" t="s">
        <v>6</v>
      </c>
      <c r="N8" s="16">
        <v>1</v>
      </c>
      <c r="O8" s="17">
        <v>20</v>
      </c>
      <c r="P8" s="5">
        <v>20</v>
      </c>
      <c r="Q8" s="5">
        <v>1</v>
      </c>
      <c r="R8" s="21">
        <v>1</v>
      </c>
      <c r="S8" s="22">
        <v>1</v>
      </c>
      <c r="T8" s="8" t="s">
        <v>144</v>
      </c>
      <c r="U8" s="21">
        <v>10</v>
      </c>
      <c r="V8" s="23" t="s">
        <v>150</v>
      </c>
      <c r="W8" s="23"/>
      <c r="X8" s="18" t="s">
        <v>148</v>
      </c>
    </row>
  </sheetData>
  <dataValidations count="2">
    <dataValidation type="list" allowBlank="1" showErrorMessage="1" sqref="T2:T8" xr:uid="{5FAC599B-39B5-4650-9FF7-7D49078A10EB}">
      <formula1>CURRENCY_CODE</formula1>
    </dataValidation>
    <dataValidation type="list" allowBlank="1" showErrorMessage="1" sqref="H2:H8" xr:uid="{3DDAD967-7EBD-44C1-B04E-E451834DB179}">
      <formula1>REPACKING_TYPE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74-AAB7-42E2-82B3-943E4F1CC700}">
  <dimension ref="A1:E7"/>
  <sheetViews>
    <sheetView zoomScale="130" zoomScaleNormal="130" workbookViewId="0">
      <selection activeCell="D7" sqref="D7"/>
    </sheetView>
  </sheetViews>
  <sheetFormatPr defaultColWidth="8.88671875" defaultRowHeight="13.8"/>
  <cols>
    <col min="1" max="1" width="30.77734375" style="1" customWidth="1" collapsed="1"/>
    <col min="2" max="5" width="20.77734375" style="1" customWidth="1" collapsed="1"/>
    <col min="6" max="16384" width="8.88671875" style="1" collapsed="1"/>
  </cols>
  <sheetData>
    <row r="1" spans="1:5">
      <c r="A1" s="1" t="s">
        <v>36</v>
      </c>
      <c r="B1" s="1" t="s">
        <v>430</v>
      </c>
      <c r="C1" s="1" t="s">
        <v>431</v>
      </c>
      <c r="D1" s="1" t="s">
        <v>432</v>
      </c>
      <c r="E1" s="1" t="s">
        <v>433</v>
      </c>
    </row>
    <row r="2" spans="1:5">
      <c r="A2" s="105" t="str">
        <f>AutoIncrement!B2&amp;"ATEST202306050000000000001"</f>
        <v>Z8ATEST202306050000000000001</v>
      </c>
      <c r="B2" s="106">
        <v>200</v>
      </c>
      <c r="C2" s="107">
        <v>0</v>
      </c>
      <c r="D2" s="107">
        <v>200</v>
      </c>
      <c r="E2" s="107">
        <v>0</v>
      </c>
    </row>
    <row r="3" spans="1:5">
      <c r="A3" s="105" t="str">
        <f>AutoIncrement!B2&amp;"ATEST202306050000000000002"</f>
        <v>Z8ATEST202306050000000000002</v>
      </c>
      <c r="B3" s="106">
        <v>200</v>
      </c>
      <c r="C3" s="107">
        <v>200</v>
      </c>
      <c r="D3" s="107">
        <v>0</v>
      </c>
      <c r="E3" s="107">
        <v>0</v>
      </c>
    </row>
    <row r="4" spans="1:5">
      <c r="A4" s="105" t="str">
        <f>AutoIncrement!B2&amp;"pna1219AS1"</f>
        <v>Z8pna1219AS1</v>
      </c>
      <c r="B4" s="106">
        <v>44000</v>
      </c>
      <c r="C4" s="107">
        <v>0</v>
      </c>
      <c r="D4" s="107">
        <v>0</v>
      </c>
      <c r="E4" s="106">
        <v>44000</v>
      </c>
    </row>
    <row r="5" spans="1:5">
      <c r="A5" s="105" t="str">
        <f>AutoIncrement!B2&amp;"pna18007703930"</f>
        <v>Z8pna18007703930</v>
      </c>
      <c r="B5" s="107">
        <v>1500</v>
      </c>
      <c r="C5" s="107">
        <v>0</v>
      </c>
      <c r="D5" s="107">
        <v>0</v>
      </c>
      <c r="E5" s="107">
        <v>1500</v>
      </c>
    </row>
    <row r="6" spans="1:5">
      <c r="A6" s="105" t="str">
        <f>AutoIncrement!B2&amp;"pna45050040130"</f>
        <v>Z8pna45050040130</v>
      </c>
      <c r="B6" s="106">
        <v>6000</v>
      </c>
      <c r="C6" s="107">
        <v>0</v>
      </c>
      <c r="D6" s="107">
        <v>0</v>
      </c>
      <c r="E6" s="107">
        <v>6000</v>
      </c>
    </row>
    <row r="7" spans="1:5">
      <c r="A7" s="105" t="str">
        <f>AutoIncrement!B2&amp;"pnaNSL2BLACK"</f>
        <v>Z8pnaNSL2BLACK</v>
      </c>
      <c r="B7" s="106">
        <v>200</v>
      </c>
      <c r="C7" s="107">
        <v>0</v>
      </c>
      <c r="D7" s="107">
        <v>0</v>
      </c>
      <c r="E7" s="107">
        <v>200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138-9367-484A-9791-5A401F5DD260}">
  <dimension ref="A1:C3"/>
  <sheetViews>
    <sheetView zoomScale="90" zoomScaleNormal="90" workbookViewId="0">
      <selection activeCell="A3" sqref="A3"/>
    </sheetView>
  </sheetViews>
  <sheetFormatPr defaultColWidth="8.88671875" defaultRowHeight="13.8"/>
  <cols>
    <col min="1" max="3" width="20.77734375" style="1" customWidth="1" collapsed="1"/>
    <col min="4" max="16384" width="8.88671875" style="1" collapsed="1"/>
  </cols>
  <sheetData>
    <row r="1" spans="1:3">
      <c r="A1" s="1" t="s">
        <v>431</v>
      </c>
      <c r="B1" s="1" t="s">
        <v>432</v>
      </c>
      <c r="C1" s="1" t="s">
        <v>433</v>
      </c>
    </row>
    <row r="2" spans="1:3">
      <c r="A2" s="1" t="str">
        <f ca="1">TEXT(DATE(YEAR(TODAY()), MONTH(TODAY()), DAY(TODAY())), "dd MMM yyyy")</f>
        <v>17 Nov 2023</v>
      </c>
      <c r="B2" s="1" t="str">
        <f ca="1">TEXT(DATE(YEAR(TODAY()), MONTH(TODAY()), DAY(TODAY()+1)), "dd MMM yyyy")</f>
        <v>18 Nov 2023</v>
      </c>
      <c r="C2" s="1" t="str">
        <f ca="1">TEXT(DATE(YEAR(TODAY()), MONTH(TODAY()), DAY(TODAY())), "dd MMM yyyy")</f>
        <v>17 Nov 2023</v>
      </c>
    </row>
    <row r="3" spans="1:3">
      <c r="A3" s="1" t="str">
        <f ca="1">TEXT(DATE(YEAR(TODAY()), MONTH(TODAY()), DAY(TODAY())+15), "dd MMM yyyy")</f>
        <v>02 Dec 2023</v>
      </c>
      <c r="B3" s="1" t="str">
        <f ca="1">TEXT(DATE(YEAR(TODAY()), MONTH(TODAY()), DAY(TODAY())+16), "dd MMM yyyy")</f>
        <v>03 Dec 2023</v>
      </c>
      <c r="C3" s="1" t="str">
        <f ca="1">TEXT(DATE(YEAR(TODAY()), MONTH(TODAY()), DAY(TODAY())+31), "dd MMM yyyy")</f>
        <v>18 Dec 2023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46CB-36F1-4F4C-AD65-CDDD909ADE19}">
  <dimension ref="A1:A2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7" style="1" customWidth="1" collapsed="1"/>
    <col min="2" max="16384" width="8.88671875" style="1" collapsed="1"/>
  </cols>
  <sheetData>
    <row r="1" spans="1:1">
      <c r="A1" s="123" t="s">
        <v>435</v>
      </c>
    </row>
    <row r="2" spans="1:1" ht="14.4">
      <c r="A2" t="s">
        <v>817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0F6C-68CC-4871-966F-BB786B4E813B}">
  <dimension ref="A1:B3"/>
  <sheetViews>
    <sheetView workbookViewId="0">
      <selection activeCell="A3" sqref="A3"/>
    </sheetView>
  </sheetViews>
  <sheetFormatPr defaultRowHeight="14.4"/>
  <cols>
    <col min="1" max="1" width="18.6640625" customWidth="1" collapsed="1"/>
    <col min="2" max="2" width="29.21875" customWidth="1" collapsed="1"/>
  </cols>
  <sheetData>
    <row r="1" spans="1:2">
      <c r="A1" s="197" t="s">
        <v>620</v>
      </c>
      <c r="B1" t="s">
        <v>129</v>
      </c>
    </row>
    <row r="2" spans="1:2">
      <c r="A2" t="s">
        <v>818</v>
      </c>
      <c r="B2" t="str">
        <f>'TC011-Setup Data'!A2</f>
        <v>ELASUP-Z8s1-019</v>
      </c>
    </row>
    <row r="3" spans="1:2">
      <c r="A3" t="s">
        <v>819</v>
      </c>
      <c r="B3" t="str">
        <f>'TC012-Setup Data'!A2</f>
        <v>JPYAZ-Z8s2-019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E362-5A8A-4CCF-9737-FB4875C211B8}">
  <dimension ref="A1:J3"/>
  <sheetViews>
    <sheetView workbookViewId="0">
      <selection activeCell="C4" sqref="C4"/>
    </sheetView>
  </sheetViews>
  <sheetFormatPr defaultRowHeight="14.4"/>
  <cols>
    <col min="2" max="3" width="24.44140625" customWidth="1" collapsed="1"/>
    <col min="4" max="4" width="19.33203125" customWidth="1" collapsed="1"/>
    <col min="5" max="5" width="20.5546875" customWidth="1" collapsed="1"/>
    <col min="6" max="6" width="13" customWidth="1" collapsed="1"/>
    <col min="8" max="8" width="20.6640625" customWidth="1" collapsed="1"/>
    <col min="9" max="9" width="19.109375" customWidth="1" collapsed="1"/>
    <col min="10" max="10" width="23.88671875" style="186" customWidth="1" collapsed="1"/>
  </cols>
  <sheetData>
    <row r="1" spans="1:10" ht="15" thickBot="1">
      <c r="A1" s="201" t="s">
        <v>34</v>
      </c>
      <c r="B1" s="205" t="s">
        <v>407</v>
      </c>
      <c r="C1" s="202" t="s">
        <v>129</v>
      </c>
      <c r="D1" s="202" t="s">
        <v>702</v>
      </c>
      <c r="E1" s="202" t="s">
        <v>283</v>
      </c>
      <c r="F1" s="202" t="s">
        <v>152</v>
      </c>
      <c r="G1" s="202" t="s">
        <v>74</v>
      </c>
      <c r="H1" s="202" t="s">
        <v>509</v>
      </c>
      <c r="I1" s="202" t="s">
        <v>487</v>
      </c>
      <c r="J1" s="206" t="s">
        <v>703</v>
      </c>
    </row>
    <row r="2" spans="1:10" ht="15" thickBot="1">
      <c r="A2" s="203">
        <v>1</v>
      </c>
      <c r="B2" s="204" t="str">
        <f>'TC073 AutoGen'!A2</f>
        <v>pZ525-2310005</v>
      </c>
      <c r="C2" t="str">
        <f>'TC011-Setup Data'!A2</f>
        <v>ELASUP-Z8s1-019</v>
      </c>
      <c r="D2" s="196" t="s">
        <v>15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207">
        <f ca="1">TODAY()</f>
        <v>45247</v>
      </c>
    </row>
    <row r="3" spans="1:10" ht="15" thickBot="1">
      <c r="A3" s="203">
        <v>2</v>
      </c>
      <c r="B3" s="204" t="str">
        <f>'TC073 AutoGen'!A3</f>
        <v>pZ525-2310004</v>
      </c>
      <c r="C3" t="str">
        <f>'TC012-Setup Data'!A2</f>
        <v>JPYAZ-Z8s2-019</v>
      </c>
      <c r="D3" s="196" t="s">
        <v>15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207">
        <f ca="1">TODAY()</f>
        <v>45247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730-B7A1-402A-B8A1-08B30024CC90}">
  <dimension ref="A1:C4"/>
  <sheetViews>
    <sheetView workbookViewId="0">
      <selection activeCell="A4" sqref="A4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3">
      <c r="A1" s="97" t="s">
        <v>339</v>
      </c>
      <c r="B1" s="98" t="s">
        <v>408</v>
      </c>
      <c r="C1" t="s">
        <v>137</v>
      </c>
    </row>
    <row r="2" spans="1:3">
      <c r="A2" s="99" t="str">
        <f>'TC051'!$F2</f>
        <v>Z8ATEST202306050000000000001</v>
      </c>
      <c r="B2" s="167">
        <v>2.0019999999999998</v>
      </c>
      <c r="C2" s="210" t="s">
        <v>707</v>
      </c>
    </row>
    <row r="3" spans="1:3">
      <c r="A3" s="99" t="str">
        <f>'TC051'!$F3</f>
        <v>Z8ATEST202306050000000000002</v>
      </c>
      <c r="B3" s="167">
        <v>2</v>
      </c>
      <c r="C3" s="210" t="s">
        <v>707</v>
      </c>
    </row>
    <row r="4" spans="1:3">
      <c r="A4" s="99" t="str">
        <f>'TC051'!$F4</f>
        <v>Z8pna1219AS1</v>
      </c>
      <c r="B4" s="167">
        <v>10.000999999999999</v>
      </c>
      <c r="C4" s="210" t="s">
        <v>707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6A-FF38-4D66-91D1-1A4AF16B55E1}">
  <dimension ref="A1:D2"/>
  <sheetViews>
    <sheetView workbookViewId="0">
      <selection activeCell="C2" sqref="C2"/>
    </sheetView>
  </sheetViews>
  <sheetFormatPr defaultRowHeight="14.4"/>
  <cols>
    <col min="2" max="2" width="34.44140625" customWidth="1" collapsed="1"/>
    <col min="3" max="3" width="17.5546875" customWidth="1" collapsed="1"/>
    <col min="4" max="4" width="19" customWidth="1" collapsed="1"/>
  </cols>
  <sheetData>
    <row r="1" spans="1:4">
      <c r="A1" s="184" t="s">
        <v>34</v>
      </c>
      <c r="B1" s="184" t="s">
        <v>407</v>
      </c>
      <c r="C1" s="209" t="s">
        <v>706</v>
      </c>
      <c r="D1" t="s">
        <v>766</v>
      </c>
    </row>
    <row r="2" spans="1:4" ht="16.8" customHeight="1">
      <c r="A2" s="184">
        <v>1</v>
      </c>
      <c r="B2" s="208" t="str">
        <f>'TC011-Setup Data'!A2</f>
        <v>ELASUP-Z8s1-019</v>
      </c>
      <c r="C2" t="s">
        <v>820</v>
      </c>
      <c r="D2" t="s">
        <v>34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DA65-1FB9-4F81-974F-9E95135C4516}">
  <dimension ref="A1:C2"/>
  <sheetViews>
    <sheetView workbookViewId="0">
      <selection activeCell="B24" sqref="B24"/>
    </sheetView>
  </sheetViews>
  <sheetFormatPr defaultRowHeight="14.4"/>
  <cols>
    <col min="2" max="2" width="38.33203125" customWidth="1" collapsed="1"/>
    <col min="3" max="3" width="30" customWidth="1" collapsed="1"/>
  </cols>
  <sheetData>
    <row r="1" spans="1:3">
      <c r="A1" s="184" t="s">
        <v>34</v>
      </c>
      <c r="B1" s="184" t="s">
        <v>407</v>
      </c>
      <c r="C1" s="209" t="s">
        <v>706</v>
      </c>
    </row>
    <row r="2" spans="1:3">
      <c r="A2" s="184">
        <v>1</v>
      </c>
      <c r="B2" s="208" t="str">
        <f>'TC012-Setup Data'!A2</f>
        <v>JPYAZ-Z8s2-019</v>
      </c>
      <c r="C2" t="s">
        <v>821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D890-2BD5-425E-A570-40FCE152FADB}">
  <dimension ref="A1:U2"/>
  <sheetViews>
    <sheetView topLeftCell="F1" workbookViewId="0">
      <selection activeCell="K3" sqref="K3"/>
    </sheetView>
  </sheetViews>
  <sheetFormatPr defaultRowHeight="14.4"/>
  <cols>
    <col min="1" max="1" width="17.109375" customWidth="1" collapsed="1"/>
    <col min="3" max="3" width="28" customWidth="1" collapsed="1"/>
    <col min="4" max="4" width="31.44140625" customWidth="1" collapsed="1"/>
    <col min="5" max="5" width="29.6640625" customWidth="1" collapsed="1"/>
    <col min="6" max="6" width="23.44140625" customWidth="1" collapsed="1"/>
    <col min="7" max="7" width="27" customWidth="1" collapsed="1"/>
    <col min="10" max="10" width="21.88671875" customWidth="1" collapsed="1"/>
    <col min="11" max="11" width="16.88671875" customWidth="1" collapsed="1"/>
    <col min="12" max="12" width="19.21875" customWidth="1" collapsed="1"/>
    <col min="13" max="13" width="14.33203125" customWidth="1" collapsed="1"/>
  </cols>
  <sheetData>
    <row r="1" spans="1:21" ht="52.8">
      <c r="A1" s="154" t="s">
        <v>33</v>
      </c>
      <c r="B1" s="155" t="s">
        <v>621</v>
      </c>
      <c r="C1" s="156" t="s">
        <v>339</v>
      </c>
      <c r="D1" s="156" t="s">
        <v>622</v>
      </c>
      <c r="E1" s="157" t="s">
        <v>623</v>
      </c>
      <c r="F1" s="157" t="s">
        <v>624</v>
      </c>
      <c r="G1" s="157" t="s">
        <v>625</v>
      </c>
      <c r="H1" s="158" t="s">
        <v>436</v>
      </c>
      <c r="I1" s="158" t="s">
        <v>626</v>
      </c>
      <c r="J1" s="159" t="s">
        <v>627</v>
      </c>
      <c r="K1" s="159" t="s">
        <v>628</v>
      </c>
      <c r="L1" s="159" t="s">
        <v>403</v>
      </c>
      <c r="M1" s="158" t="s">
        <v>629</v>
      </c>
      <c r="N1" s="158" t="s">
        <v>137</v>
      </c>
      <c r="O1" s="160" t="s">
        <v>630</v>
      </c>
      <c r="P1" s="160" t="s">
        <v>631</v>
      </c>
      <c r="Q1" s="160" t="s">
        <v>632</v>
      </c>
      <c r="R1" s="160" t="s">
        <v>633</v>
      </c>
      <c r="S1" s="160" t="s">
        <v>634</v>
      </c>
      <c r="T1" s="160" t="s">
        <v>635</v>
      </c>
      <c r="U1" s="160" t="s">
        <v>636</v>
      </c>
    </row>
    <row r="2" spans="1:21" ht="17.399999999999999" customHeight="1">
      <c r="A2" s="161" t="s">
        <v>245</v>
      </c>
      <c r="B2" s="161"/>
      <c r="C2" s="162" t="str">
        <f>'TC005-Req to Parts Master'!C4</f>
        <v>Z8pna1219AS1</v>
      </c>
      <c r="D2" s="162" t="str">
        <f>'TC011-Setup Data'!A2</f>
        <v>ELASUP-Z8s1-019</v>
      </c>
      <c r="E2" s="163" t="s">
        <v>145</v>
      </c>
      <c r="F2" s="162" t="str">
        <f>'TC005-Req to Parts Master'!B4</f>
        <v>Z8pna-1219AS-1</v>
      </c>
      <c r="G2" s="162" t="str">
        <f>'TC005-Req to Parts Master'!B4</f>
        <v>Z8pna-1219AS-1</v>
      </c>
      <c r="H2" s="164"/>
      <c r="I2" s="164"/>
      <c r="J2" s="165">
        <f ca="1">TODAY()</f>
        <v>45247</v>
      </c>
      <c r="K2" s="165">
        <f ca="1">TODAY()+20</f>
        <v>45267</v>
      </c>
      <c r="L2" s="166">
        <v>22000</v>
      </c>
      <c r="M2" s="167">
        <v>20.001000000000001</v>
      </c>
      <c r="N2" s="168" t="s">
        <v>442</v>
      </c>
      <c r="O2" s="146">
        <v>22000</v>
      </c>
      <c r="P2" s="146">
        <v>22000</v>
      </c>
      <c r="Q2" s="164" t="s">
        <v>20</v>
      </c>
      <c r="R2" s="164" t="s">
        <v>20</v>
      </c>
      <c r="S2" s="147">
        <v>1</v>
      </c>
      <c r="T2" s="169">
        <v>4</v>
      </c>
      <c r="U2" s="169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2EE3-A351-44D1-B4DA-95DE009336C1}">
  <dimension ref="A1:Q2"/>
  <sheetViews>
    <sheetView topLeftCell="H1" workbookViewId="0">
      <selection activeCell="Q2" sqref="Q2"/>
    </sheetView>
  </sheetViews>
  <sheetFormatPr defaultColWidth="8.88671875" defaultRowHeight="13.8"/>
  <cols>
    <col min="1" max="16" width="20.77734375" style="1" customWidth="1" collapsed="1"/>
    <col min="17" max="17" width="16" style="1" customWidth="1" collapsed="1"/>
    <col min="18" max="16384" width="8.88671875" style="1" collapsed="1"/>
  </cols>
  <sheetData>
    <row r="1" spans="1:17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  <c r="Q1" s="211" t="s">
        <v>713</v>
      </c>
    </row>
    <row r="2" spans="1:17" ht="14.4">
      <c r="A2" s="1" t="str">
        <f>AutoIncrement!B2&amp;"pna1219AS1"</f>
        <v>Z8pna1219AS1</v>
      </c>
      <c r="B2" s="46" t="str">
        <f>AutoIncrement!B2&amp;"pna-1219AS-1"</f>
        <v>Z8pna-1219AS-1</v>
      </c>
      <c r="E2" s="1" t="s">
        <v>145</v>
      </c>
      <c r="F2" s="1" t="s">
        <v>145</v>
      </c>
      <c r="G2" s="50">
        <v>44000</v>
      </c>
      <c r="H2" s="110">
        <v>44000</v>
      </c>
      <c r="I2" s="50">
        <v>22000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22000</v>
      </c>
      <c r="O2" s="50" t="s">
        <v>429</v>
      </c>
      <c r="P2" s="50">
        <v>22000</v>
      </c>
      <c r="Q2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194</vt:i4>
      </vt:variant>
    </vt:vector>
  </HeadingPairs>
  <TitlesOfParts>
    <vt:vector size="194" baseType="lpstr">
      <vt:lpstr>AutoIncrement</vt:lpstr>
      <vt:lpstr>TC001</vt:lpstr>
      <vt:lpstr>TC002</vt:lpstr>
      <vt:lpstr>TC003</vt:lpstr>
      <vt:lpstr>TC004</vt:lpstr>
      <vt:lpstr>TC005-Req to Parts Master</vt:lpstr>
      <vt:lpstr>TC005-Description</vt:lpstr>
      <vt:lpstr>TC005-Autogen</vt:lpstr>
      <vt:lpstr>TC007-Contract Parts Info</vt:lpstr>
      <vt:lpstr>TC007-Received Req Info</vt:lpstr>
      <vt:lpstr>TC007-Setup Data</vt:lpstr>
      <vt:lpstr>TC008</vt:lpstr>
      <vt:lpstr>TC008-PartDetail</vt:lpstr>
      <vt:lpstr>TC009</vt:lpstr>
      <vt:lpstr>TC010</vt:lpstr>
      <vt:lpstr>TC010.1</vt:lpstr>
      <vt:lpstr>TC010.1ETAWeek</vt:lpstr>
      <vt:lpstr>TC10.2</vt:lpstr>
      <vt:lpstr>TC011</vt:lpstr>
      <vt:lpstr>TC011-Setup Data</vt:lpstr>
      <vt:lpstr>TC011-Received Req Info (SUP1)</vt:lpstr>
      <vt:lpstr>TC011.1</vt:lpstr>
      <vt:lpstr>TC011.1ETAWeek</vt:lpstr>
      <vt:lpstr>TC11.2</vt:lpstr>
      <vt:lpstr>TC012</vt:lpstr>
      <vt:lpstr>TC012-Received Req Info (SUP2)</vt:lpstr>
      <vt:lpstr>TC012-Setup Data</vt:lpstr>
      <vt:lpstr>TC013-DT_ELA</vt:lpstr>
      <vt:lpstr>TC013-DT_YAZ</vt:lpstr>
      <vt:lpstr>TC014</vt:lpstr>
      <vt:lpstr>TC014-DT</vt:lpstr>
      <vt:lpstr>TC015</vt:lpstr>
      <vt:lpstr>TC015-DT</vt:lpstr>
      <vt:lpstr>TC016</vt:lpstr>
      <vt:lpstr>TC017</vt:lpstr>
      <vt:lpstr>TC018</vt:lpstr>
      <vt:lpstr>TC019</vt:lpstr>
      <vt:lpstr>TC20-Req Add New Part (L2)</vt:lpstr>
      <vt:lpstr>TC20-Req Add New Part Info (L2)</vt:lpstr>
      <vt:lpstr>TC20-Autogen Data</vt:lpstr>
      <vt:lpstr>TC021-Contrct Part Info L2 (BU)</vt:lpstr>
      <vt:lpstr>TC021-Received Req Info L2 (BU)</vt:lpstr>
      <vt:lpstr>TC021-Setup Data</vt:lpstr>
      <vt:lpstr>TC022</vt:lpstr>
      <vt:lpstr>TC024</vt:lpstr>
      <vt:lpstr>TC025</vt:lpstr>
      <vt:lpstr>TC026-L3</vt:lpstr>
      <vt:lpstr>TC026-L2</vt:lpstr>
      <vt:lpstr>TC027-materialFieldLvl1</vt:lpstr>
      <vt:lpstr>TC027-materialFieldLvl2</vt:lpstr>
      <vt:lpstr>TC027-Field</vt:lpstr>
      <vt:lpstr>TC027-Level 1</vt:lpstr>
      <vt:lpstr>TC027-Level 2</vt:lpstr>
      <vt:lpstr>TC027-product plan</vt:lpstr>
      <vt:lpstr>TC027-AutoGen</vt:lpstr>
      <vt:lpstr>TC028</vt:lpstr>
      <vt:lpstr>TC029</vt:lpstr>
      <vt:lpstr>TC030-L3</vt:lpstr>
      <vt:lpstr>TC30-L2</vt:lpstr>
      <vt:lpstr>TC031-Create Order Calc Group</vt:lpstr>
      <vt:lpstr>TC033-Up Stock Mngmt Calc Set</vt:lpstr>
      <vt:lpstr>TC034-Create Order Calculation</vt:lpstr>
      <vt:lpstr>TC36</vt:lpstr>
      <vt:lpstr>TC037</vt:lpstr>
      <vt:lpstr>TC038</vt:lpstr>
      <vt:lpstr>TC041-L3</vt:lpstr>
      <vt:lpstr>TC41-L2</vt:lpstr>
      <vt:lpstr>TC42</vt:lpstr>
      <vt:lpstr>TC043</vt:lpstr>
      <vt:lpstr>TC046-L3</vt:lpstr>
      <vt:lpstr>TC46-L2</vt:lpstr>
      <vt:lpstr>TC47</vt:lpstr>
      <vt:lpstr>TC048</vt:lpstr>
      <vt:lpstr>TC049 autogen</vt:lpstr>
      <vt:lpstr>TC049</vt:lpstr>
      <vt:lpstr>TC050-Sup1 SO List</vt:lpstr>
      <vt:lpstr>TC051_price</vt:lpstr>
      <vt:lpstr>TC051</vt:lpstr>
      <vt:lpstr>TC057-L3</vt:lpstr>
      <vt:lpstr>TC057-L2</vt:lpstr>
      <vt:lpstr>TC058n59</vt:lpstr>
      <vt:lpstr>TC59 AutoGen</vt:lpstr>
      <vt:lpstr>TC060</vt:lpstr>
      <vt:lpstr>TC061</vt:lpstr>
      <vt:lpstr>TC063</vt:lpstr>
      <vt:lpstr>TC065</vt:lpstr>
      <vt:lpstr>TC067</vt:lpstr>
      <vt:lpstr>TC071</vt:lpstr>
      <vt:lpstr>TC072-Spot OCRN</vt:lpstr>
      <vt:lpstr>TC072-Place Spot Order</vt:lpstr>
      <vt:lpstr>TC072-Inbound Plan Date</vt:lpstr>
      <vt:lpstr>TC072-Spot Customer Usage</vt:lpstr>
      <vt:lpstr>TC073 AutoGen</vt:lpstr>
      <vt:lpstr>TC073</vt:lpstr>
      <vt:lpstr>TC074_price</vt:lpstr>
      <vt:lpstr>TC074</vt:lpstr>
      <vt:lpstr>TC075</vt:lpstr>
      <vt:lpstr>TC077</vt:lpstr>
      <vt:lpstr>TC078-BU AutoGen PO</vt:lpstr>
      <vt:lpstr>TC079-AutoGen</vt:lpstr>
      <vt:lpstr>TC080</vt:lpstr>
      <vt:lpstr>TC080-AutoGen</vt:lpstr>
      <vt:lpstr>TC081-BU Check PO</vt:lpstr>
      <vt:lpstr>TC082</vt:lpstr>
      <vt:lpstr>TC083</vt:lpstr>
      <vt:lpstr>TC083-Date</vt:lpstr>
      <vt:lpstr>TC084-Change Request No</vt:lpstr>
      <vt:lpstr>TC084-Sup1 AutoGen Change</vt:lpstr>
      <vt:lpstr>TC085-BU AutoGen Change</vt:lpstr>
      <vt:lpstr>TC088-BU Propose New Date</vt:lpstr>
      <vt:lpstr>TC089-Sup1 Check Change</vt:lpstr>
      <vt:lpstr>TC092-Supplier Date Change</vt:lpstr>
      <vt:lpstr>TC094-BU Check Change</vt:lpstr>
      <vt:lpstr>TC099-BU Check PO</vt:lpstr>
      <vt:lpstr>TC100</vt:lpstr>
      <vt:lpstr>TC102-Outbound No</vt:lpstr>
      <vt:lpstr>TC102-Supplier1 Outbound</vt:lpstr>
      <vt:lpstr>TC102-Supplier1 GI Invoice</vt:lpstr>
      <vt:lpstr>TC105n106_NonFContainer</vt:lpstr>
      <vt:lpstr>TC105_PO</vt:lpstr>
      <vt:lpstr>TC106_SO</vt:lpstr>
      <vt:lpstr>TC107</vt:lpstr>
      <vt:lpstr>TC110</vt:lpstr>
      <vt:lpstr>TC111-Change Request No</vt:lpstr>
      <vt:lpstr>TC111-BU AutoGen Change</vt:lpstr>
      <vt:lpstr>TC113-BU Check PO</vt:lpstr>
      <vt:lpstr>TC114</vt:lpstr>
      <vt:lpstr>TC114.1-Get SOid YAZ</vt:lpstr>
      <vt:lpstr>TC115-Supplier2 Outbound</vt:lpstr>
      <vt:lpstr>TC115-Outbound No</vt:lpstr>
      <vt:lpstr>TC117_PO</vt:lpstr>
      <vt:lpstr>TC117-BU AutoGen Cargo Tracking</vt:lpstr>
      <vt:lpstr>TC118-Supplier2 Cargo Tracking</vt:lpstr>
      <vt:lpstr>TC118_SO</vt:lpstr>
      <vt:lpstr>TC119-TC121</vt:lpstr>
      <vt:lpstr>TC121.1 autoGen Invoice</vt:lpstr>
      <vt:lpstr>TC122-AutoGen</vt:lpstr>
      <vt:lpstr>TC123-Supplier2 GI Invoice</vt:lpstr>
      <vt:lpstr>TC126</vt:lpstr>
      <vt:lpstr>TC126-Setup</vt:lpstr>
      <vt:lpstr>TC129</vt:lpstr>
      <vt:lpstr>TC132-BU Check Cargo Tracking</vt:lpstr>
      <vt:lpstr>TC132_PO</vt:lpstr>
      <vt:lpstr>TC134_SO</vt:lpstr>
      <vt:lpstr>TC138-L3</vt:lpstr>
      <vt:lpstr>TC138-L2</vt:lpstr>
      <vt:lpstr>TC142_PO</vt:lpstr>
      <vt:lpstr>TC144_SO</vt:lpstr>
      <vt:lpstr>TC147-BU Check Cargo Tracking</vt:lpstr>
      <vt:lpstr>TC147_PO</vt:lpstr>
      <vt:lpstr>TC148-Supplier1 Cargo Tracking</vt:lpstr>
      <vt:lpstr>TC149_SO</vt:lpstr>
      <vt:lpstr>TC149-Supplier2 Cargo Tracking</vt:lpstr>
      <vt:lpstr>TC150-DC Inbound</vt:lpstr>
      <vt:lpstr>TC154-Upload Customer Stock</vt:lpstr>
      <vt:lpstr>TC154-Stock Date</vt:lpstr>
      <vt:lpstr>TC155-Upload Stock Adjustment</vt:lpstr>
      <vt:lpstr>TC155-Adjustment Date</vt:lpstr>
      <vt:lpstr>TC158-L3</vt:lpstr>
      <vt:lpstr>TC158-L2</vt:lpstr>
      <vt:lpstr>TC159-Customer DI Parts</vt:lpstr>
      <vt:lpstr>TC159-DI Parts Date</vt:lpstr>
      <vt:lpstr>TC159-AutoGenerate</vt:lpstr>
      <vt:lpstr>TC160</vt:lpstr>
      <vt:lpstr>TC162</vt:lpstr>
      <vt:lpstr>TC164-DC Outbound Prio</vt:lpstr>
      <vt:lpstr>TC165-DC Outbound L2</vt:lpstr>
      <vt:lpstr>TC165-Outbound List</vt:lpstr>
      <vt:lpstr>TC166-Customer Check CO1</vt:lpstr>
      <vt:lpstr>TC166-Customer Check CO2</vt:lpstr>
      <vt:lpstr>TC167-BU Check SO1</vt:lpstr>
      <vt:lpstr>TC167-BU Check SO2</vt:lpstr>
      <vt:lpstr>TC168_SO</vt:lpstr>
      <vt:lpstr>TC169_CO</vt:lpstr>
      <vt:lpstr>TC170</vt:lpstr>
      <vt:lpstr>TC172-Seller GI Invoice</vt:lpstr>
      <vt:lpstr>TC176-Customer Inbound L2</vt:lpstr>
      <vt:lpstr>TC176-AutoGenCO</vt:lpstr>
      <vt:lpstr>TC177-Customer Check CO1</vt:lpstr>
      <vt:lpstr>TC177-Customer Check CO2</vt:lpstr>
      <vt:lpstr>TC178-BU Check SO1</vt:lpstr>
      <vt:lpstr>TC178-BU Check SO2</vt:lpstr>
      <vt:lpstr>TC179-Customer Shipping Detail</vt:lpstr>
      <vt:lpstr>TC180</vt:lpstr>
      <vt:lpstr>TC181-Customer Cargo Tracking</vt:lpstr>
      <vt:lpstr>TC181_CO</vt:lpstr>
      <vt:lpstr>TC182_SO</vt:lpstr>
      <vt:lpstr>TC184</vt:lpstr>
      <vt:lpstr>TC185</vt:lpstr>
      <vt:lpstr>TC187</vt:lpstr>
      <vt:lpstr>ContractList</vt:lpstr>
      <vt:lpstr>TC105_ForecastContainer</vt:lpstr>
      <vt:lpstr>TC105_Forecast-Manual</vt:lpstr>
      <vt:lpstr>TC126 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Syazwan Rusdi</dc:creator>
  <cp:lastModifiedBy>Muhammad Syazwan Rusdi</cp:lastModifiedBy>
  <dcterms:created xsi:type="dcterms:W3CDTF">2023-10-01T23:03:05Z</dcterms:created>
  <dcterms:modified xsi:type="dcterms:W3CDTF">2023-11-17T01:18:12Z</dcterms:modified>
</cp:coreProperties>
</file>