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1A0C7D6C-7621-4BF7-B883-C353F8F872A5}" xr6:coauthVersionLast="47" xr6:coauthVersionMax="47" xr10:uidLastSave="{00000000-0000-0000-0000-000000000000}"/>
  <bookViews>
    <workbookView xWindow="-23148" yWindow="-108" windowWidth="23256" windowHeight="12456" tabRatio="618" activeTab="1" xr2:uid="{00000000-000D-0000-FFFF-FFFF00000000}"/>
  </bookViews>
  <sheets>
    <sheet name="Indicator" sheetId="66" r:id="rId1"/>
    <sheet name="AutoIncrement" sheetId="14" r:id="rId2"/>
    <sheet name="TC09-Create New User" sheetId="18" r:id="rId3"/>
    <sheet name="TC14n15" sheetId="65" r:id="rId4"/>
    <sheet name="TC019-Activate User" sheetId="61" r:id="rId5"/>
    <sheet name="TC021-Forget Password" sheetId="59" r:id="rId6"/>
    <sheet name="TC033" sheetId="19" r:id="rId7"/>
    <sheet name="TC033_ETAnWeek" sheetId="20" r:id="rId8"/>
    <sheet name="TC34" sheetId="9" r:id="rId9"/>
    <sheet name="TC35-Contract Parts Info" sheetId="6" r:id="rId10"/>
    <sheet name="TC35" sheetId="3" r:id="rId11"/>
    <sheet name="TC038" sheetId="21" r:id="rId12"/>
    <sheet name="TC039" sheetId="23" r:id="rId13"/>
    <sheet name="S13_TC40" sheetId="44" r:id="rId14"/>
    <sheet name="TC041 - Place Order (Regular)" sheetId="2" r:id="rId15"/>
    <sheet name="TC041-Inbound Date" sheetId="13" r:id="rId16"/>
    <sheet name="TC42" sheetId="4" r:id="rId17"/>
    <sheet name="TC44" sheetId="5" r:id="rId18"/>
    <sheet name="TC47-Change Order" sheetId="7" r:id="rId19"/>
    <sheet name="TC47-Change Inbound Dates" sheetId="8" r:id="rId20"/>
    <sheet name="TC48" sheetId="10" r:id="rId21"/>
    <sheet name="TC049" sheetId="24" r:id="rId22"/>
    <sheet name="TC050" sheetId="25" r:id="rId23"/>
    <sheet name="TC52-Download Obound Form" sheetId="11" r:id="rId24"/>
    <sheet name="TC52-Upload Obound Form" sheetId="12" r:id="rId25"/>
    <sheet name="TC52-Upload Obound Setup" sheetId="17" r:id="rId26"/>
    <sheet name="TC52-Autogen Outbound Data" sheetId="57" r:id="rId27"/>
    <sheet name="TC053" sheetId="26" r:id="rId28"/>
    <sheet name="TC054" sheetId="27" r:id="rId29"/>
    <sheet name="TC55" sheetId="22" r:id="rId30"/>
    <sheet name="TC56-Custom Invoice Exp" sheetId="15" r:id="rId31"/>
    <sheet name="TC57-Custom Invoice Imp" sheetId="16" r:id="rId32"/>
    <sheet name="TC58n59" sheetId="28" r:id="rId33"/>
    <sheet name="TC62" sheetId="51" r:id="rId34"/>
    <sheet name="TC62-Setup Data" sheetId="55" r:id="rId35"/>
    <sheet name="TC063" sheetId="29" r:id="rId36"/>
    <sheet name="TC64n65_ForecastContainer" sheetId="37" r:id="rId37"/>
    <sheet name="TC64n65_ForecastContainer-Manua" sheetId="47" r:id="rId38"/>
    <sheet name="TC64n65_NonFContainer" sheetId="38" r:id="rId39"/>
    <sheet name="TC067" sheetId="30" r:id="rId40"/>
    <sheet name="TC068" sheetId="31" r:id="rId41"/>
    <sheet name="TC069" sheetId="52" r:id="rId42"/>
    <sheet name="TC070" sheetId="54" r:id="rId43"/>
    <sheet name="TC072" sheetId="45" r:id="rId44"/>
    <sheet name="TC073n074_ForecastContainer" sheetId="32" r:id="rId45"/>
    <sheet name="TC073n074_Forecast-Manual" sheetId="48" r:id="rId46"/>
    <sheet name="TC073n074_NonFContainer" sheetId="39" r:id="rId47"/>
    <sheet name="TC075" sheetId="46" r:id="rId48"/>
    <sheet name="TC076n077_ForecastContainer" sheetId="40" r:id="rId49"/>
    <sheet name="TC076n077_Forecast-Manaul" sheetId="49" r:id="rId50"/>
    <sheet name="TC076n077_NonFContainer" sheetId="41" r:id="rId51"/>
    <sheet name="TC078" sheetId="58" r:id="rId52"/>
    <sheet name="TC079" sheetId="34" r:id="rId53"/>
    <sheet name="TC080" sheetId="35" r:id="rId54"/>
    <sheet name="TC82-New Buyer GR Invoice" sheetId="64" r:id="rId55"/>
    <sheet name="TC83-Inbound Shipping Details" sheetId="56" r:id="rId56"/>
    <sheet name="TC084n085_ForecastContainer" sheetId="42" r:id="rId57"/>
    <sheet name="TC084n085_Forecast-Manual" sheetId="50" r:id="rId58"/>
    <sheet name="TC084n085_NonFContainer" sheetId="43" r:id="rId59"/>
    <sheet name="TC086" sheetId="62" r:id="rId6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9" l="1"/>
  <c r="M2" i="3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B2" i="9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B2" i="1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B2" i="16"/>
  <c r="E4" i="12"/>
  <c r="E3" i="12"/>
  <c r="E2" i="12"/>
  <c r="C3" i="58"/>
  <c r="C2" i="8"/>
  <c r="B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<sst xmlns="http://schemas.openxmlformats.org/spreadsheetml/2006/main" count="1260" uniqueCount="303">
  <si>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</si>
  <si>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</si>
  <si>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</si>
  <si>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</si>
  <si>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</si>
  <si>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</si>
  <si>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</si>
  <si>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</si>
  <si>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</si>
  <si>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</si>
  <si>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</si>
  <si>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</si>
  <si>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</si>
  <si>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</si>
  <si>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</si>
  <si>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</si>
  <si>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</si>
  <si>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</si>
  <si>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</si>
  <si>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</si>
  <si>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</si>
  <si>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</si>
  <si>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</si>
  <si>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</si>
  <si>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</si>
  <si>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</si>
  <si>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</si>
  <si>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</si>
  <si>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</si>
  <si>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</si>
  <si>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</si>
  <si>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</si>
  <si>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</si>
  <si>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</si>
  <si>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</si>
  <si>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</si>
  <si>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</si>
  <si>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</si>
  <si>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</si>
  <si>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</si>
  <si>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</si>
  <si>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</si>
  <si>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</si>
  <si>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</si>
  <si>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</si>
  <si>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</si>
  <si>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</si>
  <si>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</si>
  <si>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</si>
  <si>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</si>
  <si>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</si>
  <si>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</si>
  <si>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</si>
  <si>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</si>
  <si>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</si>
  <si>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</si>
  <si>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</si>
  <si>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</si>
  <si>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</si>
  <si>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</si>
  <si>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</si>
  <si>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</si>
  <si>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</si>
  <si>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</si>
  <si>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</si>
  <si>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</si>
  <si>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</si>
  <si>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</si>
  <si>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</si>
  <si>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</si>
  <si>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</si>
  <si>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</si>
  <si>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</si>
  <si>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</si>
  <si>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</si>
  <si>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</si>
  <si>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</si>
  <si>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</si>
  <si>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</si>
  <si>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</si>
  <si>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</si>
  <si>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</si>
  <si>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</si>
  <si>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</si>
  <si>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</si>
  <si>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</si>
  <si>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</si>
  <si>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</si>
  <si>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</si>
  <si>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</si>
  <si>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</si>
  <si>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</si>
  <si>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</si>
  <si>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</si>
  <si>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</si>
  <si>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</si>
  <si>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</si>
  <si>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</si>
  <si>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</si>
  <si>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</si>
  <si>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</si>
  <si>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</si>
  <si>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</si>
  <si>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</si>
  <si>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</si>
  <si>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</si>
  <si>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</si>
  <si>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</si>
  <si>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</si>
  <si>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</si>
  <si>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</si>
  <si>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</si>
  <si>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</si>
  <si>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</si>
  <si>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</si>
  <si>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</si>
  <si>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</si>
  <si>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</si>
  <si>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</si>
  <si>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</si>
  <si>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</si>
  <si>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</si>
  <si>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</si>
  <si>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</si>
  <si>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</si>
  <si>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</si>
  <si>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</si>
  <si>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</si>
  <si>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</si>
  <si>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</si>
  <si>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</si>
  <si>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</si>
  <si>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</si>
  <si>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</si>
  <si>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</si>
  <si>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</si>
  <si>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</si>
  <si>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</si>
  <si>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</si>
  <si>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</si>
  <si>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</si>
  <si>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</si>
  <si>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</si>
  <si>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</si>
  <si>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</si>
  <si>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</si>
  <si>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</si>
  <si>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</si>
  <si>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</si>
  <si>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</si>
  <si>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</si>
  <si>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</si>
  <si>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</si>
  <si>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</si>
  <si>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</si>
  <si>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</si>
  <si>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</si>
  <si>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</si>
  <si>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</si>
  <si>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</si>
  <si>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</si>
  <si>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</si>
  <si>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</si>
  <si>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</si>
  <si>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</si>
  <si>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</si>
  <si>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</si>
  <si>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</si>
  <si>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</si>
  <si>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</si>
  <si>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</si>
  <si>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</si>
  <si>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</si>
  <si>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</si>
  <si>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</si>
  <si>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</si>
  <si>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</si>
  <si>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</si>
  <si>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</si>
  <si>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</si>
  <si>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</si>
  <si>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</si>
  <si>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</si>
  <si>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</si>
  <si>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</si>
  <si>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</si>
  <si>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</si>
  <si>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</si>
  <si>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</si>
  <si>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</si>
  <si>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</si>
  <si>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</si>
  <si>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</si>
  <si>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</si>
  <si>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</si>
  <si>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</si>
  <si>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</si>
  <si>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</si>
  <si>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</si>
  <si>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</si>
  <si>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</si>
  <si>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</si>
  <si>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</si>
  <si>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</si>
  <si>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</si>
  <si>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</si>
  <si>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</si>
  <si>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</si>
  <si>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</si>
  <si>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</si>
  <si>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</si>
  <si>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</si>
  <si>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</si>
  <si>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</si>
  <si>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</si>
  <si>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</si>
  <si>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</si>
  <si>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</si>
  <si>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</si>
  <si>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</si>
  <si>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</si>
  <si>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</si>
  <si>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</si>
  <si>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</si>
  <si>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</si>
  <si>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</si>
  <si>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</si>
  <si>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</si>
  <si>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</si>
  <si>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</si>
  <si>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</si>
  <si>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</si>
  <si>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</si>
  <si>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</si>
  <si>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</si>
  <si>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</si>
  <si>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</si>
  <si>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</si>
  <si>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</si>
  <si>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</si>
  <si>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</si>
  <si>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</si>
  <si>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</si>
  <si>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</si>
  <si>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</si>
  <si>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</si>
  <si>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</si>
  <si>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</si>
  <si>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</si>
  <si>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</si>
  <si>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</si>
  <si>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</si>
  <si>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</si>
  <si>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</si>
  <si>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</si>
  <si>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</si>
  <si>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</si>
  <si>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</si>
  <si>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</si>
  <si>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</si>
  <si>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</si>
  <si>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</si>
  <si>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</si>
  <si>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</si>
  <si>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</si>
  <si>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</si>
  <si>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</si>
  <si>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</si>
  <si>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</si>
  <si>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</si>
  <si>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</si>
  <si>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</si>
  <si>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</si>
  <si>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</si>
  <si>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</si>
  <si>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</si>
  <si>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</si>
  <si>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</si>
  <si>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</si>
  <si>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</si>
  <si>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</si>
  <si>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</si>
  <si>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</si>
  <si>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</si>
  <si>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</si>
  <si>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</si>
  <si>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</si>
  <si>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</si>
  <si>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</si>
  <si>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</si>
  <si>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</si>
  <si>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</si>
  <si>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</si>
  <si>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</si>
  <si>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</si>
  <si>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</si>
  <si>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</si>
  <si>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</si>
  <si>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</si>
  <si>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</si>
  <si>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CR-PK-CUS-POC-2310028</t>
  </si>
  <si>
    <t>09</t>
  </si>
  <si>
    <t>TB9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</si>
</sst>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3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dimension ref="A1:D4"/>
  <sheetViews>
    <sheetView workbookViewId="0">
      <selection activeCell="C8" sqref="C8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89</v>
      </c>
      <c r="C1" s="45" t="s">
        <v>90</v>
      </c>
      <c r="D1" s="46" t="s">
        <v>91</v>
      </c>
    </row>
    <row r="2" spans="1:4" x14ac:dyDescent="0.3">
      <c r="A2" s="8">
        <v>1</v>
      </c>
      <c r="B2" s="170" t="str">
        <f>AutoIncrement!$C$2&amp;"scenario1320230614011"</f>
        <v>TB9scenario1320230614011</v>
      </c>
      <c r="C2" s="171" t="str">
        <f>"PK-CUS-"&amp;AutoIncrement!$C$2&amp;"-scenario13-20230604-001"</f>
        <v>PK-CUS-TB9-scenario13-20230604-001</v>
      </c>
      <c r="D2" s="172" t="str">
        <f>"CNTW-SUP-"&amp;AutoIncrement!$C$2&amp;"-scenario13-20230604-001"</f>
        <v>CNTW-SUP-TB9-scenario13-20230604-001</v>
      </c>
    </row>
    <row r="3" spans="1:4" x14ac:dyDescent="0.3">
      <c r="A3" s="9">
        <v>2</v>
      </c>
      <c r="B3" s="170" t="str">
        <f>AutoIncrement!$C$2&amp;"scenario1320230614012"</f>
        <v>TB9scenario1320230614012</v>
      </c>
      <c r="C3" s="171" t="str">
        <f>"PK-CUS-"&amp;AutoIncrement!$C$2&amp;"-scenario13-20230604-002"</f>
        <v>PK-CUS-TB9-scenario13-20230604-002</v>
      </c>
      <c r="D3" s="172" t="str">
        <f>"CNTW-SUP-"&amp;AutoIncrement!$C$2&amp;"-scenario13-20230604-002"</f>
        <v>CNTW-SUP-TB9-scenario13-20230604-002</v>
      </c>
    </row>
    <row r="4" spans="1:4" ht="15" thickBot="1" x14ac:dyDescent="0.35">
      <c r="A4" s="10">
        <v>3</v>
      </c>
      <c r="B4" s="170" t="str">
        <f>AutoIncrement!$C$2&amp;"scenario1320230614013"</f>
        <v>TB9scenario1320230614013</v>
      </c>
      <c r="C4" s="171" t="str">
        <f>"PK-CUS-"&amp;AutoIncrement!$C$2&amp;"-scenario13-20230604-003"</f>
        <v>PK-CUS-TB9-scenario13-20230604-003</v>
      </c>
      <c r="D4" s="172" t="str">
        <f>"CNTW-SUP-"&amp;AutoIncrement!$C$2&amp;"-scenario13-20230604-003"</f>
        <v>CNTW-SUP-TB9-scenario13-20230604-003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topLeftCell="I1" zoomScale="115" zoomScaleNormal="115" workbookViewId="0">
      <selection activeCell="M2" sqref="M2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92</v>
      </c>
      <c r="C1" s="114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14" t="s">
        <v>13</v>
      </c>
      <c r="L1" s="114" t="s">
        <v>101</v>
      </c>
      <c r="M1" s="44" t="s">
        <v>102</v>
      </c>
      <c r="N1" s="12" t="s">
        <v>103</v>
      </c>
      <c r="O1" s="12" t="s">
        <v>104</v>
      </c>
      <c r="P1" s="114" t="s">
        <v>39</v>
      </c>
      <c r="Q1" s="114" t="s">
        <v>105</v>
      </c>
      <c r="R1" s="12" t="s">
        <v>106</v>
      </c>
      <c r="S1" s="12" t="s">
        <v>107</v>
      </c>
      <c r="T1" s="12" t="s">
        <v>108</v>
      </c>
      <c r="U1" s="12" t="s">
        <v>109</v>
      </c>
      <c r="V1" s="12" t="s">
        <v>110</v>
      </c>
      <c r="W1" s="12" t="s">
        <v>111</v>
      </c>
      <c r="X1" s="48" t="s">
        <v>112</v>
      </c>
    </row>
    <row r="2" spans="1:24" ht="15" thickBot="1" x14ac:dyDescent="0.35">
      <c r="A2" s="31">
        <v>1</v>
      </c>
      <c r="B2" t="s">
        <v>299</v>
      </c>
      <c r="C2" s="23" t="str">
        <f>"CNTWSUP-PKCUS-"&amp;'TC35'!K2&amp;"-0"&amp;AutoIncrement!A2</f>
        <v>CNTWSUP-PKCUS-TB9-009</v>
      </c>
      <c r="D2" s="23" t="s">
        <v>113</v>
      </c>
      <c r="E2" s="23" t="s">
        <v>114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TB9</v>
      </c>
      <c r="L2" s="23" t="str">
        <f>"CD-05-"&amp;K2&amp;AutoIncrement!A2</f>
        <v>CD-05-TB909</v>
      </c>
      <c r="M2" s="23" t="str">
        <f>"TB60BL"&amp;AutoIncrement!$B$2&amp;"(T/T REMITTANCE AT 60 DAYS FROM THE END OF B/L MONTH)"</f>
        <v>TB60BL5(T/T REMITTANCE AT 60 DAYS FROM THE END OF B/L MONTH)</v>
      </c>
      <c r="N2" s="23" t="s">
        <v>115</v>
      </c>
      <c r="O2" s="23" t="s">
        <v>116</v>
      </c>
      <c r="P2" s="23" t="str">
        <f>'TC033'!A2&amp;"("&amp;'TC033'!A2&amp;")"</f>
        <v>CNTWSUP-PKCUS TB9(CNTWSUP-PKCUS TB9)</v>
      </c>
      <c r="Q2" s="23" t="str">
        <f>"RD-05-"&amp;K2&amp;AutoIncrement!A2</f>
        <v>RD-05-TB909</v>
      </c>
      <c r="R2" s="23" t="s">
        <v>117</v>
      </c>
      <c r="S2" s="23" t="s">
        <v>67</v>
      </c>
      <c r="T2" s="23" t="s">
        <v>68</v>
      </c>
      <c r="U2" s="23" t="s">
        <v>118</v>
      </c>
      <c r="V2" s="23" t="s">
        <v>119</v>
      </c>
      <c r="W2" s="23" t="s">
        <v>120</v>
      </c>
      <c r="X2" t="s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E20" sqref="E20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123</v>
      </c>
      <c r="D1" s="49" t="s">
        <v>124</v>
      </c>
      <c r="E1" s="91" t="s">
        <v>125</v>
      </c>
      <c r="F1" s="49" t="s">
        <v>126</v>
      </c>
      <c r="G1" s="124" t="s">
        <v>127</v>
      </c>
      <c r="H1" s="125" t="s">
        <v>128</v>
      </c>
    </row>
    <row r="2" spans="1:8" ht="19.5" customHeight="1" x14ac:dyDescent="0.3">
      <c r="A2" s="65" t="str">
        <f>'TC35'!X2</f>
        <v>CR-PK-CUS-POC-2310028</v>
      </c>
      <c r="B2" s="56" t="str">
        <f>'TC35-Contract Parts Info'!B2</f>
        <v>TB9scenario1320230614011</v>
      </c>
      <c r="C2" s="56" t="str">
        <f>'TC35-Contract Parts Info'!C2</f>
        <v>PK-CUS-TB9-scenario13-20230604-001</v>
      </c>
      <c r="D2" s="57" t="s">
        <v>67</v>
      </c>
      <c r="E2" s="57" t="str">
        <f>'TC35'!C2</f>
        <v>CNTWSUP-PKCUS-TB9-009</v>
      </c>
      <c r="F2" s="57" t="s">
        <v>116</v>
      </c>
      <c r="G2" s="57" t="s">
        <v>67</v>
      </c>
      <c r="H2" s="71" t="str">
        <f>'TC033'!$A$2</f>
        <v>CNTWSUP-PKCUS TB9</v>
      </c>
    </row>
    <row r="3" spans="1:8" ht="27" customHeight="1" x14ac:dyDescent="0.3">
      <c r="A3" s="65" t="str">
        <f>'TC35'!X2</f>
        <v>CR-PK-CUS-POC-2310028</v>
      </c>
      <c r="B3" s="52" t="str">
        <f>'TC35-Contract Parts Info'!B3</f>
        <v>TB9scenario1320230614012</v>
      </c>
      <c r="C3" s="52" t="str">
        <f>'TC35-Contract Parts Info'!C3</f>
        <v>PK-CUS-TB9-scenario13-20230604-002</v>
      </c>
      <c r="D3" s="51" t="s">
        <v>67</v>
      </c>
      <c r="E3" s="51" t="str">
        <f>'TC35'!C2</f>
        <v>CNTWSUP-PKCUS-TB9-009</v>
      </c>
      <c r="F3" s="51" t="s">
        <v>116</v>
      </c>
      <c r="G3" s="51" t="s">
        <v>67</v>
      </c>
      <c r="H3" s="67" t="str">
        <f>'TC033'!$A$2</f>
        <v>CNTWSUP-PKCUS TB9</v>
      </c>
    </row>
    <row r="4" spans="1:8" ht="30" customHeight="1" thickBot="1" x14ac:dyDescent="0.35">
      <c r="A4" s="34" t="str">
        <f>'TC35'!X2</f>
        <v>CR-PK-CUS-POC-2310028</v>
      </c>
      <c r="B4" s="53" t="str">
        <f>'TC35-Contract Parts Info'!B4</f>
        <v>TB9scenario1320230614013</v>
      </c>
      <c r="C4" s="53" t="str">
        <f>'TC35-Contract Parts Info'!C4</f>
        <v>PK-CUS-TB9-scenario13-20230604-003</v>
      </c>
      <c r="D4" s="35" t="s">
        <v>67</v>
      </c>
      <c r="E4" s="35" t="str">
        <f>'TC35'!C2</f>
        <v>CNTWSUP-PKCUS-TB9-009</v>
      </c>
      <c r="F4" s="35" t="s">
        <v>116</v>
      </c>
      <c r="G4" s="35" t="s">
        <v>67</v>
      </c>
      <c r="H4" s="36" t="str">
        <f>'TC033'!$A$2</f>
        <v>CNTWSUP-PKCUS TB9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15" sqref="D15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129</v>
      </c>
      <c r="D1" s="49" t="s">
        <v>130</v>
      </c>
      <c r="E1" s="91" t="s">
        <v>125</v>
      </c>
      <c r="F1" s="49" t="s">
        <v>126</v>
      </c>
      <c r="G1" s="49" t="s">
        <v>131</v>
      </c>
      <c r="H1" s="126" t="s">
        <v>128</v>
      </c>
    </row>
    <row r="2" spans="1:8" ht="12" customHeight="1" x14ac:dyDescent="0.3">
      <c r="A2" s="69" t="str">
        <f>'TC35'!X2</f>
        <v>CR-PK-CUS-POC-2310028</v>
      </c>
      <c r="B2" s="56" t="str">
        <f>'TC35-Contract Parts Info'!B2</f>
        <v>TB9scenario1320230614011</v>
      </c>
      <c r="C2" s="56" t="str">
        <f>'TC35-Contract Parts Info'!D2</f>
        <v>CNTW-SUP-TB9-scenario13-20230604-001</v>
      </c>
      <c r="D2" s="57" t="s">
        <v>68</v>
      </c>
      <c r="E2" s="57" t="str">
        <f>'TC35'!C2</f>
        <v>CNTWSUP-PKCUS-TB9-009</v>
      </c>
      <c r="F2" s="57" t="s">
        <v>116</v>
      </c>
      <c r="G2" s="57" t="s">
        <v>68</v>
      </c>
      <c r="H2" s="71" t="str">
        <f>'TC033'!$A$2</f>
        <v>CNTWSUP-PKCUS TB9</v>
      </c>
    </row>
    <row r="3" spans="1:8" x14ac:dyDescent="0.3">
      <c r="A3" s="65" t="str">
        <f>'TC35'!X2</f>
        <v>CR-PK-CUS-POC-2310028</v>
      </c>
      <c r="B3" s="52" t="str">
        <f>'TC35-Contract Parts Info'!B3</f>
        <v>TB9scenario1320230614012</v>
      </c>
      <c r="C3" s="52" t="str">
        <f>'TC35-Contract Parts Info'!D3</f>
        <v>CNTW-SUP-TB9-scenario13-20230604-002</v>
      </c>
      <c r="D3" s="51" t="s">
        <v>68</v>
      </c>
      <c r="E3" s="51" t="str">
        <f>'TC35'!C2</f>
        <v>CNTWSUP-PKCUS-TB9-009</v>
      </c>
      <c r="F3" s="51" t="s">
        <v>116</v>
      </c>
      <c r="G3" s="51" t="s">
        <v>68</v>
      </c>
      <c r="H3" s="67" t="str">
        <f>'TC033'!$A$2</f>
        <v>CNTWSUP-PKCUS TB9</v>
      </c>
    </row>
    <row r="4" spans="1:8" ht="16.5" customHeight="1" thickBot="1" x14ac:dyDescent="0.35">
      <c r="A4" s="34" t="str">
        <f>'TC35'!X2</f>
        <v>CR-PK-CUS-POC-2310028</v>
      </c>
      <c r="B4" s="53" t="str">
        <f>'TC35-Contract Parts Info'!B4</f>
        <v>TB9scenario1320230614013</v>
      </c>
      <c r="C4" s="53" t="str">
        <f>'TC35-Contract Parts Info'!D4</f>
        <v>CNTW-SUP-TB9-scenario13-20230604-003</v>
      </c>
      <c r="D4" s="35" t="s">
        <v>68</v>
      </c>
      <c r="E4" s="35" t="str">
        <f>'TC35'!C2</f>
        <v>CNTWSUP-PKCUS-TB9-009</v>
      </c>
      <c r="F4" s="35" t="s">
        <v>116</v>
      </c>
      <c r="G4" s="35" t="s">
        <v>68</v>
      </c>
      <c r="H4" s="36" t="str">
        <f>'TC033'!$A$2</f>
        <v>CNTWSUP-PKCUS TB9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F16" sqref="F16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132</v>
      </c>
      <c r="B1" s="49" t="s">
        <v>133</v>
      </c>
      <c r="C1" s="91" t="s">
        <v>134</v>
      </c>
      <c r="D1" s="49" t="s">
        <v>135</v>
      </c>
      <c r="E1" s="49" t="s">
        <v>136</v>
      </c>
      <c r="F1" s="126" t="s">
        <v>137</v>
      </c>
    </row>
    <row r="2" spans="1:6" ht="15" thickBot="1" x14ac:dyDescent="0.35">
      <c r="A2" s="37" t="s">
        <v>67</v>
      </c>
      <c r="B2" s="38" t="s">
        <v>138</v>
      </c>
      <c r="C2" s="38" t="str">
        <f>"Cargo Status Setting for PK-CUS-POC-"&amp;'TC35'!K2&amp;"-"&amp;AutoIncrement!A2</f>
        <v>Cargo Status Setting for PK-CUS-POC-TB9-09</v>
      </c>
      <c r="D2" s="38" t="s">
        <v>68</v>
      </c>
      <c r="E2" s="38" t="s">
        <v>139</v>
      </c>
      <c r="F2" s="39" t="str">
        <f>'TC35'!C2</f>
        <v>CNTWSUP-PKCUS-TB9-009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113</v>
      </c>
      <c r="C1" s="12" t="s">
        <v>140</v>
      </c>
      <c r="D1" s="13" t="s">
        <v>141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B2"/>
  <sheetViews>
    <sheetView zoomScale="70" zoomScaleNormal="70" workbookViewId="0">
      <selection activeCell="Q30" sqref="Q30"/>
    </sheetView>
  </sheetViews>
  <sheetFormatPr defaultRowHeight="14.4" x14ac:dyDescent="0.3"/>
  <cols>
    <col min="2" max="2" width="14.5546875" bestFit="1" customWidth="1" collapsed="1"/>
  </cols>
  <sheetData>
    <row r="1" spans="1:2" ht="15" thickBot="1" x14ac:dyDescent="0.35">
      <c r="A1" s="43" t="s">
        <v>33</v>
      </c>
      <c r="B1" s="127" t="s">
        <v>142</v>
      </c>
    </row>
    <row r="2" spans="1:2" ht="15" thickBot="1" x14ac:dyDescent="0.35">
      <c r="A2" s="41">
        <v>1</v>
      </c>
      <c r="B2" s="42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B2"/>
  <sheetViews>
    <sheetView workbookViewId="0">
      <selection activeCell="G12" sqref="G1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s="47" t="s">
        <v>33</v>
      </c>
      <c r="B1" s="128" t="s">
        <v>143</v>
      </c>
    </row>
    <row r="2" spans="1:2" ht="15" thickBot="1" x14ac:dyDescent="0.35">
      <c r="A2" s="10">
        <v>1</v>
      </c>
      <c r="B2" s="30" t="str">
        <f ca="1">"c"&amp;'TC35'!K2&amp;"-23"&amp;TEXT(TODAY(), "mm")&amp;"001"</f>
        <v>cTB9-2310001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B2"/>
  <sheetViews>
    <sheetView workbookViewId="0">
      <selection activeCell="I16" sqref="I16"/>
    </sheetView>
  </sheetViews>
  <sheetFormatPr defaultRowHeight="14.4" x14ac:dyDescent="0.3"/>
  <cols>
    <col min="2" max="2" width="13" bestFit="1" customWidth="1" collapsed="1"/>
  </cols>
  <sheetData>
    <row r="1" spans="1:2" ht="15" thickBot="1" x14ac:dyDescent="0.35">
      <c r="A1" s="11" t="s">
        <v>33</v>
      </c>
      <c r="B1" s="115" t="s">
        <v>144</v>
      </c>
    </row>
    <row r="2" spans="1:2" ht="15" thickBot="1" x14ac:dyDescent="0.35">
      <c r="A2" s="31">
        <v>1</v>
      </c>
      <c r="B2" s="32" t="str">
        <f ca="1">"s" &amp; 'TC35'!K2 &amp; "-23"&amp;TEXT(TODAY(), "mm")&amp;"001"</f>
        <v>sTB9-2310001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8" sqref="D8"/>
    </sheetView>
  </sheetViews>
  <sheetFormatPr defaultRowHeight="14.4" x14ac:dyDescent="0.3"/>
  <cols>
    <col min="3" max="4" width="21.109375" bestFit="1" customWidth="1" collapsed="1"/>
  </cols>
  <sheetData>
    <row r="1" spans="1:4" ht="15" thickBot="1" x14ac:dyDescent="0.35">
      <c r="A1" s="11" t="s">
        <v>33</v>
      </c>
      <c r="B1" s="12" t="s">
        <v>145</v>
      </c>
      <c r="C1" s="12" t="s">
        <v>146</v>
      </c>
      <c r="D1" s="13" t="s">
        <v>147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r="4" spans="1:4" ht="15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tabSelected="1" workbookViewId="0">
      <selection activeCell="C9" sqref="C9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301</v>
      </c>
      <c r="B2" s="32">
        <v>5</v>
      </c>
      <c r="C2" s="169" t="s">
        <v>302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B1" sqref="B1:C1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</cols>
  <sheetData>
    <row r="1" spans="1:3" ht="15" thickBot="1" x14ac:dyDescent="0.35">
      <c r="A1" s="11" t="s">
        <v>33</v>
      </c>
      <c r="B1" s="114" t="s">
        <v>148</v>
      </c>
      <c r="C1" s="115" t="s">
        <v>149</v>
      </c>
    </row>
    <row r="2" spans="1:3" ht="15" thickBot="1" x14ac:dyDescent="0.35">
      <c r="A2" s="31">
        <v>1</v>
      </c>
      <c r="B2" s="23" t="str">
        <f ca="1">TEXT(DATE(YEAR(TODAY()), MONTH(TODAY())+2, DAY(TODAY())+3), "dd MMM yyyy")</f>
        <v>03 Jan 2024</v>
      </c>
      <c r="C2" s="32" t="str">
        <f ca="1">TEXT(DATE(YEAR(TODAY()), MONTH(TODAY())+2, DAY(TODAY())+5), "dd MMM yyyy")</f>
        <v>05 Jan 2024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K20" sqref="K20"/>
    </sheetView>
  </sheetViews>
  <sheetFormatPr defaultRowHeight="14.4" x14ac:dyDescent="0.3"/>
  <cols>
    <col min="2" max="2" width="16.109375" bestFit="1" customWidth="1" collapsed="1"/>
  </cols>
  <sheetData>
    <row r="1" spans="1:2" ht="15" thickBot="1" x14ac:dyDescent="0.35">
      <c r="A1" s="11" t="s">
        <v>33</v>
      </c>
      <c r="B1" s="115" t="s">
        <v>150</v>
      </c>
    </row>
    <row r="2" spans="1:2" ht="15" thickBot="1" x14ac:dyDescent="0.35">
      <c r="A2" s="31">
        <v>1</v>
      </c>
      <c r="B2" s="32" t="str">
        <f ca="1">"rc" &amp; 'TC35'!K2 &amp; "-23"&amp;TEXT(TODAY(), "mm")&amp;"001"</f>
        <v>rcTB9-2310001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topLeftCell="E1" zoomScale="70" zoomScaleNormal="70" workbookViewId="0">
      <selection activeCell="X3" sqref="X3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</cols>
  <sheetData>
    <row r="1" spans="1:24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50" t="s">
        <v>172</v>
      </c>
    </row>
    <row r="2" spans="1:24" ht="13.5" customHeight="1" x14ac:dyDescent="0.3">
      <c r="A2" s="69" t="str">
        <f ca="1">'TC42'!B2</f>
        <v>cTB9-2310001</v>
      </c>
      <c r="B2" s="57" t="s">
        <v>173</v>
      </c>
      <c r="C2" s="57"/>
      <c r="D2" s="57"/>
      <c r="E2" s="57"/>
      <c r="F2" s="56" t="str">
        <f>'TC35-Contract Parts Info'!B2</f>
        <v>TB9scenario1320230614011</v>
      </c>
      <c r="G2" s="70" t="str">
        <f>'TC35-Contract Parts Info'!C2</f>
        <v>PK-CUS-TB9-scenario13-20230604-001</v>
      </c>
      <c r="H2" s="57" t="s">
        <v>174</v>
      </c>
      <c r="I2" s="57" t="str">
        <f ca="1">'TC44'!B2</f>
        <v>sTB9-2310001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173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66" t="str">
        <f>'TC35-Contract Parts Info'!C3</f>
        <v>PK-CUS-TB9-scenario13-20230604-002</v>
      </c>
      <c r="H3" s="51" t="s">
        <v>176</v>
      </c>
      <c r="I3" s="51" t="str">
        <f ca="1">'TC44'!B2</f>
        <v>sTB9-2310001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173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51">
        <v>150</v>
      </c>
      <c r="X3" s="67"/>
    </row>
    <row r="4" spans="1:24" ht="15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68" t="str">
        <f>'TC35-Contract Parts Info'!C4</f>
        <v>PK-CUS-TB9-scenario13-20230604-003</v>
      </c>
      <c r="H4" s="35" t="s">
        <v>177</v>
      </c>
      <c r="I4" s="35" t="str">
        <f ca="1">'TC44'!B2</f>
        <v>sTB9-2310001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173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5">
        <v>50</v>
      </c>
      <c r="X4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zoomScale="55" zoomScaleNormal="55" workbookViewId="0">
      <selection activeCell="I3" sqref="I3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178</v>
      </c>
      <c r="B1" s="54" t="s">
        <v>179</v>
      </c>
      <c r="C1" s="54" t="s">
        <v>153</v>
      </c>
      <c r="D1" s="54" t="s">
        <v>154</v>
      </c>
      <c r="E1" s="54" t="s">
        <v>155</v>
      </c>
      <c r="F1" s="90" t="s">
        <v>122</v>
      </c>
      <c r="G1" s="90" t="s">
        <v>156</v>
      </c>
      <c r="H1" s="54" t="s">
        <v>157</v>
      </c>
      <c r="I1" s="90" t="s">
        <v>180</v>
      </c>
      <c r="J1" s="54" t="s">
        <v>181</v>
      </c>
      <c r="K1" s="54" t="s">
        <v>160</v>
      </c>
      <c r="L1" s="54" t="s">
        <v>161</v>
      </c>
      <c r="M1" s="54" t="s">
        <v>162</v>
      </c>
      <c r="N1" s="54" t="s">
        <v>164</v>
      </c>
      <c r="O1" s="54" t="s">
        <v>103</v>
      </c>
      <c r="P1" s="54" t="s">
        <v>165</v>
      </c>
      <c r="Q1" s="54" t="s">
        <v>182</v>
      </c>
      <c r="R1" s="54" t="s">
        <v>183</v>
      </c>
      <c r="S1" s="54" t="s">
        <v>184</v>
      </c>
      <c r="T1" s="54" t="s">
        <v>185</v>
      </c>
      <c r="U1" s="54" t="s">
        <v>186</v>
      </c>
      <c r="V1" s="54" t="s">
        <v>187</v>
      </c>
      <c r="W1" s="54" t="s">
        <v>188</v>
      </c>
      <c r="X1" s="54" t="s">
        <v>189</v>
      </c>
      <c r="Y1" s="55" t="s">
        <v>190</v>
      </c>
    </row>
    <row r="2" spans="1:25" ht="15.75" customHeight="1" x14ac:dyDescent="0.3">
      <c r="A2" s="65" t="str">
        <f ca="1">'TC44'!B2</f>
        <v>sTB9-2310001</v>
      </c>
      <c r="B2" s="51" t="s">
        <v>173</v>
      </c>
      <c r="C2" s="51"/>
      <c r="D2" s="51"/>
      <c r="E2" s="51"/>
      <c r="F2" s="52" t="str">
        <f>'TC35-Contract Parts Info'!B2</f>
        <v>TB9scenario1320230614011</v>
      </c>
      <c r="G2" s="52" t="str">
        <f>'TC35-Contract Parts Info'!D2</f>
        <v>CNTW-SUP-TB9-scenario13-20230604-001</v>
      </c>
      <c r="H2" s="51" t="s">
        <v>174</v>
      </c>
      <c r="I2" s="51" t="str">
        <f ca="1">'TC42'!B2</f>
        <v>cTB9-2310001</v>
      </c>
      <c r="J2" s="52" t="s">
        <v>68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115</v>
      </c>
      <c r="P2" s="51" t="s">
        <v>173</v>
      </c>
      <c r="Q2" s="51">
        <v>0</v>
      </c>
      <c r="R2" s="51">
        <v>0</v>
      </c>
      <c r="S2" s="51">
        <v>0</v>
      </c>
      <c r="T2" s="51">
        <v>150</v>
      </c>
      <c r="U2" s="51" t="s">
        <v>175</v>
      </c>
      <c r="V2" s="51">
        <v>0</v>
      </c>
      <c r="W2" s="51" t="s">
        <v>175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Info'!D3</f>
        <v>CNTW-SUP-TB9-scenario13-20230604-002</v>
      </c>
      <c r="H3" s="51" t="s">
        <v>176</v>
      </c>
      <c r="I3" s="51" t="str">
        <f ca="1">'TC42'!B2</f>
        <v>cTB9-2310001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173</v>
      </c>
      <c r="Q3" s="51">
        <v>0</v>
      </c>
      <c r="R3" s="51">
        <v>0</v>
      </c>
      <c r="S3" s="51">
        <v>0</v>
      </c>
      <c r="T3" s="51">
        <v>100</v>
      </c>
      <c r="U3" s="51" t="s">
        <v>175</v>
      </c>
      <c r="V3" s="51">
        <v>50</v>
      </c>
      <c r="W3" s="51" t="s">
        <v>175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Info'!D4</f>
        <v>CNTW-SUP-TB9-scenario13-20230604-003</v>
      </c>
      <c r="H4" s="35" t="s">
        <v>177</v>
      </c>
      <c r="I4" s="35" t="str">
        <f ca="1">'TC42'!B2</f>
        <v>cTB9-2310001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173</v>
      </c>
      <c r="Q4" s="35">
        <v>0</v>
      </c>
      <c r="R4" s="35">
        <v>0</v>
      </c>
      <c r="S4" s="35">
        <v>0</v>
      </c>
      <c r="T4" s="35">
        <v>0</v>
      </c>
      <c r="U4" s="35" t="s">
        <v>175</v>
      </c>
      <c r="V4" s="35">
        <v>50</v>
      </c>
      <c r="W4" s="35" t="s">
        <v>175</v>
      </c>
      <c r="X4" s="35">
        <v>50</v>
      </c>
      <c r="Y4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E9" sqref="E9"/>
    </sheetView>
  </sheetViews>
  <sheetFormatPr defaultRowHeight="14.4" x14ac:dyDescent="0.3"/>
  <cols>
    <col min="1" max="1" width="3.44140625" bestFit="1" customWidth="1" collapsed="1"/>
    <col min="2" max="3" width="11.109375" bestFit="1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191</v>
      </c>
      <c r="C1" s="12" t="s">
        <v>192</v>
      </c>
      <c r="D1" s="12" t="s">
        <v>193</v>
      </c>
      <c r="E1" s="114" t="s">
        <v>194</v>
      </c>
      <c r="F1" s="13" t="s">
        <v>42</v>
      </c>
    </row>
    <row r="2" spans="1:6" ht="15" thickBot="1" x14ac:dyDescent="0.35">
      <c r="A2" s="31">
        <v>1</v>
      </c>
      <c r="B2" s="23" t="s">
        <v>68</v>
      </c>
      <c r="C2" s="23" t="s">
        <v>68</v>
      </c>
      <c r="D2" s="23" t="s">
        <v>195</v>
      </c>
      <c r="E2" s="72" t="str">
        <f ca="1">TEXT(TODAY(),"dd/m/yyyy")</f>
        <v>31/10/2023</v>
      </c>
      <c r="F2" s="32" t="s">
        <v>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197</v>
      </c>
      <c r="C1" s="114" t="s">
        <v>198</v>
      </c>
      <c r="D1" s="12" t="s">
        <v>199</v>
      </c>
      <c r="E1" s="114" t="s">
        <v>200</v>
      </c>
      <c r="F1" s="12" t="s">
        <v>201</v>
      </c>
      <c r="G1" s="13" t="s">
        <v>202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o-CNTW-SUP-POC-231031-09</v>
      </c>
      <c r="C2" s="131" t="str">
        <f ca="1">'TC52-Upload Obound Setup'!B2</f>
        <v>B-231031-TB9-09</v>
      </c>
      <c r="D2" s="131" t="s">
        <v>203</v>
      </c>
      <c r="E2" s="131" t="str">
        <f ca="1">"O-"&amp;TEXT(TODAY(),"yymmdd")&amp; "-" &amp; AutoIncrement!A2</f>
        <v>O-231031-09</v>
      </c>
      <c r="F2" s="131" t="s">
        <v>204</v>
      </c>
      <c r="G2" s="132" t="s">
        <v>205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o-CNTW-SUP-POC-231031-09</v>
      </c>
      <c r="C3" s="134" t="str">
        <f ca="1">'TC52-Upload Obound Setup'!B2</f>
        <v>B-231031-TB9-09</v>
      </c>
      <c r="D3" s="134" t="s">
        <v>206</v>
      </c>
      <c r="E3" s="134" t="str">
        <f ca="1">"O-"&amp;TEXT(TODAY(),"yymmdd")&amp; "-" &amp; AutoIncrement!A2</f>
        <v>O-231031-09</v>
      </c>
      <c r="F3" s="134" t="s">
        <v>207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o-CNTW-SUP-POC-231031-09</v>
      </c>
      <c r="C4" s="137" t="str">
        <f ca="1">'TC52-Upload Obound Setup'!B2</f>
        <v>B-231031-TB9-09</v>
      </c>
      <c r="D4" s="136"/>
      <c r="E4" s="137" t="str">
        <f ca="1">"O-"&amp;TEXT(TODAY(),"yymmdd")&amp; "-" &amp; AutoIncrement!A2</f>
        <v>O-231031-09</v>
      </c>
      <c r="F4" s="137" t="s">
        <v>204</v>
      </c>
      <c r="G4" s="138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198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B-231031-TB9-09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208</v>
      </c>
      <c r="C1" s="116" t="s">
        <v>209</v>
      </c>
      <c r="D1" s="139" t="s">
        <v>210</v>
      </c>
    </row>
    <row r="2" spans="1:4" ht="15" thickBot="1" x14ac:dyDescent="0.35">
      <c r="A2" s="31">
        <v>1</v>
      </c>
      <c r="B2" s="23" t="s">
        <v>211</v>
      </c>
      <c r="C2" s="23" t="s">
        <v>212</v>
      </c>
      <c r="D2" s="32" t="s">
        <v>213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Y2" sqref="Y2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178</v>
      </c>
      <c r="B1" s="73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sTB9-2310001</v>
      </c>
      <c r="B2" s="57" t="s">
        <v>214</v>
      </c>
      <c r="C2" s="57"/>
      <c r="D2" s="57"/>
      <c r="E2" s="57"/>
      <c r="F2" s="56" t="str">
        <f>'TC35-Contract Parts Info'!B2</f>
        <v>TB9scenario1320230614011</v>
      </c>
      <c r="G2" s="56" t="str">
        <f>'TC35-Contract Parts Info'!D2</f>
        <v>CNTW-SUP-TB9-scenario13-20230604-001</v>
      </c>
      <c r="H2" s="57" t="s">
        <v>174</v>
      </c>
      <c r="I2" s="57" t="str">
        <f ca="1">'TC42'!B2</f>
        <v>cTB9-2310001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Info'!D3</f>
        <v>CNTW-SUP-TB9-scenario13-20230604-002</v>
      </c>
      <c r="H3" s="51" t="s">
        <v>176</v>
      </c>
      <c r="I3" s="51" t="str">
        <f ca="1">'TC42'!B2</f>
        <v>cTB9-2310001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Info'!D4</f>
        <v>CNTW-SUP-TB9-scenario13-20230604-003</v>
      </c>
      <c r="H4" s="35" t="s">
        <v>177</v>
      </c>
      <c r="I4" s="35" t="str">
        <f ca="1">'TC42'!B2</f>
        <v>cTB9-2310001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55" zoomScaleNormal="5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74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75" t="s">
        <v>171</v>
      </c>
    </row>
    <row r="2" spans="1:23" ht="15" customHeight="1" x14ac:dyDescent="0.3">
      <c r="A2" s="69" t="str">
        <f ca="1">'TC42'!B2</f>
        <v>cTB9-2310001</v>
      </c>
      <c r="B2" s="57" t="s">
        <v>173</v>
      </c>
      <c r="C2" s="57"/>
      <c r="D2" s="57"/>
      <c r="E2" s="57"/>
      <c r="F2" s="56" t="str">
        <f>'TC35-Contract Parts Info'!B2</f>
        <v>TB9scenario1320230614011</v>
      </c>
      <c r="G2" s="56" t="str">
        <f>'TC35-Contract Parts Info'!C2</f>
        <v>PK-CUS-TB9-scenario13-20230604-001</v>
      </c>
      <c r="H2" s="57" t="s">
        <v>174</v>
      </c>
      <c r="I2" s="57" t="str">
        <f ca="1">'TC44'!B2</f>
        <v>sTB9-2310001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Info'!C3</f>
        <v>PK-CUS-TB9-scenario13-20230604-002</v>
      </c>
      <c r="H3" s="51" t="s">
        <v>176</v>
      </c>
      <c r="I3" s="51" t="str">
        <f ca="1">'TC44'!B2</f>
        <v>sTB9-2310001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Info'!C4</f>
        <v>PK-CUS-TB9-scenario13-20230604-003</v>
      </c>
      <c r="H4" s="35" t="s">
        <v>177</v>
      </c>
      <c r="I4" s="35" t="str">
        <f ca="1">'TC44'!B2</f>
        <v>sTB9-2310001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70" zoomScaleNormal="70" workbookViewId="0">
      <selection activeCell="D2" sqref="D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216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219</v>
      </c>
      <c r="B1" s="91" t="s">
        <v>199</v>
      </c>
      <c r="C1" s="49" t="s">
        <v>220</v>
      </c>
      <c r="D1" s="49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Form'!C2</f>
        <v>B-231031-TB9-09</v>
      </c>
      <c r="B2" s="57" t="str">
        <f>'TC52-Upload Obound Form'!D2</f>
        <v>SEGU5069987</v>
      </c>
      <c r="C2" s="140" t="s">
        <v>240</v>
      </c>
      <c r="D2" s="57" t="s">
        <v>241</v>
      </c>
      <c r="E2" s="57" t="s">
        <v>242</v>
      </c>
      <c r="F2" s="57" t="s">
        <v>242</v>
      </c>
      <c r="G2" s="57" t="s">
        <v>242</v>
      </c>
      <c r="H2" s="57" t="s">
        <v>242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x14ac:dyDescent="0.3">
      <c r="A3" s="65" t="str">
        <f ca="1">'TC52-Upload Obound Form'!C3</f>
        <v>B-231031-TB9-09</v>
      </c>
      <c r="B3" s="51" t="str">
        <f>'TC52-Upload Obound Form'!D3</f>
        <v>CNO1234</v>
      </c>
      <c r="C3" s="51" t="s">
        <v>240</v>
      </c>
      <c r="D3" s="51" t="s">
        <v>241</v>
      </c>
      <c r="E3" s="51" t="s">
        <v>242</v>
      </c>
      <c r="F3" s="51" t="s">
        <v>242</v>
      </c>
      <c r="G3" s="51" t="s">
        <v>242</v>
      </c>
      <c r="H3" s="51" t="s">
        <v>242</v>
      </c>
      <c r="I3" s="51" t="s">
        <v>242</v>
      </c>
      <c r="J3" s="51" t="s">
        <v>242</v>
      </c>
      <c r="K3" s="51" t="s">
        <v>242</v>
      </c>
      <c r="L3" s="51" t="s">
        <v>242</v>
      </c>
      <c r="M3" s="51" t="s">
        <v>242</v>
      </c>
      <c r="N3" s="51" t="s">
        <v>242</v>
      </c>
      <c r="O3" s="51" t="s">
        <v>242</v>
      </c>
      <c r="P3" s="51" t="s">
        <v>242</v>
      </c>
      <c r="Q3" s="51" t="s">
        <v>242</v>
      </c>
      <c r="R3" s="51" t="s">
        <v>242</v>
      </c>
      <c r="S3" s="51" t="s">
        <v>242</v>
      </c>
      <c r="T3" s="51" t="s">
        <v>242</v>
      </c>
      <c r="U3" s="51" t="s">
        <v>242</v>
      </c>
      <c r="V3" s="67" t="s">
        <v>242</v>
      </c>
    </row>
    <row r="4" spans="1:22" s="7" customFormat="1" ht="15" thickBot="1" x14ac:dyDescent="0.35">
      <c r="A4" s="34" t="str">
        <f ca="1">'TC52-Upload Obound Form'!C4</f>
        <v>B-231031-TB9-09</v>
      </c>
      <c r="B4" s="35"/>
      <c r="C4" s="35" t="s">
        <v>240</v>
      </c>
      <c r="D4" s="35" t="s">
        <v>241</v>
      </c>
      <c r="E4" s="35" t="s">
        <v>242</v>
      </c>
      <c r="F4" s="35" t="s">
        <v>242</v>
      </c>
      <c r="G4" s="35" t="s">
        <v>242</v>
      </c>
      <c r="H4" s="35" t="s">
        <v>242</v>
      </c>
      <c r="I4" s="35" t="s">
        <v>242</v>
      </c>
      <c r="J4" s="35" t="s">
        <v>242</v>
      </c>
      <c r="K4" s="35" t="s">
        <v>242</v>
      </c>
      <c r="L4" s="35" t="s">
        <v>242</v>
      </c>
      <c r="M4" s="35" t="s">
        <v>242</v>
      </c>
      <c r="N4" s="35" t="s">
        <v>242</v>
      </c>
      <c r="O4" s="35" t="s">
        <v>242</v>
      </c>
      <c r="P4" s="35" t="s">
        <v>242</v>
      </c>
      <c r="Q4" s="35" t="s">
        <v>242</v>
      </c>
      <c r="R4" s="35" t="s">
        <v>242</v>
      </c>
      <c r="S4" s="35" t="s">
        <v>242</v>
      </c>
      <c r="T4" s="35" t="s">
        <v>242</v>
      </c>
      <c r="U4" s="35" t="s">
        <v>242</v>
      </c>
      <c r="V4" s="36" t="s">
        <v>242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219</v>
      </c>
      <c r="B1" s="91" t="s">
        <v>199</v>
      </c>
      <c r="C1" s="86" t="s">
        <v>243</v>
      </c>
      <c r="D1" s="49" t="s">
        <v>244</v>
      </c>
      <c r="E1" s="49" t="s">
        <v>245</v>
      </c>
      <c r="F1" s="12" t="s">
        <v>246</v>
      </c>
      <c r="G1" s="141" t="s">
        <v>247</v>
      </c>
      <c r="H1" s="141" t="s">
        <v>248</v>
      </c>
      <c r="I1" s="86" t="s">
        <v>249</v>
      </c>
      <c r="J1" s="86" t="s">
        <v>250</v>
      </c>
      <c r="K1" s="86" t="s">
        <v>251</v>
      </c>
      <c r="L1" s="86" t="s">
        <v>252</v>
      </c>
      <c r="M1" s="86" t="s">
        <v>253</v>
      </c>
      <c r="N1" s="86" t="s">
        <v>254</v>
      </c>
      <c r="O1" s="87" t="s">
        <v>255</v>
      </c>
    </row>
    <row r="2" spans="1:15" x14ac:dyDescent="0.3">
      <c r="A2" s="69" t="str">
        <f ca="1">'TC52-Upload Obound Form'!C3</f>
        <v>B-231031-TB9-09</v>
      </c>
      <c r="B2" s="57" t="str">
        <f>'TC52-Upload Obound Form'!D2</f>
        <v>SEGU5069987</v>
      </c>
      <c r="C2" s="83" t="s">
        <v>87</v>
      </c>
      <c r="D2" s="57" t="s">
        <v>205</v>
      </c>
      <c r="E2" s="57" t="s">
        <v>87</v>
      </c>
      <c r="F2" s="62" t="s">
        <v>256</v>
      </c>
      <c r="G2" s="84">
        <f ca="1">TODAY()-2</f>
        <v>45228</v>
      </c>
      <c r="H2" s="84">
        <f ca="1">TODAY()</f>
        <v>45230</v>
      </c>
      <c r="I2" s="83" t="s">
        <v>257</v>
      </c>
      <c r="J2" s="84">
        <f ca="1">TODAY()-2</f>
        <v>45228</v>
      </c>
      <c r="K2" s="83" t="s">
        <v>258</v>
      </c>
      <c r="L2" s="83" t="s">
        <v>259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B-231031-TB9-09</v>
      </c>
      <c r="B3" s="51" t="str">
        <f>'TC52-Upload Obound Form'!D3</f>
        <v>CNO1234</v>
      </c>
      <c r="C3" s="77" t="s">
        <v>260</v>
      </c>
      <c r="D3" s="51" t="s">
        <v>33</v>
      </c>
      <c r="E3" s="51" t="s">
        <v>260</v>
      </c>
      <c r="F3" s="28" t="s">
        <v>224</v>
      </c>
      <c r="G3" s="78">
        <f ca="1">TODAY()-2</f>
        <v>45228</v>
      </c>
      <c r="H3" s="78">
        <f ca="1">TODAY()</f>
        <v>45230</v>
      </c>
      <c r="I3" s="77" t="s">
        <v>257</v>
      </c>
      <c r="J3" s="78">
        <f ca="1">TODAY()-2</f>
        <v>45228</v>
      </c>
      <c r="K3" s="77" t="s">
        <v>258</v>
      </c>
      <c r="L3" s="77" t="s">
        <v>259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B-231031-TB9-09</v>
      </c>
      <c r="B4" s="35"/>
      <c r="C4" s="80" t="s">
        <v>260</v>
      </c>
      <c r="D4" s="35" t="s">
        <v>33</v>
      </c>
      <c r="E4" s="35" t="s">
        <v>260</v>
      </c>
      <c r="F4" s="29" t="s">
        <v>224</v>
      </c>
      <c r="G4" s="81">
        <f ca="1">TODAY()-2</f>
        <v>45228</v>
      </c>
      <c r="H4" s="81">
        <f ca="1">TODAY()</f>
        <v>45230</v>
      </c>
      <c r="I4" s="80" t="s">
        <v>257</v>
      </c>
      <c r="J4" s="81">
        <f ca="1">TODAY()-2</f>
        <v>45228</v>
      </c>
      <c r="K4" s="80" t="s">
        <v>258</v>
      </c>
      <c r="L4" s="80" t="s">
        <v>259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249</v>
      </c>
      <c r="B1" s="12" t="s">
        <v>251</v>
      </c>
      <c r="C1" s="12" t="s">
        <v>252</v>
      </c>
      <c r="D1" s="12" t="s">
        <v>253</v>
      </c>
      <c r="E1" s="12" t="s">
        <v>254</v>
      </c>
      <c r="F1" s="13" t="s">
        <v>255</v>
      </c>
    </row>
    <row r="2" spans="1:6" ht="15" thickBot="1" x14ac:dyDescent="0.35">
      <c r="A2" s="31" t="s">
        <v>257</v>
      </c>
      <c r="B2" s="23" t="s">
        <v>258</v>
      </c>
      <c r="C2" s="23" t="s">
        <v>259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261</v>
      </c>
      <c r="B1" s="142" t="s">
        <v>262</v>
      </c>
      <c r="C1" s="142" t="s">
        <v>263</v>
      </c>
      <c r="D1" s="143" t="s">
        <v>264</v>
      </c>
    </row>
    <row r="2" spans="1:5" ht="15" thickBot="1" x14ac:dyDescent="0.35">
      <c r="A2" s="37" t="str">
        <f>'TC52-Upload Obound Form'!D2</f>
        <v>SEGU5069987</v>
      </c>
      <c r="B2" s="23" t="s">
        <v>265</v>
      </c>
      <c r="C2" s="23" t="s">
        <v>265</v>
      </c>
      <c r="D2" s="32" t="s">
        <v>266</v>
      </c>
      <c r="E2" s="5" t="s">
        <v>267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zoomScale="55" zoomScaleNormal="55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B-231031-TB9-09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241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B-231031-TB9-09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241</v>
      </c>
      <c r="I3" s="35" t="s">
        <v>242</v>
      </c>
      <c r="J3" s="35" t="s">
        <v>242</v>
      </c>
      <c r="K3" s="35" t="s">
        <v>242</v>
      </c>
      <c r="L3" s="35" t="s">
        <v>242</v>
      </c>
      <c r="M3" s="35" t="s">
        <v>242</v>
      </c>
      <c r="N3" s="35" t="s">
        <v>242</v>
      </c>
      <c r="O3" s="35" t="s">
        <v>242</v>
      </c>
      <c r="P3" s="35" t="s">
        <v>242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I1" sqref="I1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zoomScale="55" zoomScaleNormal="55" workbookViewId="0">
      <selection activeCell="B1" sqref="B1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23" max="23" width="18.109375" bestFit="1" customWidth="1" collapsed="1"/>
  </cols>
  <sheetData>
    <row r="1" spans="1:23" ht="15" thickBot="1" x14ac:dyDescent="0.35">
      <c r="A1" s="147" t="s">
        <v>178</v>
      </c>
      <c r="B1" s="49" t="s">
        <v>179</v>
      </c>
      <c r="C1" s="49" t="s">
        <v>153</v>
      </c>
      <c r="D1" s="49" t="s">
        <v>154</v>
      </c>
      <c r="E1" s="49" t="s">
        <v>155</v>
      </c>
      <c r="F1" s="148" t="s">
        <v>122</v>
      </c>
      <c r="G1" s="148" t="s">
        <v>156</v>
      </c>
      <c r="H1" s="49" t="s">
        <v>157</v>
      </c>
      <c r="I1" s="148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sTB9-2310001</v>
      </c>
      <c r="B2" s="57" t="s">
        <v>214</v>
      </c>
      <c r="C2" s="57"/>
      <c r="D2" s="57"/>
      <c r="E2" s="57"/>
      <c r="F2" s="56" t="str">
        <f>'TC35-Contract Parts Info'!B2</f>
        <v>TB9scenario1320230614011</v>
      </c>
      <c r="G2" s="56" t="str">
        <f>'TC35-Contract Parts Info'!D2</f>
        <v>CNTW-SUP-TB9-scenario13-20230604-001</v>
      </c>
      <c r="H2" s="57" t="s">
        <v>174</v>
      </c>
      <c r="I2" s="57" t="str">
        <f ca="1">'TC42'!B2</f>
        <v>cTB9-2310001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Info'!D3</f>
        <v>CNTW-SUP-TB9-scenario13-20230604-002</v>
      </c>
      <c r="H3" s="51" t="s">
        <v>176</v>
      </c>
      <c r="I3" s="51" t="str">
        <f ca="1">'TC42'!B2</f>
        <v>cTB9-2310001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Info'!D4</f>
        <v>CNTW-SUP-TB9-scenario13-20230604-003</v>
      </c>
      <c r="H4" s="35" t="s">
        <v>177</v>
      </c>
      <c r="I4" s="35" t="str">
        <f ca="1">'TC42'!B2</f>
        <v>cTB9-2310001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M1"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122</v>
      </c>
      <c r="G1" s="6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40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50" t="s">
        <v>171</v>
      </c>
    </row>
    <row r="2" spans="1:23" ht="15" customHeight="1" x14ac:dyDescent="0.3">
      <c r="A2" s="3" t="str">
        <f ca="1">'TC42'!B2</f>
        <v>cTB9-2310001</v>
      </c>
      <c r="B2" s="3" t="s">
        <v>215</v>
      </c>
      <c r="C2" s="3"/>
      <c r="D2" s="3"/>
      <c r="E2" s="3"/>
      <c r="F2" s="4" t="str">
        <f>'TC35-Contract Parts Info'!B2</f>
        <v>TB9scenario1320230614011</v>
      </c>
      <c r="G2" s="4" t="str">
        <f>'TC35-Contract Parts Info'!C2</f>
        <v>PK-CUS-TB9-scenario13-20230604-001</v>
      </c>
      <c r="H2" s="3" t="s">
        <v>174</v>
      </c>
      <c r="I2" s="3" t="str">
        <f ca="1">'TC44'!B2</f>
        <v>sTB9-2310001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TB9scenario1320230614012</v>
      </c>
      <c r="G3" s="4" t="str">
        <f>'TC35-Contract Parts Info'!C3</f>
        <v>PK-CUS-TB9-scenario13-20230604-002</v>
      </c>
      <c r="H3" s="3" t="s">
        <v>176</v>
      </c>
      <c r="I3" s="3" t="str">
        <f ca="1">'TC44'!B2</f>
        <v>sTB9-2310001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TB9scenario1320230614013</v>
      </c>
      <c r="G4" s="4" t="str">
        <f>'TC35-Contract Parts Info'!C4</f>
        <v>PK-CUS-TB9-scenario13-20230604-003</v>
      </c>
      <c r="H4" s="3" t="s">
        <v>177</v>
      </c>
      <c r="I4" s="3" t="str">
        <f ca="1">'TC44'!B2</f>
        <v>sTB9-2310001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197</v>
      </c>
      <c r="C1" s="149" t="s">
        <v>199</v>
      </c>
      <c r="D1" s="116" t="s">
        <v>283</v>
      </c>
      <c r="E1" s="149" t="s">
        <v>284</v>
      </c>
      <c r="F1" s="149" t="s">
        <v>248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o-CNTW-SUP-POC-231031-09</v>
      </c>
      <c r="C2" s="62" t="str">
        <f>IF('TC52-Upload Obound Form'!D4="","",'TC52-Upload Obound Form'!D4)</f>
        <v/>
      </c>
      <c r="D2" s="62" t="s">
        <v>285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286</v>
      </c>
    </row>
    <row r="3" spans="1:7" x14ac:dyDescent="0.3">
      <c r="A3" s="9">
        <v>2</v>
      </c>
      <c r="B3" s="28" t="str">
        <f ca="1">'TC52-Upload Obound Form'!B2</f>
        <v>o-CNTW-SUP-POC-231031-09</v>
      </c>
      <c r="C3" s="28" t="str">
        <f>'TC52-Upload Obound Form'!D3</f>
        <v>CNO1234</v>
      </c>
      <c r="D3" s="28" t="s">
        <v>287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o-CNTW-SUP-POC-231031-09</v>
      </c>
      <c r="C4" s="29" t="str">
        <f>'TC52-Upload Obound Form'!D2</f>
        <v>SEGU5069987</v>
      </c>
      <c r="D4" s="29" t="s">
        <v>288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218</v>
      </c>
      <c r="C1" s="114" t="s">
        <v>248</v>
      </c>
      <c r="D1" s="115" t="s">
        <v>284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218</v>
      </c>
      <c r="C1" s="115" t="s">
        <v>93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CNTWSUP-PKCUS-TB9-009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B-231031-TB9-09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B-231031-TB9-09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8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B-231031-TB9-09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241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B-231031-TB9-09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241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89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289</v>
      </c>
      <c r="G1" s="114" t="s">
        <v>290</v>
      </c>
      <c r="H1" s="12" t="s">
        <v>291</v>
      </c>
      <c r="I1" s="12" t="s">
        <v>292</v>
      </c>
      <c r="J1" s="12" t="s">
        <v>293</v>
      </c>
      <c r="K1" s="12" t="s">
        <v>294</v>
      </c>
      <c r="L1" s="12" t="s">
        <v>295</v>
      </c>
      <c r="M1" s="13" t="s">
        <v>296</v>
      </c>
    </row>
    <row r="2" spans="1:13" x14ac:dyDescent="0.3">
      <c r="A2" s="8">
        <f>'TC069'!A2</f>
        <v>1</v>
      </c>
      <c r="B2" s="150" t="str">
        <f>'TC35-Contract Parts Info'!B4</f>
        <v>TB9scenario1320230614013</v>
      </c>
      <c r="C2" s="62" t="str">
        <f ca="1">'TC069'!B2</f>
        <v>o-CNTW-SUP-POC-231031-09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i-CNTW-SUP-POC-231031-TB9-001</v>
      </c>
      <c r="G2" s="62" t="str">
        <f ca="1">TEXT(TODAY(),"d mmm yyyy")</f>
        <v>31 Oct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TB9scenario1320230614012</v>
      </c>
      <c r="C3" s="28" t="str">
        <f ca="1">'TC069'!B3</f>
        <v>o-CNTW-SUP-POC-231031-09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i-CNTW-SUP-POC-231031-TB9-001</v>
      </c>
      <c r="G3" s="28" t="str">
        <f t="shared" ref="G3:G4" ca="1" si="0">TEXT(TODAY(),"d mmm yyyy")</f>
        <v>31 Oct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TB9scenario1320230614011</v>
      </c>
      <c r="C4" s="29" t="str">
        <f ca="1">'TC069'!B4</f>
        <v>o-CNTW-SUP-POC-231031-09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i-CNTW-SUP-POC-231031-TB9-001</v>
      </c>
      <c r="G4" s="29" t="str">
        <f t="shared" ca="1" si="0"/>
        <v>31 Oct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zoomScale="55" zoomScaleNormal="5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50" t="s">
        <v>170</v>
      </c>
    </row>
    <row r="2" spans="1:22" ht="15" customHeight="1" x14ac:dyDescent="0.3">
      <c r="A2" s="69" t="str">
        <f ca="1">'TC42'!B2</f>
        <v>cTB9-2310001</v>
      </c>
      <c r="B2" s="57" t="s">
        <v>214</v>
      </c>
      <c r="C2" s="57"/>
      <c r="D2" s="57"/>
      <c r="E2" s="57"/>
      <c r="F2" s="56" t="str">
        <f>'TC35-Contract Parts Info'!B2</f>
        <v>TB9scenario1320230614011</v>
      </c>
      <c r="G2" s="56" t="str">
        <f>'TC35-Contract Parts Info'!C2</f>
        <v>PK-CUS-TB9-scenario13-20230604-001</v>
      </c>
      <c r="H2" s="57" t="s">
        <v>174</v>
      </c>
      <c r="I2" s="57" t="str">
        <f ca="1">'TC44'!B2</f>
        <v>sTB9-2310001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214</v>
      </c>
      <c r="R2" s="57">
        <v>150</v>
      </c>
      <c r="S2" s="57">
        <v>150</v>
      </c>
      <c r="T2" s="57" t="s">
        <v>175</v>
      </c>
      <c r="U2" s="57">
        <v>0</v>
      </c>
      <c r="V2" s="71" t="s">
        <v>175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Info'!C3</f>
        <v>PK-CUS-TB9-scenario13-20230604-002</v>
      </c>
      <c r="H3" s="51" t="s">
        <v>176</v>
      </c>
      <c r="I3" s="51" t="str">
        <f ca="1">'TC44'!B2</f>
        <v>sTB9-2310001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214</v>
      </c>
      <c r="R3" s="51">
        <v>150</v>
      </c>
      <c r="S3" s="51">
        <v>100</v>
      </c>
      <c r="T3" s="51" t="s">
        <v>175</v>
      </c>
      <c r="U3" s="51">
        <v>50</v>
      </c>
      <c r="V3" s="67" t="s">
        <v>175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Info'!C4</f>
        <v>PK-CUS-TB9-scenario13-20230604-003</v>
      </c>
      <c r="H4" s="35" t="s">
        <v>177</v>
      </c>
      <c r="I4" s="35" t="str">
        <f ca="1">'TC44'!B2</f>
        <v>sTB9-2310001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214</v>
      </c>
      <c r="R4" s="35">
        <v>50</v>
      </c>
      <c r="S4" s="35">
        <v>0</v>
      </c>
      <c r="T4" s="35" t="s">
        <v>175</v>
      </c>
      <c r="U4" s="35">
        <v>50</v>
      </c>
      <c r="V4" s="36" t="s">
        <v>175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zoomScale="70" zoomScaleNormal="70" workbookViewId="0">
      <selection activeCell="P1" sqref="P1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178</v>
      </c>
      <c r="B1" s="118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49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sTB9-2310001</v>
      </c>
      <c r="B2" s="57" t="s">
        <v>214</v>
      </c>
      <c r="C2" s="57"/>
      <c r="D2" s="57"/>
      <c r="E2" s="57"/>
      <c r="F2" s="56" t="str">
        <f>'TC35-Contract Parts Info'!B2</f>
        <v>TB9scenario1320230614011</v>
      </c>
      <c r="G2" s="56" t="str">
        <f>'TC35-Contract Parts Info'!D2</f>
        <v>CNTW-SUP-TB9-scenario13-20230604-001</v>
      </c>
      <c r="H2" s="57" t="s">
        <v>174</v>
      </c>
      <c r="I2" s="57" t="str">
        <f ca="1">'TC42'!B2</f>
        <v>cTB9-2310001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0</v>
      </c>
      <c r="S2" s="57">
        <v>150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TB9scenario1320230614012</v>
      </c>
      <c r="G3" s="52" t="str">
        <f>'TC35-Contract Parts Info'!D3</f>
        <v>CNTW-SUP-TB9-scenario13-20230604-002</v>
      </c>
      <c r="H3" s="51" t="s">
        <v>176</v>
      </c>
      <c r="I3" s="51" t="str">
        <f ca="1">'TC42'!B2</f>
        <v>cTB9-2310001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0</v>
      </c>
      <c r="S3" s="51">
        <v>150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TB9scenario1320230614013</v>
      </c>
      <c r="G4" s="53" t="str">
        <f>'TC35-Contract Parts Info'!D4</f>
        <v>CNTW-SUP-TB9-scenario13-20230604-003</v>
      </c>
      <c r="H4" s="35" t="s">
        <v>177</v>
      </c>
      <c r="I4" s="35" t="str">
        <f ca="1">'TC42'!B2</f>
        <v>cTB9-2310001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0</v>
      </c>
      <c r="S4" s="35">
        <v>50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297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198</v>
      </c>
      <c r="C1" s="157" t="s">
        <v>199</v>
      </c>
      <c r="D1" s="156" t="s">
        <v>298</v>
      </c>
      <c r="E1" s="157" t="s">
        <v>202</v>
      </c>
    </row>
    <row r="2" spans="1:5" x14ac:dyDescent="0.3">
      <c r="A2" s="159">
        <v>1</v>
      </c>
      <c r="B2" s="160" t="str">
        <f ca="1">'TC52-Upload Obound Form'!C2</f>
        <v>B-231031-TB9-09</v>
      </c>
      <c r="C2" s="160" t="str">
        <f>IF('TC52-Upload Obound Form'!D2="","",'TC52-Upload Obound Form'!D2)</f>
        <v>SEGU5069987</v>
      </c>
      <c r="D2" s="159" t="s">
        <v>256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B-231031-TB9-09</v>
      </c>
      <c r="C3" s="160" t="str">
        <f>IF('TC52-Upload Obound Form'!D3="","",'TC52-Upload Obound Form'!D3)</f>
        <v>CNO1234</v>
      </c>
      <c r="D3" s="159" t="s">
        <v>239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B-231031-TB9-09</v>
      </c>
      <c r="C4" s="160" t="str">
        <f>IF('TC52-Upload Obound Form'!D4="","",'TC52-Upload Obound Form'!D4)</f>
        <v/>
      </c>
      <c r="D4" s="159" t="s">
        <v>239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B-231031-TB9-09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zoomScale="55" zoomScaleNormal="5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49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B-231031-TB9-09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282</v>
      </c>
      <c r="T2" s="57" t="s">
        <v>282</v>
      </c>
      <c r="U2" s="57" t="s">
        <v>282</v>
      </c>
      <c r="V2" s="71" t="s">
        <v>282</v>
      </c>
    </row>
    <row r="3" spans="1:22" s="7" customFormat="1" ht="15" thickBot="1" x14ac:dyDescent="0.35">
      <c r="A3" s="34" t="str">
        <f ca="1">'TC52-Upload Obound Form'!C4</f>
        <v>B-231031-TB9-09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282</v>
      </c>
      <c r="T3" s="35" t="s">
        <v>282</v>
      </c>
      <c r="U3" s="35" t="s">
        <v>282</v>
      </c>
      <c r="V3" s="36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198</v>
      </c>
      <c r="C1" s="114" t="s">
        <v>199</v>
      </c>
      <c r="D1" s="13" t="s">
        <v>246</v>
      </c>
    </row>
    <row r="2" spans="1:4" ht="13.2" customHeight="1" x14ac:dyDescent="0.3">
      <c r="A2" s="8">
        <v>1</v>
      </c>
      <c r="B2" s="62" t="str">
        <f ca="1">'TC52-Upload Obound Setup'!B2</f>
        <v>B-231031-TB9-09</v>
      </c>
      <c r="C2" s="101" t="str">
        <f>'TC52-Upload Obound Form'!D2</f>
        <v>SEGU5069987</v>
      </c>
      <c r="D2" s="63" t="s">
        <v>256</v>
      </c>
    </row>
    <row r="3" spans="1:4" x14ac:dyDescent="0.3">
      <c r="A3" s="9">
        <v>2</v>
      </c>
      <c r="B3" s="28" t="str">
        <f ca="1">'TC52-Upload Obound Setup'!B2</f>
        <v>B-231031-TB9-09</v>
      </c>
      <c r="C3" s="99" t="str">
        <f>'TC52-Upload Obound Form'!D3</f>
        <v>CNO1234</v>
      </c>
      <c r="D3" s="59" t="s">
        <v>224</v>
      </c>
    </row>
    <row r="4" spans="1:4" ht="15" thickBot="1" x14ac:dyDescent="0.35">
      <c r="A4" s="10">
        <v>3</v>
      </c>
      <c r="B4" s="29" t="str">
        <f ca="1">'TC52-Upload Obound Setup'!B2</f>
        <v>B-231031-TB9-09</v>
      </c>
      <c r="C4" s="100"/>
      <c r="D4" s="30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C10" sqref="C10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14" bestFit="1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TB9</v>
      </c>
      <c r="B2" s="38" t="str">
        <f>A2</f>
        <v>CNTWSUP-PKCUS TB9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">
        <v>68</v>
      </c>
      <c r="K2" s="38" t="s">
        <v>69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70</v>
      </c>
      <c r="B1" s="118" t="s">
        <v>71</v>
      </c>
      <c r="C1" s="118" t="s">
        <v>72</v>
      </c>
      <c r="D1" s="118" t="s">
        <v>73</v>
      </c>
      <c r="E1" s="118" t="s">
        <v>74</v>
      </c>
      <c r="F1" s="118" t="s">
        <v>75</v>
      </c>
      <c r="G1" s="118" t="s">
        <v>76</v>
      </c>
      <c r="H1" s="118" t="s">
        <v>77</v>
      </c>
      <c r="I1" s="118" t="s">
        <v>78</v>
      </c>
      <c r="J1" s="118" t="s">
        <v>79</v>
      </c>
      <c r="K1" s="118" t="s">
        <v>80</v>
      </c>
      <c r="L1" s="118" t="s">
        <v>81</v>
      </c>
      <c r="M1" s="118" t="s">
        <v>82</v>
      </c>
      <c r="N1" s="118" t="s">
        <v>83</v>
      </c>
      <c r="O1" s="122" t="s">
        <v>84</v>
      </c>
    </row>
    <row r="2" spans="1:15" ht="15" thickBot="1" x14ac:dyDescent="0.35">
      <c r="A2" s="37" t="s">
        <v>85</v>
      </c>
      <c r="B2" s="38" t="s">
        <v>86</v>
      </c>
      <c r="C2" s="38" t="s">
        <v>87</v>
      </c>
      <c r="D2" s="38" t="s">
        <v>86</v>
      </c>
      <c r="E2" s="38" t="s">
        <v>87</v>
      </c>
      <c r="F2" s="38" t="s">
        <v>86</v>
      </c>
      <c r="G2" s="38" t="s">
        <v>87</v>
      </c>
      <c r="H2" s="38" t="s">
        <v>86</v>
      </c>
      <c r="I2" s="38" t="s">
        <v>88</v>
      </c>
      <c r="J2" s="38" t="s">
        <v>86</v>
      </c>
      <c r="K2" s="38" t="s">
        <v>87</v>
      </c>
      <c r="L2" s="38" t="s">
        <v>86</v>
      </c>
      <c r="M2" s="38" t="s">
        <v>87</v>
      </c>
      <c r="N2" s="38" t="s">
        <v>86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B2"/>
  <sheetViews>
    <sheetView workbookViewId="0">
      <selection activeCell="D15" sqref="D15"/>
    </sheetView>
  </sheetViews>
  <sheetFormatPr defaultRowHeight="14.4" x14ac:dyDescent="0.3"/>
  <cols>
    <col min="1" max="1" width="3.44140625" bestFit="1" customWidth="1" collapsed="1"/>
    <col min="2" max="2" width="26.664062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Indicator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2023-10-31T04:30:44Z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