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C:\Users\Testbit_SR\git\tb-ttap-brivge-v2\Excel Files\Scenario 13\"/>
    </mc:Choice>
  </mc:AlternateContent>
  <xr:revisionPtr documentId="13_ncr:1_{CF21371A-B0B2-4217-B9C8-DA4E9670E6AB}" revIDLastSave="0" xr10:uidLastSave="{00000000-0000-0000-0000-000000000000}" xr6:coauthVersionLast="47" xr6:coauthVersionMax="47"/>
  <bookViews>
    <workbookView activeTab="48" firstSheet="47" tabRatio="618" windowHeight="8880" windowWidth="22140" xWindow="-20832" xr2:uid="{00000000-000D-0000-FFFF-FFFF00000000}" yWindow="1320"/>
  </bookViews>
  <sheets>
    <sheet name="Indicator" r:id="rId1" sheetId="66"/>
    <sheet name="AutoGen" r:id="rId2" sheetId="67"/>
    <sheet name="AutoIncrement" r:id="rId3" sheetId="14"/>
    <sheet name="TC03-Company" r:id="rId4" sheetId="72"/>
    <sheet name="TC04-Customer" r:id="rId5" sheetId="71"/>
    <sheet name="TC05-BU" r:id="rId6" sheetId="73"/>
    <sheet name="TC06-Supplier" r:id="rId7" sheetId="74"/>
    <sheet name="TC07-DC" r:id="rId8" sheetId="75"/>
    <sheet name="TC09-Create New User" r:id="rId9" sheetId="18"/>
    <sheet name="TC14n15" r:id="rId10" sheetId="65"/>
    <sheet name="TC019-Activate User" r:id="rId11" sheetId="61"/>
    <sheet name="TC021-Forget Password" r:id="rId12" sheetId="59"/>
    <sheet name="TC033" r:id="rId13" sheetId="19"/>
    <sheet name="TC033_ETAnWeek" r:id="rId14" sheetId="20"/>
    <sheet name="TC34" r:id="rId15" sheetId="9"/>
    <sheet name="TC35-Contract Parts Info" r:id="rId16" sheetId="6"/>
    <sheet name="TC35" r:id="rId17" sheetId="3"/>
    <sheet name="TC038" r:id="rId18" sheetId="21"/>
    <sheet name="TC039" r:id="rId19" sheetId="23"/>
    <sheet name="S13_TC40" r:id="rId20" sheetId="44"/>
    <sheet name="TC041 - Place Order (Regular)" r:id="rId21" sheetId="2"/>
    <sheet name="TC041-Inbound Date" r:id="rId22" sheetId="13"/>
    <sheet name="TC041-Reference" r:id="rId23" sheetId="68"/>
    <sheet name="TC42" r:id="rId24" sheetId="4"/>
    <sheet name="TC44" r:id="rId25" sheetId="5"/>
    <sheet name="TC46-Price" r:id="rId26" sheetId="69"/>
    <sheet name="TC47-Change Order" r:id="rId27" sheetId="7"/>
    <sheet name="TC47-Change Inbound Dates" r:id="rId28" sheetId="8"/>
    <sheet name="TC48" r:id="rId29" sheetId="10"/>
    <sheet name="TC049" r:id="rId30" sheetId="24"/>
    <sheet name="TC050" r:id="rId31" sheetId="25"/>
    <sheet name="TC051" r:id="rId32" sheetId="70"/>
    <sheet name="TC52-Download Obound Form" r:id="rId33" sheetId="11"/>
    <sheet name="TC52-Upload Obound Form" r:id="rId34" sheetId="12"/>
    <sheet name="TC52-Upload Obound Setup" r:id="rId35" sheetId="17"/>
    <sheet name="TC52-Autogen Outbound Data" r:id="rId36" sheetId="57"/>
    <sheet name="TC053" r:id="rId37" sheetId="26"/>
    <sheet name="TC054" r:id="rId38" sheetId="27"/>
    <sheet name="TC55" r:id="rId39" sheetId="22"/>
    <sheet name="TC56-Custom Invoice Exp" r:id="rId40" sheetId="15"/>
    <sheet name="TC57-Custom Invoice Imp" r:id="rId41" sheetId="16"/>
    <sheet name="TC58n59" r:id="rId42" sheetId="28"/>
    <sheet name="TC62" r:id="rId43" sheetId="51"/>
    <sheet name="TC62-Setup Data" r:id="rId44" sheetId="55"/>
    <sheet name="TC063" r:id="rId45" sheetId="29"/>
    <sheet name="TC64n65_ForecastContainer" r:id="rId46" sheetId="37"/>
    <sheet name="TC64n65_ForecastContainer-Manua" r:id="rId47" sheetId="47"/>
    <sheet name="TC64n65_NonFContainer" r:id="rId48" sheetId="38"/>
    <sheet name="TC067" r:id="rId49" sheetId="30"/>
    <sheet name="TC068" r:id="rId50" sheetId="31"/>
    <sheet name="TC069" r:id="rId51" sheetId="52"/>
    <sheet name="TC070" r:id="rId52" sheetId="54"/>
    <sheet name="TC072" r:id="rId53" sheetId="45"/>
    <sheet name="TC073n074_ForecastContainer" r:id="rId54" sheetId="32"/>
    <sheet name="TC073n074_Forecast-Manual" r:id="rId55" sheetId="48"/>
    <sheet name="TC073n074_NonFContainer" r:id="rId56" sheetId="39"/>
    <sheet name="TC075" r:id="rId57" sheetId="46"/>
    <sheet name="TC076n077_ForecastContainer" r:id="rId58" sheetId="40"/>
    <sheet name="TC076n077_Forecast-Manaul" r:id="rId59" sheetId="49"/>
    <sheet name="TC076n077_NonFContainer" r:id="rId60" sheetId="41"/>
    <sheet name="TC078" r:id="rId61" sheetId="58"/>
    <sheet name="TC079" r:id="rId62" sheetId="34"/>
    <sheet name="TC080" r:id="rId63" sheetId="35"/>
    <sheet name="TC82-New Buyer GR Invoice" r:id="rId64" sheetId="64"/>
    <sheet name="TC83-Inbound Shipping Details" r:id="rId65" sheetId="56"/>
    <sheet name="TC084n085_ForecastContainer" r:id="rId66" sheetId="42"/>
    <sheet name="TC084n085_Forecast-Manual" r:id="rId67" sheetId="50"/>
    <sheet name="TC084n085_NonFContainer" r:id="rId68" sheetId="43"/>
    <sheet name="TC086" r:id="rId69" sheetId="62"/>
  </sheets>
  <definedNames>
    <definedName name="ACTIVE_FLAG">#REF!</definedName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tiemzone">#REF!</definedName>
    <definedName name="UOM_CODE">#REF!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51" l="1" r="G2"/>
  <c i="51" r="H2"/>
  <c i="51" r="J2"/>
  <c i="12" r="E2"/>
  <c i="12" r="E3"/>
  <c i="12" r="E4"/>
  <c i="12" r="B3"/>
  <c i="12" r="B4"/>
  <c i="12" r="B2"/>
  <c i="35" r="N3"/>
  <c i="35" r="N4"/>
  <c i="35" r="N2"/>
  <c i="34" r="O3"/>
  <c i="34" r="O4"/>
  <c i="34" r="O2"/>
  <c i="31" r="O3"/>
  <c i="31" r="O4"/>
  <c i="31" r="O2"/>
  <c i="30" r="N3"/>
  <c i="30" r="N4"/>
  <c i="30" r="N2"/>
  <c i="27" r="O3"/>
  <c i="27" r="O4"/>
  <c i="27" r="O2"/>
  <c i="26" r="N3"/>
  <c i="26" r="N4"/>
  <c i="26" r="N2"/>
  <c i="25" r="N3"/>
  <c i="25" r="N4"/>
  <c i="25" r="N2"/>
  <c i="24" r="O3"/>
  <c i="24" r="O4"/>
  <c i="24" r="O2"/>
  <c i="37" r="G2"/>
  <c i="37" r="F2"/>
  <c i="65" r="C2"/>
  <c i="65" r="B2"/>
  <c i="65" r="A2"/>
  <c i="18" r="F2"/>
  <c i="18" r="E2"/>
  <c i="18" r="D2"/>
  <c i="75" r="E2"/>
  <c i="75" r="D2"/>
  <c i="75" r="C2"/>
  <c i="75" r="B2"/>
  <c i="75" r="A2"/>
  <c i="74" r="D2"/>
  <c i="74" r="C2"/>
  <c i="74" r="B2"/>
  <c i="74" r="A2"/>
  <c i="71" r="D2"/>
  <c i="73" r="D2"/>
  <c i="73" r="C2"/>
  <c i="73" r="B2"/>
  <c i="73" r="A2"/>
  <c i="71" r="C2"/>
  <c i="71" r="B2"/>
  <c i="71" r="A2"/>
  <c i="72" r="R2"/>
  <c i="72" r="Q2"/>
  <c i="72" r="P2"/>
  <c i="72" r="E2"/>
  <c i="72" r="D2"/>
  <c i="72" r="A2"/>
  <c i="72" r="C2" s="1"/>
  <c i="72" r="O2"/>
  <c i="70" l="1" r="A3"/>
  <c i="70" r="A2"/>
  <c i="70" r="A5"/>
  <c i="70" r="A4"/>
  <c i="8" r="C2"/>
  <c i="8" r="B2"/>
  <c i="8" r="F2"/>
  <c i="8" l="1" r="D2"/>
  <c i="13" l="1" r="B2"/>
  <c i="13" r="C2"/>
  <c i="68" r="A2"/>
  <c i="9" l="1" r="B2"/>
  <c i="3" l="1" r="M2"/>
  <c i="19" r="A2"/>
  <c i="6" r="D4"/>
  <c i="6" r="D3"/>
  <c i="6" r="D2"/>
  <c i="6" r="C4"/>
  <c i="6" r="C3"/>
  <c i="6" r="C2"/>
  <c i="6" r="B4"/>
  <c i="6" r="B3"/>
  <c i="6" r="B2"/>
  <c i="21" r="A4"/>
  <c i="21" r="A2"/>
  <c i="21" r="A3"/>
  <c i="3" r="K2"/>
  <c i="7" l="1" r="B2"/>
  <c i="70" r="B2"/>
  <c i="21" r="B2"/>
  <c i="25" r="F2"/>
  <c i="69" r="A2"/>
  <c i="17" r="B2"/>
  <c i="17" r="C2"/>
  <c i="25" r="F3"/>
  <c i="70" r="B4"/>
  <c i="7" r="B3"/>
  <c i="21" r="B3"/>
  <c i="70" r="B3"/>
  <c i="69" r="A3"/>
  <c i="70" r="B5"/>
  <c i="25" r="F4"/>
  <c i="7" r="B4"/>
  <c i="21" r="B4"/>
  <c i="69" r="A4"/>
  <c i="65" r="D2"/>
  <c i="58" r="G3"/>
  <c i="58" r="G4"/>
  <c i="58" r="G2"/>
  <c i="58" r="F3"/>
  <c i="58" r="F4"/>
  <c i="58" r="F2"/>
  <c i="58" r="B4"/>
  <c i="58" r="B2"/>
  <c i="58" r="B3"/>
  <c i="54" r="D2"/>
  <c i="52" r="E2"/>
  <c i="54" r="C2"/>
  <c i="54" r="B2"/>
  <c i="52" r="F2"/>
  <c i="52" r="F3"/>
  <c i="52" r="F4"/>
  <c i="52" r="E3"/>
  <c i="52" r="E4"/>
  <c i="51" r="B2"/>
  <c i="51" r="B3"/>
  <c i="51" r="G3"/>
  <c i="51" r="H3"/>
  <c i="51" r="J3"/>
  <c i="15" r="B2"/>
  <c i="10" r="B2"/>
  <c i="5" r="B2"/>
  <c i="4" r="B2"/>
  <c i="23" r="H4"/>
  <c i="62" r="C3"/>
  <c i="62" r="C2"/>
  <c i="23" l="1" r="D4"/>
  <c i="23" r="D3"/>
  <c i="30" r="J2"/>
  <c i="25" r="J2"/>
  <c i="23" r="D2"/>
  <c i="26" r="J3"/>
  <c i="44" r="D2"/>
  <c i="11" r="B2"/>
  <c i="26" r="J4"/>
  <c i="23" r="G3"/>
  <c i="23" r="G4"/>
  <c i="35" r="J4"/>
  <c i="35" r="J3"/>
  <c i="26" r="J2"/>
  <c i="11" r="C2"/>
  <c i="23" r="G2"/>
  <c i="3" r="T2"/>
  <c i="35" r="J2"/>
  <c i="25" r="J4"/>
  <c i="30" r="J3"/>
  <c i="25" r="J3"/>
  <c i="19" r="J2"/>
  <c i="30" r="J4"/>
  <c i="3" r="P2"/>
  <c i="21" r="H4"/>
  <c i="23" r="H2"/>
  <c i="21" r="H3"/>
  <c i="21" r="H2"/>
  <c i="23" r="H3"/>
  <c i="51" r="J4"/>
  <c i="51" r="H4"/>
  <c i="51" r="G4"/>
  <c i="23" l="1" r="A4"/>
  <c i="23" r="A3"/>
  <c i="23" r="A2"/>
  <c i="61" r="C1"/>
  <c i="61" r="D1"/>
  <c i="61" r="E1"/>
  <c i="61" r="F1"/>
  <c i="61" r="G1"/>
  <c i="61" r="C2"/>
  <c i="61" r="D2"/>
  <c i="61" r="E2"/>
  <c i="61" r="F2"/>
  <c i="61" r="G2"/>
  <c i="61" r="B1"/>
  <c i="61" r="B2"/>
  <c i="61" r="A2"/>
  <c i="61" r="A1"/>
  <c i="59" r="J2"/>
  <c i="59" r="G1"/>
  <c i="59" r="H1"/>
  <c i="59" r="I1"/>
  <c i="59" r="J1"/>
  <c i="59" r="G2"/>
  <c i="59" r="H2"/>
  <c i="59" r="D2"/>
  <c i="59" r="E2"/>
  <c i="59" r="F2"/>
  <c i="59" r="E1"/>
  <c i="59" r="F1"/>
  <c i="59" r="B2"/>
  <c i="59" r="C2"/>
  <c i="59" r="C1"/>
  <c i="59" r="D1"/>
  <c i="59" r="B1"/>
  <c i="62" r="B4"/>
  <c i="52" r="B3"/>
  <c i="58" r="E2" s="1"/>
  <c i="58" r="D3"/>
  <c i="58" r="D4"/>
  <c i="58" r="D2"/>
  <c i="58" r="D1"/>
  <c i="58" r="E1"/>
  <c i="52" r="C2"/>
  <c i="56" r="C4"/>
  <c i="56" r="C3"/>
  <c i="56" r="C2"/>
  <c i="56" r="E3"/>
  <c i="56" r="E4"/>
  <c i="56" r="E2"/>
  <c i="52" r="C4"/>
  <c i="52" r="C3"/>
  <c i="58" r="A2"/>
  <c i="58" r="A3"/>
  <c i="58" r="A4"/>
  <c i="58" r="C1"/>
  <c i="58" r="A1"/>
  <c i="62" l="1" r="B2"/>
  <c i="62" r="B3"/>
  <c i="52" r="B4"/>
  <c i="58" r="C4" s="1"/>
  <c i="58" r="E3"/>
  <c i="58" r="E4"/>
  <c i="37" r="D2"/>
  <c i="52" r="B2"/>
  <c i="58" r="C2" s="1"/>
  <c i="11" r="E2"/>
  <c i="19" r="B2"/>
  <c i="12" r="C2"/>
  <c i="50" r="E2"/>
  <c i="50" r="D2"/>
  <c i="50" r="B2"/>
  <c i="49" r="E2"/>
  <c i="49" r="D2"/>
  <c i="49" r="B2"/>
  <c i="48" r="E2"/>
  <c i="48" r="D2"/>
  <c i="48" r="B2"/>
  <c i="47" r="E2"/>
  <c i="47" r="D2"/>
  <c i="47" r="B2"/>
  <c i="43" r="B2"/>
  <c i="42" r="E2"/>
  <c i="42" r="D2"/>
  <c i="42" r="B2"/>
  <c i="35" r="G4"/>
  <c i="35" r="F4"/>
  <c i="35" r="G3"/>
  <c i="35" r="F3"/>
  <c i="35" r="G2"/>
  <c i="35" r="F2"/>
  <c i="34" r="G4"/>
  <c i="34" r="F4"/>
  <c i="34" r="G3"/>
  <c i="34" r="F3"/>
  <c i="34" r="G2"/>
  <c i="34" r="F2"/>
  <c i="41" r="B2"/>
  <c i="40" r="E2"/>
  <c i="40" r="D2"/>
  <c i="40" r="B2"/>
  <c i="46" r="B2"/>
  <c i="39" r="B2"/>
  <c i="32" r="E2"/>
  <c i="32" r="D2"/>
  <c i="32" r="B2"/>
  <c i="45" r="B2"/>
  <c i="37" r="E2"/>
  <c i="28" r="B2"/>
  <c i="25" r="G3"/>
  <c i="25" r="G4"/>
  <c i="25" r="G2"/>
  <c i="24" r="G3"/>
  <c i="24" r="G4"/>
  <c i="24" r="G2"/>
  <c i="31" r="I3"/>
  <c i="30" r="I2"/>
  <c i="44" r="C2"/>
  <c i="3" r="Q2"/>
  <c i="3" r="L2"/>
  <c i="31" r="G2"/>
  <c i="31" r="G3"/>
  <c i="31" r="G4"/>
  <c i="31" r="F3"/>
  <c i="31" r="F4"/>
  <c i="31" r="F2"/>
  <c i="30" r="G3"/>
  <c i="30" r="G4"/>
  <c i="30" r="G2"/>
  <c i="30" r="F3"/>
  <c i="30" r="F4"/>
  <c i="30" r="F2"/>
  <c i="27" r="G2"/>
  <c i="27" r="G3"/>
  <c i="27" r="G4"/>
  <c i="27" r="F3"/>
  <c i="27" r="F4"/>
  <c i="27" r="F2"/>
  <c i="26" r="G3"/>
  <c i="26" r="G4"/>
  <c i="26" r="G2"/>
  <c i="26" r="F3"/>
  <c i="26" r="F4"/>
  <c i="26" r="F2"/>
  <c i="24" r="F2"/>
  <c i="24" r="F3"/>
  <c i="24" r="F4"/>
  <c i="23" r="C3"/>
  <c i="23" r="C4"/>
  <c i="23" r="C2"/>
  <c i="21" r="C2"/>
  <c i="21" r="C3"/>
  <c i="21" r="C4"/>
  <c i="38" r="B2"/>
  <c i="37" r="B2"/>
  <c i="28" r="B3"/>
  <c i="26" r="I4"/>
  <c i="26" r="I3"/>
  <c i="26" r="I2"/>
  <c i="25" r="I2"/>
  <c i="3" r="C2"/>
  <c i="21" r="E2" s="1"/>
  <c i="20" r="O2"/>
  <c i="19" r="X2"/>
  <c i="19" r="O2"/>
  <c i="23" r="B3"/>
  <c i="23" r="B4"/>
  <c i="23" r="B2"/>
  <c i="16" r="B2"/>
  <c i="58" r="C3"/>
  <c i="8" r="G2"/>
  <c i="56" l="1" r="B2"/>
  <c i="30" r="A2"/>
  <c i="31" r="I4"/>
  <c i="24" r="I2"/>
  <c i="42" r="A2"/>
  <c i="26" r="A2"/>
  <c i="34" r="I3"/>
  <c i="30" r="I4"/>
  <c i="27" r="I3"/>
  <c i="27" r="I4"/>
  <c i="24" r="I3"/>
  <c i="35" r="I2"/>
  <c i="45" r="C2"/>
  <c i="23" r="E3"/>
  <c i="44" r="F2"/>
  <c i="27" r="A2"/>
  <c i="30" r="I3"/>
  <c i="34" r="A2"/>
  <c i="35" r="I3"/>
  <c i="34" r="I4"/>
  <c i="35" r="A2"/>
  <c i="21" r="E3"/>
  <c i="21" r="E4"/>
  <c i="25" r="I4"/>
  <c i="34" r="I2"/>
  <c i="35" r="I4"/>
  <c i="23" r="E2"/>
  <c i="32" r="A2"/>
  <c i="48" r="A2"/>
  <c i="50" r="A2"/>
  <c i="40" r="A2"/>
  <c i="47" r="A2"/>
  <c i="49" r="A2"/>
  <c i="28" r="A2"/>
  <c i="23" r="E4"/>
  <c i="24" r="I4"/>
  <c i="31" r="I2"/>
  <c i="25" r="A2"/>
  <c i="27" r="I2"/>
  <c i="31" r="A2"/>
  <c i="25" r="I3"/>
  <c i="24" r="A2"/>
  <c i="37" r="A2"/>
  <c i="12" r="C4"/>
  <c i="12" r="C3"/>
  <c i="51" l="1" r="A3"/>
  <c i="51" r="A2"/>
  <c i="51" r="A4"/>
  <c i="56" r="B4"/>
  <c i="56" r="B3"/>
  <c i="43" r="A2"/>
  <c i="39" r="A2"/>
  <c i="41" r="A2"/>
  <c i="43" r="A3"/>
  <c i="41" r="A3"/>
  <c i="39" r="A3"/>
  <c i="38" r="A2"/>
  <c i="28" r="A3"/>
  <c i="38" r="A3"/>
  <c i="28" r="A4"/>
</calcChain>
</file>

<file path=xl/sharedStrings.xml><?xml version="1.0" encoding="utf-8"?>
<sst xmlns="http://schemas.openxmlformats.org/spreadsheetml/2006/main" count="1404" uniqueCount="353">
  <si>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</si>
  <si>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</si>
  <si>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</si>
  <si>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</si>
  <si>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</si>
  <si>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</si>
  <si>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</si>
  <si>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</si>
  <si>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</si>
  <si>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</si>
  <si>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</si>
  <si>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</si>
  <si>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</si>
  <si>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</si>
  <si>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</si>
  <si>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</si>
  <si>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</si>
  <si>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</si>
  <si>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</si>
  <si>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</si>
  <si>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</si>
  <si>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</si>
  <si>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</si>
  <si>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</si>
  <si>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</si>
  <si>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</si>
  <si>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</si>
  <si>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</si>
  <si>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</si>
  <si>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</si>
  <si>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</si>
  <si>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</si>
  <si>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</si>
  <si>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</si>
  <si>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</si>
  <si>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</si>
  <si>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</si>
  <si>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</si>
  <si>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</si>
  <si>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</si>
  <si>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</si>
  <si>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</si>
  <si>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</si>
  <si>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</si>
  <si>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</si>
  <si>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</si>
  <si>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</si>
  <si>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</si>
  <si>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</si>
  <si>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</si>
  <si>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</si>
  <si>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</si>
  <si>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</si>
  <si>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</si>
  <si>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</si>
  <si>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</si>
  <si>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</si>
  <si>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</si>
  <si>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</si>
  <si>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</si>
  <si>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</si>
  <si>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</si>
  <si>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</si>
  <si>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</si>
  <si>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</si>
  <si>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</si>
  <si>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</si>
  <si>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</si>
  <si>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</si>
  <si>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</si>
  <si>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</si>
  <si>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</si>
  <si>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</si>
  <si>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</si>
  <si>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</si>
  <si>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</si>
  <si>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</si>
  <si>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</si>
  <si>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</si>
  <si>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</si>
  <si>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</si>
  <si>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</si>
  <si>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</si>
  <si>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</si>
  <si>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</si>
  <si>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</si>
  <si>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</si>
  <si>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</si>
  <si>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</si>
  <si>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</si>
  <si>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</si>
  <si>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</si>
  <si>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</si>
  <si>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</si>
  <si>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</si>
  <si>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</si>
  <si>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</si>
  <si>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</si>
  <si>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</si>
  <si>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</si>
  <si>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</si>
  <si>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</si>
  <si>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</si>
  <si>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</si>
  <si>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</si>
  <si>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</si>
  <si>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</si>
  <si>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</si>
  <si>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</si>
  <si>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</si>
  <si>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</si>
  <si>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</si>
  <si>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</si>
  <si>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</si>
  <si>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</si>
  <si>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</si>
  <si>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</si>
  <si>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</si>
  <si>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</si>
  <si>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</si>
  <si>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</si>
  <si>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</si>
  <si>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</si>
  <si>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</si>
  <si>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</si>
  <si>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</si>
  <si>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</si>
  <si>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</si>
  <si>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</si>
  <si>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</si>
  <si>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</si>
  <si>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</si>
  <si>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</si>
  <si>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</si>
  <si>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</si>
  <si>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</si>
  <si>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</si>
  <si>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</si>
  <si>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</si>
  <si>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</si>
  <si>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</si>
  <si>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</si>
  <si>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</si>
  <si>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</si>
  <si>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</si>
  <si>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</si>
  <si>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</si>
  <si>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</si>
  <si>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</si>
  <si>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</si>
  <si>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</si>
  <si>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</si>
  <si>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</si>
  <si>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</si>
  <si>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</si>
  <si>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</si>
  <si>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</si>
  <si>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</si>
  <si>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</si>
  <si>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</si>
  <si>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</si>
  <si>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</si>
  <si>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</si>
  <si>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</si>
  <si>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</si>
  <si>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</si>
  <si>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</si>
  <si>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</si>
  <si>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</si>
  <si>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</si>
  <si>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</si>
  <si>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</si>
  <si>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</si>
  <si>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</si>
  <si>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</si>
  <si>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</si>
  <si>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</si>
  <si>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</si>
  <si>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</si>
  <si>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</si>
  <si>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</si>
  <si>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</si>
  <si>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</si>
  <si>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</si>
  <si>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</si>
  <si>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</si>
  <si>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</si>
  <si>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</si>
  <si>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</si>
  <si>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</si>
  <si>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</si>
  <si>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</si>
  <si>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</si>
  <si>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</si>
  <si>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</si>
  <si>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</si>
  <si>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</si>
  <si>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</si>
  <si>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</si>
  <si>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</si>
  <si>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</si>
  <si>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</si>
  <si>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</si>
  <si>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</si>
  <si>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</si>
  <si>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</si>
  <si>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</si>
  <si>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</si>
  <si>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</si>
  <si>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</si>
  <si>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Completed</t>
  </si>
  <si>
    <t>Processing</t>
  </si>
  <si>
    <t>InvoiveNo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</si>
  <si>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</si>
  <si>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</si>
  <si>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</si>
  <si>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</si>
  <si>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</si>
  <si>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</si>
  <si>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</si>
  <si>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</si>
  <si>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</si>
  <si>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</si>
  <si>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</si>
  <si>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</si>
  <si>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</si>
  <si>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</si>
  <si>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</si>
  <si>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</si>
  <si>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</si>
  <si>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</si>
  <si>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</si>
  <si>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</si>
  <si>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</si>
  <si>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</si>
  <si>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</si>
  <si>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</si>
  <si>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</si>
  <si>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</si>
  <si>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</si>
  <si>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</si>
  <si>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</si>
  <si>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</si>
  <si>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</si>
  <si>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</si>
  <si>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</si>
  <si>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</si>
  <si>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</si>
  <si>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</si>
  <si>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</si>
  <si>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</si>
  <si>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</si>
  <si>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</si>
  <si>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</si>
  <si>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</si>
  <si>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</si>
  <si>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</si>
  <si>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</si>
  <si>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</si>
  <si>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</si>
  <si>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</si>
  <si>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</si>
  <si>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</si>
  <si>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</si>
  <si>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</si>
  <si>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</si>
  <si>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</si>
  <si>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</si>
  <si>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</si>
  <si>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</si>
  <si>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</si>
  <si>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</si>
  <si>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</si>
  <si>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</si>
  <si>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</si>
  <si>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</si>
  <si>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</si>
  <si>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</si>
  <si>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</si>
  <si>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pls arrange as desired scenario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</si>
  <si>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</si>
  <si>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</si>
  <si>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</si>
  <si>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</si>
  <si>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</si>
  <si>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</si>
  <si>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</si>
  <si>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</si>
  <si>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</si>
  <si>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</si>
  <si>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</si>
  <si>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ContractRoute TC38</t>
  </si>
  <si>
    <t>orderReference</t>
  </si>
  <si>
    <t>GenerateSOID</t>
  </si>
  <si>
    <t>GenerateCOID</t>
  </si>
  <si>
    <t>Parts No.</t>
  </si>
  <si>
    <t>Part No</t>
  </si>
  <si>
    <t>OrderReference</t>
  </si>
  <si>
    <t>GenerateRequestNo</t>
  </si>
  <si>
    <t>Estimate inbound qty 3</t>
  </si>
  <si>
    <t>Delivery Plan 1</t>
  </si>
  <si>
    <t>Delivery Plan 2</t>
  </si>
  <si>
    <t>Delivery Plan 3</t>
  </si>
  <si>
    <t>Receiver Requested Inbound Date</t>
  </si>
  <si>
    <t>Planoutin plan 3</t>
  </si>
  <si>
    <t>Planoutin status 3</t>
  </si>
  <si>
    <t>TW12311003</t>
  </si>
  <si>
    <t>CompanyCode</t>
  </si>
  <si>
    <t>RegionCode</t>
  </si>
  <si>
    <t>FullCompanyCode</t>
  </si>
  <si>
    <t>CompanyName</t>
  </si>
  <si>
    <t>CompanyShortName</t>
  </si>
  <si>
    <t>CompanyAddress</t>
  </si>
  <si>
    <t>CompanyPostal</t>
  </si>
  <si>
    <t>Timezone</t>
  </si>
  <si>
    <t>TrackDetail</t>
  </si>
  <si>
    <t>CompContactName</t>
  </si>
  <si>
    <t>CompContactFax</t>
  </si>
  <si>
    <t>CompContactTel</t>
  </si>
  <si>
    <t>CompContactEmail</t>
  </si>
  <si>
    <t>CustomerCode</t>
  </si>
  <si>
    <t>BUCode</t>
  </si>
  <si>
    <t>SupplierCode</t>
  </si>
  <si>
    <t>DCCode</t>
  </si>
  <si>
    <t>Islamabad, Pakistan</t>
  </si>
  <si>
    <t>postal123</t>
    <phoneticPr fontId="0" type="noConversion"/>
  </si>
  <si>
    <t>(UTC+05:00) Islamabad, Karachi </t>
  </si>
  <si>
    <t>Contact 1</t>
    <phoneticPr fontId="0" type="noConversion"/>
  </si>
  <si>
    <t>1234</t>
  </si>
  <si>
    <t>5678</t>
  </si>
  <si>
    <t>df@smtchain.com</t>
  </si>
  <si>
    <t>Portcast</t>
  </si>
  <si>
    <t>last event</t>
  </si>
  <si>
    <t>last event date</t>
  </si>
  <si>
    <t>Empty container returned</t>
  </si>
  <si>
    <t>07 Jul 2023</t>
  </si>
  <si>
    <t>i-PK-CUS-POC-S13-5-231106001</t>
  </si>
  <si>
    <t>i-PK-CUS-POC-S13-5-231106002</t>
  </si>
  <si>
    <t>i-PK-CUS-POC-S13-5-231106003</t>
  </si>
  <si>
    <t>12</t>
  </si>
  <si>
    <t>TBC</t>
  </si>
  <si>
    <t>CR-PK-CUS-POC-S13-5-2311002</t>
  </si>
  <si>
    <t>cTBC-2311001</t>
  </si>
  <si>
    <t>sTBC-2311001</t>
  </si>
  <si>
    <t>rcTBC-2311001-01</t>
  </si>
  <si>
    <t>Estimate date value 3</t>
  </si>
  <si>
    <t>o-CNTW-SUP-POC-231113001</t>
  </si>
  <si>
    <t>Nov 22, 2023</t>
  </si>
  <si>
    <t>Dec 2, 2023</t>
  </si>
  <si>
    <t>TW12311004</t>
  </si>
  <si>
    <t>i-PK-CUS-POC-S13-5-231113001</t>
  </si>
  <si>
    <t>i-PK-CUS-POC-S13-5-231113002</t>
  </si>
  <si>
    <t>i-PK-CUS-POC-S13-5-231113003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</si>
</sst>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borderId="0" fillId="0" fontId="0" numFmtId="0"/>
    <xf applyAlignment="0" applyBorder="0" applyFill="0" applyNumberFormat="0" applyProtection="0" borderId="0" fillId="0" fontId="4" numFmtId="0"/>
    <xf borderId="0" fillId="0" fontId="19" numFmtId="0"/>
    <xf borderId="0" fillId="0" fontId="20" numFmtId="0"/>
    <xf borderId="0" fillId="0" fontId="23" numFmtId="0"/>
  </cellStyleXfs>
  <cellXfs count="206">
    <xf borderId="0" fillId="0" fontId="0" numFmtId="0" xfId="0"/>
    <xf applyNumberFormat="1" borderId="0" fillId="0" fontId="0" numFmtId="1" xfId="0"/>
    <xf applyNumberFormat="1" borderId="0" fillId="0" fontId="0" numFmtId="49" xfId="0"/>
    <xf applyFont="1" borderId="0" fillId="0" fontId="2" numFmtId="0" xfId="0"/>
    <xf applyAlignment="1" applyFont="1" borderId="0" fillId="0" fontId="2" numFmtId="0" xfId="0">
      <alignment wrapText="1"/>
    </xf>
    <xf applyFont="1" borderId="0" fillId="0" fontId="3" numFmtId="0" xfId="0"/>
    <xf applyFill="1" applyFont="1" borderId="0" fillId="5" fontId="2" numFmtId="0" xfId="0"/>
    <xf applyAlignment="1" borderId="0" fillId="0" fontId="0" numFmtId="0" xfId="0">
      <alignment vertical="top" wrapText="1"/>
    </xf>
    <xf applyAlignment="1" applyBorder="1" borderId="8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applyFont="1" borderId="10" fillId="0" fontId="8" numFmtId="0" xfId="0">
      <alignment horizontal="center" vertical="center"/>
    </xf>
    <xf applyAlignment="1" applyBorder="1" applyFont="1" borderId="11" fillId="0" fontId="8" numFmtId="0" xfId="0">
      <alignment horizontal="center" vertical="center"/>
    </xf>
    <xf applyAlignment="1" applyBorder="1" applyFont="1" borderId="12" fillId="0" fontId="8" numFmtId="0" xfId="0">
      <alignment horizontal="center" vertical="center"/>
    </xf>
    <xf applyAlignment="1" applyBorder="1" applyFill="1" applyFont="1" borderId="10" fillId="11" fontId="9" numFmtId="0" xfId="0">
      <alignment horizontal="center" vertical="center"/>
    </xf>
    <xf applyAlignment="1" applyBorder="1" applyFill="1" applyFont="1" borderId="11" fillId="11" fontId="9" numFmtId="0" xfId="0">
      <alignment horizontal="center" vertical="center"/>
    </xf>
    <xf applyAlignment="1" applyBorder="1" applyFill="1" applyFont="1" borderId="11" fillId="7" fontId="9" numFmtId="0" xfId="0">
      <alignment horizontal="center" vertical="center"/>
    </xf>
    <xf applyAlignment="1" applyBorder="1" applyFill="1" applyFont="1" borderId="11" fillId="10" fontId="9" numFmtId="0" xfId="0">
      <alignment horizontal="center" vertical="center"/>
    </xf>
    <xf applyAlignment="1" applyBorder="1" applyFill="1" applyFont="1" borderId="11" fillId="4" fontId="9" numFmtId="0" xfId="0">
      <alignment horizontal="center" vertical="center"/>
    </xf>
    <xf applyAlignment="1" applyBorder="1" applyFill="1" applyFont="1" borderId="12" fillId="10" fontId="9" numFmtId="0" xfId="0">
      <alignment horizontal="center" vertical="center"/>
    </xf>
    <xf applyAlignment="1" applyBorder="1" applyFont="1" borderId="16" fillId="0" fontId="6" numFmtId="0" xfId="0">
      <alignment horizontal="center" vertical="center"/>
    </xf>
    <xf applyAlignment="1" applyBorder="1" applyFont="1" borderId="17" fillId="0" fontId="6" numFmtId="0" xfId="0">
      <alignment horizontal="center" vertical="center"/>
    </xf>
    <xf applyAlignment="1" applyBorder="1" borderId="17" fillId="0" fontId="4" numFmtId="0" xfId="1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applyFont="1" borderId="18" fillId="0" fontId="6" numFmtId="0" xfId="0">
      <alignment horizontal="center" vertical="center" wrapText="1"/>
    </xf>
    <xf applyAlignment="1" applyBorder="1" applyFont="1" borderId="18" fillId="0" fontId="6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8" fillId="0" fontId="0" numFmtId="0" xfId="0">
      <alignment horizontal="center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7" fillId="0" fontId="2" numFmtId="0" xfId="0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ont="1" borderId="10" fillId="0" fontId="10" numFmtId="0" xfId="0">
      <alignment horizontal="center" vertical="center"/>
    </xf>
    <xf applyBorder="1" borderId="16" fillId="0" fontId="0" numFmtId="0" xfId="0"/>
    <xf applyBorder="1" borderId="18" fillId="0" fontId="0" numFmtId="0" xfId="0"/>
    <xf applyBorder="1" applyFont="1" borderId="10" fillId="0" fontId="8" numFmtId="0" xfId="0"/>
    <xf applyAlignment="1" applyBorder="1" applyFill="1" applyFont="1" borderId="11" fillId="11" fontId="8" numFmtId="0" xfId="0">
      <alignment horizontal="center" vertical="center"/>
    </xf>
    <xf applyAlignment="1" applyBorder="1" applyFill="1" applyFont="1" borderId="11" fillId="11" fontId="10" numFmtId="0" xfId="0">
      <alignment horizontal="center" vertical="center"/>
    </xf>
    <xf applyAlignment="1" applyBorder="1" applyFill="1" applyFont="1" borderId="12" fillId="11" fontId="10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ill="1" applyFont="1" borderId="12" fillId="13" fontId="8" numFmtId="0" xfId="0">
      <alignment horizontal="center" vertical="center"/>
    </xf>
    <xf applyAlignment="1" applyBorder="1" applyFont="1" borderId="11" fillId="0" fontId="10" numFmtId="0" xfId="0">
      <alignment horizontal="center" vertical="center"/>
    </xf>
    <xf applyAlignment="1" applyBorder="1" applyFont="1" borderId="12" fillId="0" fontId="10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6" fillId="0" fontId="2" numFmtId="0" xfId="0">
      <alignment horizontal="center" vertical="center" wrapText="1"/>
    </xf>
    <xf applyAlignment="1" applyBorder="1" applyFont="1" borderId="14" fillId="0" fontId="10" numFmtId="0" xfId="0">
      <alignment horizontal="center" vertical="center"/>
    </xf>
    <xf applyAlignment="1" applyBorder="1" applyFont="1" borderId="15" fillId="0" fontId="10" numFmtId="0" xfId="0">
      <alignment horizontal="center" vertical="center"/>
    </xf>
    <xf applyAlignment="1" applyBorder="1" applyFont="1" borderId="2" fillId="0" fontId="2" numFmtId="0" xfId="0">
      <alignment horizontal="center" vertical="center" wrapText="1"/>
    </xf>
    <xf applyAlignment="1" applyBorder="1" applyFont="1" borderId="2" fillId="0" fontId="2" numFmtId="0" xfId="0">
      <alignment horizontal="center" vertical="center"/>
    </xf>
    <xf applyAlignment="1" applyBorder="1" applyNumberFormat="1" borderId="3" fillId="0" fontId="0" numFmtId="1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NumberFormat="1" borderId="5" fillId="0" fontId="0" numFmtId="1" xfId="0">
      <alignment horizontal="center" vertical="center"/>
    </xf>
    <xf applyAlignment="1" applyBorder="1" applyNumberFormat="1" borderId="8" fillId="0" fontId="0" numFmtId="1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applyNumberFormat="1" borderId="10" fillId="0" fontId="8" numFmtId="1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applyNumberFormat="1" borderId="1" fillId="0" fontId="2" numFmtId="49" xfId="0">
      <alignment horizontal="center" vertical="center" wrapText="1"/>
    </xf>
    <xf applyAlignment="1" applyBorder="1" applyFont="1" borderId="4" fillId="0" fontId="2" numFmtId="0" xfId="0">
      <alignment horizontal="center" vertical="center"/>
    </xf>
    <xf applyAlignment="1" applyBorder="1" applyFont="1" applyNumberFormat="1" borderId="6" fillId="0" fontId="2" numFmtId="49" xfId="0">
      <alignment horizontal="center" vertical="center" wrapText="1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2" fillId="0" fontId="2" numFmtId="49" xfId="0">
      <alignment horizontal="center" vertical="center" wrapText="1"/>
    </xf>
    <xf applyAlignment="1" applyBorder="1" applyFont="1" borderId="9" fillId="0" fontId="2" numFmtId="0" xfId="0">
      <alignment horizontal="center" vertical="center"/>
    </xf>
    <xf applyAlignment="1" applyBorder="1" applyNumberFormat="1" borderId="17" fillId="0" fontId="0" numFmtId="14" xfId="0">
      <alignment horizontal="center" vertical="center"/>
    </xf>
    <xf applyAlignment="1" applyBorder="1" applyFill="1" applyFont="1" borderId="11" fillId="12" fontId="12" numFmtId="0" xfId="0">
      <alignment horizontal="center" vertical="center"/>
    </xf>
    <xf applyAlignment="1" applyBorder="1" applyFill="1" applyFont="1" borderId="11" fillId="12" fontId="10" numFmtId="0" xfId="0">
      <alignment horizontal="center" vertical="center"/>
    </xf>
    <xf applyAlignment="1" applyBorder="1" applyFill="1" applyFont="1" borderId="12" fillId="12" fontId="10" numFmtId="0" xfId="0">
      <alignment horizontal="center" vertical="center"/>
    </xf>
    <xf applyAlignment="1" applyBorder="1" applyFont="1" borderId="11" fillId="0" fontId="10" numFmtId="0" xfId="0">
      <alignment horizontal="center" vertical="center" wrapText="1"/>
    </xf>
    <xf applyAlignment="1" applyBorder="1" applyFont="1" borderId="1" fillId="0" fontId="6" numFmtId="0" xfId="0">
      <alignment horizontal="center" vertical="center"/>
    </xf>
    <xf applyAlignment="1" applyBorder="1" applyFont="1" applyNumberFormat="1" borderId="1" fillId="0" fontId="6" numFmtId="164" xfId="0">
      <alignment horizontal="center" vertical="center"/>
    </xf>
    <xf applyAlignment="1" applyBorder="1" applyFont="1" borderId="4" fillId="0" fontId="6" numFmtId="0" xfId="0">
      <alignment horizontal="center" vertical="center"/>
    </xf>
    <xf applyAlignment="1" applyBorder="1" applyFont="1" borderId="6" fillId="0" fontId="6" numFmtId="0" xfId="0">
      <alignment horizontal="center" vertical="center"/>
    </xf>
    <xf applyAlignment="1" applyBorder="1" applyFont="1" applyNumberFormat="1" borderId="6" fillId="0" fontId="6" numFmtId="164" xfId="0">
      <alignment horizontal="center" vertical="center"/>
    </xf>
    <xf applyAlignment="1" applyBorder="1" applyFont="1" borderId="7" fillId="0" fontId="6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applyNumberFormat="1" borderId="2" fillId="0" fontId="6" numFmtId="164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1" fillId="0" fontId="9" numFmtId="0" xfId="0">
      <alignment horizontal="center" vertical="center"/>
    </xf>
    <xf applyAlignment="1" applyBorder="1" applyFont="1" borderId="12" fillId="0" fontId="9" numFmtId="0" xfId="0">
      <alignment horizontal="center" vertical="center"/>
    </xf>
    <xf applyAlignment="1" applyBorder="1" applyNumberFormat="1" borderId="17" fillId="0" fontId="0" numFmtId="49" xfId="0">
      <alignment horizontal="center" vertical="center"/>
    </xf>
    <xf applyAlignment="1" applyBorder="1" applyFill="1" applyFont="1" borderId="11" fillId="8" fontId="10" numFmtId="0" xfId="0">
      <alignment horizontal="center" vertical="center" wrapText="1"/>
    </xf>
    <xf applyAlignment="1" applyBorder="1" applyFill="1" applyFont="1" borderId="14" fillId="8" fontId="10" numFmtId="0" xfId="0">
      <alignment horizontal="center" vertical="center"/>
    </xf>
    <xf applyAlignment="1" applyBorder="1" applyFill="1" applyFont="1" borderId="11" fillId="8" fontId="10" numFmtId="0" xfId="0">
      <alignment horizontal="center" vertical="center"/>
    </xf>
    <xf applyAlignment="1" applyBorder="1" applyNumberFormat="1" borderId="1" fillId="0" fontId="0" numFmtId="164" xfId="0">
      <alignment horizontal="center" vertical="center"/>
    </xf>
    <xf applyAlignment="1" applyBorder="1" applyNumberFormat="1" borderId="6" fillId="0" fontId="0" numFmtId="164" xfId="0">
      <alignment horizontal="center" vertical="center"/>
    </xf>
    <xf applyAlignment="1" applyBorder="1" applyNumberFormat="1" borderId="2" fillId="0" fontId="0" numFmtId="164" xfId="0">
      <alignment horizontal="center" vertical="center"/>
    </xf>
    <xf applyAlignment="1" applyBorder="1" applyFont="1" borderId="9" fillId="0" fontId="7" numFmtId="0" xfId="0">
      <alignment horizontal="center" vertical="center"/>
    </xf>
    <xf applyAlignment="1" applyBorder="1" applyNumberFormat="1" borderId="17" fillId="0" fontId="0" numFmtId="164" xfId="0">
      <alignment horizontal="center" vertical="center"/>
    </xf>
    <xf applyAlignment="1" applyBorder="1" applyNumberFormat="1" borderId="18" fillId="0" fontId="0" numFmtId="164" xfId="0">
      <alignment horizontal="center" vertical="center"/>
    </xf>
    <xf applyAlignment="1" applyBorder="1" applyFill="1" applyFont="1" borderId="11" fillId="8" fontId="12" numFmtId="0" xfId="0">
      <alignment horizontal="center" vertical="center"/>
    </xf>
    <xf applyAlignment="1" applyBorder="1" borderId="1" fillId="0" fontId="0" numFmtId="0" xfId="0">
      <alignment horizontal="center" vertical="center" wrapText="1"/>
    </xf>
    <xf applyAlignment="1" applyBorder="1" borderId="6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NumberFormat="1" borderId="16" fillId="0" fontId="0" numFmtId="49" xfId="0">
      <alignment horizontal="center" vertical="center"/>
    </xf>
    <xf applyAlignment="1" applyBorder="1" applyFill="1" applyFont="1" borderId="10" fillId="11" fontId="8" numFmtId="0" xfId="0">
      <alignment horizontal="center" vertical="center"/>
    </xf>
    <xf applyAlignment="1" applyBorder="1" applyFill="1" applyFont="1" borderId="12" fillId="11" fontId="8" numFmtId="0" xfId="0">
      <alignment horizontal="center" vertical="center"/>
    </xf>
    <xf applyAlignment="1" applyBorder="1" applyFill="1" applyFont="1" borderId="11" fillId="14" fontId="10" numFmtId="0" xfId="0">
      <alignment horizontal="center" vertical="center" wrapText="1"/>
    </xf>
    <xf applyAlignment="1" applyBorder="1" applyFont="1" borderId="18" fillId="0" fontId="13" numFmtId="0" xfId="0">
      <alignment horizontal="center" vertical="center"/>
    </xf>
    <xf applyAlignment="1" applyBorder="1" applyFont="1" borderId="20" fillId="0" fontId="8" numFmtId="0" xfId="0">
      <alignment horizontal="center" vertical="center"/>
    </xf>
    <xf applyAlignment="1" applyBorder="1" applyFill="1" borderId="22" fillId="11" fontId="0" numFmtId="0" xfId="0">
      <alignment horizontal="center" vertical="center"/>
    </xf>
    <xf applyAlignment="1" applyBorder="1" applyFill="1" borderId="23" fillId="10" fontId="0" numFmtId="0" xfId="0">
      <alignment horizontal="center" vertical="center"/>
    </xf>
    <xf applyAlignment="1" applyBorder="1" applyFont="1" borderId="19" fillId="0" fontId="8" numFmtId="0" xfId="0">
      <alignment horizontal="center" vertical="center"/>
    </xf>
    <xf applyAlignment="1" applyBorder="1" borderId="25" fillId="0" fontId="0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Border="1" applyFill="1" applyFont="1" borderId="10" fillId="8" fontId="8" numFmtId="0" xfId="0">
      <alignment horizontal="center" vertical="center"/>
    </xf>
    <xf applyAlignment="1" applyBorder="1" applyFill="1" applyFont="1" borderId="11" fillId="8" fontId="8" numFmtId="0" xfId="0">
      <alignment horizontal="center" vertical="center"/>
    </xf>
    <xf applyAlignment="1" applyBorder="1" applyFill="1" applyFont="1" borderId="12" fillId="8" fontId="8" numFmtId="0" xfId="0">
      <alignment horizontal="center" vertical="center"/>
    </xf>
    <xf applyAlignment="1" applyBorder="1" applyFill="1" applyFont="1" borderId="11" fillId="10" fontId="8" numFmtId="0" xfId="0">
      <alignment horizontal="center" vertical="center"/>
    </xf>
    <xf applyAlignment="1" applyBorder="1" applyFill="1" applyFont="1" borderId="10" fillId="3" fontId="10" numFmtId="0" xfId="0">
      <alignment horizontal="center" vertical="center"/>
    </xf>
    <xf applyAlignment="1" applyBorder="1" applyFill="1" applyFont="1" borderId="11" fillId="15" fontId="10" numFmtId="0" xfId="0">
      <alignment horizontal="center" vertical="center"/>
    </xf>
    <xf applyAlignment="1" applyBorder="1" applyFill="1" applyFont="1" borderId="11" fillId="4" fontId="11" numFmtId="0" xfId="1">
      <alignment horizontal="center" vertical="center"/>
    </xf>
    <xf applyAlignment="1" applyBorder="1" applyFill="1" applyFont="1" borderId="11" fillId="4" fontId="10" numFmtId="0" xfId="0">
      <alignment horizontal="center" vertical="center"/>
    </xf>
    <xf applyAlignment="1" applyBorder="1" applyFill="1" applyFont="1" borderId="12" fillId="16" fontId="14" numFmtId="0" xfId="1">
      <alignment horizontal="center" vertical="center"/>
    </xf>
    <xf applyAlignment="1" applyBorder="1" applyFill="1" applyFont="1" borderId="12" fillId="16" fontId="10" numFmtId="0" xfId="0">
      <alignment horizontal="center" vertical="center"/>
    </xf>
    <xf applyAlignment="1" applyBorder="1" applyFill="1" applyFont="1" borderId="10" fillId="8" fontId="10" numFmtId="0" xfId="0">
      <alignment horizontal="center" vertical="center"/>
    </xf>
    <xf applyAlignment="1" applyBorder="1" applyFont="1" borderId="28" fillId="0" fontId="10" numFmtId="0" xfId="0">
      <alignment horizontal="center" vertical="center"/>
    </xf>
    <xf applyAlignment="1" applyBorder="1" applyFill="1" applyFont="1" borderId="19" fillId="8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/>
    </xf>
    <xf applyBorder="1" applyFill="1" applyFont="1" borderId="12" fillId="8" fontId="8" numFmtId="0" xfId="0"/>
    <xf applyAlignment="1" applyBorder="1" applyFill="1" applyFont="1" borderId="15" fillId="8" fontId="8" numFmtId="0" xfId="0">
      <alignment horizontal="center" vertical="center"/>
    </xf>
    <xf applyAlignment="1" applyBorder="1" applyFill="1" applyFont="1" borderId="13" fillId="8" fontId="10" numFmtId="0" xfId="0">
      <alignment horizontal="center" vertical="center"/>
    </xf>
    <xf applyAlignment="1" applyBorder="1" borderId="2" fillId="0" fontId="0" numFmtId="0" xfId="0">
      <alignment horizontal="center"/>
    </xf>
    <xf applyAlignment="1" applyBorder="1" applyFill="1" applyFont="1" borderId="2" fillId="2" fontId="6" numFmtId="0" xfId="0">
      <alignment horizontal="center" vertical="center"/>
    </xf>
    <xf applyAlignment="1" applyBorder="1" applyFill="1" applyFont="1" borderId="9" fillId="2" fontId="6" numFmtId="0" xfId="0">
      <alignment horizontal="center" vertical="center"/>
    </xf>
    <xf applyAlignment="1" applyBorder="1" applyFill="1" applyFont="1" borderId="1" fillId="2" fontId="6" numFmtId="0" xfId="0">
      <alignment horizontal="center" vertical="center"/>
    </xf>
    <xf applyAlignment="1" applyBorder="1" applyFill="1" applyFont="1" borderId="4" fillId="2" fontId="6" numFmtId="0" xfId="0">
      <alignment horizontal="center" vertical="center"/>
    </xf>
    <xf applyAlignment="1" applyBorder="1" borderId="6" fillId="0" fontId="0" numFmtId="0" xfId="0">
      <alignment horizontal="center"/>
    </xf>
    <xf applyAlignment="1" applyBorder="1" applyFill="1" applyFont="1" borderId="6" fillId="2" fontId="6" numFmtId="0" xfId="0">
      <alignment horizontal="center" vertical="center"/>
    </xf>
    <xf applyAlignment="1" applyBorder="1" borderId="7" fillId="0" fontId="0" numFmtId="0" xfId="0">
      <alignment horizontal="center"/>
    </xf>
    <xf applyAlignment="1" applyBorder="1" applyFill="1" applyFont="1" borderId="12" fillId="10" fontId="8" numFmtId="0" xfId="0">
      <alignment horizontal="center" vertical="center"/>
    </xf>
    <xf applyAlignment="1" applyBorder="1" applyFill="1" applyFont="1" borderId="2" fillId="14" fontId="2" numFmtId="0" xfId="0">
      <alignment horizontal="center" vertical="center"/>
    </xf>
    <xf applyAlignment="1" applyBorder="1" applyFill="1" applyFont="1" borderId="11" fillId="8" fontId="9" numFmtId="0" xfId="0">
      <alignment horizontal="center" vertical="center"/>
    </xf>
    <xf applyAlignment="1" applyBorder="1" applyFill="1" applyFont="1" applyNumberFormat="1" borderId="11" fillId="10" fontId="10" numFmtId="49" xfId="0">
      <alignment horizontal="center" vertical="center"/>
    </xf>
    <xf applyAlignment="1" applyBorder="1" applyFill="1" applyFont="1" borderId="12" fillId="10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 wrapText="1"/>
    </xf>
    <xf applyAlignment="1" applyBorder="1" applyFill="1" applyFont="1" borderId="10" fillId="8" fontId="10" numFmtId="0" xfId="0">
      <alignment horizontal="center" vertical="center" wrapText="1"/>
    </xf>
    <xf applyAlignment="1" applyBorder="1" applyFill="1" applyFont="1" borderId="11" fillId="14" fontId="10" numFmtId="0" xfId="0">
      <alignment horizontal="center" vertical="center"/>
    </xf>
    <xf applyAlignment="1" applyBorder="1" applyFill="1" applyFont="1" borderId="10" fillId="9" fontId="10" numFmtId="0" xfId="0">
      <alignment horizontal="center" vertical="center"/>
    </xf>
    <xf applyAlignment="1" applyBorder="1" applyFill="1" applyFont="1" borderId="11" fillId="9" fontId="10" numFmtId="0" xfId="0">
      <alignment horizontal="center" vertical="center"/>
    </xf>
    <xf applyAlignment="1" applyBorder="1" applyFill="1" applyFont="1" borderId="11" fillId="9" fontId="8" numFmtId="0" xfId="0">
      <alignment horizontal="center" vertical="center"/>
    </xf>
    <xf applyAlignment="1" applyBorder="1" applyNumberFormat="1" borderId="2" fillId="0" fontId="0" numFmtId="49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NumberFormat="1" borderId="1" fillId="0" fontId="0" numFmtId="49" xfId="0">
      <alignment horizontal="center" vertical="center"/>
    </xf>
    <xf applyAlignment="1" applyBorder="1" applyFont="1" borderId="1" fillId="0" fontId="15" numFmtId="0" xfId="0">
      <alignment horizontal="center" vertical="center"/>
    </xf>
    <xf applyAlignment="1" applyBorder="1" applyNumberFormat="1" borderId="6" fillId="0" fontId="0" numFmtId="49" xfId="0">
      <alignment horizontal="center" vertical="center"/>
    </xf>
    <xf applyAlignment="1" applyBorder="1" applyFont="1" borderId="6" fillId="0" fontId="15" numFmtId="0" xfId="0">
      <alignment horizontal="center" vertical="center"/>
    </xf>
    <xf applyAlignment="1" applyBorder="1" applyFont="1" borderId="1" fillId="0" fontId="16" numFmtId="0" xfId="0">
      <alignment horizontal="center" vertical="center"/>
    </xf>
    <xf applyAlignment="1" applyBorder="1" applyFill="1" applyFont="1" borderId="1" fillId="8" fontId="16" numFmtId="0" xfId="0">
      <alignment horizontal="center" vertical="center"/>
    </xf>
    <xf applyFont="1" borderId="0" fillId="0" fontId="17" numFmtId="0" xfId="0"/>
    <xf applyAlignment="1" applyBorder="1" applyFont="1" borderId="1" fillId="0" fontId="17" numFmtId="0" xfId="0">
      <alignment horizontal="center" vertical="center"/>
    </xf>
    <xf applyAlignment="1" applyBorder="1" applyFont="1" borderId="1" fillId="0" fontId="18" numFmtId="0" xfId="0">
      <alignment horizontal="center" vertical="center"/>
    </xf>
    <xf applyAlignment="1" applyBorder="1" applyFill="1" borderId="23" fillId="8" fontId="0" numFmtId="0" xfId="0">
      <alignment horizontal="center" vertical="center"/>
    </xf>
    <xf applyBorder="1" borderId="24" fillId="0" fontId="0" numFmtId="0" xfId="0"/>
    <xf applyAlignment="1" applyBorder="1" borderId="27" fillId="0" fontId="0" numFmtId="0" xfId="0">
      <alignment horizontal="center" vertical="center"/>
    </xf>
    <xf applyBorder="1" borderId="29" fillId="0" fontId="0" numFmtId="0" xfId="0"/>
    <xf applyBorder="1" borderId="30" fillId="0" fontId="0" numFmtId="0" xfId="0"/>
    <xf applyBorder="1" borderId="31" fillId="0" fontId="0" numFmtId="0" xfId="0"/>
    <xf applyAlignment="1" applyBorder="1" applyFont="1" borderId="21" fillId="0" fontId="8" numFmtId="0" xfId="0">
      <alignment horizontal="center" vertical="center"/>
    </xf>
    <xf applyAlignment="1" applyBorder="1" applyFill="1" applyFont="1" borderId="19" fillId="11" fontId="8" numFmtId="0" xfId="0">
      <alignment horizontal="center" vertical="center"/>
    </xf>
    <xf applyAlignment="1" applyBorder="1" borderId="32" fillId="0" fontId="0" numFmtId="0" xfId="0">
      <alignment horizontal="center" vertical="center"/>
    </xf>
    <xf applyAlignment="1" applyBorder="1" applyFill="1" applyFont="1" borderId="2" fillId="6" fontId="5" numFmtId="0" xfId="0">
      <alignment horizontal="center" vertical="center"/>
    </xf>
    <xf applyAlignment="1" applyBorder="1" applyFill="1" applyFont="1" borderId="2" fillId="6" fontId="5" numFmtId="0" xfId="0">
      <alignment horizontal="center" vertical="center" wrapText="1"/>
    </xf>
    <xf applyAlignment="1" applyBorder="1" applyFill="1" applyFont="1" borderId="9" fillId="6" fontId="5" numFmtId="0" xfId="0">
      <alignment horizontal="center" vertical="center" wrapText="1"/>
    </xf>
    <xf applyFill="1" borderId="0" fillId="17" fontId="0" numFmtId="0" xfId="0"/>
    <xf applyFill="1" applyFont="1" borderId="0" fillId="8" fontId="17" numFmtId="0" xfId="0"/>
    <xf applyFill="1" borderId="0" fillId="10" fontId="0" numFmtId="0" xfId="0"/>
    <xf applyAlignment="1" applyBorder="1" applyFill="1" applyFont="1" borderId="33" fillId="18" fontId="21" numFmtId="0" xfId="3">
      <alignment horizontal="center" vertical="center" wrapText="1"/>
    </xf>
    <xf applyAlignment="1" applyBorder="1" applyFill="1" applyFont="1" borderId="33" fillId="3" fontId="21" numFmtId="0" xfId="0">
      <alignment vertical="center"/>
    </xf>
    <xf applyAlignment="1" applyBorder="1" applyFont="1" applyNumberFormat="1" borderId="1" fillId="0" fontId="20" numFmtId="4" xfId="0">
      <alignment horizontal="right" vertical="center"/>
    </xf>
    <xf applyAlignment="1" applyBorder="1" applyFont="1" borderId="34" fillId="0" fontId="8" numFmtId="0" xfId="0">
      <alignment horizontal="center" vertical="center"/>
    </xf>
    <xf applyFill="1" borderId="0" fillId="8" fontId="0" numFmtId="0" xfId="0"/>
    <xf applyFill="1" borderId="0" fillId="13" fontId="0" numFmtId="0" xfId="0"/>
    <xf applyAlignment="1" applyBorder="1" applyFill="1" applyFont="1" borderId="1" fillId="20" fontId="21" numFmtId="0" xfId="3">
      <alignment horizontal="center" vertical="center" wrapText="1"/>
    </xf>
    <xf applyAlignment="1" applyBorder="1" applyFont="1" applyNumberFormat="1" borderId="1" fillId="0" fontId="22" numFmtId="49" xfId="0">
      <alignment horizontal="right" vertical="center"/>
    </xf>
    <xf applyAlignment="1" applyBorder="1" applyFont="1" borderId="35" fillId="0" fontId="2" numFmtId="0" xfId="0">
      <alignment horizontal="center" vertical="center"/>
    </xf>
    <xf applyAlignment="1" applyBorder="1" applyFill="1" applyFont="1" applyNumberFormat="1" borderId="2" fillId="6" fontId="5" numFmtId="49" xfId="4">
      <alignment horizontal="left" wrapText="1"/>
    </xf>
    <xf applyAlignment="1" applyBorder="1" applyFill="1" applyFont="1" borderId="36" fillId="6" fontId="5" numFmtId="0" xfId="4">
      <alignment horizontal="left" wrapText="1"/>
    </xf>
    <xf applyBorder="1" borderId="1" fillId="0" fontId="0" numFmtId="0" xfId="0"/>
    <xf applyBorder="1" applyFill="1" borderId="1" fillId="17" fontId="0" numFmtId="0" xfId="0"/>
    <xf applyAlignment="1" applyBorder="1" applyFill="1" applyFont="1" borderId="1" fillId="6" fontId="5" numFmtId="0" xfId="4">
      <alignment horizontal="left" vertical="top" wrapText="1"/>
    </xf>
    <xf applyAlignment="1" applyBorder="1" applyFill="1" applyFont="1" applyNumberFormat="1" borderId="1" fillId="6" fontId="5" numFmtId="49" xfId="4">
      <alignment horizontal="left" vertical="top" wrapText="1"/>
    </xf>
    <xf applyAlignment="1" applyBorder="1" borderId="1" fillId="0" fontId="0" numFmtId="0" xfId="0">
      <alignment horizontal="left" vertical="top"/>
    </xf>
    <xf applyBorder="1" borderId="33" fillId="0" fontId="0" numFmtId="0" xfId="0"/>
    <xf applyAlignment="1" applyFill="1" borderId="0" fillId="17" fontId="0" numFmtId="0" xfId="0">
      <alignment vertical="top"/>
    </xf>
    <xf applyAlignment="1" borderId="0" fillId="0" fontId="0" numFmtId="0" xfId="0">
      <alignment horizontal="left" vertical="top"/>
    </xf>
    <xf applyAlignment="1" applyBorder="1" applyFill="1" applyFont="1" applyNumberFormat="1" borderId="36" fillId="6" fontId="5" numFmtId="49" xfId="4">
      <alignment horizontal="left" vertical="top" wrapText="1"/>
    </xf>
    <xf applyAlignment="1" applyFill="1" applyFont="1" applyNumberFormat="1" borderId="0" fillId="6" fontId="5" numFmtId="49" xfId="4">
      <alignment horizontal="left" vertical="top" wrapText="1"/>
    </xf>
    <xf applyAlignment="1" applyFont="1" applyNumberFormat="1" borderId="0" fillId="0" fontId="5" numFmtId="49" xfId="4">
      <alignment horizontal="center" vertical="top" wrapText="1"/>
    </xf>
    <xf applyAlignment="1" applyFont="1" applyNumberFormat="1" borderId="0" fillId="0" fontId="5" numFmtId="49" xfId="4">
      <alignment horizontal="left" wrapText="1"/>
    </xf>
    <xf applyAlignment="1" applyBorder="1" applyFill="1" applyFont="1" borderId="11" fillId="9" fontId="9" numFmtId="0" xfId="0">
      <alignment horizontal="center" vertical="center"/>
    </xf>
    <xf applyAlignment="1" applyBorder="1" applyFill="1" applyFont="1" borderId="10" fillId="9" fontId="9" numFmtId="0" xfId="0">
      <alignment horizontal="center" vertical="center"/>
    </xf>
    <xf applyAlignment="1" applyBorder="1" applyFill="1" applyFont="1" borderId="12" fillId="9" fontId="9" numFmtId="0" xfId="0">
      <alignment horizontal="center" vertical="center"/>
    </xf>
    <xf applyAlignment="1" applyBorder="1" applyFill="1" applyFont="1" borderId="10" fillId="10" fontId="10" numFmtId="0" xfId="0">
      <alignment horizontal="center" vertical="center"/>
    </xf>
    <xf applyAlignment="1" applyFill="1" applyFont="1" borderId="0" fillId="10" fontId="8" numFmtId="0" xfId="0">
      <alignment horizontal="center"/>
    </xf>
    <xf applyAlignment="1" applyBorder="1" applyFill="1" applyFont="1" borderId="1" fillId="8" fontId="8" numFmtId="0" xfId="0">
      <alignment horizontal="center" vertical="center"/>
    </xf>
    <xf applyAlignment="1" applyBorder="1" applyFill="1" applyFont="1" applyNumberFormat="1" borderId="2" fillId="19" fontId="2" numFmtId="4" xfId="0">
      <alignment horizontal="center" vertical="center"/>
    </xf>
    <xf applyAlignment="1" applyBorder="1" applyFont="1" applyNumberFormat="1" borderId="2" fillId="0" fontId="2" numFmtId="4" xfId="0">
      <alignment horizontal="center" vertical="center"/>
    </xf>
    <xf applyAlignment="1" applyBorder="1" applyFont="1" borderId="37" fillId="0" fontId="2" numFmtId="0" xfId="0">
      <alignment horizontal="center" vertical="center"/>
    </xf>
  </cellXfs>
  <cellStyles count="5">
    <cellStyle builtinId="8" name="Hyperlink" xfId="1"/>
    <cellStyle builtinId="0" name="Normal" xfId="0"/>
    <cellStyle name="Normal 2" xfId="4" xr:uid="{E256C720-EDE8-4307-8576-810A551E1C62}"/>
    <cellStyle name="Normal 3" xfId="2" xr:uid="{5BE18606-4F8F-4CCD-9137-17B790CEBD76}"/>
    <cellStyle name="Normal 6 2 2" xfId="3" xr:uid="{8F4233B3-4354-4AAF-AA97-E0549C984B4E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theme/theme1.xml" Type="http://schemas.openxmlformats.org/officeDocument/2006/relationships/theme"/><Relationship Id="rId71" Target="styles.xml" Type="http://schemas.openxmlformats.org/officeDocument/2006/relationships/styles"/><Relationship Id="rId72" Target="sharedStrings.xml" Type="http://schemas.openxmlformats.org/officeDocument/2006/relationships/sharedStrings"/><Relationship Id="rId73" Target="calcChain.xml" Type="http://schemas.openxmlformats.org/officeDocument/2006/relationships/calcChain"/><Relationship Id="rId74" Target="../customXml/item1.xml" Type="http://schemas.openxmlformats.org/officeDocument/2006/relationships/customXml"/><Relationship Id="rId75" Target="../customXml/item2.xml" Type="http://schemas.openxmlformats.org/officeDocument/2006/relationships/customXml"/><Relationship Id="rId76" Target="../customXml/item3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4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musyarustb2@outlook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B1:E6"/>
  <sheetViews>
    <sheetView workbookViewId="0">
      <selection activeCell="E19" sqref="E19"/>
    </sheetView>
  </sheetViews>
  <sheetFormatPr defaultRowHeight="14.4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/>
    <row ht="15" r="2" spans="2:4" thickBot="1">
      <c r="B2" s="106" t="s">
        <v>0</v>
      </c>
      <c r="C2" s="109" t="s">
        <v>1</v>
      </c>
      <c r="D2" s="165" t="s">
        <v>2</v>
      </c>
    </row>
    <row r="3" spans="2:4">
      <c r="B3" s="107"/>
      <c r="C3" s="110" t="s">
        <v>3</v>
      </c>
      <c r="D3" s="164" t="s">
        <v>4</v>
      </c>
    </row>
    <row r="4" spans="2:4">
      <c r="B4" s="108"/>
      <c r="C4" s="111" t="s">
        <v>5</v>
      </c>
      <c r="D4" s="162" t="s">
        <v>6</v>
      </c>
    </row>
    <row r="5" spans="2:4">
      <c r="B5" s="159"/>
      <c r="C5" s="111" t="s">
        <v>7</v>
      </c>
      <c r="D5" s="162" t="s">
        <v>8</v>
      </c>
    </row>
    <row ht="15" r="6" spans="2:4" thickBot="1">
      <c r="B6" s="160"/>
      <c r="C6" s="161" t="s">
        <v>9</v>
      </c>
      <c r="D6" s="163" t="s">
        <v>10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E2"/>
  <sheetViews>
    <sheetView workbookViewId="0">
      <selection sqref="A1:D1"/>
    </sheetView>
  </sheetViews>
  <sheetFormatPr defaultRowHeight="14.4"/>
  <cols>
    <col min="1" max="2" customWidth="true" width="39.33203125" collapsed="true"/>
    <col min="3" max="3" customWidth="true" width="29.5546875" collapsed="true"/>
    <col min="4" max="4" customWidth="true" width="17.88671875" collapsed="true"/>
  </cols>
  <sheetData>
    <row ht="15" r="1" spans="1:4" thickBot="1">
      <c r="A1" s="198" t="s">
        <v>30</v>
      </c>
      <c r="B1" s="197" t="s">
        <v>31</v>
      </c>
      <c r="C1" s="199" t="s">
        <v>18</v>
      </c>
      <c r="D1" s="199" t="s">
        <v>17</v>
      </c>
    </row>
    <row ht="15" r="2" spans="1:4" thickBot="1">
      <c r="A2" s="20" t="str">
        <f>'TC06-Supplier'!$B$2</f>
        <v>PK-SUP-POC-5</v>
      </c>
      <c r="B2" s="21" t="str">
        <f>'TC05-BU'!$B$2</f>
        <v>PK-BU-POC-5</v>
      </c>
      <c r="C2" s="25" t="str">
        <f>'TC09-Create New User'!$E$2</f>
        <v>PK-CUS by Upload S13-5</v>
      </c>
      <c r="D2" t="str">
        <f>'TC09-Create New User'!$D$2</f>
        <v>PK-CUS-POC-S13-5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I2"/>
  <sheetViews>
    <sheetView workbookViewId="0">
      <selection activeCell="E28" sqref="E28"/>
    </sheetView>
  </sheetViews>
  <sheetFormatPr defaultRowHeight="14.4"/>
  <cols>
    <col min="1" max="2" bestFit="true" customWidth="true" width="11.33203125" collapsed="true"/>
    <col min="3" max="3" bestFit="true" customWidth="true" width="23.88671875" collapsed="true"/>
    <col min="4" max="4" bestFit="true" customWidth="true" width="16.6640625" collapsed="true"/>
    <col min="5" max="5" bestFit="true" customWidth="true" width="20.88671875" collapsed="true"/>
    <col min="6" max="6" bestFit="true" customWidth="true" width="39.33203125" collapsed="true"/>
    <col min="7" max="7" bestFit="true" customWidth="true" width="8.44140625" collapsed="true"/>
    <col min="8" max="8" bestFit="true" customWidth="true" width="20.109375" collapsed="true"/>
  </cols>
  <sheetData>
    <row ht="15" r="1" spans="1:8" thickBot="1">
      <c r="A1" s="112" t="str">
        <f>'TC09-Create New User'!A1</f>
        <v>LoginID</v>
      </c>
      <c r="B1" s="113" t="str">
        <f>'TC09-Create New User'!B1</f>
        <v>Username</v>
      </c>
      <c r="C1" s="113" t="str">
        <f>'TC09-Create New User'!C1</f>
        <v>Email</v>
      </c>
      <c r="D1" s="113" t="str">
        <f>'TC09-Create New User'!D1</f>
        <v>UserCompanyCode</v>
      </c>
      <c r="E1" s="113" t="str">
        <f>'TC09-Create New User'!E1</f>
        <v>UserCompanyName</v>
      </c>
      <c r="F1" s="113" t="str">
        <f>'TC09-Create New User'!F1</f>
        <v>DefaultCompany</v>
      </c>
      <c r="G1" s="113" t="str">
        <f>'TC09-Create New User'!G1</f>
        <v>UserRole</v>
      </c>
      <c r="H1" s="19" t="s">
        <v>21</v>
      </c>
    </row>
    <row ht="15" r="2" spans="1:8" thickBot="1">
      <c r="A2" s="30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1" t="s">
        <v>32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M2"/>
  <sheetViews>
    <sheetView topLeftCell="E1" workbookViewId="0" zoomScaleNormal="100">
      <selection activeCell="L2" sqref="L2"/>
    </sheetView>
  </sheetViews>
  <sheetFormatPr defaultRowHeight="14.4"/>
  <cols>
    <col min="2" max="3" bestFit="true" customWidth="true" width="11.6640625" collapsed="true"/>
    <col min="4" max="4" bestFit="true" customWidth="true" width="24.33203125" collapsed="true"/>
    <col min="5" max="5" bestFit="true" customWidth="true" width="17.109375" collapsed="true"/>
    <col min="6" max="6" bestFit="true" customWidth="true" width="21.5546875" collapsed="true"/>
    <col min="7" max="7" bestFit="true" customWidth="true" width="40.88671875" collapsed="true"/>
    <col min="8" max="8" bestFit="true" customWidth="true" width="8.6640625" collapsed="true"/>
    <col min="9" max="9" bestFit="true" customWidth="true" width="21.6640625" collapsed="true"/>
    <col min="10" max="10" bestFit="true" customWidth="true" width="18.44140625" collapsed="true"/>
    <col min="11" max="11" bestFit="true" customWidth="true" width="27.44140625" collapsed="true"/>
    <col min="12" max="12" customWidth="true" width="43.6640625" collapsed="true"/>
  </cols>
  <sheetData>
    <row ht="15" r="1" spans="1:12" thickBot="1">
      <c r="A1" s="112" t="s">
        <v>33</v>
      </c>
      <c r="B1" s="113" t="str">
        <f>'TC09-Create New User'!A1</f>
        <v>LoginID</v>
      </c>
      <c r="C1" s="113" t="str">
        <f>'TC09-Create New User'!B1</f>
        <v>Username</v>
      </c>
      <c r="D1" s="113" t="str">
        <f>'TC09-Create New User'!C1</f>
        <v>Email</v>
      </c>
      <c r="E1" s="113" t="str">
        <f>'TC09-Create New User'!D1</f>
        <v>UserCompanyCode</v>
      </c>
      <c r="F1" s="113" t="str">
        <f>'TC09-Create New User'!E1</f>
        <v>UserCompanyName</v>
      </c>
      <c r="G1" s="113" t="str">
        <f>'TC09-Create New User'!F1</f>
        <v>DefaultCompany</v>
      </c>
      <c r="H1" s="113" t="str">
        <f>'TC09-Create New User'!G1</f>
        <v>UserRole</v>
      </c>
      <c r="I1" s="115" t="str">
        <f>'TC09-Create New User'!H1</f>
        <v>BriVgeVerificationCode</v>
      </c>
      <c r="J1" s="113" t="str">
        <f>'TC09-Create New User'!I1</f>
        <v>BriVgeUserGenCode</v>
      </c>
      <c r="K1" s="43" t="s">
        <v>34</v>
      </c>
      <c r="L1" s="114" t="s">
        <v>35</v>
      </c>
    </row>
    <row ht="29.4" r="2" spans="1:12" thickBot="1">
      <c r="A2" s="30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2" t="s">
        <v>38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Y2"/>
  <sheetViews>
    <sheetView topLeftCell="K1" workbookViewId="0" zoomScale="85" zoomScaleNormal="85">
      <selection activeCell="D25" sqref="D25"/>
    </sheetView>
  </sheetViews>
  <sheetFormatPr defaultRowHeight="14.4"/>
  <cols>
    <col min="1" max="1" bestFit="true" customWidth="true" width="21.6640625" collapsed="true"/>
    <col min="2" max="2" bestFit="true" customWidth="true" width="22.109375" collapsed="true"/>
    <col min="3" max="3" bestFit="true" customWidth="true" width="11.33203125" collapsed="true"/>
    <col min="4" max="4" customWidth="true" width="14.33203125" collapsed="true"/>
    <col min="5" max="5" bestFit="true" customWidth="true" width="12.33203125" collapsed="true"/>
    <col min="6" max="6" bestFit="true" customWidth="true" width="9.88671875" collapsed="true"/>
    <col min="7" max="7" bestFit="true" customWidth="true" width="11.33203125" collapsed="true"/>
    <col min="8" max="8" bestFit="true" customWidth="true" width="8.6640625" collapsed="true"/>
    <col min="9" max="9" bestFit="true" customWidth="true" width="17.109375" collapsed="true"/>
    <col min="10" max="10" customWidth="true" width="20.5546875" collapsed="true"/>
    <col min="11" max="11" bestFit="true" customWidth="true" width="11.6640625" collapsed="true"/>
    <col min="12" max="12" customWidth="true" width="9.33203125" collapsed="true"/>
    <col min="13" max="13" bestFit="true" customWidth="true" width="16.0" collapsed="true"/>
    <col min="14" max="14" bestFit="true" customWidth="true" width="21.33203125" collapsed="true"/>
    <col min="15" max="15" bestFit="true" customWidth="true" width="39.5546875" collapsed="true"/>
    <col min="16" max="16" bestFit="true" customWidth="true" width="14.88671875" collapsed="true"/>
    <col min="17" max="17" bestFit="true" customWidth="true" width="10.6640625" collapsed="true"/>
    <col min="18" max="18" bestFit="true" customWidth="true" width="12.6640625" collapsed="true"/>
    <col min="19" max="19" bestFit="true" customWidth="true" width="15.109375" collapsed="true"/>
    <col min="20" max="20" bestFit="true" customWidth="true" width="13.33203125" collapsed="true"/>
    <col min="21" max="21" bestFit="true" customWidth="true" width="12.33203125" collapsed="true"/>
    <col min="22" max="22" bestFit="true" customWidth="true" width="14.88671875" collapsed="true"/>
    <col min="23" max="23" bestFit="true" customWidth="true" width="12.88671875" collapsed="true"/>
    <col min="24" max="24" bestFit="true" customWidth="true" width="49.5546875" collapsed="true"/>
  </cols>
  <sheetData>
    <row customFormat="1" ht="15" r="1" s="26" spans="1:24" thickBot="1">
      <c r="A1" s="116" t="s">
        <v>39</v>
      </c>
      <c r="B1" s="90" t="s">
        <v>40</v>
      </c>
      <c r="C1" s="48" t="s">
        <v>41</v>
      </c>
      <c r="D1" s="48" t="s">
        <v>42</v>
      </c>
      <c r="E1" s="48" t="s">
        <v>43</v>
      </c>
      <c r="F1" s="48" t="s">
        <v>44</v>
      </c>
      <c r="G1" s="48" t="s">
        <v>45</v>
      </c>
      <c r="H1" s="48" t="s">
        <v>46</v>
      </c>
      <c r="I1" s="48" t="s">
        <v>47</v>
      </c>
      <c r="J1" s="48" t="s">
        <v>48</v>
      </c>
      <c r="K1" s="117" t="s">
        <v>49</v>
      </c>
      <c r="L1" s="117" t="s">
        <v>50</v>
      </c>
      <c r="M1" s="117" t="s">
        <v>51</v>
      </c>
      <c r="N1" s="117" t="s">
        <v>52</v>
      </c>
      <c r="O1" s="118" t="s">
        <v>53</v>
      </c>
      <c r="P1" s="119" t="s">
        <v>54</v>
      </c>
      <c r="Q1" s="119" t="s">
        <v>55</v>
      </c>
      <c r="R1" s="119" t="s">
        <v>56</v>
      </c>
      <c r="S1" s="119" t="s">
        <v>57</v>
      </c>
      <c r="T1" s="119" t="s">
        <v>58</v>
      </c>
      <c r="U1" s="119" t="s">
        <v>59</v>
      </c>
      <c r="V1" s="119" t="s">
        <v>60</v>
      </c>
      <c r="W1" s="119" t="s">
        <v>61</v>
      </c>
      <c r="X1" s="120" t="s">
        <v>62</v>
      </c>
    </row>
    <row customFormat="1" ht="15" r="2" s="26" spans="1:24" thickBot="1">
      <c r="A2" s="36" t="str">
        <f>"CNTWSUP-PKCUS "&amp;AutoIncrement!C2</f>
        <v>CNTWSUP-PKCUS TBC</v>
      </c>
      <c r="B2" s="37" t="str">
        <f>A2</f>
        <v>CNTWSUP-PKCUS TBC</v>
      </c>
      <c r="C2" s="37" t="s">
        <v>63</v>
      </c>
      <c r="D2" s="37" t="s">
        <v>64</v>
      </c>
      <c r="E2" s="37" t="s">
        <v>65</v>
      </c>
      <c r="F2" s="37" t="s">
        <v>66</v>
      </c>
      <c r="G2" s="37"/>
      <c r="H2" s="37"/>
      <c r="I2" s="37" t="s">
        <v>67</v>
      </c>
      <c r="J2" s="37" t="str">
        <f>TC14n15!$D$2</f>
        <v>PK-CUS-POC-S13-5</v>
      </c>
      <c r="K2" s="37" t="s">
        <v>68</v>
      </c>
      <c r="L2" s="37" t="s">
        <v>66</v>
      </c>
      <c r="M2" s="37">
        <v>3</v>
      </c>
      <c r="N2" s="37">
        <v>2</v>
      </c>
      <c r="O2" s="37" t="str">
        <f>TC033_ETAnWeek!I2</f>
        <v>MON,WED,FRI,</v>
      </c>
      <c r="P2" s="37">
        <v>10</v>
      </c>
      <c r="Q2" s="37">
        <v>0</v>
      </c>
      <c r="R2" s="37">
        <v>12</v>
      </c>
      <c r="S2" s="37">
        <v>6</v>
      </c>
      <c r="T2" s="37">
        <v>2023</v>
      </c>
      <c r="U2" s="37">
        <v>31</v>
      </c>
      <c r="V2" s="37">
        <v>12</v>
      </c>
      <c r="W2" s="37">
        <v>2024</v>
      </c>
      <c r="X2" s="38" t="str">
        <f>TC033_ETAnWeek!O2</f>
        <v>2nd Week,4th Week,</v>
      </c>
    </row>
  </sheetData>
  <hyperlinks>
    <hyperlink display="ETDWeekDay (click here to set ETD days)" location="RANGE!A1" ref="O1" xr:uid="{1F69A7D3-D82F-49EA-8E2B-2F081CF3AD5F}"/>
    <hyperlink display="Shipping Frequency Weeks (Click here to add week)" location="RANGE!A1" ref="X1" xr:uid="{0A79869C-AFB0-45FC-A885-72EA2DEBDAB1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P2"/>
  <sheetViews>
    <sheetView workbookViewId="0" zoomScaleNormal="100">
      <selection activeCell="K20" sqref="K20"/>
    </sheetView>
  </sheetViews>
  <sheetFormatPr defaultColWidth="8.88671875" defaultRowHeight="14.4"/>
  <cols>
    <col min="1" max="1" bestFit="true" customWidth="true" style="26" width="18.33203125" collapsed="true"/>
    <col min="2" max="2" bestFit="true" customWidth="true" style="26" width="10.44140625" collapsed="true"/>
    <col min="3" max="4" bestFit="true" customWidth="true" style="26" width="11.33203125" collapsed="true"/>
    <col min="5" max="5" bestFit="true" customWidth="true" style="26" width="14.33203125" collapsed="true"/>
    <col min="6" max="6" bestFit="true" customWidth="true" style="26" width="12.0" collapsed="true"/>
    <col min="7" max="7" bestFit="true" customWidth="true" style="26" width="9.5546875" collapsed="true"/>
    <col min="8" max="8" bestFit="true" customWidth="true" style="26" width="11.6640625" collapsed="true"/>
    <col min="9" max="9" bestFit="true" customWidth="true" style="26" width="13.33203125" collapsed="true"/>
    <col min="10" max="10" bestFit="true" customWidth="true" style="26" width="10.6640625" collapsed="true"/>
    <col min="11" max="11" bestFit="true" customWidth="true" style="26" width="11.33203125" collapsed="true"/>
    <col min="12" max="14" bestFit="true" customWidth="true" style="26" width="11.0" collapsed="true"/>
    <col min="15" max="15" customWidth="true" style="26" width="29.88671875" collapsed="true"/>
    <col min="16" max="16384" style="26" width="8.88671875" collapsed="true"/>
  </cols>
  <sheetData>
    <row ht="15" r="1" spans="1:15" thickBot="1">
      <c r="A1" s="39" t="s">
        <v>69</v>
      </c>
      <c r="B1" s="117" t="s">
        <v>70</v>
      </c>
      <c r="C1" s="117" t="s">
        <v>71</v>
      </c>
      <c r="D1" s="117" t="s">
        <v>72</v>
      </c>
      <c r="E1" s="117" t="s">
        <v>73</v>
      </c>
      <c r="F1" s="117" t="s">
        <v>74</v>
      </c>
      <c r="G1" s="117" t="s">
        <v>75</v>
      </c>
      <c r="H1" s="117" t="s">
        <v>76</v>
      </c>
      <c r="I1" s="117" t="s">
        <v>77</v>
      </c>
      <c r="J1" s="117" t="s">
        <v>78</v>
      </c>
      <c r="K1" s="117" t="s">
        <v>79</v>
      </c>
      <c r="L1" s="117" t="s">
        <v>80</v>
      </c>
      <c r="M1" s="117" t="s">
        <v>81</v>
      </c>
      <c r="N1" s="117" t="s">
        <v>82</v>
      </c>
      <c r="O1" s="121" t="s">
        <v>83</v>
      </c>
    </row>
    <row ht="15" r="2" spans="1:15" thickBot="1">
      <c r="A2" s="36" t="s">
        <v>84</v>
      </c>
      <c r="B2" s="37" t="s">
        <v>85</v>
      </c>
      <c r="C2" s="37" t="s">
        <v>86</v>
      </c>
      <c r="D2" s="37" t="s">
        <v>85</v>
      </c>
      <c r="E2" s="37" t="s">
        <v>86</v>
      </c>
      <c r="F2" s="37" t="s">
        <v>85</v>
      </c>
      <c r="G2" s="37" t="s">
        <v>86</v>
      </c>
      <c r="H2" s="37" t="s">
        <v>85</v>
      </c>
      <c r="I2" s="37" t="s">
        <v>87</v>
      </c>
      <c r="J2" s="37" t="s">
        <v>85</v>
      </c>
      <c r="K2" s="37" t="s">
        <v>86</v>
      </c>
      <c r="L2" s="37" t="s">
        <v>85</v>
      </c>
      <c r="M2" s="37" t="s">
        <v>86</v>
      </c>
      <c r="N2" s="37" t="s">
        <v>85</v>
      </c>
      <c r="O2" s="38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C2"/>
  <sheetViews>
    <sheetView workbookViewId="0">
      <selection activeCell="B2" sqref="B2"/>
    </sheetView>
  </sheetViews>
  <sheetFormatPr defaultRowHeight="14.4"/>
  <cols>
    <col min="1" max="1" bestFit="true" customWidth="true" width="3.44140625" collapsed="true"/>
    <col min="2" max="2" customWidth="true" width="26.6640625" collapsed="true"/>
    <col min="3" max="3" customWidth="true" width="32.5546875" collapsed="true"/>
    <col min="4" max="4" customWidth="true" width="20.5546875" collapsed="true"/>
  </cols>
  <sheetData>
    <row ht="15" r="1" spans="1:2" thickBot="1">
      <c r="A1" s="11" t="s">
        <v>33</v>
      </c>
      <c r="B1" s="114" t="s">
        <v>1</v>
      </c>
    </row>
    <row ht="15" r="2" spans="1:2" thickBot="1">
      <c r="A2" s="30">
        <v>1</v>
      </c>
      <c r="B2" s="32" t="str">
        <f>"RequestPartTB-"&amp;AutoIncrement!A2</f>
        <v>RequestPartTB-12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E4"/>
  <sheetViews>
    <sheetView workbookViewId="0">
      <selection activeCell="B2" sqref="B2"/>
    </sheetView>
  </sheetViews>
  <sheetFormatPr defaultRowHeight="14.4"/>
  <cols>
    <col min="1" max="1" bestFit="true" customWidth="true" width="3.44140625" collapsed="true"/>
    <col min="2" max="2" customWidth="true" width="51.6640625" collapsed="true"/>
    <col min="3" max="3" bestFit="true" customWidth="true" width="34.44140625" collapsed="true"/>
    <col min="4" max="4" bestFit="true" customWidth="true" width="37.33203125" collapsed="true"/>
  </cols>
  <sheetData>
    <row ht="15" r="1" spans="1:4" thickBot="1">
      <c r="A1" s="11" t="s">
        <v>33</v>
      </c>
      <c r="B1" s="43" t="s">
        <v>88</v>
      </c>
      <c r="C1" s="44" t="s">
        <v>89</v>
      </c>
      <c r="D1" s="45" t="s">
        <v>90</v>
      </c>
    </row>
    <row ht="26.4" r="2" spans="1:4">
      <c r="A2" s="8">
        <v>1</v>
      </c>
      <c r="B2" s="168" t="str">
        <f>AutoIncrement!$C$2&amp;"scenario1320230614011"</f>
        <v>TBCscenario1320230614011</v>
      </c>
      <c r="C2" s="169" t="str">
        <f>"PK-CUS-"&amp;AutoIncrement!$C$2&amp;"-scenario13-20230604-001"</f>
        <v>PK-CUS-TBC-scenario13-20230604-001</v>
      </c>
      <c r="D2" s="170" t="str">
        <f>"CNTW-SUP-"&amp;AutoIncrement!$C$2&amp;"-scenario13-20230604-001"</f>
        <v>CNTW-SUP-TBC-scenario13-20230604-001</v>
      </c>
    </row>
    <row ht="26.4" r="3" spans="1:4">
      <c r="A3" s="9">
        <v>2</v>
      </c>
      <c r="B3" s="168" t="str">
        <f>AutoIncrement!$C$2&amp;"scenario1320230614012"</f>
        <v>TBCscenario1320230614012</v>
      </c>
      <c r="C3" s="169" t="str">
        <f>"PK-CUS-"&amp;AutoIncrement!$C$2&amp;"-scenario13-20230604-002"</f>
        <v>PK-CUS-TBC-scenario13-20230604-002</v>
      </c>
      <c r="D3" s="170" t="str">
        <f>"CNTW-SUP-"&amp;AutoIncrement!$C$2&amp;"-scenario13-20230604-002"</f>
        <v>CNTW-SUP-TBC-scenario13-20230604-002</v>
      </c>
    </row>
    <row ht="27" r="4" spans="1:4" thickBot="1">
      <c r="A4" s="10">
        <v>3</v>
      </c>
      <c r="B4" s="168" t="str">
        <f>AutoIncrement!$C$2&amp;"scenario1320230614013"</f>
        <v>TBCscenario1320230614013</v>
      </c>
      <c r="C4" s="169" t="str">
        <f>"PK-CUS-"&amp;AutoIncrement!$C$2&amp;"-scenario13-20230604-003"</f>
        <v>PK-CUS-TBC-scenario13-20230604-003</v>
      </c>
      <c r="D4" s="170" t="str">
        <f>"CNTW-SUP-"&amp;AutoIncrement!$C$2&amp;"-scenario13-20230604-003"</f>
        <v>CNTW-SUP-TBC-scenario13-20230604-003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Y2"/>
  <sheetViews>
    <sheetView topLeftCell="M1" workbookViewId="0" zoomScale="115" zoomScaleNormal="115">
      <selection activeCell="M24" sqref="M24"/>
    </sheetView>
  </sheetViews>
  <sheetFormatPr defaultRowHeight="14.4"/>
  <cols>
    <col min="1" max="1" bestFit="true" customWidth="true" width="3.6640625" collapsed="true"/>
    <col min="2" max="2" bestFit="true" customWidth="true" width="25.6640625" collapsed="true"/>
    <col min="3" max="3" bestFit="true" customWidth="true" width="28.33203125" collapsed="true"/>
    <col min="4" max="4" bestFit="true" customWidth="true" width="13.44140625" collapsed="true"/>
    <col min="5" max="5" bestFit="true" customWidth="true" width="16.5546875" collapsed="true"/>
    <col min="6" max="6" bestFit="true" customWidth="true" width="16.6640625" collapsed="true"/>
    <col min="7" max="7" bestFit="true" customWidth="true" width="16.33203125" collapsed="true"/>
    <col min="8" max="8" bestFit="true" customWidth="true" width="23.44140625" collapsed="true"/>
    <col min="9" max="9" bestFit="true" customWidth="true" width="10.109375" collapsed="true"/>
    <col min="10" max="10" bestFit="true" customWidth="true" width="23.33203125" collapsed="true"/>
    <col min="11" max="11" bestFit="true" customWidth="true" width="26.33203125" collapsed="true"/>
    <col min="12" max="12" bestFit="true" customWidth="true" width="27.33203125" collapsed="true"/>
    <col min="13" max="13" customWidth="true" width="68.44140625" collapsed="true"/>
    <col min="14" max="14" bestFit="true" customWidth="true" width="9.88671875" collapsed="true"/>
    <col min="15" max="15" bestFit="true" customWidth="true" width="14.88671875" collapsed="true"/>
    <col min="16" max="16" bestFit="true" customWidth="true" width="44.88671875" collapsed="true"/>
    <col min="17" max="17" bestFit="true" customWidth="true" width="23.44140625" collapsed="true"/>
    <col min="18" max="18" bestFit="true" customWidth="true" width="17.33203125" collapsed="true"/>
    <col min="19" max="19" bestFit="true" customWidth="true" width="27.33203125" collapsed="true"/>
    <col min="20" max="20" bestFit="true" customWidth="true" width="21.0" collapsed="true"/>
    <col min="21" max="21" bestFit="true" customWidth="true" width="17.6640625" collapsed="true"/>
    <col min="22" max="22" bestFit="true" customWidth="true" width="15.44140625" collapsed="true"/>
    <col min="23" max="23" bestFit="true" customWidth="true" width="16.0" collapsed="true"/>
    <col min="24" max="24" bestFit="true" customWidth="true" width="27.109375" collapsed="true"/>
  </cols>
  <sheetData>
    <row ht="15" r="1" spans="1:24" thickBot="1">
      <c r="A1" s="11" t="s">
        <v>33</v>
      </c>
      <c r="B1" s="115" t="s">
        <v>91</v>
      </c>
      <c r="C1" s="113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3" t="s">
        <v>13</v>
      </c>
      <c r="L1" s="113" t="s">
        <v>100</v>
      </c>
      <c r="M1" s="43" t="s">
        <v>101</v>
      </c>
      <c r="N1" s="12" t="s">
        <v>102</v>
      </c>
      <c r="O1" s="12" t="s">
        <v>103</v>
      </c>
      <c r="P1" s="113" t="s">
        <v>39</v>
      </c>
      <c r="Q1" s="113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7" t="s">
        <v>111</v>
      </c>
    </row>
    <row ht="15" r="2" spans="1:24" thickBot="1">
      <c r="A2" s="30">
        <v>1</v>
      </c>
      <c r="B2" t="s">
        <v>290</v>
      </c>
      <c r="C2" s="23" t="str">
        <f>"CNTWSUP-PKCUS-"&amp;'TC35'!K2&amp;"-0"&amp;AutoIncrement!A2</f>
        <v>CNTWSUP-PKCUS-TBC-012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TBC</v>
      </c>
      <c r="L2" s="23" t="str">
        <f>"CD-05-"&amp;K2&amp;AutoIncrement!A2</f>
        <v>CD-05-TBC12</v>
      </c>
      <c r="M2" s="23" t="str">
        <f>"TB60BL"&amp;AutoIncrement!$A$2&amp;"(T/T REMITTANCE AT 60 DAYS FROM THE END OF B/L MONTH)"</f>
        <v>TB60BL12(T/T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TBC(CNTWSUP-PKCUS TBC)</v>
      </c>
      <c r="Q2" s="23" t="str">
        <f>"RD-05-"&amp;K2&amp;AutoIncrement!A2</f>
        <v>RD-05-TBC12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341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I4"/>
  <sheetViews>
    <sheetView workbookViewId="0">
      <selection activeCell="A2" sqref="A2"/>
    </sheetView>
  </sheetViews>
  <sheetFormatPr defaultRowHeight="14.4"/>
  <cols>
    <col min="1" max="2" bestFit="true" customWidth="true" width="24.33203125" collapsed="true"/>
    <col min="3" max="3" bestFit="true" customWidth="true" width="33.33203125" collapsed="true"/>
    <col min="4" max="4" bestFit="true" customWidth="true" width="14.33203125" collapsed="true"/>
    <col min="5" max="5" bestFit="true" customWidth="true" width="23.33203125" collapsed="true"/>
    <col min="6" max="6" bestFit="true" customWidth="true" width="10.33203125" collapsed="true"/>
    <col min="7" max="7" bestFit="true" customWidth="true" width="14.33203125" collapsed="true"/>
    <col min="8" max="8" bestFit="true" customWidth="true" width="18.109375" collapsed="true"/>
  </cols>
  <sheetData>
    <row ht="15" r="1" spans="1:8" thickBot="1">
      <c r="A1" s="122" t="s">
        <v>120</v>
      </c>
      <c r="B1" s="90" t="s">
        <v>121</v>
      </c>
      <c r="C1" s="90" t="s">
        <v>122</v>
      </c>
      <c r="D1" s="48" t="s">
        <v>123</v>
      </c>
      <c r="E1" s="90" t="s">
        <v>124</v>
      </c>
      <c r="F1" s="48" t="s">
        <v>125</v>
      </c>
      <c r="G1" s="123" t="s">
        <v>126</v>
      </c>
      <c r="H1" s="124" t="s">
        <v>127</v>
      </c>
    </row>
    <row customHeight="1" ht="19.5" r="2" spans="1:8">
      <c r="A2" s="64" t="str">
        <f>'TC35'!X2</f>
        <v>CR-PK-CUS-POC-S13-5-2311002</v>
      </c>
      <c r="B2" s="55" t="str">
        <f>'TC35-Contract Parts Info'!$B$2</f>
        <v>TBCscenario1320230614011</v>
      </c>
      <c r="C2" s="55" t="str">
        <f>'TC35-Contract Parts Info'!C2</f>
        <v>PK-CUS-TBC-scenario13-20230604-001</v>
      </c>
      <c r="D2" s="56" t="s">
        <v>67</v>
      </c>
      <c r="E2" s="56" t="str">
        <f>'TC35'!C2</f>
        <v>CNTWSUP-PKCUS-TBC-012</v>
      </c>
      <c r="F2" s="56" t="s">
        <v>115</v>
      </c>
      <c r="G2" s="56" t="s">
        <v>67</v>
      </c>
      <c r="H2" s="70" t="str">
        <f>'TC033'!$A$2</f>
        <v>CNTWSUP-PKCUS TBC</v>
      </c>
    </row>
    <row customHeight="1" ht="27" r="3" spans="1:8">
      <c r="A3" s="64" t="str">
        <f>'TC35'!X2</f>
        <v>CR-PK-CUS-POC-S13-5-2311002</v>
      </c>
      <c r="B3" s="51" t="str">
        <f>'TC35-Contract Parts Info'!$B$3</f>
        <v>TBCscenario1320230614012</v>
      </c>
      <c r="C3" s="51" t="str">
        <f>'TC35-Contract Parts Info'!C3</f>
        <v>PK-CUS-TBC-scenario13-20230604-002</v>
      </c>
      <c r="D3" s="50" t="s">
        <v>67</v>
      </c>
      <c r="E3" s="50" t="str">
        <f>'TC35'!C2</f>
        <v>CNTWSUP-PKCUS-TBC-012</v>
      </c>
      <c r="F3" s="50" t="s">
        <v>115</v>
      </c>
      <c r="G3" s="50" t="s">
        <v>67</v>
      </c>
      <c r="H3" s="66" t="str">
        <f>'TC033'!$A$2</f>
        <v>CNTWSUP-PKCUS TBC</v>
      </c>
    </row>
    <row customHeight="1" ht="30" r="4" spans="1:8" thickBot="1">
      <c r="A4" s="33" t="str">
        <f>'TC35'!X2</f>
        <v>CR-PK-CUS-POC-S13-5-2311002</v>
      </c>
      <c r="B4" s="52" t="str">
        <f>'TC35-Contract Parts Info'!$B$4</f>
        <v>TBCscenario1320230614013</v>
      </c>
      <c r="C4" s="52" t="str">
        <f>'TC35-Contract Parts Info'!C4</f>
        <v>PK-CUS-TBC-scenario13-20230604-003</v>
      </c>
      <c r="D4" s="34" t="s">
        <v>67</v>
      </c>
      <c r="E4" s="34" t="str">
        <f>'TC35'!C2</f>
        <v>CNTWSUP-PKCUS-TBC-012</v>
      </c>
      <c r="F4" s="34" t="s">
        <v>115</v>
      </c>
      <c r="G4" s="34" t="s">
        <v>67</v>
      </c>
      <c r="H4" s="35" t="str">
        <f>'TC033'!$A$2</f>
        <v>CNTWSUP-PKCUS TBC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I4"/>
  <sheetViews>
    <sheetView workbookViewId="0" zoomScaleNormal="100">
      <selection activeCell="D2" sqref="D2:D4"/>
    </sheetView>
  </sheetViews>
  <sheetFormatPr defaultRowHeight="14.4"/>
  <cols>
    <col min="1" max="1" customWidth="true" width="28.6640625" collapsed="true"/>
    <col min="2" max="2" bestFit="true" customWidth="true" width="28.44140625" collapsed="true"/>
    <col min="3" max="3" bestFit="true" customWidth="true" width="45.0" collapsed="true"/>
    <col min="4" max="4" bestFit="true" customWidth="true" width="14.88671875" collapsed="true"/>
    <col min="5" max="5" bestFit="true" customWidth="true" width="29.5546875" collapsed="true"/>
    <col min="6" max="6" bestFit="true" customWidth="true" width="14.0" collapsed="true"/>
    <col min="7" max="7" bestFit="true" customWidth="true" width="18.44140625" collapsed="true"/>
    <col min="8" max="8" bestFit="true" customWidth="true" width="22.6640625" collapsed="true"/>
  </cols>
  <sheetData>
    <row ht="15" r="1" spans="1:8" thickBot="1">
      <c r="A1" s="122" t="s">
        <v>120</v>
      </c>
      <c r="B1" s="90" t="s">
        <v>121</v>
      </c>
      <c r="C1" s="90" t="s">
        <v>128</v>
      </c>
      <c r="D1" s="48" t="s">
        <v>129</v>
      </c>
      <c r="E1" s="90" t="s">
        <v>124</v>
      </c>
      <c r="F1" s="48" t="s">
        <v>125</v>
      </c>
      <c r="G1" s="48" t="s">
        <v>130</v>
      </c>
      <c r="H1" s="125" t="s">
        <v>127</v>
      </c>
    </row>
    <row customHeight="1" ht="12" r="2" spans="1:8">
      <c r="A2" s="68" t="str">
        <f>'TC35'!X2</f>
        <v>CR-PK-CUS-POC-S13-5-2311002</v>
      </c>
      <c r="B2" s="55" t="str">
        <f>'TC35-Contract Parts Info'!B2</f>
        <v>TBCscenario1320230614011</v>
      </c>
      <c r="C2" s="55" t="str">
        <f>'TC35-Contract Parts Info'!D2</f>
        <v>CNTW-SUP-TBC-scenario13-20230604-001</v>
      </c>
      <c r="D2" s="56" t="str">
        <f>TC14n15!$D$2</f>
        <v>PK-CUS-POC-S13-5</v>
      </c>
      <c r="E2" s="56" t="str">
        <f>'TC35'!C2</f>
        <v>CNTWSUP-PKCUS-TBC-012</v>
      </c>
      <c r="F2" s="56" t="s">
        <v>115</v>
      </c>
      <c r="G2" s="56" t="str">
        <f>TC14n15!$D$2</f>
        <v>PK-CUS-POC-S13-5</v>
      </c>
      <c r="H2" s="70" t="str">
        <f>'TC033'!$A$2</f>
        <v>CNTWSUP-PKCUS TBC</v>
      </c>
    </row>
    <row r="3" spans="1:8">
      <c r="A3" s="64" t="str">
        <f>'TC35'!X2</f>
        <v>CR-PK-CUS-POC-S13-5-2311002</v>
      </c>
      <c r="B3" s="51" t="str">
        <f>'TC35-Contract Parts Info'!B3</f>
        <v>TBCscenario1320230614012</v>
      </c>
      <c r="C3" s="51" t="str">
        <f>'TC35-Contract Parts Info'!D3</f>
        <v>CNTW-SUP-TBC-scenario13-20230604-002</v>
      </c>
      <c r="D3" s="56" t="str">
        <f>TC14n15!$D$2</f>
        <v>PK-CUS-POC-S13-5</v>
      </c>
      <c r="E3" s="50" t="str">
        <f>'TC35'!C2</f>
        <v>CNTWSUP-PKCUS-TBC-012</v>
      </c>
      <c r="F3" s="50" t="s">
        <v>115</v>
      </c>
      <c r="G3" s="56" t="str">
        <f>TC14n15!$D$2</f>
        <v>PK-CUS-POC-S13-5</v>
      </c>
      <c r="H3" s="66" t="str">
        <f>'TC033'!$A$2</f>
        <v>CNTWSUP-PKCUS TBC</v>
      </c>
    </row>
    <row customHeight="1" ht="16.5" r="4" spans="1:8" thickBot="1">
      <c r="A4" s="33" t="str">
        <f>'TC35'!X2</f>
        <v>CR-PK-CUS-POC-S13-5-2311002</v>
      </c>
      <c r="B4" s="52" t="str">
        <f>'TC35-Contract Parts Info'!B4</f>
        <v>TBCscenario1320230614013</v>
      </c>
      <c r="C4" s="52" t="str">
        <f>'TC35-Contract Parts Info'!D4</f>
        <v>CNTW-SUP-TBC-scenario13-20230604-003</v>
      </c>
      <c r="D4" s="56" t="str">
        <f>TC14n15!$D$2</f>
        <v>PK-CUS-POC-S13-5</v>
      </c>
      <c r="E4" s="34" t="str">
        <f>'TC35'!C2</f>
        <v>CNTWSUP-PKCUS-TBC-012</v>
      </c>
      <c r="F4" s="34" t="s">
        <v>115</v>
      </c>
      <c r="G4" s="56" t="str">
        <f>TC14n15!$D$2</f>
        <v>PK-CUS-POC-S13-5</v>
      </c>
      <c r="H4" s="35" t="str">
        <f>'TC033'!$A$2</f>
        <v>CNTWSUP-PKCUS TBC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B1:C2"/>
  <sheetViews>
    <sheetView workbookViewId="0">
      <selection activeCell="B2" sqref="B2"/>
    </sheetView>
  </sheetViews>
  <sheetFormatPr defaultRowHeight="14.4"/>
  <cols>
    <col min="1" max="1" customWidth="true" width="11.6640625" collapsed="true"/>
    <col min="2" max="2" customWidth="true" width="28.21875" collapsed="true"/>
  </cols>
  <sheetData>
    <row r="1" spans="2:2">
      <c r="B1" s="171" t="s">
        <v>291</v>
      </c>
    </row>
    <row r="2" spans="2:2">
      <c r="B2" t="s">
        <v>341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G2"/>
  <sheetViews>
    <sheetView workbookViewId="0" zoomScale="85" zoomScaleNormal="85">
      <selection activeCell="D3" sqref="D3"/>
    </sheetView>
  </sheetViews>
  <sheetFormatPr defaultRowHeight="14.4"/>
  <cols>
    <col min="1" max="1" bestFit="true" customWidth="true" width="14.6640625" collapsed="true"/>
    <col min="2" max="2" bestFit="true" customWidth="true" width="19.44140625" collapsed="true"/>
    <col min="3" max="3" bestFit="true" customWidth="true" width="39.44140625" collapsed="true"/>
    <col min="4" max="4" bestFit="true" customWidth="true" width="14.0" collapsed="true"/>
    <col min="5" max="5" bestFit="true" customWidth="true" width="11.88671875" collapsed="true"/>
    <col min="6" max="6" bestFit="true" customWidth="true" width="23.6640625" collapsed="true"/>
  </cols>
  <sheetData>
    <row ht="15" r="1" spans="1:6" thickBot="1">
      <c r="A1" s="39" t="s">
        <v>131</v>
      </c>
      <c r="B1" s="48" t="s">
        <v>132</v>
      </c>
      <c r="C1" s="90" t="s">
        <v>133</v>
      </c>
      <c r="D1" s="48" t="s">
        <v>134</v>
      </c>
      <c r="E1" s="48" t="s">
        <v>135</v>
      </c>
      <c r="F1" s="125" t="s">
        <v>136</v>
      </c>
    </row>
    <row ht="15" r="2" spans="1:6" thickBot="1">
      <c r="A2" s="36" t="s">
        <v>67</v>
      </c>
      <c r="B2" s="37" t="s">
        <v>137</v>
      </c>
      <c r="C2" s="37" t="str">
        <f>"Cargo Status Setting for PK-CUS-POC-"&amp;'TC35'!K2&amp;"-"&amp;AutoIncrement!A2</f>
        <v>Cargo Status Setting for PK-CUS-POC-TBC-12</v>
      </c>
      <c r="D2" s="37" t="str">
        <f>TC14n15!$D$2</f>
        <v>PK-CUS-POC-S13-5</v>
      </c>
      <c r="E2" s="37" t="s">
        <v>138</v>
      </c>
      <c r="F2" s="38" t="str">
        <f>'TC35'!C2</f>
        <v>CNTWSUP-PKCUS-TBC-012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E4"/>
  <sheetViews>
    <sheetView workbookViewId="0">
      <selection activeCell="G13" sqref="G13:G14"/>
    </sheetView>
  </sheetViews>
  <sheetFormatPr defaultRowHeight="14.4"/>
  <cols>
    <col min="1" max="1" bestFit="true" customWidth="true" style="1" width="3.44140625" collapsed="true"/>
    <col min="2" max="2" bestFit="true" customWidth="true" width="4.6640625" collapsed="true"/>
    <col min="3" max="3" bestFit="true" customWidth="true" width="12.33203125" collapsed="true"/>
    <col min="4" max="4" bestFit="true" customWidth="true" width="18.33203125" collapsed="true"/>
  </cols>
  <sheetData>
    <row ht="15" r="1" spans="1:4" thickBot="1">
      <c r="A1" s="63" t="s">
        <v>33</v>
      </c>
      <c r="B1" s="12" t="s">
        <v>112</v>
      </c>
      <c r="C1" s="12" t="s">
        <v>139</v>
      </c>
      <c r="D1" s="13" t="s">
        <v>140</v>
      </c>
    </row>
    <row r="2" spans="1:4">
      <c r="A2" s="60">
        <v>1</v>
      </c>
      <c r="B2" s="61">
        <v>100</v>
      </c>
      <c r="C2" s="61">
        <v>200</v>
      </c>
      <c r="D2" s="62">
        <v>100</v>
      </c>
    </row>
    <row r="3" spans="1:4">
      <c r="A3" s="57">
        <v>2</v>
      </c>
      <c r="B3" s="27">
        <v>100</v>
      </c>
      <c r="C3" s="27">
        <v>200</v>
      </c>
      <c r="D3" s="58">
        <v>100</v>
      </c>
    </row>
    <row ht="15" r="4" spans="1:4" thickBot="1">
      <c r="A4" s="59">
        <v>3</v>
      </c>
      <c r="B4" s="28">
        <v>100</v>
      </c>
      <c r="C4" s="28">
        <v>200</v>
      </c>
      <c r="D4" s="29">
        <v>100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D2"/>
  <sheetViews>
    <sheetView workbookViewId="0" zoomScale="115" zoomScaleNormal="115">
      <selection activeCell="B2" sqref="B2"/>
    </sheetView>
  </sheetViews>
  <sheetFormatPr defaultRowHeight="14.4"/>
  <cols>
    <col min="1" max="1" customWidth="true" width="15.44140625" collapsed="true"/>
    <col min="2" max="2" customWidth="true" width="33.21875" collapsed="true"/>
  </cols>
  <sheetData>
    <row ht="15" r="1" spans="1:3" thickBot="1">
      <c r="A1" s="42" t="s">
        <v>33</v>
      </c>
      <c r="B1" s="126" t="s">
        <v>141</v>
      </c>
    </row>
    <row ht="15" r="2" spans="1:3" thickBot="1">
      <c r="A2" s="40">
        <v>1</v>
      </c>
      <c r="B2" s="41" t="str">
        <f ca="1">TEXT(DATE(YEAR(EOMONTH(TODAY(),3)), MONTH(EOMONTH(TODAY(),3)), DAY(EOMONTH(TODAY(),3))), "dd MMM yyyy")</f>
        <v>29 二月 2024</v>
      </c>
      <c r="C2" s="41" t="str">
        <f ca="1">TEXT(DATE(YEAR(TODAY()), MONTH(TODAY())+2, DAY(TODAY())), "dd MMM yyyy")</f>
        <v>14 一月 2024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B2"/>
  <sheetViews>
    <sheetView workbookViewId="0">
      <selection activeCell="A2" sqref="A2"/>
    </sheetView>
  </sheetViews>
  <sheetFormatPr defaultRowHeight="14.4"/>
  <cols>
    <col min="1" max="1" customWidth="true" width="19.109375" collapsed="true"/>
  </cols>
  <sheetData>
    <row r="1" spans="1:1">
      <c r="A1" s="172" t="s">
        <v>292</v>
      </c>
    </row>
    <row r="2" spans="1:1">
      <c r="A2" t="str">
        <f>AutoIncrement!$C$2&amp;AutoIncrement!$A$2&amp;"-TC-41"</f>
        <v>TBC12-TC-41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D2"/>
  <sheetViews>
    <sheetView workbookViewId="0">
      <selection activeCell="C1" sqref="C1"/>
    </sheetView>
  </sheetViews>
  <sheetFormatPr defaultRowHeight="14.4"/>
  <cols>
    <col min="2" max="2" bestFit="true" customWidth="true" width="16.109375" collapsed="true"/>
    <col min="3" max="3" customWidth="true" width="14.21875" collapsed="true"/>
  </cols>
  <sheetData>
    <row r="1" spans="1:3">
      <c r="A1" s="46" t="s">
        <v>33</v>
      </c>
      <c r="B1" s="127" t="s">
        <v>142</v>
      </c>
      <c r="C1" s="173" t="s">
        <v>294</v>
      </c>
    </row>
    <row ht="15" r="2" spans="1:3" thickBot="1">
      <c r="A2" s="10">
        <v>1</v>
      </c>
      <c r="B2" s="29" t="str">
        <f ca="1">"c"&amp;'TC35'!K2&amp;"-23"&amp;TEXT(TODAY(), "mm")&amp;"001"</f>
        <v>cTBC-2311001</v>
      </c>
      <c r="C2" t="s">
        <v>342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D2"/>
  <sheetViews>
    <sheetView workbookViewId="0">
      <selection activeCell="C2" sqref="C2"/>
    </sheetView>
  </sheetViews>
  <sheetFormatPr defaultRowHeight="14.4"/>
  <cols>
    <col min="2" max="2" bestFit="true" customWidth="true" width="13.0" collapsed="true"/>
    <col min="3" max="3" customWidth="true" width="13.44140625" collapsed="true"/>
  </cols>
  <sheetData>
    <row ht="15" r="1" spans="1:3" thickBot="1">
      <c r="A1" s="11" t="s">
        <v>33</v>
      </c>
      <c r="B1" s="114" t="s">
        <v>143</v>
      </c>
      <c r="C1" s="173" t="s">
        <v>293</v>
      </c>
    </row>
    <row ht="15" r="2" spans="1:3" thickBot="1">
      <c r="A2" s="30">
        <v>1</v>
      </c>
      <c r="B2" s="31" t="str">
        <f ca="1">"s" &amp; 'TC35'!K2 &amp; "-23"&amp;TEXT(TODAY(), "mm")&amp;"001"</f>
        <v>sTBC-2311001</v>
      </c>
      <c r="C2" t="s">
        <v>343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C4"/>
  <sheetViews>
    <sheetView workbookViewId="0">
      <selection activeCell="B2" sqref="B2"/>
    </sheetView>
  </sheetViews>
  <sheetFormatPr defaultRowHeight="14.4"/>
  <cols>
    <col min="1" max="1" customWidth="true" width="30.21875" collapsed="true"/>
    <col min="2" max="2" customWidth="true" width="26.109375" collapsed="true"/>
  </cols>
  <sheetData>
    <row r="1" spans="1:2">
      <c r="A1" s="174" t="s">
        <v>295</v>
      </c>
      <c r="B1" s="175" t="s">
        <v>163</v>
      </c>
    </row>
    <row r="2" spans="1:2">
      <c r="A2" t="str">
        <f>'TC35-Contract Parts Info'!$B$2</f>
        <v>TBCscenario1320230614011</v>
      </c>
      <c r="B2" s="176">
        <v>3.05</v>
      </c>
    </row>
    <row r="3" spans="1:2">
      <c r="A3" t="str">
        <f>'TC35-Contract Parts Info'!$B$3</f>
        <v>TBCscenario1320230614012</v>
      </c>
      <c r="B3" s="176">
        <v>1.05</v>
      </c>
    </row>
    <row r="4" spans="1:2">
      <c r="A4" t="str">
        <f>'TC35-Contract Parts Info'!$B$4</f>
        <v>TBCscenario1320230614013</v>
      </c>
      <c r="B4" s="176">
        <v>2.0499999999999998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F4"/>
  <sheetViews>
    <sheetView workbookViewId="0">
      <selection activeCell="D1" sqref="D1"/>
    </sheetView>
  </sheetViews>
  <sheetFormatPr defaultRowHeight="14.4"/>
  <cols>
    <col min="2" max="2" customWidth="true" width="33.44140625" collapsed="true"/>
    <col min="4" max="5" bestFit="true" customWidth="true" width="21.109375" collapsed="true"/>
  </cols>
  <sheetData>
    <row ht="15" r="1" spans="1:5" thickBot="1">
      <c r="A1" s="11" t="s">
        <v>33</v>
      </c>
      <c r="B1" s="177" t="s">
        <v>296</v>
      </c>
      <c r="C1" s="12" t="s">
        <v>144</v>
      </c>
      <c r="D1" s="12" t="s">
        <v>145</v>
      </c>
      <c r="E1" s="13" t="s">
        <v>146</v>
      </c>
    </row>
    <row r="2" spans="1:5">
      <c r="A2" s="8">
        <v>1</v>
      </c>
      <c r="B2" s="55" t="str">
        <f>'TC35-Contract Parts Info'!$B$2</f>
        <v>TBCscenario1320230614011</v>
      </c>
      <c r="C2" s="61">
        <v>150</v>
      </c>
      <c r="D2" s="61">
        <v>150</v>
      </c>
      <c r="E2" s="62"/>
    </row>
    <row r="3" spans="1:5">
      <c r="A3" s="9">
        <v>2</v>
      </c>
      <c r="B3" s="51" t="str">
        <f>'TC35-Contract Parts Info'!$B$3</f>
        <v>TBCscenario1320230614012</v>
      </c>
      <c r="C3" s="27">
        <v>150</v>
      </c>
      <c r="D3" s="27">
        <v>100</v>
      </c>
      <c r="E3" s="58">
        <v>50</v>
      </c>
    </row>
    <row ht="15" r="4" spans="1:5" thickBot="1">
      <c r="A4" s="10">
        <v>3</v>
      </c>
      <c r="B4" s="52" t="str">
        <f>'TC35-Contract Parts Info'!$B$4</f>
        <v>TBCscenario1320230614013</v>
      </c>
      <c r="C4" s="28">
        <v>50</v>
      </c>
      <c r="D4" s="28">
        <v>0</v>
      </c>
      <c r="E4" s="29">
        <v>50</v>
      </c>
    </row>
  </sheetData>
  <phoneticPr fontId="1" type="noConversion"/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H2"/>
  <sheetViews>
    <sheetView workbookViewId="0">
      <selection activeCell="D8" sqref="D8"/>
    </sheetView>
  </sheetViews>
  <sheetFormatPr defaultRowHeight="14.4"/>
  <cols>
    <col min="1" max="1" bestFit="true" customWidth="true" width="3.44140625" collapsed="true"/>
    <col min="2" max="2" bestFit="true" customWidth="true" width="17.0" collapsed="true"/>
    <col min="3" max="3" bestFit="true" customWidth="true" width="16.44140625" collapsed="true"/>
    <col min="4" max="4" customWidth="true" width="21.88671875" collapsed="true"/>
  </cols>
  <sheetData>
    <row ht="15" r="1" spans="1:7" thickBot="1">
      <c r="A1" s="11" t="s">
        <v>33</v>
      </c>
      <c r="B1" s="113" t="s">
        <v>147</v>
      </c>
      <c r="C1" s="114" t="s">
        <v>148</v>
      </c>
      <c r="D1" s="178" t="s">
        <v>297</v>
      </c>
    </row>
    <row ht="15" r="2" spans="1:7" thickBot="1">
      <c r="A2" s="30">
        <v>1</v>
      </c>
      <c r="B2" s="41" t="str">
        <f ca="1">TEXT(DATE(YEAR(EOMONTH(TODAY(),3)), MONTH(EOMONTH(TODAY(),3)), DAY(EOMONTH(TODAY(),3))), "dd MMM yyyy")</f>
        <v>29 二月 2024</v>
      </c>
      <c r="C2" s="41" t="str">
        <f ca="1">TEXT(DATE(YEAR(EOMONTH(TODAY(),3)), MONTH(EOMONTH(TODAY(),3)), DAY(EOMONTH(TODAY(),3))+20), "dd MMM yyyy")</f>
        <v>20 三月 2024</v>
      </c>
      <c r="D2" t="str">
        <f>AutoIncrement!$C$2&amp;AutoIncrement!$A$2&amp;"-TC-47"</f>
        <v>TBC12-TC-47</v>
      </c>
      <c r="F2" s="23" t="str">
        <f ca="1">TEXT(DATE(YEAR(TODAY()), MONTH(TODAY())+2, DAY(TODAY())+3), "dd MMM yyyy")</f>
        <v>17 一月 2024</v>
      </c>
      <c r="G2" s="31" t="str">
        <f ca="1">TEXT(DATE(YEAR(TODAY()), MONTH(TODAY())+2, DAY(TODAY())+5), "dd MMM yyyy")</f>
        <v>19 一月 2024</v>
      </c>
    </row>
  </sheetData>
  <phoneticPr fontId="1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D2"/>
  <sheetViews>
    <sheetView workbookViewId="0">
      <selection activeCell="F11" sqref="F11"/>
    </sheetView>
  </sheetViews>
  <sheetFormatPr defaultRowHeight="14.4"/>
  <cols>
    <col min="2" max="2" bestFit="true" customWidth="true" width="16.109375" collapsed="true"/>
    <col min="3" max="3" customWidth="true" width="20.6640625" collapsed="true"/>
  </cols>
  <sheetData>
    <row ht="15" r="1" spans="1:3" thickBot="1">
      <c r="A1" s="11" t="s">
        <v>33</v>
      </c>
      <c r="B1" s="114" t="s">
        <v>149</v>
      </c>
      <c r="C1" s="179" t="s">
        <v>298</v>
      </c>
    </row>
    <row ht="15" r="2" spans="1:3" thickBot="1">
      <c r="A2" s="30">
        <v>1</v>
      </c>
      <c r="B2" s="31" t="str">
        <f ca="1">"rc" &amp; 'TC35'!K2 &amp; "-23"&amp;TEXT(TODAY(), "mm")&amp;"001"</f>
        <v>rcTBC-2311001</v>
      </c>
      <c r="C2" t="s">
        <v>344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D2"/>
  <sheetViews>
    <sheetView workbookViewId="0">
      <selection activeCell="C3" sqref="C3"/>
    </sheetView>
  </sheetViews>
  <sheetFormatPr defaultRowHeight="14.4"/>
  <cols>
    <col min="1" max="1" bestFit="true" customWidth="true" width="21.5546875" collapsed="true"/>
    <col min="2" max="2" customWidth="true" width="35.33203125" collapsed="true"/>
    <col min="3" max="3" bestFit="true" customWidth="true" width="26.33203125" collapsed="true"/>
  </cols>
  <sheetData>
    <row ht="15" r="1" spans="1:3" thickBot="1">
      <c r="A1" s="102" t="s">
        <v>11</v>
      </c>
      <c r="B1" s="103" t="s">
        <v>12</v>
      </c>
      <c r="C1" s="166" t="s">
        <v>13</v>
      </c>
    </row>
    <row ht="15" r="2" spans="1:3" thickBot="1">
      <c r="A2" s="101" t="s">
        <v>339</v>
      </c>
      <c r="B2" s="31">
        <v>5</v>
      </c>
      <c r="C2" s="167" t="s">
        <v>340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Z4"/>
  <sheetViews>
    <sheetView topLeftCell="G1" workbookViewId="0" zoomScale="115" zoomScaleNormal="115">
      <selection activeCell="O2" sqref="O2:O4"/>
    </sheetView>
  </sheetViews>
  <sheetFormatPr defaultRowHeight="14.4"/>
  <cols>
    <col min="1" max="1" bestFit="true" customWidth="true" width="13.5546875" collapsed="true"/>
    <col min="2" max="2" bestFit="true" customWidth="true" width="10.109375" collapsed="true"/>
    <col min="3" max="3" bestFit="true" customWidth="true" width="11.88671875" collapsed="true"/>
    <col min="4" max="4" bestFit="true" customWidth="true" width="17.33203125" collapsed="true"/>
    <col min="5" max="5" bestFit="true" customWidth="true" width="25.5546875" collapsed="true"/>
    <col min="6" max="6" bestFit="true" customWidth="true" width="26.6640625" collapsed="true"/>
    <col min="7" max="7" bestFit="true" customWidth="true" width="35.6640625" collapsed="true"/>
    <col min="8" max="8" bestFit="true" customWidth="true" width="7.88671875" collapsed="true"/>
    <col min="9" max="9" bestFit="true" customWidth="true" width="13.5546875" collapsed="true"/>
    <col min="10" max="10" bestFit="true" customWidth="true" width="14.6640625" collapsed="true"/>
    <col min="11" max="11" bestFit="true" customWidth="true" width="4.5546875" collapsed="true"/>
    <col min="12" max="12" bestFit="true" customWidth="true" width="9.0" collapsed="true"/>
    <col min="13" max="13" bestFit="true" customWidth="true" width="9.6640625" collapsed="true"/>
    <col min="14" max="14" bestFit="true" customWidth="true" width="17.5546875" collapsed="true"/>
    <col min="15" max="15" bestFit="true" customWidth="true" width="9.6640625" collapsed="true"/>
    <col min="18" max="18" bestFit="true" customWidth="true" width="11.5546875" collapsed="true"/>
    <col min="19" max="19" bestFit="true" customWidth="true" width="17.6640625" collapsed="true"/>
    <col min="20" max="20" bestFit="true" customWidth="true" width="16.0" collapsed="true"/>
    <col min="21" max="21" bestFit="true" customWidth="true" width="17.6640625" collapsed="true"/>
    <col min="22" max="22" bestFit="true" customWidth="true" width="16.0" collapsed="true"/>
    <col min="23" max="24" bestFit="true" customWidth="true" width="21.33203125" collapsed="true"/>
    <col min="25" max="25" customWidth="true" width="16.109375" collapsed="true"/>
  </cols>
  <sheetData>
    <row ht="15" r="1" spans="1:25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8" t="s">
        <v>170</v>
      </c>
      <c r="X1" s="49" t="s">
        <v>171</v>
      </c>
      <c r="Y1" s="49" t="s">
        <v>299</v>
      </c>
    </row>
    <row customHeight="1" ht="13.5" r="2" spans="1:25">
      <c r="A2" s="68" t="str">
        <f ca="1">'TC42'!B2</f>
        <v>cTBC-2311001</v>
      </c>
      <c r="B2" s="56" t="s">
        <v>172</v>
      </c>
      <c r="C2" s="56"/>
      <c r="D2" s="56"/>
      <c r="E2" s="56"/>
      <c r="F2" s="55" t="str">
        <f>'TC35-Contract Parts Info'!B2</f>
        <v>TBCscenario1320230614011</v>
      </c>
      <c r="G2" s="69" t="str">
        <f>'TC35-Contract Parts Info'!C2</f>
        <v>PK-CUS-TBC-scenario13-20230604-001</v>
      </c>
      <c r="H2" s="56" t="s">
        <v>173</v>
      </c>
      <c r="I2" s="56" t="str">
        <f ca="1">'TC44'!B2</f>
        <v>sTBC-2311001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 t="n">
        <f>'TC46-Price'!$B2</f>
        <v>3.05</v>
      </c>
      <c r="P2" s="56" t="s">
        <v>114</v>
      </c>
      <c r="Q2" s="56" t="s">
        <v>172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56">
        <v>150</v>
      </c>
      <c r="X2" s="70">
        <v>0</v>
      </c>
      <c r="Y2" s="70">
        <v>0</v>
      </c>
    </row>
    <row r="3" spans="1:25">
      <c r="A3" s="64"/>
      <c r="B3" s="50"/>
      <c r="C3" s="50"/>
      <c r="D3" s="50"/>
      <c r="E3" s="50"/>
      <c r="F3" s="51" t="str">
        <f>'TC35-Contract Parts Info'!B3</f>
        <v>TBCscenario1320230614012</v>
      </c>
      <c r="G3" s="65" t="str">
        <f>'TC35-Contract Parts Info'!C3</f>
        <v>PK-CUS-TBC-scenario13-20230604-002</v>
      </c>
      <c r="H3" s="50" t="s">
        <v>175</v>
      </c>
      <c r="I3" s="50" t="str">
        <f ca="1">'TC44'!B2</f>
        <v>sTBC-2311001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 t="n">
        <f>'TC46-Price'!$B3</f>
        <v>1.05</v>
      </c>
      <c r="P3" s="50" t="s">
        <v>114</v>
      </c>
      <c r="Q3" s="50" t="s">
        <v>172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50">
        <v>0</v>
      </c>
      <c r="X3" s="66">
        <v>100</v>
      </c>
      <c r="Y3" s="66">
        <v>50</v>
      </c>
    </row>
    <row ht="15" r="4" spans="1:25" thickBot="1">
      <c r="A4" s="33"/>
      <c r="B4" s="34"/>
      <c r="C4" s="34"/>
      <c r="D4" s="34"/>
      <c r="E4" s="34"/>
      <c r="F4" s="52" t="str">
        <f>'TC35-Contract Parts Info'!B4</f>
        <v>TBCscenario1320230614013</v>
      </c>
      <c r="G4" s="67" t="str">
        <f>'TC35-Contract Parts Info'!C4</f>
        <v>PK-CUS-TBC-scenario13-20230604-003</v>
      </c>
      <c r="H4" s="34" t="s">
        <v>176</v>
      </c>
      <c r="I4" s="34" t="str">
        <f ca="1">'TC44'!B2</f>
        <v>sTBC-2311001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 t="n">
        <f>'TC46-Price'!$B4</f>
        <v>2.05</v>
      </c>
      <c r="P4" s="34" t="s">
        <v>114</v>
      </c>
      <c r="Q4" s="34" t="s">
        <v>172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4">
        <v>0</v>
      </c>
      <c r="X4" s="35">
        <v>0</v>
      </c>
      <c r="Y4" s="35">
        <v>50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AC4"/>
  <sheetViews>
    <sheetView topLeftCell="J1" workbookViewId="0" zoomScale="85" zoomScaleNormal="85">
      <selection activeCell="U10" sqref="U10"/>
    </sheetView>
  </sheetViews>
  <sheetFormatPr defaultRowHeight="14.4"/>
  <cols>
    <col min="1" max="1" bestFit="true" customWidth="true" width="14.88671875" collapsed="true"/>
    <col min="2" max="2" bestFit="true" customWidth="true" width="10.6640625" collapsed="true"/>
    <col min="3" max="3" bestFit="true" customWidth="true" width="12.6640625" collapsed="true"/>
    <col min="4" max="4" bestFit="true" customWidth="true" width="18.33203125" collapsed="true"/>
    <col min="5" max="5" bestFit="true" customWidth="true" width="27.0" collapsed="true"/>
    <col min="6" max="6" bestFit="true" customWidth="true" width="28.44140625" collapsed="true"/>
    <col min="7" max="7" customWidth="true" width="43.33203125" collapsed="true"/>
    <col min="8" max="8" bestFit="true" customWidth="true" width="9.0" collapsed="true"/>
    <col min="9" max="9" bestFit="true" customWidth="true" width="22.6640625" collapsed="true"/>
    <col min="10" max="10" bestFit="true" customWidth="true" width="18.6640625" collapsed="true"/>
    <col min="12" max="12" bestFit="true" customWidth="true" width="11.44140625" collapsed="true"/>
    <col min="13" max="13" bestFit="true" customWidth="true" width="12.44140625" collapsed="true"/>
    <col min="15" max="15" bestFit="true" customWidth="true" width="11.6640625" collapsed="true"/>
    <col min="16" max="16" bestFit="true" customWidth="true" width="10.6640625" collapsed="true"/>
    <col min="17" max="17" bestFit="true" customWidth="true" width="16.44140625" collapsed="true"/>
    <col min="18" max="18" bestFit="true" customWidth="true" width="15.44140625" collapsed="true"/>
    <col min="22" max="22" customWidth="true" width="19.5546875" collapsed="true"/>
    <col min="23" max="23" customWidth="true" width="23.21875" collapsed="true"/>
    <col min="24" max="24" customWidth="true" width="19.5546875" collapsed="true"/>
    <col min="25" max="25" customWidth="true" width="23.21875" collapsed="true"/>
    <col min="26" max="26" customWidth="true" width="22.21875" collapsed="true"/>
    <col min="27" max="28" bestFit="true" customWidth="true" width="26.0" collapsed="true"/>
  </cols>
  <sheetData>
    <row r="1" spans="1:28">
      <c r="A1" s="128" t="s">
        <v>177</v>
      </c>
      <c r="B1" s="53" t="s">
        <v>178</v>
      </c>
      <c r="C1" s="53" t="s">
        <v>152</v>
      </c>
      <c r="D1" s="53" t="s">
        <v>153</v>
      </c>
      <c r="E1" s="53" t="s">
        <v>154</v>
      </c>
      <c r="F1" s="89" t="s">
        <v>121</v>
      </c>
      <c r="G1" s="89" t="s">
        <v>155</v>
      </c>
      <c r="H1" s="53" t="s">
        <v>156</v>
      </c>
      <c r="I1" s="89" t="s">
        <v>179</v>
      </c>
      <c r="J1" s="53" t="s">
        <v>180</v>
      </c>
      <c r="K1" s="53" t="s">
        <v>159</v>
      </c>
      <c r="L1" s="53" t="s">
        <v>160</v>
      </c>
      <c r="M1" s="53" t="s">
        <v>161</v>
      </c>
      <c r="N1" s="53" t="s">
        <v>163</v>
      </c>
      <c r="O1" s="53" t="s">
        <v>102</v>
      </c>
      <c r="P1" s="53" t="s">
        <v>164</v>
      </c>
      <c r="Q1" s="53" t="s">
        <v>181</v>
      </c>
      <c r="R1" s="53" t="s">
        <v>182</v>
      </c>
      <c r="S1" s="53" t="s">
        <v>183</v>
      </c>
      <c r="T1" s="53" t="s">
        <v>184</v>
      </c>
      <c r="U1" s="53" t="s">
        <v>185</v>
      </c>
      <c r="V1" s="53" t="s">
        <v>186</v>
      </c>
      <c r="W1" s="53" t="s">
        <v>187</v>
      </c>
      <c r="X1" s="53" t="s">
        <v>304</v>
      </c>
      <c r="Y1" s="53" t="s">
        <v>305</v>
      </c>
      <c r="Z1" s="53" t="s">
        <v>188</v>
      </c>
      <c r="AA1" s="54" t="s">
        <v>189</v>
      </c>
      <c r="AB1" s="54" t="s">
        <v>345</v>
      </c>
    </row>
    <row customHeight="1" ht="15.75" r="2" spans="1:28">
      <c r="A2" s="64" t="str">
        <f ca="1">'TC44'!B2</f>
        <v>sTBC-2311001</v>
      </c>
      <c r="B2" s="50" t="s">
        <v>172</v>
      </c>
      <c r="C2" s="50"/>
      <c r="D2" s="50"/>
      <c r="E2" s="50"/>
      <c r="F2" s="51" t="str">
        <f>'TC35-Contract Parts Info'!$B$2</f>
        <v>TBCscenario1320230614011</v>
      </c>
      <c r="G2" s="51" t="str">
        <f>'TC35-Contract Parts Info'!D2</f>
        <v>CNTW-SUP-TBC-scenario13-20230604-001</v>
      </c>
      <c r="H2" s="50" t="s">
        <v>173</v>
      </c>
      <c r="I2" s="50" t="str">
        <f ca="1">'TC42'!B2</f>
        <v>cTBC-2311001</v>
      </c>
      <c r="J2" s="51" t="str">
        <f>TC14n15!$D$2</f>
        <v>PK-CUS-POC-S13-5</v>
      </c>
      <c r="K2" s="50">
        <v>10</v>
      </c>
      <c r="L2" s="50">
        <v>10</v>
      </c>
      <c r="M2" s="50">
        <v>150</v>
      </c>
      <c r="N2" s="203" t="n">
        <f>'TC46-Price'!$B2</f>
        <v>3.05</v>
      </c>
      <c r="O2" s="50" t="s">
        <v>114</v>
      </c>
      <c r="P2" s="50" t="s">
        <v>172</v>
      </c>
      <c r="Q2" s="50">
        <v>0</v>
      </c>
      <c r="R2" s="50">
        <v>0</v>
      </c>
      <c r="S2" s="50">
        <v>0</v>
      </c>
      <c r="T2" s="50">
        <v>150</v>
      </c>
      <c r="U2" s="50" t="s">
        <v>174</v>
      </c>
      <c r="V2" s="50">
        <v>0</v>
      </c>
      <c r="W2" s="50" t="s">
        <v>174</v>
      </c>
      <c r="X2" s="50">
        <v>0</v>
      </c>
      <c r="Y2" s="50" t="s">
        <v>174</v>
      </c>
      <c r="Z2" s="50">
        <v>150</v>
      </c>
      <c r="AA2" s="66">
        <v>0</v>
      </c>
      <c r="AB2" s="66">
        <v>0</v>
      </c>
    </row>
    <row r="3" spans="1:28">
      <c r="A3" s="64"/>
      <c r="B3" s="50"/>
      <c r="C3" s="50"/>
      <c r="D3" s="50"/>
      <c r="E3" s="50"/>
      <c r="F3" s="51" t="str">
        <f>'TC35-Contract Parts Info'!$B$3</f>
        <v>TBCscenario1320230614012</v>
      </c>
      <c r="G3" s="51" t="str">
        <f>'TC35-Contract Parts Info'!D3</f>
        <v>CNTW-SUP-TBC-scenario13-20230604-002</v>
      </c>
      <c r="H3" s="50" t="s">
        <v>175</v>
      </c>
      <c r="I3" s="50" t="str">
        <f ca="1">'TC42'!B2</f>
        <v>cTBC-2311001</v>
      </c>
      <c r="J3" s="51" t="str">
        <f>TC14n15!$D$2</f>
        <v>PK-CUS-POC-S13-5</v>
      </c>
      <c r="K3" s="50">
        <v>10</v>
      </c>
      <c r="L3" s="50">
        <v>10</v>
      </c>
      <c r="M3" s="50">
        <v>150</v>
      </c>
      <c r="N3" s="203" t="n">
        <f>'TC46-Price'!$B3</f>
        <v>1.05</v>
      </c>
      <c r="O3" s="50" t="s">
        <v>114</v>
      </c>
      <c r="P3" s="50" t="s">
        <v>172</v>
      </c>
      <c r="Q3" s="50">
        <v>0</v>
      </c>
      <c r="R3" s="50">
        <v>0</v>
      </c>
      <c r="S3" s="50">
        <v>0</v>
      </c>
      <c r="T3" s="50">
        <v>0</v>
      </c>
      <c r="U3" s="50" t="s">
        <v>174</v>
      </c>
      <c r="V3" s="50">
        <v>100</v>
      </c>
      <c r="W3" s="50" t="s">
        <v>174</v>
      </c>
      <c r="X3" s="50">
        <v>50</v>
      </c>
      <c r="Y3" s="50" t="s">
        <v>174</v>
      </c>
      <c r="Z3" s="50">
        <v>0</v>
      </c>
      <c r="AA3" s="66">
        <v>100</v>
      </c>
      <c r="AB3" s="66">
        <v>50</v>
      </c>
    </row>
    <row ht="15" r="4" spans="1:28" thickBot="1">
      <c r="A4" s="33"/>
      <c r="B4" s="34"/>
      <c r="C4" s="34"/>
      <c r="D4" s="34"/>
      <c r="E4" s="34"/>
      <c r="F4" s="52" t="str">
        <f>'TC35-Contract Parts Info'!$B$4</f>
        <v>TBCscenario1320230614013</v>
      </c>
      <c r="G4" s="52" t="str">
        <f>'TC35-Contract Parts Info'!D4</f>
        <v>CNTW-SUP-TBC-scenario13-20230604-003</v>
      </c>
      <c r="H4" s="34" t="s">
        <v>176</v>
      </c>
      <c r="I4" s="34" t="str">
        <f ca="1">'TC42'!B2</f>
        <v>cTBC-2311001</v>
      </c>
      <c r="J4" s="51" t="str">
        <f>TC14n15!$D$2</f>
        <v>PK-CUS-POC-S13-5</v>
      </c>
      <c r="K4" s="34">
        <v>10</v>
      </c>
      <c r="L4" s="34">
        <v>10</v>
      </c>
      <c r="M4" s="34">
        <v>50</v>
      </c>
      <c r="N4" s="203" t="n">
        <f>'TC46-Price'!$B4</f>
        <v>2.05</v>
      </c>
      <c r="O4" s="34" t="s">
        <v>114</v>
      </c>
      <c r="P4" s="34" t="s">
        <v>172</v>
      </c>
      <c r="Q4" s="34">
        <v>0</v>
      </c>
      <c r="R4" s="34">
        <v>0</v>
      </c>
      <c r="S4" s="34">
        <v>0</v>
      </c>
      <c r="T4" s="34">
        <v>0</v>
      </c>
      <c r="U4" s="34" t="s">
        <v>174</v>
      </c>
      <c r="V4" s="34">
        <v>0</v>
      </c>
      <c r="W4" s="34" t="s">
        <v>174</v>
      </c>
      <c r="X4" s="34">
        <v>50</v>
      </c>
      <c r="Y4" s="34" t="s">
        <v>174</v>
      </c>
      <c r="Z4" s="34">
        <v>0</v>
      </c>
      <c r="AA4" s="35">
        <v>0</v>
      </c>
      <c r="AB4" s="35">
        <v>50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F5"/>
  <sheetViews>
    <sheetView workbookViewId="0">
      <selection activeCell="E4" sqref="E4"/>
    </sheetView>
  </sheetViews>
  <sheetFormatPr defaultRowHeight="14.4"/>
  <cols>
    <col min="1" max="1" customWidth="true" width="28.33203125" collapsed="true"/>
    <col min="2" max="2" customWidth="true" width="37.0" collapsed="true"/>
    <col min="3" max="3" customWidth="true" width="25.77734375" collapsed="true"/>
    <col min="4" max="4" customWidth="true" width="17.21875" collapsed="true"/>
    <col min="5" max="5" customWidth="true" width="15.44140625" collapsed="true"/>
  </cols>
  <sheetData>
    <row ht="26.4" r="1" spans="1:5">
      <c r="A1" s="180" t="s">
        <v>303</v>
      </c>
      <c r="B1" s="180" t="s">
        <v>295</v>
      </c>
      <c r="C1" t="s">
        <v>300</v>
      </c>
      <c r="D1" t="s">
        <v>301</v>
      </c>
      <c r="E1" t="s">
        <v>302</v>
      </c>
    </row>
    <row ht="15" r="2" spans="1:5" thickBot="1">
      <c r="A2" s="41" t="str">
        <f ca="1">TEXT(DATE(YEAR(EOMONTH(TODAY(),3)), MONTH(EOMONTH(TODAY(),3)), DAY(EOMONTH(TODAY(),3))), "dd-MMM-yyyy")</f>
        <v>29-二月-2024</v>
      </c>
      <c r="B2" s="51" t="str">
        <f>'TC35-Contract Parts Info'!$B$2</f>
        <v>TBCscenario1320230614011</v>
      </c>
      <c r="C2" s="181">
        <v>150</v>
      </c>
      <c r="D2" s="181"/>
      <c r="E2" s="181"/>
    </row>
    <row ht="15" r="3" spans="1:5" thickBot="1">
      <c r="A3" s="41" t="str">
        <f ca="1">TEXT(DATE(YEAR(EOMONTH(TODAY(),3)), MONTH(EOMONTH(TODAY(),3)), DAY(EOMONTH(TODAY(),3))), "dd-MMM-yyyy")</f>
        <v>29-二月-2024</v>
      </c>
      <c r="B3" s="51" t="str">
        <f>'TC35-Contract Parts Info'!$B$3</f>
        <v>TBCscenario1320230614012</v>
      </c>
      <c r="C3" s="181"/>
      <c r="D3" s="181">
        <v>100</v>
      </c>
      <c r="E3" s="181"/>
    </row>
    <row ht="15" r="4" spans="1:5" thickBot="1">
      <c r="A4" s="41" t="str">
        <f ca="1">TEXT(DATE(YEAR(EOMONTH(TODAY(),3)), MONTH(EOMONTH(TODAY(),3)), DAY(EOMONTH(TODAY(),3))+20), "dd-MMM-yyyy")</f>
        <v>20-三月-2024</v>
      </c>
      <c r="B4" s="51" t="str">
        <f>'TC35-Contract Parts Info'!$B$3</f>
        <v>TBCscenario1320230614012</v>
      </c>
      <c r="C4" s="181"/>
      <c r="D4" s="181"/>
      <c r="E4" s="181">
        <v>50</v>
      </c>
    </row>
    <row ht="15" r="5" spans="1:5" thickBot="1">
      <c r="A5" s="41" t="str">
        <f ca="1">TEXT(DATE(YEAR(EOMONTH(TODAY(),3)), MONTH(EOMONTH(TODAY(),3)), DAY(EOMONTH(TODAY(),3))+20), "dd-MMM-yyyy")</f>
        <v>20-三月-2024</v>
      </c>
      <c r="B5" s="52" t="str">
        <f>'TC35-Contract Parts Info'!$B$4</f>
        <v>TBCscenario1320230614013</v>
      </c>
      <c r="C5" s="181"/>
      <c r="D5" s="181"/>
      <c r="E5" s="181">
        <v>50</v>
      </c>
    </row>
  </sheetData>
  <phoneticPr fontId="1" type="noConversion"/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G2"/>
  <sheetViews>
    <sheetView workbookViewId="0">
      <selection activeCell="G28" sqref="G28"/>
    </sheetView>
  </sheetViews>
  <sheetFormatPr defaultRowHeight="14.4"/>
  <cols>
    <col min="1" max="1" bestFit="true" customWidth="true" width="3.44140625" collapsed="true"/>
    <col min="2" max="2" bestFit="true" customWidth="true" width="11.109375" collapsed="true"/>
    <col min="3" max="3" customWidth="true" width="20.33203125" collapsed="true"/>
    <col min="4" max="4" customWidth="true" width="18.33203125" collapsed="true"/>
    <col min="5" max="5" customWidth="true" width="21.77734375" collapsed="true"/>
    <col min="6" max="6" bestFit="true" customWidth="true" width="13.44140625" collapsed="true"/>
  </cols>
  <sheetData>
    <row ht="15" r="1" spans="1:6" thickBot="1">
      <c r="A1" s="11" t="s">
        <v>33</v>
      </c>
      <c r="B1" s="12" t="s">
        <v>190</v>
      </c>
      <c r="C1" s="12" t="s">
        <v>191</v>
      </c>
      <c r="D1" s="12" t="s">
        <v>192</v>
      </c>
      <c r="E1" s="113" t="s">
        <v>193</v>
      </c>
      <c r="F1" s="13" t="s">
        <v>42</v>
      </c>
    </row>
    <row ht="15" r="2" spans="1:6" thickBot="1">
      <c r="A2" s="30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1" t="str">
        <f ca="1">TEXT(TODAY(),"dd/m/yyyy")</f>
        <v>14/11/2023</v>
      </c>
      <c r="F2" s="31" t="s">
        <v>195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H4"/>
  <sheetViews>
    <sheetView topLeftCell="B1" workbookViewId="0" zoomScaleNormal="100">
      <selection activeCell="E2" sqref="E2"/>
    </sheetView>
  </sheetViews>
  <sheetFormatPr defaultRowHeight="14.4"/>
  <cols>
    <col min="1" max="1" bestFit="true" customWidth="true" width="3.44140625" collapsed="true"/>
    <col min="2" max="2" customWidth="true" width="30.5546875" collapsed="true"/>
    <col min="3" max="3" bestFit="true" customWidth="true" width="17.33203125" collapsed="true"/>
    <col min="4" max="4" bestFit="true" customWidth="true" width="14.5546875" collapsed="true"/>
    <col min="5" max="5" bestFit="true" customWidth="true" width="15.44140625" collapsed="true"/>
    <col min="6" max="6" bestFit="true" customWidth="true" width="21.33203125" collapsed="true"/>
    <col min="7" max="7" bestFit="true" customWidth="true" width="9.33203125" collapsed="true"/>
  </cols>
  <sheetData>
    <row ht="15" r="1" spans="1:7" thickBot="1">
      <c r="A1" s="11" t="s">
        <v>33</v>
      </c>
      <c r="B1" s="113" t="s">
        <v>196</v>
      </c>
      <c r="C1" s="113" t="s">
        <v>197</v>
      </c>
      <c r="D1" s="12" t="s">
        <v>198</v>
      </c>
      <c r="E1" s="113" t="s">
        <v>199</v>
      </c>
      <c r="F1" s="12" t="s">
        <v>200</v>
      </c>
      <c r="G1" s="13" t="s">
        <v>201</v>
      </c>
    </row>
    <row r="2" spans="1:7">
      <c r="A2" s="8">
        <v>1</v>
      </c>
      <c r="B2" s="129" t="str">
        <f>"o-CNTW-SUP-POC-"&amp;"231106" &amp; "-" &amp; AutoIncrement!A$2</f>
        <v>o-CNTW-SUP-POC-231106-12</v>
      </c>
      <c r="C2" s="130" t="str">
        <f>'TC52-Upload Obound Setup'!B2</f>
        <v>B-231106-TBC-12</v>
      </c>
      <c r="D2" s="130" t="s">
        <v>202</v>
      </c>
      <c r="E2" s="130" t="str">
        <f>"O-"&amp;"231108-" &amp; AutoIncrement!$A$2</f>
        <v>O-231108-12</v>
      </c>
      <c r="F2" s="130" t="s">
        <v>203</v>
      </c>
      <c r="G2" s="131" t="s">
        <v>204</v>
      </c>
    </row>
    <row r="3" spans="1:7">
      <c r="A3" s="9">
        <v>2</v>
      </c>
      <c r="B3" s="129" t="str">
        <f>"o-CNTW-SUP-POC-"&amp;"231106" &amp; "-" &amp; AutoIncrement!A$2</f>
        <v>o-CNTW-SUP-POC-231106-12</v>
      </c>
      <c r="C3" s="132" t="str">
        <f>'TC52-Upload Obound Setup'!B2</f>
        <v>B-231106-TBC-12</v>
      </c>
      <c r="D3" s="132" t="s">
        <v>205</v>
      </c>
      <c r="E3" s="130" t="str">
        <f>"O-"&amp;"231108-" &amp; AutoIncrement!A3</f>
        <v>O-231108-</v>
      </c>
      <c r="F3" s="132" t="s">
        <v>206</v>
      </c>
      <c r="G3" s="133" t="s">
        <v>33</v>
      </c>
    </row>
    <row ht="15" r="4" spans="1:7" thickBot="1">
      <c r="A4" s="10">
        <v>3</v>
      </c>
      <c r="B4" s="129" t="str">
        <f>"o-CNTW-SUP-POC-"&amp;"231106" &amp; "-" &amp; AutoIncrement!A$2</f>
        <v>o-CNTW-SUP-POC-231106-12</v>
      </c>
      <c r="C4" s="135" t="str">
        <f>'TC52-Upload Obound Setup'!B2</f>
        <v>B-231106-TBC-12</v>
      </c>
      <c r="D4" s="134"/>
      <c r="E4" s="130" t="str">
        <f>"O-"&amp;"231108-" &amp; AutoIncrement!A4</f>
        <v>O-231108-</v>
      </c>
      <c r="F4" s="135" t="s">
        <v>203</v>
      </c>
      <c r="G4" s="136" t="s">
        <v>33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D2"/>
  <sheetViews>
    <sheetView workbookViewId="0">
      <selection activeCell="B2" sqref="B2"/>
    </sheetView>
  </sheetViews>
  <sheetFormatPr defaultRowHeight="14.4"/>
  <cols>
    <col min="1" max="1" bestFit="true" customWidth="true" width="3.44140625" collapsed="true"/>
    <col min="2" max="2" bestFit="true" customWidth="true" width="15.33203125" collapsed="true"/>
    <col min="3" max="3" customWidth="true" width="22.33203125" collapsed="true"/>
  </cols>
  <sheetData>
    <row ht="15" r="1" spans="1:3" thickBot="1">
      <c r="A1" s="11" t="s">
        <v>33</v>
      </c>
      <c r="B1" s="114" t="s">
        <v>197</v>
      </c>
    </row>
    <row ht="15" r="2" spans="1:3" thickBot="1">
      <c r="A2" s="30">
        <v>1</v>
      </c>
      <c r="B2" s="31" t="str">
        <f>"B-231106-"&amp; 'TC35'!K2 &amp;"-"&amp; AutoIncrement!$A$2</f>
        <v>B-231106-TBC-12</v>
      </c>
      <c r="C2" s="31" t="str">
        <f ca="1">"B-"&amp;TEXT(TODAY(),"yymmdd") &amp; "-"&amp; 'TC35'!K2 &amp;"-"&amp; AutoIncrement!A2</f>
        <v>B-231114-TBC-12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E2"/>
  <sheetViews>
    <sheetView workbookViewId="0">
      <selection activeCell="B2" sqref="B2"/>
    </sheetView>
  </sheetViews>
  <sheetFormatPr defaultRowHeight="14.4"/>
  <cols>
    <col min="1" max="1" bestFit="true" customWidth="true" width="3.44140625" collapsed="true"/>
    <col min="2" max="2" customWidth="true" width="34.0" collapsed="true"/>
    <col min="3" max="3" bestFit="true" customWidth="true" width="12.109375" collapsed="true"/>
    <col min="4" max="4" bestFit="true" customWidth="true" width="12.0" collapsed="true"/>
  </cols>
  <sheetData>
    <row ht="15" r="1" spans="1:4" thickBot="1">
      <c r="A1" s="11" t="s">
        <v>33</v>
      </c>
      <c r="B1" s="115" t="s">
        <v>207</v>
      </c>
      <c r="C1" s="115" t="s">
        <v>208</v>
      </c>
      <c r="D1" s="137" t="s">
        <v>209</v>
      </c>
    </row>
    <row ht="15" r="2" spans="1:4" thickBot="1">
      <c r="A2" s="30">
        <v>1</v>
      </c>
      <c r="B2" t="s">
        <v>346</v>
      </c>
      <c r="C2" t="s">
        <v>347</v>
      </c>
      <c r="D2" t="s">
        <v>348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Z4"/>
  <sheetViews>
    <sheetView topLeftCell="F1" workbookViewId="0" zoomScale="70" zoomScaleNormal="70">
      <selection activeCell="N2" sqref="N2:N4"/>
    </sheetView>
  </sheetViews>
  <sheetFormatPr defaultRowHeight="14.4"/>
  <cols>
    <col min="1" max="1" bestFit="true" customWidth="true" width="13.6640625" collapsed="true"/>
    <col min="2" max="2" bestFit="true" customWidth="true" width="11.33203125" collapsed="true"/>
    <col min="3" max="3" customWidth="true" width="15.33203125" collapsed="true"/>
    <col min="4" max="4" customWidth="true" width="17.6640625" collapsed="true"/>
    <col min="5" max="5" customWidth="true" width="23.0" collapsed="true"/>
    <col min="6" max="7" customWidth="true" width="35.0" collapsed="true"/>
    <col min="9" max="9" customWidth="true" width="27.5546875" collapsed="true"/>
    <col min="10" max="10" bestFit="true" customWidth="true" width="14.33203125" collapsed="true"/>
    <col min="19" max="19" customWidth="true" width="21.77734375" collapsed="true"/>
    <col min="21" max="21" customWidth="true" width="17.33203125" collapsed="true"/>
    <col min="22" max="22" customWidth="true" width="25.44140625" collapsed="true"/>
    <col min="23" max="23" bestFit="true" customWidth="true" width="24.0" collapsed="true"/>
    <col min="24" max="24" customWidth="true" width="14.109375" collapsed="true"/>
    <col min="25" max="25" customWidth="true" width="13.44140625" collapsed="true"/>
  </cols>
  <sheetData>
    <row ht="15" r="1" spans="1:25" thickBot="1">
      <c r="A1" s="122" t="s">
        <v>177</v>
      </c>
      <c r="B1" s="72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customHeight="1" ht="15.75" r="2" spans="1:25">
      <c r="A2" s="68" t="str">
        <f ca="1">'TC44'!B2</f>
        <v>sTBC-2311001</v>
      </c>
      <c r="B2" s="56" t="s">
        <v>210</v>
      </c>
      <c r="C2" s="56"/>
      <c r="D2" s="56"/>
      <c r="E2" s="56"/>
      <c r="F2" s="55" t="str">
        <f>'TC35-Contract Parts Info'!B2</f>
        <v>TBCscenario1320230614011</v>
      </c>
      <c r="G2" s="55" t="str">
        <f>'TC35-Contract Parts Info'!D2</f>
        <v>CNTW-SUP-TBC-scenario13-20230604-001</v>
      </c>
      <c r="H2" s="56" t="s">
        <v>173</v>
      </c>
      <c r="I2" s="56" t="str">
        <f ca="1">'TC42'!B2</f>
        <v>cTBC-2311001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3" t="n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182">
        <v>0</v>
      </c>
      <c r="Y2" s="70" t="s">
        <v>174</v>
      </c>
    </row>
    <row ht="28.8" r="3" spans="1:25">
      <c r="A3" s="64"/>
      <c r="B3" s="50"/>
      <c r="C3" s="50"/>
      <c r="D3" s="50"/>
      <c r="E3" s="50"/>
      <c r="F3" s="51" t="str">
        <f>'TC35-Contract Parts Info'!B3</f>
        <v>TBCscenario1320230614012</v>
      </c>
      <c r="G3" s="51" t="str">
        <f>'TC35-Contract Parts Info'!D3</f>
        <v>CNTW-SUP-TBC-scenario13-20230604-002</v>
      </c>
      <c r="H3" s="50" t="s">
        <v>175</v>
      </c>
      <c r="I3" s="50" t="str">
        <f ca="1">'TC42'!B2</f>
        <v>cTBC-2311001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3" t="n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182">
        <v>50</v>
      </c>
      <c r="Y3" s="66" t="s">
        <v>174</v>
      </c>
    </row>
    <row ht="29.4" r="4" spans="1:25" thickBot="1">
      <c r="A4" s="33"/>
      <c r="B4" s="34"/>
      <c r="C4" s="34"/>
      <c r="D4" s="34"/>
      <c r="E4" s="34"/>
      <c r="F4" s="52" t="str">
        <f>'TC35-Contract Parts Info'!B4</f>
        <v>TBCscenario1320230614013</v>
      </c>
      <c r="G4" s="52" t="str">
        <f>'TC35-Contract Parts Info'!D4</f>
        <v>CNTW-SUP-TBC-scenario13-20230604-003</v>
      </c>
      <c r="H4" s="34" t="s">
        <v>176</v>
      </c>
      <c r="I4" s="34" t="str">
        <f ca="1">'TC42'!B2</f>
        <v>cTBC-2311001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3" t="n">
        <f>'TC46-Price'!$B4</f>
        <v>2.05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182">
        <v>50</v>
      </c>
      <c r="Y4" s="35" t="s">
        <v>174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X4"/>
  <sheetViews>
    <sheetView topLeftCell="G1" workbookViewId="0" zoomScale="85" zoomScaleNormal="85">
      <selection activeCell="O2" sqref="O2:O4"/>
    </sheetView>
  </sheetViews>
  <sheetFormatPr defaultRowHeight="14.4"/>
  <cols>
    <col min="1" max="1" bestFit="true" customWidth="true" width="15.109375" collapsed="true"/>
    <col min="2" max="3" bestFit="true" customWidth="true" width="12.6640625" collapsed="true"/>
    <col min="4" max="4" bestFit="true" customWidth="true" width="18.33203125" collapsed="true"/>
    <col min="5" max="5" customWidth="true" width="27.0" collapsed="true"/>
    <col min="6" max="6" bestFit="true" customWidth="true" width="28.44140625" collapsed="true"/>
    <col min="7" max="7" customWidth="true" width="35.33203125" collapsed="true"/>
    <col min="9" max="9" customWidth="true" width="14.88671875" collapsed="true"/>
    <col min="10" max="10" bestFit="true" customWidth="true" width="18.109375" collapsed="true"/>
    <col min="11" max="11" bestFit="true" customWidth="true" width="5.6640625" collapsed="true"/>
    <col min="12" max="12" bestFit="true" customWidth="true" width="9.33203125" collapsed="true"/>
    <col min="13" max="13" bestFit="true" customWidth="true" width="10.33203125" collapsed="true"/>
    <col min="14" max="14" customWidth="true" width="19.33203125" collapsed="true"/>
    <col min="15" max="15" bestFit="true" customWidth="true" width="12.6640625" collapsed="true"/>
    <col min="16" max="16" bestFit="true" customWidth="true" width="11.6640625" collapsed="true"/>
    <col min="19" max="19" bestFit="true" customWidth="true" width="18.109375" collapsed="true"/>
    <col min="20" max="20" bestFit="true" customWidth="true" width="16.88671875" collapsed="true"/>
    <col min="23" max="23" bestFit="true" customWidth="true" width="22.109375" collapsed="true"/>
  </cols>
  <sheetData>
    <row ht="15" r="1" spans="1:23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73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74" t="s">
        <v>170</v>
      </c>
    </row>
    <row customHeight="1" ht="15" r="2" spans="1:23">
      <c r="A2" s="68" t="str">
        <f ca="1">'TC42'!B2</f>
        <v>cTBC-2311001</v>
      </c>
      <c r="B2" s="56" t="s">
        <v>172</v>
      </c>
      <c r="C2" s="56"/>
      <c r="D2" s="56"/>
      <c r="E2" s="56"/>
      <c r="F2" s="55" t="str">
        <f>'TC35-Contract Parts Info'!B2</f>
        <v>TBCscenario1320230614011</v>
      </c>
      <c r="G2" s="55" t="str">
        <f>'TC35-Contract Parts Info'!C2</f>
        <v>PK-CUS-TBC-scenario13-20230604-001</v>
      </c>
      <c r="H2" s="56" t="s">
        <v>173</v>
      </c>
      <c r="I2" s="56" t="str">
        <f ca="1">'TC44'!B2</f>
        <v>sTBC-2311001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3" t="n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A3" s="64"/>
      <c r="B3" s="50"/>
      <c r="C3" s="50"/>
      <c r="D3" s="50"/>
      <c r="E3" s="50"/>
      <c r="F3" s="51" t="str">
        <f>'TC35-Contract Parts Info'!B3</f>
        <v>TBCscenario1320230614012</v>
      </c>
      <c r="G3" s="51" t="str">
        <f>'TC35-Contract Parts Info'!C3</f>
        <v>PK-CUS-TBC-scenario13-20230604-002</v>
      </c>
      <c r="H3" s="50" t="s">
        <v>175</v>
      </c>
      <c r="I3" s="50" t="str">
        <f ca="1">'TC44'!B2</f>
        <v>sTBC-2311001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3" t="n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ht="15" r="4" spans="1:23" thickBot="1">
      <c r="A4" s="33"/>
      <c r="B4" s="34"/>
      <c r="C4" s="34"/>
      <c r="D4" s="34"/>
      <c r="E4" s="34"/>
      <c r="F4" s="52" t="str">
        <f>'TC35-Contract Parts Info'!B4</f>
        <v>TBCscenario1320230614013</v>
      </c>
      <c r="G4" s="52" t="str">
        <f>'TC35-Contract Parts Info'!C4</f>
        <v>PK-CUS-TBC-scenario13-20230604-003</v>
      </c>
      <c r="H4" s="34" t="s">
        <v>176</v>
      </c>
      <c r="I4" s="34" t="str">
        <f ca="1">'TC44'!B2</f>
        <v>sTBC-2311001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3" t="n">
        <f>'TC46-Price'!$B4</f>
        <v>2.05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C2"/>
  <sheetViews>
    <sheetView topLeftCell="B1" workbookViewId="0">
      <selection activeCell="B1" sqref="B1"/>
    </sheetView>
  </sheetViews>
  <sheetFormatPr defaultRowHeight="14.4"/>
  <cols>
    <col min="2" max="2" customWidth="true" width="17.33203125" collapsed="true"/>
  </cols>
  <sheetData>
    <row ht="15" r="1" spans="1:2" thickBot="1">
      <c r="A1" s="11" t="s">
        <v>33</v>
      </c>
      <c r="B1" s="137" t="s">
        <v>212</v>
      </c>
    </row>
    <row ht="15" r="2" spans="1:2" thickBot="1">
      <c r="A2" s="30">
        <v>1</v>
      </c>
      <c r="B2" t="s">
        <v>349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50C3-A142-496F-A69C-6EF5A1BBCFAC}">
  <dimension ref="A1:S2"/>
  <sheetViews>
    <sheetView topLeftCell="H1" workbookViewId="0">
      <selection activeCell="R3" sqref="R3"/>
    </sheetView>
  </sheetViews>
  <sheetFormatPr defaultRowHeight="14.4"/>
  <cols>
    <col min="1" max="1" customWidth="true" width="19.109375" collapsed="true"/>
    <col min="2" max="2" customWidth="true" width="16.6640625" collapsed="true"/>
    <col min="3" max="3" customWidth="true" width="24.0" collapsed="true"/>
    <col min="4" max="4" customWidth="true" width="22.33203125" collapsed="true"/>
    <col min="5" max="5" customWidth="true" width="19.5546875" collapsed="true"/>
    <col min="6" max="6" customWidth="true" width="24.109375" collapsed="true"/>
    <col min="7" max="7" customWidth="true" width="15.88671875" collapsed="true"/>
    <col min="8" max="8" customWidth="true" width="42.5546875" collapsed="true"/>
    <col min="9" max="9" customWidth="true" width="18.33203125" collapsed="true"/>
    <col min="10" max="10" customWidth="true" width="19.33203125" collapsed="true"/>
    <col min="11" max="11" customWidth="true" width="21.5546875" collapsed="true"/>
    <col min="12" max="12" customWidth="true" width="17.33203125" collapsed="true"/>
    <col min="13" max="13" customWidth="true" width="20.6640625" collapsed="true"/>
    <col min="14" max="14" customWidth="true" width="18.0" collapsed="true"/>
    <col min="15" max="15" customWidth="true" width="23.44140625" collapsed="true"/>
    <col min="16" max="16" customWidth="true" width="18.77734375" collapsed="true"/>
    <col min="17" max="17" customWidth="true" width="26.109375" collapsed="true"/>
    <col min="18" max="18" customWidth="true" width="18.0" collapsed="true"/>
  </cols>
  <sheetData>
    <row r="1" spans="1:18">
      <c r="A1" s="171" t="s">
        <v>307</v>
      </c>
      <c r="B1" s="171" t="s">
        <v>308</v>
      </c>
      <c r="C1" t="s">
        <v>309</v>
      </c>
      <c r="D1" s="171" t="s">
        <v>310</v>
      </c>
      <c r="E1" s="171" t="s">
        <v>311</v>
      </c>
      <c r="F1" t="s">
        <v>312</v>
      </c>
      <c r="G1" t="s">
        <v>313</v>
      </c>
      <c r="H1" t="s">
        <v>314</v>
      </c>
      <c r="I1" t="s">
        <v>41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s="171" t="s">
        <v>320</v>
      </c>
      <c r="P1" s="171" t="s">
        <v>321</v>
      </c>
      <c r="Q1" s="171" t="s">
        <v>322</v>
      </c>
      <c r="R1" s="171" t="s">
        <v>323</v>
      </c>
    </row>
    <row r="2" spans="1:18">
      <c r="A2" s="184" t="str">
        <f>"PK-CUS-S13-"&amp;AutoIncrement!$B$2</f>
        <v>PK-CUS-S13-5</v>
      </c>
      <c r="B2" s="183" t="s">
        <v>66</v>
      </c>
      <c r="C2" t="str">
        <f>B2&amp;"-"&amp;A2</f>
        <v>PK-PK-CUS-S13-5</v>
      </c>
      <c r="D2" s="184" t="str">
        <f>"PK-CUS by Upload S13-"&amp;AutoIncrement!$B$2</f>
        <v>PK-CUS by Upload S13-5</v>
      </c>
      <c r="E2" s="184" t="str">
        <f>"PK"&amp;AutoIncrement!$B$2</f>
        <v>PK5</v>
      </c>
      <c r="F2" s="183" t="s">
        <v>324</v>
      </c>
      <c r="G2" s="183" t="s">
        <v>325</v>
      </c>
      <c r="H2" s="183" t="s">
        <v>326</v>
      </c>
      <c r="I2" t="s">
        <v>63</v>
      </c>
      <c r="J2" t="s">
        <v>254</v>
      </c>
      <c r="K2" s="183" t="s">
        <v>327</v>
      </c>
      <c r="L2" s="183" t="s">
        <v>328</v>
      </c>
      <c r="M2" s="183" t="s">
        <v>329</v>
      </c>
      <c r="N2" s="183" t="s">
        <v>330</v>
      </c>
      <c r="O2" s="184" t="str">
        <f>"PK-CUS-POC-S13-"&amp;AutoIncrement!$B$2</f>
        <v>PK-CUS-POC-S13-5</v>
      </c>
      <c r="P2" s="184" t="str">
        <f>"PK-BU-POC-"&amp;AutoIncrement!$B$2</f>
        <v>PK-BU-POC-5</v>
      </c>
      <c r="Q2" s="184" t="str">
        <f>"PK-SUP-POC-"&amp;AutoIncrement!$B$2</f>
        <v>PK-SUP-POC-5</v>
      </c>
      <c r="R2" s="184" t="str">
        <f>"PK-DC"&amp;AutoIncrement!$B$2</f>
        <v>PK-DC5</v>
      </c>
    </row>
  </sheetData>
  <dataValidations count="1">
    <dataValidation allowBlank="1" showErrorMessage="1" sqref="H2" type="list" xr:uid="{B143F713-0793-4937-9216-CD8B48508AA4}">
      <formula1>tiemzone</formula1>
    </dataValidation>
  </dataValidations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C2"/>
  <sheetViews>
    <sheetView workbookViewId="0">
      <selection activeCell="H12" sqref="H12"/>
    </sheetView>
  </sheetViews>
  <sheetFormatPr defaultRowHeight="14.4"/>
  <cols>
    <col min="2" max="2" customWidth="true" width="24.33203125" collapsed="true"/>
  </cols>
  <sheetData>
    <row ht="15" r="1" spans="1:2" thickBot="1">
      <c r="A1" s="11" t="s">
        <v>33</v>
      </c>
      <c r="B1" s="114" t="s">
        <v>213</v>
      </c>
    </row>
    <row ht="15" r="2" spans="1:2" thickBot="1">
      <c r="A2" s="30">
        <v>1</v>
      </c>
      <c r="B2" s="105" t="str">
        <f>'TC55'!B2</f>
        <v>TW12311004</v>
      </c>
    </row>
  </sheetData>
  <pageMargins bottom="0.75" footer="0.3" header="0.3" left="0.7" right="0.7" top="0.75"/>
  <pageSetup horizontalDpi="300" orientation="portrait" r:id="rId1" verticalDpi="0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C2"/>
  <sheetViews>
    <sheetView workbookViewId="0">
      <selection activeCell="B1" sqref="B1"/>
    </sheetView>
  </sheetViews>
  <sheetFormatPr defaultRowHeight="14.4"/>
  <cols>
    <col min="2" max="2" bestFit="true" customWidth="true" width="11.6640625" collapsed="true"/>
  </cols>
  <sheetData>
    <row ht="15" r="1" spans="1:2" thickBot="1">
      <c r="A1" s="11" t="s">
        <v>33</v>
      </c>
      <c r="B1" s="114" t="s">
        <v>213</v>
      </c>
    </row>
    <row ht="15" r="2" spans="1:2" thickBot="1">
      <c r="A2" s="30">
        <v>1</v>
      </c>
      <c r="B2" s="31" t="str">
        <f>'TC56-Custom Invoice Exp'!B2</f>
        <v>TW12311004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W4"/>
  <sheetViews>
    <sheetView workbookViewId="0" zoomScale="70" zoomScaleNormal="70">
      <selection activeCell="B2" sqref="B2"/>
    </sheetView>
  </sheetViews>
  <sheetFormatPr defaultRowHeight="14.4"/>
  <cols>
    <col min="1" max="1" customWidth="true" width="26.6640625" collapsed="true"/>
    <col min="2" max="2" bestFit="true" customWidth="true" width="12.44140625" collapsed="true"/>
    <col min="3" max="3" bestFit="true" customWidth="true" width="11.6640625" collapsed="true"/>
    <col min="4" max="4" bestFit="true" customWidth="true" width="16.33203125" collapsed="true"/>
    <col min="5" max="5" bestFit="true" customWidth="true" width="16.6640625" collapsed="true"/>
    <col min="6" max="6" bestFit="true" customWidth="true" width="30.5546875" collapsed="true"/>
    <col min="7" max="7" bestFit="true" customWidth="true" width="14.44140625" collapsed="true"/>
    <col min="8" max="8" bestFit="true" customWidth="true" width="23.33203125" collapsed="true"/>
    <col min="9" max="9" bestFit="true" customWidth="true" width="25.88671875" collapsed="true"/>
    <col min="10" max="10" bestFit="true" customWidth="true" width="28.109375" collapsed="true"/>
    <col min="11" max="11" bestFit="true" customWidth="true" width="22.33203125" collapsed="true"/>
    <col min="12" max="12" customWidth="true" width="28.6640625" collapsed="true"/>
    <col min="13" max="13" bestFit="true" customWidth="true" width="26.109375" collapsed="true"/>
    <col min="14" max="14" customWidth="true" width="28.109375" collapsed="true"/>
    <col min="15" max="15" customWidth="true" width="25.5546875" collapsed="true"/>
    <col min="16" max="16" bestFit="true" customWidth="true" width="25.33203125" collapsed="true"/>
    <col min="17" max="17" customWidth="true" width="25.33203125" collapsed="true"/>
    <col min="18" max="18" customWidth="true" width="28.109375" collapsed="true"/>
    <col min="19" max="19" customWidth="true" width="31.0" collapsed="true"/>
    <col min="20" max="20" customWidth="true" width="29.6640625" collapsed="true"/>
    <col min="21" max="21" customWidth="true" width="33.44140625" collapsed="true"/>
    <col min="22" max="22" bestFit="true" customWidth="true" width="19.33203125" collapsed="true"/>
  </cols>
  <sheetData>
    <row customFormat="1" customHeight="1" ht="18.75" r="1" s="7" spans="1:22" thickBot="1">
      <c r="A1" s="122" t="s">
        <v>214</v>
      </c>
      <c r="B1" s="90" t="s">
        <v>198</v>
      </c>
      <c r="C1" s="48" t="s">
        <v>215</v>
      </c>
      <c r="D1" s="48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customFormat="1" r="2" s="7" spans="1:22">
      <c r="A2" s="68" t="str">
        <f>'TC52-Upload Obound Form'!C2</f>
        <v>B-231106-TBC-12</v>
      </c>
      <c r="B2" s="56" t="str">
        <f>'TC52-Upload Obound Form'!D2</f>
        <v>SEGU5069987</v>
      </c>
      <c r="C2" s="138" t="s">
        <v>235</v>
      </c>
      <c r="D2" s="56" t="s">
        <v>236</v>
      </c>
      <c r="E2" s="56" t="s">
        <v>237</v>
      </c>
      <c r="F2" s="56" t="s">
        <v>237</v>
      </c>
      <c r="G2" s="56" t="s">
        <v>237</v>
      </c>
      <c r="H2" s="56" t="s">
        <v>237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customFormat="1" r="3" s="7" spans="1:22">
      <c r="A3" s="64" t="str">
        <f>'TC52-Upload Obound Form'!C3</f>
        <v>B-231106-TBC-12</v>
      </c>
      <c r="B3" s="50" t="str">
        <f>'TC52-Upload Obound Form'!D3</f>
        <v>CNO1234</v>
      </c>
      <c r="C3" s="50" t="s">
        <v>235</v>
      </c>
      <c r="D3" s="50" t="s">
        <v>236</v>
      </c>
      <c r="E3" s="50" t="s">
        <v>237</v>
      </c>
      <c r="F3" s="50" t="s">
        <v>237</v>
      </c>
      <c r="G3" s="50" t="s">
        <v>237</v>
      </c>
      <c r="H3" s="50" t="s">
        <v>237</v>
      </c>
      <c r="I3" s="50" t="s">
        <v>237</v>
      </c>
      <c r="J3" s="50" t="s">
        <v>237</v>
      </c>
      <c r="K3" s="50" t="s">
        <v>237</v>
      </c>
      <c r="L3" s="50" t="s">
        <v>237</v>
      </c>
      <c r="M3" s="50" t="s">
        <v>237</v>
      </c>
      <c r="N3" s="50" t="s">
        <v>237</v>
      </c>
      <c r="O3" s="50" t="s">
        <v>237</v>
      </c>
      <c r="P3" s="50" t="s">
        <v>237</v>
      </c>
      <c r="Q3" s="50" t="s">
        <v>237</v>
      </c>
      <c r="R3" s="50" t="s">
        <v>237</v>
      </c>
      <c r="S3" s="50" t="s">
        <v>237</v>
      </c>
      <c r="T3" s="50" t="s">
        <v>237</v>
      </c>
      <c r="U3" s="50" t="s">
        <v>237</v>
      </c>
      <c r="V3" s="66" t="s">
        <v>237</v>
      </c>
    </row>
    <row customFormat="1" ht="15" r="4" s="7" spans="1:22" thickBot="1">
      <c r="A4" s="33" t="str">
        <f>'TC52-Upload Obound Form'!C4</f>
        <v>B-231106-TBC-12</v>
      </c>
      <c r="B4" s="34"/>
      <c r="C4" s="34" t="s">
        <v>235</v>
      </c>
      <c r="D4" s="34" t="s">
        <v>236</v>
      </c>
      <c r="E4" s="34" t="s">
        <v>237</v>
      </c>
      <c r="F4" s="34" t="s">
        <v>237</v>
      </c>
      <c r="G4" s="34" t="s">
        <v>237</v>
      </c>
      <c r="H4" s="34" t="s">
        <v>237</v>
      </c>
      <c r="I4" s="34" t="s">
        <v>237</v>
      </c>
      <c r="J4" s="34" t="s">
        <v>237</v>
      </c>
      <c r="K4" s="34" t="s">
        <v>237</v>
      </c>
      <c r="L4" s="34" t="s">
        <v>237</v>
      </c>
      <c r="M4" s="34" t="s">
        <v>237</v>
      </c>
      <c r="N4" s="34" t="s">
        <v>237</v>
      </c>
      <c r="O4" s="34" t="s">
        <v>237</v>
      </c>
      <c r="P4" s="34" t="s">
        <v>237</v>
      </c>
      <c r="Q4" s="34" t="s">
        <v>237</v>
      </c>
      <c r="R4" s="34" t="s">
        <v>237</v>
      </c>
      <c r="S4" s="34" t="s">
        <v>237</v>
      </c>
      <c r="T4" s="34" t="s">
        <v>237</v>
      </c>
      <c r="U4" s="34" t="s">
        <v>237</v>
      </c>
      <c r="V4" s="35" t="s">
        <v>237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P4"/>
  <sheetViews>
    <sheetView topLeftCell="E1" workbookViewId="0" zoomScale="115" zoomScaleNormal="115">
      <selection activeCell="G2" sqref="G2"/>
    </sheetView>
  </sheetViews>
  <sheetFormatPr defaultRowHeight="14.4"/>
  <cols>
    <col min="1" max="1" bestFit="true" customWidth="true" width="16.33203125" collapsed="true"/>
    <col min="2" max="2" bestFit="true" customWidth="true" width="13.33203125" collapsed="true"/>
    <col min="3" max="3" bestFit="true" customWidth="true" width="21.33203125" collapsed="true"/>
    <col min="4" max="4" bestFit="true" customWidth="true" width="8.5546875" collapsed="true"/>
    <col min="5" max="5" bestFit="true" customWidth="true" width="31.109375" collapsed="true"/>
    <col min="6" max="6" customWidth="true" width="33.6640625" collapsed="true"/>
    <col min="7" max="7" customWidth="true" width="21.33203125" collapsed="true"/>
    <col min="8" max="8" customWidth="true" width="16.5546875" collapsed="true"/>
    <col min="10" max="10" customWidth="true" width="15.33203125" collapsed="true"/>
    <col min="11" max="11" bestFit="true" customWidth="true" width="11.0" collapsed="true"/>
    <col min="15" max="15" customWidth="true" width="15.33203125" collapsed="true"/>
  </cols>
  <sheetData>
    <row ht="15" r="1" spans="1:15" thickBot="1">
      <c r="A1" s="122" t="s">
        <v>214</v>
      </c>
      <c r="B1" s="90" t="s">
        <v>198</v>
      </c>
      <c r="C1" s="85" t="s">
        <v>238</v>
      </c>
      <c r="D1" s="48" t="s">
        <v>331</v>
      </c>
      <c r="E1" s="48" t="s">
        <v>239</v>
      </c>
      <c r="F1" s="12" t="s">
        <v>240</v>
      </c>
      <c r="G1" s="139" t="s">
        <v>241</v>
      </c>
      <c r="H1" s="139" t="s">
        <v>242</v>
      </c>
      <c r="I1" s="85" t="s">
        <v>243</v>
      </c>
      <c r="J1" s="85" t="s">
        <v>244</v>
      </c>
      <c r="K1" s="85" t="s">
        <v>245</v>
      </c>
      <c r="L1" s="85" t="s">
        <v>246</v>
      </c>
      <c r="M1" s="85" t="s">
        <v>247</v>
      </c>
      <c r="N1" s="85" t="s">
        <v>248</v>
      </c>
      <c r="O1" s="86" t="s">
        <v>249</v>
      </c>
    </row>
    <row r="2" spans="1:15">
      <c r="A2" s="68" t="str">
        <f>'TC52-Upload Obound Form'!C3</f>
        <v>B-231106-TBC-12</v>
      </c>
      <c r="B2" s="56" t="str">
        <f>'TC52-Upload Obound Form'!D2</f>
        <v>SEGU5069987</v>
      </c>
      <c r="C2" s="82" t="s">
        <v>86</v>
      </c>
      <c r="D2" s="56" t="s">
        <v>204</v>
      </c>
      <c r="E2" s="56" t="s">
        <v>86</v>
      </c>
      <c r="F2" s="61" t="s">
        <v>250</v>
      </c>
      <c r="G2" s="83" t="n">
        <f ca="1">TODAY()-2</f>
        <v>45242.0</v>
      </c>
      <c r="H2" s="83" t="n">
        <f ca="1">TODAY()</f>
        <v>45244.0</v>
      </c>
      <c r="I2" s="82" t="s">
        <v>251</v>
      </c>
      <c r="J2" s="83" t="n">
        <f ca="1">TODAY()-2</f>
        <v>45242.0</v>
      </c>
      <c r="K2" s="82" t="s">
        <v>252</v>
      </c>
      <c r="L2" s="82" t="s">
        <v>253</v>
      </c>
      <c r="M2" s="82">
        <v>1</v>
      </c>
      <c r="N2" s="82">
        <v>1</v>
      </c>
      <c r="O2" s="84">
        <v>1</v>
      </c>
    </row>
    <row r="3" spans="1:15">
      <c r="A3" s="64" t="str">
        <f>'TC52-Upload Obound Form'!C3</f>
        <v>B-231106-TBC-12</v>
      </c>
      <c r="B3" s="50" t="str">
        <f>'TC52-Upload Obound Form'!D3</f>
        <v>CNO1234</v>
      </c>
      <c r="C3" s="76" t="s">
        <v>254</v>
      </c>
      <c r="D3" s="50" t="s">
        <v>33</v>
      </c>
      <c r="E3" s="50" t="s">
        <v>254</v>
      </c>
      <c r="F3" s="27" t="s">
        <v>219</v>
      </c>
      <c r="G3" s="77" t="n">
        <f ca="1">TODAY()-2</f>
        <v>45242.0</v>
      </c>
      <c r="H3" s="77" t="n">
        <f ca="1">TODAY()</f>
        <v>45244.0</v>
      </c>
      <c r="I3" s="76" t="s">
        <v>251</v>
      </c>
      <c r="J3" s="77" t="n">
        <f ca="1">TODAY()-2</f>
        <v>45242.0</v>
      </c>
      <c r="K3" s="76" t="s">
        <v>252</v>
      </c>
      <c r="L3" s="76" t="s">
        <v>253</v>
      </c>
      <c r="M3" s="76">
        <v>1</v>
      </c>
      <c r="N3" s="76">
        <v>1</v>
      </c>
      <c r="O3" s="78">
        <v>1</v>
      </c>
    </row>
    <row ht="15" r="4" spans="1:15" thickBot="1">
      <c r="A4" s="33" t="str">
        <f>'TC52-Upload Obound Form'!C4</f>
        <v>B-231106-TBC-12</v>
      </c>
      <c r="B4" s="34"/>
      <c r="C4" s="79" t="s">
        <v>254</v>
      </c>
      <c r="D4" s="34" t="s">
        <v>33</v>
      </c>
      <c r="E4" s="34" t="s">
        <v>254</v>
      </c>
      <c r="F4" s="28" t="s">
        <v>219</v>
      </c>
      <c r="G4" s="80" t="n">
        <f ca="1">TODAY()-2</f>
        <v>45242.0</v>
      </c>
      <c r="H4" s="80" t="n">
        <f ca="1">TODAY()</f>
        <v>45244.0</v>
      </c>
      <c r="I4" s="79" t="s">
        <v>251</v>
      </c>
      <c r="J4" s="80" t="n">
        <f ca="1">TODAY()-2</f>
        <v>45242.0</v>
      </c>
      <c r="K4" s="79" t="s">
        <v>252</v>
      </c>
      <c r="L4" s="79" t="s">
        <v>253</v>
      </c>
      <c r="M4" s="79">
        <v>1</v>
      </c>
      <c r="N4" s="79">
        <v>1</v>
      </c>
      <c r="O4" s="81">
        <v>1</v>
      </c>
    </row>
  </sheetData>
  <phoneticPr fontId="1" type="noConversion"/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G2"/>
  <sheetViews>
    <sheetView workbookViewId="0">
      <selection activeCell="F2" sqref="F2"/>
    </sheetView>
  </sheetViews>
  <sheetFormatPr defaultRowHeight="14.4"/>
  <cols>
    <col min="2" max="2" bestFit="true" customWidth="true" width="11.0" collapsed="true"/>
    <col min="3" max="3" bestFit="true" customWidth="true" width="9.44140625" collapsed="true"/>
    <col min="4" max="4" bestFit="true" customWidth="true" width="3.6640625" collapsed="true"/>
    <col min="5" max="5" bestFit="true" customWidth="true" width="9.6640625" collapsed="true"/>
    <col min="6" max="6" bestFit="true" customWidth="true" width="11.33203125" collapsed="true"/>
  </cols>
  <sheetData>
    <row ht="15" r="1" spans="1:6" thickBot="1">
      <c r="A1" s="11" t="s">
        <v>243</v>
      </c>
      <c r="B1" s="12" t="s">
        <v>245</v>
      </c>
      <c r="C1" s="12" t="s">
        <v>246</v>
      </c>
      <c r="D1" s="12" t="s">
        <v>247</v>
      </c>
      <c r="E1" s="12" t="s">
        <v>248</v>
      </c>
      <c r="F1" s="13" t="s">
        <v>249</v>
      </c>
    </row>
    <row ht="15" r="2" spans="1:6" thickBot="1">
      <c r="A2" s="30" t="s">
        <v>251</v>
      </c>
      <c r="B2" s="23" t="s">
        <v>252</v>
      </c>
      <c r="C2" s="23" t="s">
        <v>253</v>
      </c>
      <c r="D2" s="23">
        <v>1</v>
      </c>
      <c r="E2" s="23">
        <v>1</v>
      </c>
      <c r="F2" s="31">
        <v>1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H2"/>
  <sheetViews>
    <sheetView workbookViewId="0">
      <selection activeCell="B2" sqref="B2"/>
    </sheetView>
  </sheetViews>
  <sheetFormatPr defaultRowHeight="14.4"/>
  <cols>
    <col min="1" max="1" customWidth="true" width="25.109375" collapsed="true"/>
    <col min="2" max="2" customWidth="true" style="2" width="26.88671875" collapsed="true"/>
    <col min="3" max="3" customWidth="true" style="2" width="27.5546875" collapsed="true"/>
    <col min="4" max="4" customWidth="true" width="26.6640625" collapsed="true"/>
    <col min="5" max="5" customWidth="true" width="29.109375" collapsed="true"/>
    <col min="6" max="6" customWidth="true" width="18.33203125" collapsed="true"/>
  </cols>
  <sheetData>
    <row ht="15" r="1" spans="1:7" thickBot="1">
      <c r="A1" s="200" t="s">
        <v>255</v>
      </c>
      <c r="B1" s="140" t="s">
        <v>256</v>
      </c>
      <c r="C1" s="140" t="s">
        <v>257</v>
      </c>
      <c r="D1" s="141" t="s">
        <v>258</v>
      </c>
      <c r="E1" s="201" t="s">
        <v>332</v>
      </c>
      <c r="F1" s="201" t="s">
        <v>333</v>
      </c>
    </row>
    <row r="2" spans="1:7">
      <c r="A2" t="s">
        <v>202</v>
      </c>
      <c r="B2" t="s">
        <v>259</v>
      </c>
      <c r="C2" t="s">
        <v>259</v>
      </c>
      <c r="D2" t="s">
        <v>260</v>
      </c>
      <c r="E2" t="s">
        <v>334</v>
      </c>
      <c r="F2" t="s">
        <v>335</v>
      </c>
      <c r="G2" s="5" t="s">
        <v>261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T2"/>
  <sheetViews>
    <sheetView workbookViewId="0" zoomScale="70" zoomScaleNormal="70">
      <selection activeCell="E23" sqref="E23"/>
    </sheetView>
  </sheetViews>
  <sheetFormatPr defaultRowHeight="14.4"/>
  <cols>
    <col min="1" max="1" customWidth="true" width="17.3320312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7" customWidth="true" width="21.6640625" collapsed="true"/>
    <col min="8" max="8" customWidth="true" width="41.0" collapsed="true"/>
    <col min="9" max="9" customWidth="true" width="22.44140625" collapsed="true"/>
    <col min="10" max="10" customWidth="true" width="22.0" collapsed="true"/>
    <col min="11" max="17" bestFit="true" customWidth="true" width="24.0" collapsed="true"/>
    <col min="18" max="18" bestFit="true" customWidth="true" width="29.0" collapsed="true"/>
    <col min="19" max="19" bestFit="true" customWidth="true" width="24.0" collapsed="true"/>
  </cols>
  <sheetData>
    <row customFormat="1" customHeight="1" ht="65.25" r="1" s="7" spans="1:19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202" t="s">
        <v>332</v>
      </c>
      <c r="G1" s="202" t="s">
        <v>333</v>
      </c>
      <c r="H1" s="88" t="s">
        <v>264</v>
      </c>
      <c r="I1" s="88" t="s">
        <v>250</v>
      </c>
      <c r="J1" s="88" t="s">
        <v>265</v>
      </c>
      <c r="K1" s="88" t="s">
        <v>266</v>
      </c>
      <c r="L1" s="88" t="s">
        <v>267</v>
      </c>
      <c r="M1" s="88" t="s">
        <v>268</v>
      </c>
      <c r="N1" s="88" t="s">
        <v>269</v>
      </c>
      <c r="O1" s="88" t="s">
        <v>270</v>
      </c>
      <c r="P1" s="88" t="s">
        <v>271</v>
      </c>
      <c r="Q1" s="88" t="s">
        <v>272</v>
      </c>
      <c r="R1" s="88" t="s">
        <v>273</v>
      </c>
      <c r="S1" s="142" t="s">
        <v>274</v>
      </c>
    </row>
    <row ht="15" r="2" spans="1:19" thickBot="1">
      <c r="A2" s="36" t="str">
        <f>'TC52-Upload Obound Form'!C2</f>
        <v>B-231106-TBC-12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23" t="str">
        <f>'TC063'!$E$2</f>
        <v>Empty container returned</v>
      </c>
      <c r="G2" s="23" t="str">
        <f>'TC063'!$F$2</f>
        <v>07 Jul 2023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7" t="s">
        <v>276</v>
      </c>
      <c r="R2" s="37" t="s">
        <v>276</v>
      </c>
      <c r="S2" s="38" t="s">
        <v>276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R2"/>
  <sheetViews>
    <sheetView workbookViewId="0" zoomScale="55" zoomScaleNormal="55">
      <selection activeCell="F21" sqref="F21"/>
    </sheetView>
  </sheetViews>
  <sheetFormatPr defaultRowHeight="14.4"/>
  <cols>
    <col min="1" max="1" customWidth="true" width="40.554687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5" customWidth="true" width="21.6640625" collapsed="true"/>
    <col min="6" max="6" customWidth="true" width="41.0" collapsed="true"/>
    <col min="7" max="7" customWidth="true" width="22.44140625" collapsed="true"/>
    <col min="8" max="8" customWidth="true" width="22.0" collapsed="true"/>
    <col min="9" max="9" bestFit="true" customWidth="true" width="19.88671875" collapsed="true"/>
    <col min="10" max="10" bestFit="true" customWidth="true" width="17.44140625" collapsed="true"/>
    <col min="11" max="11" bestFit="true" customWidth="true" width="22.109375" collapsed="true"/>
    <col min="12" max="12" bestFit="true" customWidth="true" width="20.33203125" collapsed="true"/>
    <col min="13" max="13" bestFit="true" customWidth="true" width="19.33203125" collapsed="true"/>
    <col min="14" max="14" bestFit="true" customWidth="true" width="17.44140625" collapsed="true"/>
    <col min="15" max="15" bestFit="true" customWidth="true" width="18.88671875" collapsed="true"/>
    <col min="16" max="16" bestFit="true" customWidth="true" width="29.0" collapsed="true"/>
    <col min="17" max="17" bestFit="true" customWidth="true" width="24.0" collapsed="true"/>
  </cols>
  <sheetData>
    <row customFormat="1" customHeight="1" ht="65.25" r="1" s="7" spans="1:17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B-231106-TBC-12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W3"/>
  <sheetViews>
    <sheetView workbookViewId="0" zoomScale="55" zoomScaleNormal="55">
      <selection activeCell="Q38" sqref="Q38"/>
    </sheetView>
  </sheetViews>
  <sheetFormatPr defaultRowHeight="14.4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28.109375" collapsed="true"/>
    <col min="5" max="5" customWidth="true" width="23.44140625" collapsed="true"/>
    <col min="6" max="6" customWidth="true" width="27.6640625" collapsed="true"/>
    <col min="7" max="7" customWidth="true" width="29.6640625" collapsed="true"/>
    <col min="8" max="8" customWidth="true" width="23.6640625" collapsed="true"/>
    <col min="9" max="9" customWidth="true" width="18.44140625" collapsed="true"/>
    <col min="21" max="21" bestFit="true" customWidth="true" width="40.5546875" collapsed="true"/>
    <col min="22" max="22" bestFit="true" customWidth="true" width="18.33203125" collapsed="true"/>
  </cols>
  <sheetData>
    <row customFormat="1" customHeight="1" ht="28.2" r="1" s="7" spans="1:22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customFormat="1" r="2" s="7" spans="1:22">
      <c r="A2" s="68" t="str">
        <f>'TC52-Upload Obound Form'!C3</f>
        <v>B-231106-TBC-12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236</v>
      </c>
      <c r="I2" s="56" t="s">
        <v>237</v>
      </c>
      <c r="J2" s="56" t="s">
        <v>237</v>
      </c>
      <c r="K2" s="56" t="s">
        <v>237</v>
      </c>
      <c r="L2" s="56" t="s">
        <v>237</v>
      </c>
      <c r="M2" s="56" t="s">
        <v>237</v>
      </c>
      <c r="N2" s="56" t="s">
        <v>237</v>
      </c>
      <c r="O2" s="56" t="s">
        <v>237</v>
      </c>
      <c r="P2" s="56" t="s">
        <v>237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customFormat="1" ht="15" r="3" s="7" spans="1:22" thickBot="1">
      <c r="A3" s="33" t="str">
        <f>'TC52-Upload Obound Form'!C4</f>
        <v>B-231106-TBC-12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236</v>
      </c>
      <c r="I3" s="34" t="s">
        <v>237</v>
      </c>
      <c r="J3" s="34" t="s">
        <v>237</v>
      </c>
      <c r="K3" s="34" t="s">
        <v>237</v>
      </c>
      <c r="L3" s="34" t="s">
        <v>237</v>
      </c>
      <c r="M3" s="34" t="s">
        <v>237</v>
      </c>
      <c r="N3" s="34" t="s">
        <v>237</v>
      </c>
      <c r="O3" s="34" t="s">
        <v>237</v>
      </c>
      <c r="P3" s="34" t="s">
        <v>237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Z4"/>
  <sheetViews>
    <sheetView tabSelected="1" topLeftCell="I1" workbookViewId="0" zoomScale="85" zoomScaleNormal="85">
      <selection activeCell="U15" sqref="U15"/>
    </sheetView>
  </sheetViews>
  <sheetFormatPr defaultRowHeight="14.4"/>
  <cols>
    <col min="1" max="1" customWidth="true" width="32.6640625" collapsed="true"/>
    <col min="2" max="2" customWidth="true" width="24.0" collapsed="true"/>
    <col min="3" max="3" customWidth="true" width="23.33203125" collapsed="true"/>
    <col min="4" max="4" customWidth="true" width="19.33203125" collapsed="true"/>
    <col min="5" max="5" customWidth="true" width="20.6640625" collapsed="true"/>
    <col min="6" max="6" customWidth="true" width="32.88671875" collapsed="true"/>
    <col min="7" max="7" customWidth="true" width="36.44140625" collapsed="true"/>
    <col min="9" max="9" customWidth="true" width="31.44140625" collapsed="true"/>
    <col min="10" max="10" customWidth="true" width="15.77734375" collapsed="true"/>
    <col min="22" max="22" customWidth="true" width="17.6640625" collapsed="true"/>
    <col min="23" max="23" bestFit="true" customWidth="true" width="18.109375" collapsed="true"/>
    <col min="24" max="24" customWidth="true" width="17.77734375" collapsed="true"/>
    <col min="25" max="25" customWidth="true" width="22.0" collapsed="true"/>
  </cols>
  <sheetData>
    <row ht="15" r="1" spans="1:25" thickBot="1">
      <c r="A1" s="145" t="s">
        <v>177</v>
      </c>
      <c r="B1" s="48" t="s">
        <v>178</v>
      </c>
      <c r="C1" s="48" t="s">
        <v>152</v>
      </c>
      <c r="D1" s="48" t="s">
        <v>153</v>
      </c>
      <c r="E1" s="48" t="s">
        <v>154</v>
      </c>
      <c r="F1" s="146" t="s">
        <v>121</v>
      </c>
      <c r="G1" s="146" t="s">
        <v>155</v>
      </c>
      <c r="H1" s="48" t="s">
        <v>156</v>
      </c>
      <c r="I1" s="146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73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customHeight="1" ht="15.75" r="2" spans="1:25">
      <c r="A2" s="68" t="str">
        <f ca="1">'TC44'!B2</f>
        <v>sTBC-2311001</v>
      </c>
      <c r="B2" s="56" t="s">
        <v>210</v>
      </c>
      <c r="C2" s="56"/>
      <c r="D2" s="56"/>
      <c r="E2" s="56"/>
      <c r="F2" s="55" t="str">
        <f>'TC35-Contract Parts Info'!B2</f>
        <v>TBCscenario1320230614011</v>
      </c>
      <c r="G2" s="55" t="str">
        <f>'TC35-Contract Parts Info'!D2</f>
        <v>CNTW-SUP-TBC-scenario13-20230604-001</v>
      </c>
      <c r="H2" s="56" t="s">
        <v>173</v>
      </c>
      <c r="I2" s="56" t="str">
        <f ca="1">'TC42'!B2</f>
        <v>cTBC-2311001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4" t="n">
        <f>'TC46-Price'!$B2</f>
        <v>3.05</v>
      </c>
      <c r="O2" s="56" t="s">
        <v>114</v>
      </c>
      <c r="P2" s="56" t="s">
        <v>210</v>
      </c>
      <c r="Q2" s="56">
        <v>150</v>
      </c>
      <c r="R2" s="56">
        <v>150</v>
      </c>
      <c r="S2" s="56">
        <v>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ht="28.8" r="3" spans="1:25">
      <c r="A3" s="64"/>
      <c r="B3" s="50"/>
      <c r="C3" s="50"/>
      <c r="D3" s="50"/>
      <c r="E3" s="50"/>
      <c r="F3" s="51" t="str">
        <f>'TC35-Contract Parts Info'!B3</f>
        <v>TBCscenario1320230614012</v>
      </c>
      <c r="G3" s="51" t="str">
        <f>'TC35-Contract Parts Info'!D3</f>
        <v>CNTW-SUP-TBC-scenario13-20230604-002</v>
      </c>
      <c r="H3" s="50" t="s">
        <v>175</v>
      </c>
      <c r="I3" s="50" t="str">
        <f ca="1">'TC42'!B2</f>
        <v>cTBC-2311001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4" t="n">
        <f>'TC46-Price'!$B3</f>
        <v>1.05</v>
      </c>
      <c r="O3" s="50" t="s">
        <v>114</v>
      </c>
      <c r="P3" s="50" t="s">
        <v>210</v>
      </c>
      <c r="Q3" s="50">
        <v>150</v>
      </c>
      <c r="R3" s="50">
        <v>150</v>
      </c>
      <c r="S3" s="50">
        <v>0</v>
      </c>
      <c r="T3" s="50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ht="29.4" r="4" spans="1:25" thickBot="1">
      <c r="A4" s="33"/>
      <c r="B4" s="34"/>
      <c r="C4" s="34"/>
      <c r="D4" s="34"/>
      <c r="E4" s="34"/>
      <c r="F4" s="52" t="str">
        <f>'TC35-Contract Parts Info'!B4</f>
        <v>TBCscenario1320230614013</v>
      </c>
      <c r="G4" s="52" t="str">
        <f>'TC35-Contract Parts Info'!D4</f>
        <v>CNTW-SUP-TBC-scenario13-20230604-003</v>
      </c>
      <c r="H4" s="34" t="s">
        <v>176</v>
      </c>
      <c r="I4" s="34" t="str">
        <f ca="1">'TC42'!B2</f>
        <v>cTBC-2311001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4" t="n">
        <f>'TC46-Price'!$B4</f>
        <v>2.05</v>
      </c>
      <c r="O4" s="34" t="s">
        <v>114</v>
      </c>
      <c r="P4" s="34" t="s">
        <v>210</v>
      </c>
      <c r="Q4" s="34">
        <v>50</v>
      </c>
      <c r="R4" s="34">
        <v>50</v>
      </c>
      <c r="S4" s="34">
        <v>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A17-3EC0-4360-B92A-8DA298113376}">
  <dimension ref="A1:N2"/>
  <sheetViews>
    <sheetView workbookViewId="0">
      <selection activeCell="C2" sqref="C2"/>
    </sheetView>
  </sheetViews>
  <sheetFormatPr defaultRowHeight="14.4"/>
  <cols>
    <col min="1" max="1" customWidth="true" width="27.21875" collapsed="true"/>
    <col min="2" max="2" customWidth="true" width="34.88671875" collapsed="true"/>
    <col min="3" max="3" customWidth="true" width="24.77734375" collapsed="true"/>
  </cols>
  <sheetData>
    <row r="1" spans="1:13">
      <c r="A1" s="185" t="s">
        <v>309</v>
      </c>
      <c r="B1" s="186" t="s">
        <v>320</v>
      </c>
      <c r="C1" s="185" t="s">
        <v>310</v>
      </c>
      <c r="D1" s="185" t="s">
        <v>311</v>
      </c>
      <c r="E1" s="185" t="s">
        <v>312</v>
      </c>
      <c r="F1" s="185" t="s">
        <v>313</v>
      </c>
      <c r="G1" s="185" t="s">
        <v>314</v>
      </c>
      <c r="H1" s="185" t="s">
        <v>41</v>
      </c>
      <c r="I1" s="185" t="s">
        <v>315</v>
      </c>
      <c r="J1" s="185" t="s">
        <v>316</v>
      </c>
      <c r="K1" s="185" t="s">
        <v>317</v>
      </c>
      <c r="L1" s="185" t="s">
        <v>318</v>
      </c>
      <c r="M1" s="185" t="s">
        <v>319</v>
      </c>
    </row>
    <row ht="66" r="2" spans="1:13">
      <c r="A2" s="187" t="str">
        <f>'TC03-Company'!$C$2</f>
        <v>PK-PK-CUS-S13-5</v>
      </c>
      <c r="B2" s="187" t="str">
        <f>'TC03-Company'!$O$2</f>
        <v>PK-CUS-POC-S13-5</v>
      </c>
      <c r="C2" s="187" t="str">
        <f>'TC03-Company'!$D$2</f>
        <v>PK-CUS by Upload S13-5</v>
      </c>
      <c r="D2" s="187" t="str">
        <f>'TC03-Company'!$E$2</f>
        <v>PK5</v>
      </c>
      <c r="E2" s="188" t="s">
        <v>324</v>
      </c>
      <c r="F2" s="188" t="s">
        <v>325</v>
      </c>
      <c r="G2" s="188" t="s">
        <v>326</v>
      </c>
      <c r="H2" s="189" t="s">
        <v>63</v>
      </c>
      <c r="I2" s="189" t="s">
        <v>254</v>
      </c>
      <c r="J2" s="188" t="s">
        <v>327</v>
      </c>
      <c r="K2" s="188" t="s">
        <v>328</v>
      </c>
      <c r="L2" s="188" t="s">
        <v>329</v>
      </c>
      <c r="M2" s="188" t="s">
        <v>330</v>
      </c>
    </row>
  </sheetData>
  <dataValidations count="1">
    <dataValidation allowBlank="1" showErrorMessage="1" sqref="G2" type="list" xr:uid="{7B73B7F0-2942-4D7C-B48D-CE5C018FADEC}">
      <formula1>tiemzone</formula1>
    </dataValidation>
  </dataValidations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X4"/>
  <sheetViews>
    <sheetView topLeftCell="G1" workbookViewId="0">
      <selection activeCell="O2" sqref="O2:O4"/>
    </sheetView>
  </sheetViews>
  <sheetFormatPr defaultRowHeight="14.4"/>
  <cols>
    <col min="1" max="1" customWidth="true" width="23.109375" collapsed="true"/>
    <col min="2" max="2" customWidth="true" width="20.6640625" collapsed="true"/>
    <col min="3" max="3" customWidth="true" width="21.33203125" collapsed="true"/>
    <col min="4" max="4" customWidth="true" width="19.44140625" collapsed="true"/>
    <col min="5" max="5" customWidth="true" width="27.0" collapsed="true"/>
    <col min="6" max="6" customWidth="true" width="40.88671875" collapsed="true"/>
    <col min="7" max="7" customWidth="true" width="46.6640625" collapsed="true"/>
    <col min="9" max="9" customWidth="true" width="14.6640625" collapsed="true"/>
    <col min="10" max="10" customWidth="true" width="20.109375" collapsed="true"/>
    <col min="22" max="22" bestFit="true" customWidth="true" width="14.6640625" collapsed="true"/>
    <col min="23" max="23" bestFit="true" customWidth="true" width="19.6640625" collapsed="true"/>
  </cols>
  <sheetData>
    <row ht="15" r="1" spans="1:23" thickBot="1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9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8" t="s">
        <v>169</v>
      </c>
      <c r="W1" s="49" t="s">
        <v>170</v>
      </c>
    </row>
    <row customHeight="1" ht="15" r="2" spans="1:23">
      <c r="A2" s="3" t="str">
        <f ca="1">'TC42'!B2</f>
        <v>cTBC-2311001</v>
      </c>
      <c r="B2" s="3" t="s">
        <v>211</v>
      </c>
      <c r="C2" s="3"/>
      <c r="D2" s="3"/>
      <c r="E2" s="3"/>
      <c r="F2" s="4" t="str">
        <f>'TC35-Contract Parts Info'!B2</f>
        <v>TBCscenario1320230614011</v>
      </c>
      <c r="G2" s="4" t="str">
        <f>'TC35-Contract Parts Info'!C2</f>
        <v>PK-CUS-TBC-scenario13-20230604-001</v>
      </c>
      <c r="H2" s="3" t="s">
        <v>173</v>
      </c>
      <c r="I2" s="3" t="str">
        <f ca="1">'TC44'!B2</f>
        <v>sTBC-2311001</v>
      </c>
      <c r="J2" s="4" t="s">
        <v>67</v>
      </c>
      <c r="K2" s="3">
        <v>10</v>
      </c>
      <c r="L2" s="3">
        <v>10</v>
      </c>
      <c r="M2" s="68">
        <v>150</v>
      </c>
      <c r="N2" s="56">
        <v>0</v>
      </c>
      <c r="O2" s="204" t="n">
        <f>'TC46-Price'!$B2</f>
        <v>3.05</v>
      </c>
      <c r="P2" s="56" t="s">
        <v>114</v>
      </c>
      <c r="Q2" s="56" t="s">
        <v>211</v>
      </c>
      <c r="R2" s="56">
        <v>0</v>
      </c>
      <c r="S2" s="56">
        <v>150</v>
      </c>
      <c r="T2" s="56" t="s">
        <v>174</v>
      </c>
      <c r="U2" s="56">
        <v>0</v>
      </c>
      <c r="V2" s="56" t="s">
        <v>174</v>
      </c>
      <c r="W2" s="70">
        <v>150</v>
      </c>
    </row>
    <row r="3" spans="1:23">
      <c r="B3" s="3"/>
      <c r="C3" s="3"/>
      <c r="D3" s="3"/>
      <c r="E3" s="3"/>
      <c r="F3" s="4" t="str">
        <f>'TC35-Contract Parts Info'!B3</f>
        <v>TBCscenario1320230614012</v>
      </c>
      <c r="G3" s="4" t="str">
        <f>'TC35-Contract Parts Info'!C3</f>
        <v>PK-CUS-TBC-scenario13-20230604-002</v>
      </c>
      <c r="H3" s="3" t="s">
        <v>175</v>
      </c>
      <c r="I3" s="3" t="str">
        <f ca="1">'TC44'!B2</f>
        <v>sTBC-2311001</v>
      </c>
      <c r="J3" s="4" t="s">
        <v>67</v>
      </c>
      <c r="K3" s="3">
        <v>10</v>
      </c>
      <c r="L3" s="3">
        <v>10</v>
      </c>
      <c r="M3" s="64">
        <v>150</v>
      </c>
      <c r="N3" s="50">
        <v>0</v>
      </c>
      <c r="O3" s="204" t="n">
        <f>'TC46-Price'!$B3</f>
        <v>1.05</v>
      </c>
      <c r="P3" s="50" t="s">
        <v>114</v>
      </c>
      <c r="Q3" s="50" t="s">
        <v>211</v>
      </c>
      <c r="R3" s="50">
        <v>0</v>
      </c>
      <c r="S3" s="50">
        <v>100</v>
      </c>
      <c r="T3" s="50" t="s">
        <v>174</v>
      </c>
      <c r="U3" s="50">
        <v>50</v>
      </c>
      <c r="V3" s="50" t="s">
        <v>174</v>
      </c>
      <c r="W3" s="66">
        <v>150</v>
      </c>
    </row>
    <row ht="15" r="4" spans="1:23" thickBot="1">
      <c r="A4" s="3"/>
      <c r="B4" s="3"/>
      <c r="C4" s="3"/>
      <c r="D4" s="3"/>
      <c r="E4" s="3"/>
      <c r="F4" s="4" t="str">
        <f>'TC35-Contract Parts Info'!B4</f>
        <v>TBCscenario1320230614013</v>
      </c>
      <c r="G4" s="4" t="str">
        <f>'TC35-Contract Parts Info'!C4</f>
        <v>PK-CUS-TBC-scenario13-20230604-003</v>
      </c>
      <c r="H4" s="3" t="s">
        <v>176</v>
      </c>
      <c r="I4" s="3" t="str">
        <f ca="1">'TC44'!B2</f>
        <v>sTBC-2311001</v>
      </c>
      <c r="J4" s="4" t="s">
        <v>67</v>
      </c>
      <c r="K4" s="3">
        <v>10</v>
      </c>
      <c r="L4" s="3">
        <v>10</v>
      </c>
      <c r="M4" s="33">
        <v>50</v>
      </c>
      <c r="N4" s="34">
        <v>0</v>
      </c>
      <c r="O4" s="204" t="n">
        <f>'TC46-Price'!$B4</f>
        <v>2.05</v>
      </c>
      <c r="P4" s="34" t="s">
        <v>114</v>
      </c>
      <c r="Q4" s="34" t="s">
        <v>211</v>
      </c>
      <c r="R4" s="34">
        <v>0</v>
      </c>
      <c r="S4" s="34">
        <v>0</v>
      </c>
      <c r="T4" s="34" t="s">
        <v>174</v>
      </c>
      <c r="U4" s="34">
        <v>50</v>
      </c>
      <c r="V4" s="34" t="s">
        <v>174</v>
      </c>
      <c r="W4" s="35">
        <v>50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H4"/>
  <sheetViews>
    <sheetView workbookViewId="0">
      <selection activeCell="D2" sqref="D2"/>
    </sheetView>
  </sheetViews>
  <sheetFormatPr defaultRowHeight="14.4"/>
  <cols>
    <col min="2" max="2" bestFit="true" customWidth="true" width="25.6640625" collapsed="true"/>
    <col min="3" max="3" bestFit="true" customWidth="true" width="12.44140625" collapsed="true"/>
    <col min="4" max="4" customWidth="true" width="35.6640625" collapsed="true"/>
    <col min="5" max="6" bestFit="true" customWidth="true" width="11.33203125" collapsed="true"/>
    <col min="7" max="7" bestFit="true" customWidth="true" width="26.33203125" collapsed="true"/>
  </cols>
  <sheetData>
    <row ht="15" r="1" spans="1:7" thickBot="1">
      <c r="A1" s="11" t="s">
        <v>33</v>
      </c>
      <c r="B1" s="147" t="s">
        <v>196</v>
      </c>
      <c r="C1" s="147" t="s">
        <v>198</v>
      </c>
      <c r="D1" s="115" t="s">
        <v>277</v>
      </c>
      <c r="E1" s="147" t="s">
        <v>278</v>
      </c>
      <c r="F1" s="147" t="s">
        <v>242</v>
      </c>
      <c r="G1" s="13" t="s">
        <v>23</v>
      </c>
    </row>
    <row r="2" spans="1:7">
      <c r="A2" s="8">
        <v>1</v>
      </c>
      <c r="B2" s="61" t="str">
        <f>'TC52-Upload Obound Form'!B2</f>
        <v>o-CNTW-SUP-POC-231106-12</v>
      </c>
      <c r="C2" s="61" t="str">
        <f>IF('TC52-Upload Obound Form'!D4="","",'TC52-Upload Obound Form'!D4)</f>
        <v/>
      </c>
      <c r="D2" t="s">
        <v>350</v>
      </c>
      <c r="E2" s="93" t="str">
        <f>'TC52-Autogen Outbound Data'!$C$2</f>
        <v>Nov 22, 2023</v>
      </c>
      <c r="F2" s="93" t="str">
        <f>'TC52-Autogen Outbound Data'!D$2</f>
        <v>Dec 2, 2023</v>
      </c>
      <c r="G2" s="94" t="s">
        <v>279</v>
      </c>
    </row>
    <row r="3" spans="1:7">
      <c r="A3" s="9">
        <v>2</v>
      </c>
      <c r="B3" s="27" t="str">
        <f>'TC52-Upload Obound Form'!B2</f>
        <v>o-CNTW-SUP-POC-231106-12</v>
      </c>
      <c r="C3" s="27" t="str">
        <f>'TC52-Upload Obound Form'!D3</f>
        <v>CNO1234</v>
      </c>
      <c r="D3" t="s">
        <v>351</v>
      </c>
      <c r="E3" s="91" t="str">
        <f>'TC52-Autogen Outbound Data'!C$2</f>
        <v>Nov 22, 2023</v>
      </c>
      <c r="F3" s="91" t="str">
        <f>'TC52-Autogen Outbound Data'!D$2</f>
        <v>Dec 2, 2023</v>
      </c>
      <c r="G3" s="58"/>
    </row>
    <row ht="15" r="4" spans="1:7" thickBot="1">
      <c r="A4" s="10">
        <v>3</v>
      </c>
      <c r="B4" s="28" t="str">
        <f>'TC52-Upload Obound Form'!B2</f>
        <v>o-CNTW-SUP-POC-231106-12</v>
      </c>
      <c r="C4" s="28" t="str">
        <f>'TC52-Upload Obound Form'!D2</f>
        <v>SEGU5069987</v>
      </c>
      <c r="D4" t="s">
        <v>352</v>
      </c>
      <c r="E4" s="92" t="str">
        <f>'TC52-Autogen Outbound Data'!C$2</f>
        <v>Nov 22, 2023</v>
      </c>
      <c r="F4" s="92" t="str">
        <f>'TC52-Autogen Outbound Data'!D$2</f>
        <v>Dec 2, 2023</v>
      </c>
      <c r="G4" s="29"/>
    </row>
  </sheetData>
  <phoneticPr fontId="1" type="noConversion"/>
  <pageMargins bottom="0.75" footer="0.3" header="0.3" left="0.7" right="0.7" top="0.75"/>
  <pageSetup horizontalDpi="4294967292" orientation="portrait" paperSize="9" r:id="rId1" verticalDpi="1200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E2"/>
  <sheetViews>
    <sheetView workbookViewId="0">
      <selection activeCell="D11" sqref="D11"/>
    </sheetView>
  </sheetViews>
  <sheetFormatPr defaultRowHeight="14.4"/>
  <cols>
    <col min="2" max="2" customWidth="true" width="19.44140625" collapsed="true"/>
    <col min="3" max="4" bestFit="true" customWidth="true" width="11.33203125" collapsed="true"/>
  </cols>
  <sheetData>
    <row ht="15" r="1" spans="1:4" thickBot="1">
      <c r="A1" s="11" t="s">
        <v>33</v>
      </c>
      <c r="B1" s="113" t="s">
        <v>213</v>
      </c>
      <c r="C1" s="113" t="s">
        <v>242</v>
      </c>
      <c r="D1" s="114" t="s">
        <v>278</v>
      </c>
    </row>
    <row ht="15" r="2" spans="1:4" thickBot="1">
      <c r="A2" s="30">
        <v>1</v>
      </c>
      <c r="B2" s="23" t="str">
        <f>'TC55'!B2</f>
        <v>TW12311004</v>
      </c>
      <c r="C2" s="95" t="str">
        <f>'TC52-Autogen Outbound Data'!D$2</f>
        <v>Dec 2, 2023</v>
      </c>
      <c r="D2" s="96" t="str">
        <f>'TC52-Autogen Outbound Data'!$C$2</f>
        <v>Nov 22, 2023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D2"/>
  <sheetViews>
    <sheetView workbookViewId="0">
      <selection activeCell="B1" sqref="B1:C1"/>
    </sheetView>
  </sheetViews>
  <sheetFormatPr defaultRowHeight="14.4"/>
  <cols>
    <col min="2" max="2" customWidth="true" width="17.33203125" collapsed="true"/>
    <col min="3" max="3" customWidth="true" width="30.5546875" collapsed="true"/>
  </cols>
  <sheetData>
    <row ht="15" r="1" spans="1:3" thickBot="1">
      <c r="A1" s="11" t="s">
        <v>33</v>
      </c>
      <c r="B1" s="113" t="s">
        <v>213</v>
      </c>
      <c r="C1" s="114" t="s">
        <v>92</v>
      </c>
    </row>
    <row ht="15" r="2" spans="1:3" thickBot="1">
      <c r="A2" s="30">
        <v>1</v>
      </c>
      <c r="B2" s="23" t="str">
        <f>'TC56-Custom Invoice Exp'!B2</f>
        <v>TW12311004</v>
      </c>
      <c r="C2" s="31" t="str">
        <f>'TC35'!C2</f>
        <v>CNTWSUP-PKCUS-TBC-012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R2"/>
  <sheetViews>
    <sheetView workbookViewId="0" zoomScale="70" zoomScaleNormal="70">
      <selection activeCell="E8" sqref="E8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6" max="6" customWidth="true" width="24.0" collapsed="true"/>
    <col min="17" max="17" bestFit="true" customWidth="true" width="23.44140625" collapsed="true"/>
  </cols>
  <sheetData>
    <row customFormat="1" customHeight="1" ht="65.25" r="1" s="7" spans="1:17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B-231106-TBC-12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R2"/>
  <sheetViews>
    <sheetView workbookViewId="0" zoomScale="55" zoomScaleNormal="55">
      <selection activeCell="E22" sqref="E22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17" max="17" bestFit="true" customWidth="true" width="19.6640625" collapsed="true"/>
  </cols>
  <sheetData>
    <row customFormat="1" customHeight="1" ht="65.25" r="1" s="7" spans="1:17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B-231106-TBC-12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W3"/>
  <sheetViews>
    <sheetView workbookViewId="0" zoomScale="55" zoomScaleNormal="55">
      <selection activeCell="G12" sqref="G12"/>
    </sheetView>
  </sheetViews>
  <sheetFormatPr defaultRowHeight="14.4"/>
  <cols>
    <col min="1" max="1" customWidth="true" width="20.6640625" collapsed="true"/>
    <col min="2" max="2" bestFit="true" customWidth="true" width="12.0" collapsed="true"/>
    <col min="3" max="3" bestFit="true" customWidth="true" width="12.44140625" collapsed="true"/>
    <col min="4" max="4" bestFit="true" customWidth="true" width="23.44140625" collapsed="true"/>
    <col min="7" max="7" bestFit="true" customWidth="true" width="23.44140625" collapsed="true"/>
    <col min="8" max="8" customWidth="true" width="23.33203125" collapsed="true"/>
    <col min="9" max="9" customWidth="true" width="18.44140625" collapsed="true"/>
    <col min="15" max="15" customWidth="true" width="27.33203125" collapsed="true"/>
    <col min="16" max="16" customWidth="true" width="25.109375" collapsed="true"/>
    <col min="22" max="22" bestFit="true" customWidth="true" width="18.33203125" collapsed="true"/>
  </cols>
  <sheetData>
    <row customFormat="1" customHeight="1" ht="28.2" r="1" s="7" spans="1:22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customFormat="1" r="2" s="7" spans="1:22">
      <c r="A2" s="68" t="str">
        <f>'TC52-Upload Obound Form'!C3</f>
        <v>B-231106-TBC-12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237</v>
      </c>
      <c r="R2" s="56" t="s">
        <v>237</v>
      </c>
      <c r="S2" s="56" t="s">
        <v>237</v>
      </c>
      <c r="T2" s="56" t="s">
        <v>237</v>
      </c>
      <c r="U2" s="56" t="s">
        <v>237</v>
      </c>
      <c r="V2" s="70" t="s">
        <v>237</v>
      </c>
    </row>
    <row customFormat="1" ht="15" r="3" s="7" spans="1:22" thickBot="1">
      <c r="A3" s="33" t="str">
        <f>'TC52-Upload Obound Form'!C4</f>
        <v>B-231106-TBC-12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237</v>
      </c>
      <c r="R3" s="34" t="s">
        <v>237</v>
      </c>
      <c r="S3" s="34" t="s">
        <v>237</v>
      </c>
      <c r="T3" s="34" t="s">
        <v>237</v>
      </c>
      <c r="U3" s="34" t="s">
        <v>237</v>
      </c>
      <c r="V3" s="35" t="s">
        <v>237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C2"/>
  <sheetViews>
    <sheetView workbookViewId="0">
      <selection activeCell="K20" sqref="K20"/>
    </sheetView>
  </sheetViews>
  <sheetFormatPr defaultRowHeight="14.4"/>
  <cols>
    <col min="1" max="1" customWidth="true" width="10.33203125" collapsed="true"/>
    <col min="2" max="2" customWidth="true" width="13.44140625" collapsed="true"/>
  </cols>
  <sheetData>
    <row ht="15" r="1" spans="1:2" thickBot="1">
      <c r="A1" s="11" t="s">
        <v>33</v>
      </c>
      <c r="B1" s="114" t="s">
        <v>213</v>
      </c>
    </row>
    <row ht="15" r="2" spans="1:2" thickBot="1">
      <c r="A2" s="30">
        <v>1</v>
      </c>
      <c r="B2" s="31" t="str">
        <f>'TC56-Custom Invoice Exp'!B2</f>
        <v>TW12311004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R2"/>
  <sheetViews>
    <sheetView workbookViewId="0" zoomScale="85" zoomScaleNormal="85">
      <selection activeCell="G28" sqref="G28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6" max="6" customWidth="true" width="27.44140625" collapsed="true"/>
    <col min="17" max="17" bestFit="true" customWidth="true" width="24.0" collapsed="true"/>
  </cols>
  <sheetData>
    <row customFormat="1" customHeight="1" ht="65.25" r="1" s="7" spans="1:17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B-231106-TBC-12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R2"/>
  <sheetViews>
    <sheetView workbookViewId="0" zoomScale="85" zoomScaleNormal="85">
      <selection activeCell="I28" sqref="I28"/>
    </sheetView>
  </sheetViews>
  <sheetFormatPr defaultRowHeight="14.4"/>
  <cols>
    <col min="1" max="1" customWidth="true" width="18.0" collapsed="true"/>
    <col min="2" max="2" bestFit="true" customWidth="true" width="15.44140625" collapsed="true"/>
    <col min="3" max="3" bestFit="true" customWidth="true" width="14.0" collapsed="true"/>
    <col min="6" max="7" bestFit="true" customWidth="true" width="22.33203125" collapsed="true"/>
    <col min="8" max="8" bestFit="true" customWidth="true" width="15.88671875" collapsed="true"/>
    <col min="9" max="9" bestFit="true" customWidth="true" width="15.5546875" collapsed="true"/>
    <col min="10" max="10" bestFit="true" customWidth="true" width="13.33203125" collapsed="true"/>
    <col min="11" max="11" bestFit="true" customWidth="true" width="17.33203125" collapsed="true"/>
    <col min="12" max="12" bestFit="true" customWidth="true" width="15.33203125" collapsed="true"/>
    <col min="13" max="13" bestFit="true" customWidth="true" width="15.6640625" collapsed="true"/>
    <col min="14" max="14" bestFit="true" customWidth="true" width="13.33203125" collapsed="true"/>
    <col min="15" max="15" bestFit="true" customWidth="true" width="15.109375" collapsed="true"/>
    <col min="16" max="16" bestFit="true" customWidth="true" width="23.33203125" collapsed="true"/>
    <col min="17" max="17" bestFit="true" customWidth="true" width="18.6640625" collapsed="true"/>
  </cols>
  <sheetData>
    <row customFormat="1" customHeight="1" ht="65.25" r="1" s="7" spans="1:17" thickBot="1">
      <c r="A1" s="143" t="s">
        <v>214</v>
      </c>
      <c r="B1" s="88" t="s">
        <v>198</v>
      </c>
      <c r="C1" s="104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B-231106-TBC-12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34AC-EB51-4D24-9F1F-824D475B3DB8}">
  <dimension ref="A1:R2"/>
  <sheetViews>
    <sheetView workbookViewId="0">
      <selection activeCell="F2" sqref="F2"/>
    </sheetView>
  </sheetViews>
  <sheetFormatPr defaultRowHeight="14.4"/>
  <cols>
    <col min="1" max="1" customWidth="true" width="34.44140625" collapsed="true"/>
    <col min="2" max="2" customWidth="true" width="22.88671875" collapsed="true"/>
    <col min="3" max="3" customWidth="true" width="23.33203125" collapsed="true"/>
    <col min="13" max="13" customWidth="true" width="22.33203125" collapsed="true"/>
  </cols>
  <sheetData>
    <row r="1" spans="1:17">
      <c r="A1" s="190" t="s">
        <v>309</v>
      </c>
      <c r="B1" s="191" t="s">
        <v>321</v>
      </c>
      <c r="C1" s="190" t="s">
        <v>310</v>
      </c>
      <c r="D1" s="185" t="s">
        <v>311</v>
      </c>
      <c r="E1" s="185" t="s">
        <v>312</v>
      </c>
      <c r="F1" s="185" t="s">
        <v>313</v>
      </c>
      <c r="G1" s="185" t="s">
        <v>314</v>
      </c>
      <c r="H1" s="185" t="s">
        <v>41</v>
      </c>
      <c r="I1" s="185" t="s">
        <v>315</v>
      </c>
      <c r="J1" s="185" t="s">
        <v>316</v>
      </c>
      <c r="K1" s="185" t="s">
        <v>317</v>
      </c>
      <c r="L1" s="185" t="s">
        <v>318</v>
      </c>
      <c r="M1" s="185" t="s">
        <v>319</v>
      </c>
    </row>
    <row customFormat="1" customHeight="1" ht="57.75" r="2" s="192" spans="1:17">
      <c r="A2" s="187" t="str">
        <f>'TC03-Company'!$C$2</f>
        <v>PK-PK-CUS-S13-5</v>
      </c>
      <c r="B2" s="187" t="str">
        <f>'TC03-Company'!$P$2</f>
        <v>PK-BU-POC-5</v>
      </c>
      <c r="C2" s="187" t="str">
        <f>'TC03-Company'!$D$2</f>
        <v>PK-CUS by Upload S13-5</v>
      </c>
      <c r="D2" s="187" t="str">
        <f>'TC03-Company'!$E$2</f>
        <v>PK5</v>
      </c>
      <c r="E2" s="188" t="s">
        <v>324</v>
      </c>
      <c r="F2" s="188" t="s">
        <v>325</v>
      </c>
      <c r="G2" s="188" t="s">
        <v>326</v>
      </c>
      <c r="H2" s="189" t="s">
        <v>63</v>
      </c>
      <c r="I2" s="189" t="s">
        <v>254</v>
      </c>
      <c r="J2" s="188" t="s">
        <v>327</v>
      </c>
      <c r="K2" s="188" t="s">
        <v>328</v>
      </c>
      <c r="L2" s="188" t="s">
        <v>329</v>
      </c>
      <c r="M2" s="188" t="s">
        <v>330</v>
      </c>
      <c r="O2" s="193"/>
      <c r="Q2" s="194"/>
    </row>
  </sheetData>
  <dataValidations count="1">
    <dataValidation allowBlank="1" showErrorMessage="1" sqref="G2" type="list" xr:uid="{443B0E05-B78D-4936-953A-6DE571B44364}">
      <formula1>tiemzone</formula1>
    </dataValidation>
  </dataValidations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W3"/>
  <sheetViews>
    <sheetView workbookViewId="0" zoomScale="70" zoomScaleNormal="70">
      <selection activeCell="Q25" sqref="Q25"/>
    </sheetView>
  </sheetViews>
  <sheetFormatPr defaultRowHeight="14.4"/>
  <cols>
    <col min="1" max="1" bestFit="true" customWidth="true" width="15.33203125" collapsed="true"/>
    <col min="2" max="2" bestFit="true" customWidth="true" width="11.44140625" collapsed="true"/>
    <col min="3" max="3" bestFit="true" customWidth="true" width="11.6640625" collapsed="true"/>
    <col min="4" max="4" customWidth="true" width="18.109375" collapsed="true"/>
    <col min="7" max="7" bestFit="true" customWidth="true" width="21.5546875" collapsed="true"/>
    <col min="9" max="9" customWidth="true" width="18.44140625" collapsed="true"/>
    <col min="18" max="18" bestFit="true" customWidth="true" width="23.44140625" collapsed="true"/>
    <col min="22" max="22" bestFit="true" customWidth="true" width="13.88671875" collapsed="true"/>
  </cols>
  <sheetData>
    <row customFormat="1" customHeight="1" ht="28.2" r="1" s="7" spans="1:22" thickBot="1">
      <c r="A1" s="122" t="s">
        <v>214</v>
      </c>
      <c r="B1" s="90" t="s">
        <v>198</v>
      </c>
      <c r="C1" s="144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7" t="s">
        <v>231</v>
      </c>
      <c r="T1" s="90" t="s">
        <v>232</v>
      </c>
      <c r="U1" s="90" t="s">
        <v>233</v>
      </c>
      <c r="V1" s="125" t="s">
        <v>234</v>
      </c>
    </row>
    <row customFormat="1" r="2" s="7" spans="1:22">
      <c r="A2" s="68" t="str">
        <f>'TC52-Upload Obound Form'!C3</f>
        <v>B-231106-TBC-12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236</v>
      </c>
      <c r="T2" s="56" t="s">
        <v>237</v>
      </c>
      <c r="U2" s="56" t="s">
        <v>237</v>
      </c>
      <c r="V2" s="70" t="s">
        <v>237</v>
      </c>
    </row>
    <row customFormat="1" ht="15" r="3" s="7" spans="1:22" thickBot="1">
      <c r="A3" s="33" t="str">
        <f>'TC52-Upload Obound Form'!C4</f>
        <v>B-231106-TBC-12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236</v>
      </c>
      <c r="T3" s="34" t="s">
        <v>237</v>
      </c>
      <c r="U3" s="34" t="s">
        <v>237</v>
      </c>
      <c r="V3" s="35" t="s">
        <v>237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N4"/>
  <sheetViews>
    <sheetView topLeftCell="B1" workbookViewId="0" zoomScale="70" zoomScaleNormal="70">
      <selection activeCell="E2" sqref="E2"/>
    </sheetView>
  </sheetViews>
  <sheetFormatPr defaultRowHeight="14.4"/>
  <cols>
    <col min="1" max="1" bestFit="true" customWidth="true" width="3.44140625" collapsed="true"/>
    <col min="2" max="2" bestFit="true" customWidth="true" width="26.33203125" collapsed="true"/>
    <col min="3" max="3" bestFit="true" customWidth="true" width="26.109375" collapsed="true"/>
    <col min="4" max="4" bestFit="true" customWidth="true" width="12.44140625" collapsed="true"/>
    <col min="5" max="5" bestFit="true" customWidth="true" width="22.6640625" collapsed="true"/>
    <col min="6" max="6" bestFit="true" customWidth="true" width="35.109375" collapsed="true"/>
    <col min="7" max="7" bestFit="true" customWidth="true" width="12.33203125" collapsed="true"/>
    <col min="8" max="8" bestFit="true" customWidth="true" width="16.88671875" collapsed="true"/>
    <col min="9" max="9" bestFit="true" customWidth="true" width="23.88671875" collapsed="true"/>
    <col min="10" max="10" bestFit="true" customWidth="true" width="25.5546875" collapsed="true"/>
    <col min="11" max="11" bestFit="true" customWidth="true" width="11.6640625" collapsed="true"/>
    <col min="12" max="12" bestFit="true" customWidth="true" width="18.6640625" collapsed="true"/>
    <col min="13" max="13" bestFit="true" customWidth="true" width="20.33203125" collapsed="true"/>
  </cols>
  <sheetData>
    <row ht="15" r="1" spans="1:13" thickBot="1">
      <c r="A1" s="11" t="str">
        <f>'TC069'!A1</f>
        <v>No</v>
      </c>
      <c r="B1" s="113" t="s">
        <v>88</v>
      </c>
      <c r="C1" s="113" t="str">
        <f>'TC069'!B1</f>
        <v>OutboundNo</v>
      </c>
      <c r="D1" s="113" t="str">
        <f>'TC069'!C1</f>
        <v>ContainerNo</v>
      </c>
      <c r="E1" s="113" t="str">
        <f>'TC069'!D1</f>
        <v>InboundNo</v>
      </c>
      <c r="F1" s="113" t="s">
        <v>280</v>
      </c>
      <c r="G1" s="113" t="s">
        <v>281</v>
      </c>
      <c r="H1" s="12" t="s">
        <v>282</v>
      </c>
      <c r="I1" s="12" t="s">
        <v>283</v>
      </c>
      <c r="J1" s="12" t="s">
        <v>284</v>
      </c>
      <c r="K1" s="12" t="s">
        <v>285</v>
      </c>
      <c r="L1" s="12" t="s">
        <v>286</v>
      </c>
      <c r="M1" s="13" t="s">
        <v>287</v>
      </c>
    </row>
    <row r="2" spans="1:13">
      <c r="A2" s="8" t="n">
        <f>'TC069'!A2</f>
        <v>1.0</v>
      </c>
      <c r="B2" s="148" t="str">
        <f>'TC35-Contract Parts Info'!B4</f>
        <v>TBCscenario1320230614013</v>
      </c>
      <c r="C2" s="61" t="str">
        <f>'TC069'!B2</f>
        <v>o-CNTW-SUP-POC-231106-12</v>
      </c>
      <c r="D2" s="61" t="str">
        <f>'TC069'!C2</f>
        <v/>
      </c>
      <c r="E2" s="61" t="str">
        <f>'TC069'!D2</f>
        <v>i-PK-CUS-POC-S13-5-231113001</v>
      </c>
      <c r="F2" s="149" t="str">
        <f ca="1">"i-CNTW-SUP-POC-"&amp;TEXT(TODAY(),"yymmdd")&amp;"-"&amp;'TC35'!K$2&amp;"-001"</f>
        <v>i-CNTW-SUP-POC-231114-TBC-001</v>
      </c>
      <c r="G2" s="61" t="str">
        <f ca="1">TEXT(TODAY(),"d mmm yyyy")</f>
        <v>14 十一月 2023</v>
      </c>
      <c r="H2" s="61"/>
      <c r="I2" s="61"/>
      <c r="J2" s="61"/>
      <c r="K2" s="61">
        <v>1</v>
      </c>
      <c r="L2" s="61">
        <v>1</v>
      </c>
      <c r="M2" s="62">
        <v>1</v>
      </c>
    </row>
    <row r="3" spans="1:13">
      <c r="A3" s="9" t="n">
        <f>'TC069'!A3</f>
        <v>2.0</v>
      </c>
      <c r="B3" s="150" t="str">
        <f>'TC35-Contract Parts Info'!B3</f>
        <v>TBCscenario1320230614012</v>
      </c>
      <c r="C3" s="27" t="str">
        <f>'TC069'!B3</f>
        <v>o-CNTW-SUP-POC-231106-12</v>
      </c>
      <c r="D3" s="27" t="str">
        <f>'TC069'!C3</f>
        <v>CNO1234</v>
      </c>
      <c r="E3" s="27" t="str">
        <f>'TC069'!D3</f>
        <v>i-PK-CUS-POC-S13-5-231113002</v>
      </c>
      <c r="F3" s="151" t="str">
        <f ca="1">"i-CNTW-SUP-POC-"&amp;TEXT(TODAY(),"yymmdd")&amp;"-"&amp;'TC35'!K$2&amp;"-001"</f>
        <v>i-CNTW-SUP-POC-231114-TBC-001</v>
      </c>
      <c r="G3" s="27" t="str">
        <f ca="1" ref="G3:G4" si="0" t="shared">TEXT(TODAY(),"d mmm yyyy")</f>
        <v>14 十一月 2023</v>
      </c>
      <c r="H3" s="27">
        <v>1</v>
      </c>
      <c r="I3" s="27">
        <v>1</v>
      </c>
      <c r="J3" s="27">
        <v>1</v>
      </c>
      <c r="K3" s="27">
        <v>1</v>
      </c>
      <c r="L3" s="27">
        <v>1</v>
      </c>
      <c r="M3" s="58">
        <v>1</v>
      </c>
    </row>
    <row ht="15" r="4" spans="1:13" thickBot="1">
      <c r="A4" s="10" t="n">
        <f>'TC069'!A4</f>
        <v>3.0</v>
      </c>
      <c r="B4" s="152" t="str">
        <f>'TC35-Contract Parts Info'!B2</f>
        <v>TBCscenario1320230614011</v>
      </c>
      <c r="C4" s="28" t="str">
        <f>'TC069'!B4</f>
        <v>o-CNTW-SUP-POC-231106-12</v>
      </c>
      <c r="D4" s="28" t="str">
        <f>'TC069'!C4</f>
        <v>SEGU5069987</v>
      </c>
      <c r="E4" s="28" t="str">
        <f>'TC069'!D4</f>
        <v>i-PK-CUS-POC-S13-5-231113003</v>
      </c>
      <c r="F4" s="153" t="str">
        <f ca="1">"i-CNTW-SUP-POC-"&amp;TEXT(TODAY(),"yymmdd")&amp;"-"&amp;'TC35'!K$2&amp;"-001"</f>
        <v>i-CNTW-SUP-POC-231114-TBC-001</v>
      </c>
      <c r="G4" s="28" t="str">
        <f ca="1" si="0" t="shared"/>
        <v>14 十一月 2023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9">
        <v>1</v>
      </c>
    </row>
  </sheetData>
  <phoneticPr fontId="1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W4"/>
  <sheetViews>
    <sheetView topLeftCell="G1" workbookViewId="0" zoomScale="85" zoomScaleNormal="85">
      <selection activeCell="O2" sqref="O2:O4"/>
    </sheetView>
  </sheetViews>
  <sheetFormatPr defaultRowHeight="14.4"/>
  <cols>
    <col min="1" max="1" customWidth="true" width="19.0" collapsed="true"/>
    <col min="2" max="2" customWidth="true" width="14.33203125" collapsed="true"/>
    <col min="4" max="4" customWidth="true" width="17.88671875" collapsed="true"/>
    <col min="5" max="5" customWidth="true" width="20.109375" collapsed="true"/>
    <col min="6" max="6" customWidth="true" width="29.0" collapsed="true"/>
    <col min="7" max="7" customWidth="true" width="49.33203125" collapsed="true"/>
    <col min="9" max="9" customWidth="true" width="18.33203125" collapsed="true"/>
    <col min="17" max="17" customWidth="true" width="22.6640625" collapsed="true"/>
    <col min="18" max="18" customWidth="true" width="26.0" collapsed="true"/>
    <col min="19" max="20" customWidth="true" width="20.88671875" collapsed="true"/>
    <col min="21" max="21" customWidth="true" width="17.33203125" collapsed="true"/>
    <col min="22" max="22" bestFit="true" customWidth="true" width="20.88671875" collapsed="true"/>
  </cols>
  <sheetData>
    <row ht="15" r="1" spans="1:22" thickBot="1">
      <c r="A1" s="122" t="s">
        <v>150</v>
      </c>
      <c r="B1" s="48" t="s">
        <v>151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157</v>
      </c>
      <c r="J1" s="48" t="s">
        <v>158</v>
      </c>
      <c r="K1" s="48" t="s">
        <v>159</v>
      </c>
      <c r="L1" s="48" t="s">
        <v>160</v>
      </c>
      <c r="M1" s="48" t="s">
        <v>161</v>
      </c>
      <c r="N1" s="48" t="s">
        <v>162</v>
      </c>
      <c r="O1" s="48" t="s">
        <v>163</v>
      </c>
      <c r="P1" s="48" t="s">
        <v>102</v>
      </c>
      <c r="Q1" s="48" t="s">
        <v>164</v>
      </c>
      <c r="R1" s="48" t="s">
        <v>165</v>
      </c>
      <c r="S1" s="48" t="s">
        <v>166</v>
      </c>
      <c r="T1" s="48" t="s">
        <v>167</v>
      </c>
      <c r="U1" s="48" t="s">
        <v>168</v>
      </c>
      <c r="V1" s="49" t="s">
        <v>169</v>
      </c>
    </row>
    <row customHeight="1" ht="15" r="2" spans="1:22">
      <c r="A2" s="68" t="str">
        <f ca="1">'TC42'!B2</f>
        <v>cTBC-2311001</v>
      </c>
      <c r="B2" s="56" t="s">
        <v>210</v>
      </c>
      <c r="C2" s="56"/>
      <c r="D2" s="56"/>
      <c r="E2" s="56"/>
      <c r="F2" s="55" t="str">
        <f>'TC35-Contract Parts Info'!B2</f>
        <v>TBCscenario1320230614011</v>
      </c>
      <c r="G2" s="55" t="str">
        <f>'TC35-Contract Parts Info'!C2</f>
        <v>PK-CUS-TBC-scenario13-20230604-001</v>
      </c>
      <c r="H2" s="56" t="s">
        <v>173</v>
      </c>
      <c r="I2" s="56" t="str">
        <f ca="1">'TC44'!B2</f>
        <v>sTBC-2311001</v>
      </c>
      <c r="J2" s="55" t="s">
        <v>67</v>
      </c>
      <c r="K2" s="56">
        <v>10</v>
      </c>
      <c r="L2" s="56">
        <v>10</v>
      </c>
      <c r="M2" s="56">
        <v>150</v>
      </c>
      <c r="N2" s="56">
        <v>0</v>
      </c>
      <c r="O2" s="204" t="n">
        <f>'TC46-Price'!$B2</f>
        <v>3.05</v>
      </c>
      <c r="P2" s="56" t="s">
        <v>114</v>
      </c>
      <c r="Q2" s="56" t="s">
        <v>210</v>
      </c>
      <c r="R2" s="56">
        <v>150</v>
      </c>
      <c r="S2" s="56">
        <v>150</v>
      </c>
      <c r="T2" s="56" t="s">
        <v>174</v>
      </c>
      <c r="U2" s="56">
        <v>0</v>
      </c>
      <c r="V2" s="70" t="s">
        <v>174</v>
      </c>
    </row>
    <row ht="28.8" r="3" spans="1:22">
      <c r="A3" s="9"/>
      <c r="B3" s="50"/>
      <c r="C3" s="50"/>
      <c r="D3" s="50"/>
      <c r="E3" s="50"/>
      <c r="F3" s="51" t="str">
        <f>'TC35-Contract Parts Info'!B3</f>
        <v>TBCscenario1320230614012</v>
      </c>
      <c r="G3" s="51" t="str">
        <f>'TC35-Contract Parts Info'!C3</f>
        <v>PK-CUS-TBC-scenario13-20230604-002</v>
      </c>
      <c r="H3" s="50" t="s">
        <v>175</v>
      </c>
      <c r="I3" s="50" t="str">
        <f ca="1">'TC44'!B2</f>
        <v>sTBC-2311001</v>
      </c>
      <c r="J3" s="51" t="s">
        <v>67</v>
      </c>
      <c r="K3" s="50">
        <v>10</v>
      </c>
      <c r="L3" s="50">
        <v>10</v>
      </c>
      <c r="M3" s="50">
        <v>150</v>
      </c>
      <c r="N3" s="50">
        <v>0</v>
      </c>
      <c r="O3" s="204" t="n">
        <f>'TC46-Price'!$B3</f>
        <v>1.05</v>
      </c>
      <c r="P3" s="50" t="s">
        <v>114</v>
      </c>
      <c r="Q3" s="50" t="s">
        <v>210</v>
      </c>
      <c r="R3" s="50">
        <v>150</v>
      </c>
      <c r="S3" s="50">
        <v>100</v>
      </c>
      <c r="T3" s="50" t="s">
        <v>174</v>
      </c>
      <c r="U3" s="50">
        <v>50</v>
      </c>
      <c r="V3" s="66" t="s">
        <v>174</v>
      </c>
    </row>
    <row ht="29.4" r="4" spans="1:22" thickBot="1">
      <c r="A4" s="33"/>
      <c r="B4" s="34"/>
      <c r="C4" s="34"/>
      <c r="D4" s="34"/>
      <c r="E4" s="34"/>
      <c r="F4" s="52" t="str">
        <f>'TC35-Contract Parts Info'!B4</f>
        <v>TBCscenario1320230614013</v>
      </c>
      <c r="G4" s="52" t="str">
        <f>'TC35-Contract Parts Info'!C4</f>
        <v>PK-CUS-TBC-scenario13-20230604-003</v>
      </c>
      <c r="H4" s="34" t="s">
        <v>176</v>
      </c>
      <c r="I4" s="34" t="str">
        <f ca="1">'TC44'!B2</f>
        <v>sTBC-2311001</v>
      </c>
      <c r="J4" s="52" t="s">
        <v>67</v>
      </c>
      <c r="K4" s="34">
        <v>10</v>
      </c>
      <c r="L4" s="34">
        <v>10</v>
      </c>
      <c r="M4" s="34">
        <v>50</v>
      </c>
      <c r="N4" s="34">
        <v>0</v>
      </c>
      <c r="O4" s="204" t="n">
        <f>'TC46-Price'!$B4</f>
        <v>2.05</v>
      </c>
      <c r="P4" s="34" t="s">
        <v>114</v>
      </c>
      <c r="Q4" s="34" t="s">
        <v>210</v>
      </c>
      <c r="R4" s="34">
        <v>50</v>
      </c>
      <c r="S4" s="34">
        <v>0</v>
      </c>
      <c r="T4" s="34" t="s">
        <v>174</v>
      </c>
      <c r="U4" s="34">
        <v>50</v>
      </c>
      <c r="V4" s="35" t="s">
        <v>174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Z4"/>
  <sheetViews>
    <sheetView topLeftCell="G1" workbookViewId="0" zoomScaleNormal="100">
      <selection activeCell="W13" sqref="W13"/>
    </sheetView>
  </sheetViews>
  <sheetFormatPr defaultRowHeight="14.4"/>
  <cols>
    <col min="1" max="1" customWidth="true" width="22.6640625" collapsed="true"/>
    <col min="2" max="2" customWidth="true" width="23.5546875" collapsed="true"/>
    <col min="6" max="6" customWidth="true" width="30.5546875" collapsed="true"/>
    <col min="7" max="7" customWidth="true" width="38.6640625" collapsed="true"/>
    <col min="9" max="9" bestFit="true" customWidth="true" width="17.109375" collapsed="true"/>
    <col min="19" max="19" customWidth="true" width="24.33203125" collapsed="true"/>
    <col min="23" max="23" bestFit="true" customWidth="true" width="18.109375" collapsed="true"/>
  </cols>
  <sheetData>
    <row ht="15" r="1" spans="1:25" thickBot="1">
      <c r="A1" s="39" t="s">
        <v>177</v>
      </c>
      <c r="B1" s="117" t="s">
        <v>178</v>
      </c>
      <c r="C1" s="48" t="s">
        <v>152</v>
      </c>
      <c r="D1" s="48" t="s">
        <v>153</v>
      </c>
      <c r="E1" s="48" t="s">
        <v>154</v>
      </c>
      <c r="F1" s="90" t="s">
        <v>121</v>
      </c>
      <c r="G1" s="90" t="s">
        <v>155</v>
      </c>
      <c r="H1" s="48" t="s">
        <v>156</v>
      </c>
      <c r="I1" s="90" t="s">
        <v>179</v>
      </c>
      <c r="J1" s="48" t="s">
        <v>180</v>
      </c>
      <c r="K1" s="48" t="s">
        <v>159</v>
      </c>
      <c r="L1" s="48" t="s">
        <v>160</v>
      </c>
      <c r="M1" s="48" t="s">
        <v>161</v>
      </c>
      <c r="N1" s="48" t="s">
        <v>163</v>
      </c>
      <c r="O1" s="48" t="s">
        <v>102</v>
      </c>
      <c r="P1" s="48" t="s">
        <v>164</v>
      </c>
      <c r="Q1" s="48" t="s">
        <v>181</v>
      </c>
      <c r="R1" s="48" t="s">
        <v>182</v>
      </c>
      <c r="S1" s="48" t="s">
        <v>183</v>
      </c>
      <c r="T1" s="48" t="s">
        <v>184</v>
      </c>
      <c r="U1" s="48" t="s">
        <v>185</v>
      </c>
      <c r="V1" s="48" t="s">
        <v>186</v>
      </c>
      <c r="W1" s="49" t="s">
        <v>187</v>
      </c>
      <c r="X1" s="48" t="s">
        <v>304</v>
      </c>
      <c r="Y1" s="49" t="s">
        <v>305</v>
      </c>
    </row>
    <row customHeight="1" ht="15.75" r="2" spans="1:25">
      <c r="A2" s="68" t="str">
        <f ca="1">'TC44'!B2</f>
        <v>sTBC-2311001</v>
      </c>
      <c r="B2" s="56" t="s">
        <v>210</v>
      </c>
      <c r="C2" s="56"/>
      <c r="D2" s="56"/>
      <c r="E2" s="56"/>
      <c r="F2" s="55" t="str">
        <f>'TC35-Contract Parts Info'!B2</f>
        <v>TBCscenario1320230614011</v>
      </c>
      <c r="G2" s="55" t="str">
        <f>'TC35-Contract Parts Info'!D2</f>
        <v>CNTW-SUP-TBC-scenario13-20230604-001</v>
      </c>
      <c r="H2" s="56" t="s">
        <v>173</v>
      </c>
      <c r="I2" s="56" t="str">
        <f ca="1">'TC42'!B2</f>
        <v>cTBC-2311001</v>
      </c>
      <c r="J2" s="55" t="str">
        <f>TC14n15!$D$2</f>
        <v>PK-CUS-POC-S13-5</v>
      </c>
      <c r="K2" s="56">
        <v>10</v>
      </c>
      <c r="L2" s="56">
        <v>10</v>
      </c>
      <c r="M2" s="56">
        <v>150</v>
      </c>
      <c r="N2" s="204" t="n">
        <f>'TC46-Price'!$B2</f>
        <v>3.05</v>
      </c>
      <c r="O2" s="56" t="s">
        <v>114</v>
      </c>
      <c r="P2" s="56" t="s">
        <v>210</v>
      </c>
      <c r="Q2" s="56">
        <v>150</v>
      </c>
      <c r="R2" s="56">
        <v>0</v>
      </c>
      <c r="S2" s="56">
        <v>150</v>
      </c>
      <c r="T2" s="56">
        <v>150</v>
      </c>
      <c r="U2" s="56" t="s">
        <v>174</v>
      </c>
      <c r="V2" s="56">
        <v>0</v>
      </c>
      <c r="W2" s="70" t="s">
        <v>174</v>
      </c>
      <c r="X2" s="56">
        <v>0</v>
      </c>
      <c r="Y2" s="70" t="s">
        <v>174</v>
      </c>
    </row>
    <row ht="43.2" r="3" spans="1:25">
      <c r="A3" s="64"/>
      <c r="B3" s="50"/>
      <c r="C3" s="50"/>
      <c r="D3" s="50"/>
      <c r="E3" s="50"/>
      <c r="F3" s="51" t="str">
        <f>'TC35-Contract Parts Info'!B3</f>
        <v>TBCscenario1320230614012</v>
      </c>
      <c r="G3" s="51" t="str">
        <f>'TC35-Contract Parts Info'!D3</f>
        <v>CNTW-SUP-TBC-scenario13-20230604-002</v>
      </c>
      <c r="H3" s="50" t="s">
        <v>175</v>
      </c>
      <c r="I3" s="50" t="str">
        <f ca="1">'TC42'!B2</f>
        <v>cTBC-2311001</v>
      </c>
      <c r="J3" s="55" t="str">
        <f>TC14n15!$D$2</f>
        <v>PK-CUS-POC-S13-5</v>
      </c>
      <c r="K3" s="50">
        <v>10</v>
      </c>
      <c r="L3" s="50">
        <v>10</v>
      </c>
      <c r="M3" s="50">
        <v>150</v>
      </c>
      <c r="N3" s="204" t="n">
        <f>'TC46-Price'!$B3</f>
        <v>1.05</v>
      </c>
      <c r="O3" s="50" t="s">
        <v>114</v>
      </c>
      <c r="P3" s="50" t="s">
        <v>210</v>
      </c>
      <c r="Q3" s="50">
        <v>150</v>
      </c>
      <c r="R3" s="50">
        <v>0</v>
      </c>
      <c r="S3" s="50">
        <v>150</v>
      </c>
      <c r="T3" s="205">
        <v>0</v>
      </c>
      <c r="U3" s="50" t="s">
        <v>174</v>
      </c>
      <c r="V3" s="50">
        <v>100</v>
      </c>
      <c r="W3" s="66" t="s">
        <v>174</v>
      </c>
      <c r="X3" s="50">
        <v>50</v>
      </c>
      <c r="Y3" s="66" t="s">
        <v>174</v>
      </c>
    </row>
    <row ht="43.8" r="4" spans="1:25" thickBot="1">
      <c r="A4" s="33"/>
      <c r="B4" s="34"/>
      <c r="C4" s="34"/>
      <c r="D4" s="34"/>
      <c r="E4" s="34"/>
      <c r="F4" s="52" t="str">
        <f>'TC35-Contract Parts Info'!B4</f>
        <v>TBCscenario1320230614013</v>
      </c>
      <c r="G4" s="52" t="str">
        <f>'TC35-Contract Parts Info'!D4</f>
        <v>CNTW-SUP-TBC-scenario13-20230604-003</v>
      </c>
      <c r="H4" s="34" t="s">
        <v>176</v>
      </c>
      <c r="I4" s="34" t="str">
        <f ca="1">'TC42'!B2</f>
        <v>cTBC-2311001</v>
      </c>
      <c r="J4" s="55" t="str">
        <f>TC14n15!$D$2</f>
        <v>PK-CUS-POC-S13-5</v>
      </c>
      <c r="K4" s="34">
        <v>10</v>
      </c>
      <c r="L4" s="34">
        <v>10</v>
      </c>
      <c r="M4" s="34">
        <v>50</v>
      </c>
      <c r="N4" s="204" t="n">
        <f>'TC46-Price'!$B4</f>
        <v>2.05</v>
      </c>
      <c r="O4" s="34" t="s">
        <v>114</v>
      </c>
      <c r="P4" s="34" t="s">
        <v>210</v>
      </c>
      <c r="Q4" s="34">
        <v>50</v>
      </c>
      <c r="R4" s="34">
        <v>0</v>
      </c>
      <c r="S4" s="34">
        <v>50</v>
      </c>
      <c r="T4" s="34">
        <v>0</v>
      </c>
      <c r="U4" s="34" t="s">
        <v>174</v>
      </c>
      <c r="V4" s="34">
        <v>0</v>
      </c>
      <c r="W4" s="35" t="s">
        <v>174</v>
      </c>
      <c r="X4" s="34">
        <v>50</v>
      </c>
      <c r="Y4" s="35" t="s">
        <v>174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C2"/>
  <sheetViews>
    <sheetView workbookViewId="0">
      <selection activeCell="B1" sqref="B1"/>
    </sheetView>
  </sheetViews>
  <sheetFormatPr defaultRowHeight="14.4"/>
  <cols>
    <col min="2" max="2" customWidth="true" width="12.6640625" collapsed="true"/>
  </cols>
  <sheetData>
    <row ht="15" r="1" spans="1:2" thickBot="1">
      <c r="A1" s="11" t="s">
        <v>33</v>
      </c>
      <c r="B1" s="137" t="s">
        <v>288</v>
      </c>
    </row>
    <row ht="15" r="2" spans="1:2" thickBot="1">
      <c r="A2" s="30">
        <v>1</v>
      </c>
      <c r="B2" t="s">
        <v>306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F4"/>
  <sheetViews>
    <sheetView workbookViewId="0">
      <selection activeCell="D25" sqref="D25"/>
    </sheetView>
  </sheetViews>
  <sheetFormatPr defaultColWidth="8.88671875" defaultRowHeight="13.8"/>
  <cols>
    <col min="1" max="1" style="156" width="8.88671875" collapsed="true"/>
    <col min="2" max="2" bestFit="true" customWidth="true" style="156" width="16.109375" collapsed="true"/>
    <col min="3" max="3" bestFit="true" customWidth="true" style="156" width="12.44140625" collapsed="true"/>
    <col min="4" max="4" bestFit="true" customWidth="true" style="156" width="38.6640625" collapsed="true"/>
    <col min="5" max="16384" style="156" width="8.88671875" collapsed="true"/>
  </cols>
  <sheetData>
    <row r="1" spans="1:5">
      <c r="A1" s="154" t="s">
        <v>33</v>
      </c>
      <c r="B1" s="155" t="s">
        <v>197</v>
      </c>
      <c r="C1" s="155" t="s">
        <v>198</v>
      </c>
      <c r="D1" s="154" t="s">
        <v>289</v>
      </c>
      <c r="E1" s="155" t="s">
        <v>201</v>
      </c>
    </row>
    <row r="2" spans="1:5">
      <c r="A2" s="157">
        <v>1</v>
      </c>
      <c r="B2" s="158" t="str">
        <f>'TC52-Upload Obound Form'!C2</f>
        <v>B-231106-TBC-12</v>
      </c>
      <c r="C2" s="158" t="str">
        <f>IF('TC52-Upload Obound Form'!D2="","",'TC52-Upload Obound Form'!D2)</f>
        <v>SEGU5069987</v>
      </c>
      <c r="D2" s="157" t="s">
        <v>250</v>
      </c>
      <c r="E2" s="158" t="str">
        <f>'TC52-Upload Obound Form'!G2</f>
        <v>Yes</v>
      </c>
    </row>
    <row r="3" spans="1:5">
      <c r="A3" s="157">
        <v>2</v>
      </c>
      <c r="B3" s="158" t="str">
        <f>'TC52-Upload Obound Form'!C3</f>
        <v>B-231106-TBC-12</v>
      </c>
      <c r="C3" s="158" t="str">
        <f>IF('TC52-Upload Obound Form'!D3="","",'TC52-Upload Obound Form'!D3)</f>
        <v>CNO1234</v>
      </c>
      <c r="D3" s="157" t="s">
        <v>234</v>
      </c>
      <c r="E3" s="158" t="str">
        <f>'TC52-Upload Obound Form'!G3</f>
        <v>No</v>
      </c>
    </row>
    <row r="4" spans="1:5">
      <c r="A4" s="157">
        <v>3</v>
      </c>
      <c r="B4" s="158" t="str">
        <f>'TC52-Upload Obound Form'!C4</f>
        <v>B-231106-TBC-12</v>
      </c>
      <c r="C4" s="158" t="str">
        <f>IF('TC52-Upload Obound Form'!D4="","",'TC52-Upload Obound Form'!D4)</f>
        <v/>
      </c>
      <c r="D4" s="157" t="s">
        <v>234</v>
      </c>
      <c r="E4" s="158" t="str">
        <f>'TC52-Upload Obound Form'!G4</f>
        <v>No</v>
      </c>
    </row>
  </sheetData>
  <phoneticPr fontId="1" type="noConversion"/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R2"/>
  <sheetViews>
    <sheetView workbookViewId="0" zoomScale="70" zoomScaleNormal="70">
      <selection activeCell="G20" sqref="G20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  <col min="4" max="5" bestFit="true" customWidth="true" width="11.5546875" collapsed="true"/>
    <col min="6" max="17" bestFit="true" customWidth="true" width="23.44140625" collapsed="true"/>
  </cols>
  <sheetData>
    <row customFormat="1" customHeight="1" ht="65.25" r="1" s="7" spans="1:17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B-231106-TBC-12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276</v>
      </c>
      <c r="I2" s="37" t="s">
        <v>276</v>
      </c>
      <c r="J2" s="37" t="s">
        <v>276</v>
      </c>
      <c r="K2" s="37" t="s">
        <v>276</v>
      </c>
      <c r="L2" s="37" t="s">
        <v>276</v>
      </c>
      <c r="M2" s="37" t="s">
        <v>276</v>
      </c>
      <c r="N2" s="37" t="s">
        <v>276</v>
      </c>
      <c r="O2" s="37" t="s">
        <v>276</v>
      </c>
      <c r="P2" s="37" t="s">
        <v>276</v>
      </c>
      <c r="Q2" s="38" t="s">
        <v>276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R2"/>
  <sheetViews>
    <sheetView workbookViewId="0" zoomScale="70" zoomScaleNormal="70">
      <selection activeCell="G16" sqref="G16"/>
    </sheetView>
  </sheetViews>
  <sheetFormatPr defaultRowHeight="14.4"/>
  <cols>
    <col min="1" max="1" customWidth="true" width="18.0" collapsed="true"/>
    <col min="2" max="2" customWidth="true" width="29.88671875" collapsed="true"/>
    <col min="3" max="3" customWidth="true" width="36.88671875" collapsed="true"/>
  </cols>
  <sheetData>
    <row customFormat="1" customHeight="1" ht="65.25" r="1" s="7" spans="1:17" thickBot="1">
      <c r="A1" s="143" t="s">
        <v>214</v>
      </c>
      <c r="B1" s="88" t="s">
        <v>198</v>
      </c>
      <c r="C1" s="75" t="s">
        <v>215</v>
      </c>
      <c r="D1" s="88" t="s">
        <v>262</v>
      </c>
      <c r="E1" s="88" t="s">
        <v>263</v>
      </c>
      <c r="F1" s="88" t="s">
        <v>264</v>
      </c>
      <c r="G1" s="88" t="s">
        <v>250</v>
      </c>
      <c r="H1" s="88" t="s">
        <v>265</v>
      </c>
      <c r="I1" s="88" t="s">
        <v>266</v>
      </c>
      <c r="J1" s="88" t="s">
        <v>267</v>
      </c>
      <c r="K1" s="88" t="s">
        <v>268</v>
      </c>
      <c r="L1" s="88" t="s">
        <v>269</v>
      </c>
      <c r="M1" s="88" t="s">
        <v>270</v>
      </c>
      <c r="N1" s="88" t="s">
        <v>271</v>
      </c>
      <c r="O1" s="88" t="s">
        <v>272</v>
      </c>
      <c r="P1" s="88" t="s">
        <v>273</v>
      </c>
      <c r="Q1" s="142" t="s">
        <v>274</v>
      </c>
    </row>
    <row ht="15" r="2" spans="1:17" thickBot="1">
      <c r="A2" s="36" t="str">
        <f>'TC52-Upload Obound Form'!C2</f>
        <v>B-231106-TBC-12</v>
      </c>
      <c r="B2" s="37" t="str">
        <f>'TC52-Upload Obound Form'!D2</f>
        <v>SEGU5069987</v>
      </c>
      <c r="C2" s="37" t="s">
        <v>275</v>
      </c>
      <c r="D2" s="87" t="str">
        <f>'TC063'!B2</f>
        <v>14 Jun 2023</v>
      </c>
      <c r="E2" s="87" t="str">
        <f>'TC063'!C2</f>
        <v>14 Jun 2023</v>
      </c>
      <c r="F2" s="37" t="s">
        <v>276</v>
      </c>
      <c r="G2" s="37" t="s">
        <v>276</v>
      </c>
      <c r="H2" s="37" t="s">
        <v>236</v>
      </c>
      <c r="I2" s="37" t="s">
        <v>237</v>
      </c>
      <c r="J2" s="37" t="s">
        <v>237</v>
      </c>
      <c r="K2" s="37" t="s">
        <v>237</v>
      </c>
      <c r="L2" s="37" t="s">
        <v>237</v>
      </c>
      <c r="M2" s="37" t="s">
        <v>237</v>
      </c>
      <c r="N2" s="37" t="s">
        <v>237</v>
      </c>
      <c r="O2" s="37" t="s">
        <v>237</v>
      </c>
      <c r="P2" s="37" t="s">
        <v>237</v>
      </c>
      <c r="Q2" s="38" t="s">
        <v>237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W3"/>
  <sheetViews>
    <sheetView topLeftCell="C2" workbookViewId="0" zoomScale="85" zoomScaleNormal="85">
      <selection activeCell="I32" sqref="I32"/>
    </sheetView>
  </sheetViews>
  <sheetFormatPr defaultRowHeight="14.4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18.109375" collapsed="true"/>
    <col min="7" max="7" customWidth="true" width="29.6640625" collapsed="true"/>
    <col min="9" max="9" customWidth="true" width="18.44140625" collapsed="true"/>
    <col min="22" max="22" bestFit="true" customWidth="true" width="24.0" collapsed="true"/>
  </cols>
  <sheetData>
    <row customFormat="1" customHeight="1" ht="28.2" r="1" s="7" spans="1:22" thickBot="1">
      <c r="A1" s="122" t="s">
        <v>214</v>
      </c>
      <c r="B1" s="90" t="s">
        <v>198</v>
      </c>
      <c r="C1" s="48" t="s">
        <v>215</v>
      </c>
      <c r="D1" s="90" t="s">
        <v>216</v>
      </c>
      <c r="E1" s="90" t="s">
        <v>217</v>
      </c>
      <c r="F1" s="90" t="s">
        <v>218</v>
      </c>
      <c r="G1" s="90" t="s">
        <v>219</v>
      </c>
      <c r="H1" s="90" t="s">
        <v>220</v>
      </c>
      <c r="I1" s="90" t="s">
        <v>221</v>
      </c>
      <c r="J1" s="90" t="s">
        <v>222</v>
      </c>
      <c r="K1" s="88" t="s">
        <v>223</v>
      </c>
      <c r="L1" s="90" t="s">
        <v>224</v>
      </c>
      <c r="M1" s="90" t="s">
        <v>225</v>
      </c>
      <c r="N1" s="90" t="s">
        <v>226</v>
      </c>
      <c r="O1" s="90" t="s">
        <v>227</v>
      </c>
      <c r="P1" s="90" t="s">
        <v>228</v>
      </c>
      <c r="Q1" s="90" t="s">
        <v>229</v>
      </c>
      <c r="R1" s="90" t="s">
        <v>230</v>
      </c>
      <c r="S1" s="90" t="s">
        <v>231</v>
      </c>
      <c r="T1" s="90" t="s">
        <v>232</v>
      </c>
      <c r="U1" s="90" t="s">
        <v>233</v>
      </c>
      <c r="V1" s="125" t="s">
        <v>234</v>
      </c>
    </row>
    <row customFormat="1" r="2" s="7" spans="1:22">
      <c r="A2" s="68" t="str">
        <f>'TC52-Upload Obound Form'!C3</f>
        <v>B-231106-TBC-12</v>
      </c>
      <c r="B2" s="56" t="str">
        <f>'TC52-Upload Obound Form'!D3</f>
        <v>CNO1234</v>
      </c>
      <c r="C2" s="56" t="s">
        <v>235</v>
      </c>
      <c r="D2" s="56" t="s">
        <v>276</v>
      </c>
      <c r="E2" s="56" t="s">
        <v>276</v>
      </c>
      <c r="F2" s="56" t="s">
        <v>276</v>
      </c>
      <c r="G2" s="56" t="s">
        <v>276</v>
      </c>
      <c r="H2" s="56" t="s">
        <v>276</v>
      </c>
      <c r="I2" s="56" t="s">
        <v>276</v>
      </c>
      <c r="J2" s="56" t="s">
        <v>276</v>
      </c>
      <c r="K2" s="56" t="s">
        <v>276</v>
      </c>
      <c r="L2" s="56" t="s">
        <v>276</v>
      </c>
      <c r="M2" s="56" t="s">
        <v>276</v>
      </c>
      <c r="N2" s="56" t="s">
        <v>276</v>
      </c>
      <c r="O2" s="56" t="s">
        <v>276</v>
      </c>
      <c r="P2" s="56" t="s">
        <v>276</v>
      </c>
      <c r="Q2" s="56" t="s">
        <v>276</v>
      </c>
      <c r="R2" s="56" t="s">
        <v>276</v>
      </c>
      <c r="S2" s="56" t="s">
        <v>276</v>
      </c>
      <c r="T2" s="56" t="s">
        <v>276</v>
      </c>
      <c r="U2" s="56" t="s">
        <v>276</v>
      </c>
      <c r="V2" s="70" t="s">
        <v>276</v>
      </c>
    </row>
    <row customFormat="1" ht="15" r="3" s="7" spans="1:22" thickBot="1">
      <c r="A3" s="33" t="str">
        <f>'TC52-Upload Obound Form'!C4</f>
        <v>B-231106-TBC-12</v>
      </c>
      <c r="B3" s="34"/>
      <c r="C3" s="34" t="s">
        <v>235</v>
      </c>
      <c r="D3" s="34" t="s">
        <v>276</v>
      </c>
      <c r="E3" s="34" t="s">
        <v>276</v>
      </c>
      <c r="F3" s="34" t="s">
        <v>276</v>
      </c>
      <c r="G3" s="34" t="s">
        <v>276</v>
      </c>
      <c r="H3" s="34" t="s">
        <v>276</v>
      </c>
      <c r="I3" s="34" t="s">
        <v>276</v>
      </c>
      <c r="J3" s="34" t="s">
        <v>276</v>
      </c>
      <c r="K3" s="34" t="s">
        <v>276</v>
      </c>
      <c r="L3" s="34" t="s">
        <v>276</v>
      </c>
      <c r="M3" s="34" t="s">
        <v>276</v>
      </c>
      <c r="N3" s="34" t="s">
        <v>276</v>
      </c>
      <c r="O3" s="34" t="s">
        <v>276</v>
      </c>
      <c r="P3" s="34" t="s">
        <v>276</v>
      </c>
      <c r="Q3" s="34" t="s">
        <v>276</v>
      </c>
      <c r="R3" s="34" t="s">
        <v>276</v>
      </c>
      <c r="S3" s="34" t="s">
        <v>276</v>
      </c>
      <c r="T3" s="34" t="s">
        <v>276</v>
      </c>
      <c r="U3" s="34" t="s">
        <v>276</v>
      </c>
      <c r="V3" s="35" t="s">
        <v>276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E4"/>
  <sheetViews>
    <sheetView workbookViewId="0">
      <selection activeCell="D2" sqref="D2"/>
    </sheetView>
  </sheetViews>
  <sheetFormatPr defaultRowHeight="14.4"/>
  <cols>
    <col min="2" max="2" customWidth="true" width="26.6640625" collapsed="true"/>
    <col min="3" max="3" customWidth="true" width="26.44140625" collapsed="true"/>
    <col min="4" max="4" bestFit="true" customWidth="true" width="33.109375" collapsed="true"/>
  </cols>
  <sheetData>
    <row ht="15" r="1" spans="1:4" thickBot="1">
      <c r="A1" s="11" t="s">
        <v>33</v>
      </c>
      <c r="B1" s="113" t="s">
        <v>197</v>
      </c>
      <c r="C1" s="113" t="s">
        <v>198</v>
      </c>
      <c r="D1" s="13" t="s">
        <v>240</v>
      </c>
    </row>
    <row customHeight="1" ht="13.2" r="2" spans="1:4">
      <c r="A2" s="8">
        <v>1</v>
      </c>
      <c r="B2" s="61" t="str">
        <f>'TC52-Upload Obound Setup'!B2</f>
        <v>B-231106-TBC-12</v>
      </c>
      <c r="C2" s="100" t="str">
        <f>'TC52-Upload Obound Form'!D2</f>
        <v>SEGU5069987</v>
      </c>
      <c r="D2" s="62" t="s">
        <v>250</v>
      </c>
    </row>
    <row r="3" spans="1:4">
      <c r="A3" s="9">
        <v>2</v>
      </c>
      <c r="B3" s="27" t="str">
        <f>'TC52-Upload Obound Setup'!B2</f>
        <v>B-231106-TBC-12</v>
      </c>
      <c r="C3" s="98" t="str">
        <f>'TC52-Upload Obound Form'!D3</f>
        <v>CNO1234</v>
      </c>
      <c r="D3" s="58" t="s">
        <v>219</v>
      </c>
    </row>
    <row ht="15" r="4" spans="1:4" thickBot="1">
      <c r="A4" s="10">
        <v>3</v>
      </c>
      <c r="B4" s="28" t="str">
        <f>'TC52-Upload Obound Setup'!B2</f>
        <v>B-231106-TBC-12</v>
      </c>
      <c r="C4" s="99"/>
      <c r="D4" s="29" t="s">
        <v>219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2756-F081-489F-B58C-E4B4585C2469}">
  <dimension ref="A1:R2"/>
  <sheetViews>
    <sheetView workbookViewId="0">
      <selection activeCell="D3" sqref="D3"/>
    </sheetView>
  </sheetViews>
  <sheetFormatPr defaultRowHeight="14.4"/>
  <cols>
    <col min="1" max="1" customWidth="true" width="34.44140625" collapsed="true"/>
    <col min="2" max="2" customWidth="true" width="22.88671875" collapsed="true"/>
    <col min="3" max="3" customWidth="true" width="23.33203125" collapsed="true"/>
    <col min="4" max="4" customWidth="true" width="15.0" collapsed="true"/>
    <col min="13" max="13" customWidth="true" width="22.33203125" collapsed="true"/>
  </cols>
  <sheetData>
    <row r="1" spans="1:17">
      <c r="A1" s="185" t="s">
        <v>309</v>
      </c>
      <c r="B1" s="191" t="s">
        <v>322</v>
      </c>
      <c r="C1" s="185" t="s">
        <v>310</v>
      </c>
      <c r="D1" s="185" t="s">
        <v>311</v>
      </c>
      <c r="E1" s="185" t="s">
        <v>312</v>
      </c>
      <c r="F1" s="185" t="s">
        <v>313</v>
      </c>
      <c r="G1" s="185" t="s">
        <v>314</v>
      </c>
      <c r="H1" s="185" t="s">
        <v>41</v>
      </c>
      <c r="I1" s="185" t="s">
        <v>315</v>
      </c>
      <c r="J1" s="185" t="s">
        <v>316</v>
      </c>
      <c r="K1" s="185" t="s">
        <v>317</v>
      </c>
      <c r="L1" s="185" t="s">
        <v>318</v>
      </c>
      <c r="M1" s="185" t="s">
        <v>319</v>
      </c>
    </row>
    <row customFormat="1" customHeight="1" ht="57.75" r="2" s="192" spans="1:17">
      <c r="A2" s="187" t="str">
        <f>'TC03-Company'!$C$2</f>
        <v>PK-PK-CUS-S13-5</v>
      </c>
      <c r="B2" s="187" t="str">
        <f>'TC03-Company'!$Q$2</f>
        <v>PK-SUP-POC-5</v>
      </c>
      <c r="C2" s="187" t="str">
        <f>'TC03-Company'!$D$2</f>
        <v>PK-CUS by Upload S13-5</v>
      </c>
      <c r="D2" s="187" t="str">
        <f>'TC03-Company'!$E$2</f>
        <v>PK5</v>
      </c>
      <c r="E2" s="188" t="s">
        <v>324</v>
      </c>
      <c r="F2" s="188" t="s">
        <v>325</v>
      </c>
      <c r="G2" s="188" t="s">
        <v>326</v>
      </c>
      <c r="H2" s="189" t="s">
        <v>63</v>
      </c>
      <c r="I2" s="189" t="s">
        <v>254</v>
      </c>
      <c r="J2" s="188" t="s">
        <v>327</v>
      </c>
      <c r="K2" s="188" t="s">
        <v>328</v>
      </c>
      <c r="L2" s="188" t="s">
        <v>329</v>
      </c>
      <c r="M2" s="188" t="s">
        <v>330</v>
      </c>
      <c r="O2" s="193"/>
      <c r="Q2" s="194"/>
    </row>
  </sheetData>
  <dataValidations count="1">
    <dataValidation allowBlank="1" showErrorMessage="1" sqref="G2" type="list" xr:uid="{3A435968-4F1C-485F-B84D-1A30A5C29BC8}">
      <formula1>tiemzone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198F-F8EB-44E1-833E-4D97F8A8542A}">
  <dimension ref="A1:V2"/>
  <sheetViews>
    <sheetView workbookViewId="0">
      <selection activeCell="B16" sqref="B16"/>
    </sheetView>
  </sheetViews>
  <sheetFormatPr defaultRowHeight="14.4"/>
  <cols>
    <col min="1" max="2" customWidth="true" width="30.88671875" collapsed="true"/>
    <col min="3" max="3" customWidth="true" width="24.109375" collapsed="true"/>
    <col min="4" max="4" customWidth="true" width="27.33203125" collapsed="true"/>
    <col min="5" max="5" customWidth="true" width="27.5546875" collapsed="true"/>
    <col min="7" max="7" customWidth="true" width="32.88671875" collapsed="true"/>
    <col min="13" max="13" customWidth="true" width="14.33203125" collapsed="true"/>
    <col min="14" max="14" customWidth="true" width="17.6640625" collapsed="true"/>
    <col min="20" max="20" customWidth="true" width="29.0" collapsed="true"/>
  </cols>
  <sheetData>
    <row r="1" spans="1:21">
      <c r="A1" s="185" t="s">
        <v>309</v>
      </c>
      <c r="B1" s="171" t="s">
        <v>323</v>
      </c>
      <c r="C1" s="185" t="s">
        <v>320</v>
      </c>
      <c r="D1" s="185" t="s">
        <v>310</v>
      </c>
      <c r="E1" s="185" t="s">
        <v>311</v>
      </c>
      <c r="F1" s="185" t="s">
        <v>312</v>
      </c>
      <c r="G1" s="185" t="s">
        <v>313</v>
      </c>
      <c r="H1" s="185" t="s">
        <v>314</v>
      </c>
      <c r="I1" s="185" t="s">
        <v>41</v>
      </c>
      <c r="J1" s="185" t="s">
        <v>315</v>
      </c>
      <c r="K1" s="185" t="s">
        <v>316</v>
      </c>
      <c r="L1" s="185" t="s">
        <v>317</v>
      </c>
      <c r="M1" s="185" t="s">
        <v>318</v>
      </c>
      <c r="N1" s="185" t="s">
        <v>319</v>
      </c>
      <c r="O1" s="195"/>
      <c r="P1" s="195"/>
      <c r="Q1" s="195"/>
      <c r="R1" s="195"/>
      <c r="S1" s="195"/>
      <c r="T1" s="195"/>
      <c r="U1" s="195"/>
    </row>
    <row ht="66" r="2" spans="1:21">
      <c r="A2" s="187" t="str">
        <f>'TC03-Company'!$C$2</f>
        <v>PK-PK-CUS-S13-5</v>
      </c>
      <c r="B2" s="187" t="str">
        <f>'TC03-Company'!$R$2</f>
        <v>PK-DC5</v>
      </c>
      <c r="C2" s="187" t="str">
        <f>'TC04-Customer'!$B$2</f>
        <v>PK-CUS-POC-S13-5</v>
      </c>
      <c r="D2" s="187" t="str">
        <f>'TC03-Company'!$D$2</f>
        <v>PK-CUS by Upload S13-5</v>
      </c>
      <c r="E2" s="187" t="str">
        <f>'TC03-Company'!$E$2</f>
        <v>PK5</v>
      </c>
      <c r="F2" s="188" t="s">
        <v>324</v>
      </c>
      <c r="G2" s="188" t="s">
        <v>325</v>
      </c>
      <c r="H2" s="188" t="s">
        <v>326</v>
      </c>
      <c r="I2" s="189" t="s">
        <v>63</v>
      </c>
      <c r="J2" s="189" t="s">
        <v>254</v>
      </c>
      <c r="K2" s="188" t="s">
        <v>327</v>
      </c>
      <c r="L2" s="188" t="s">
        <v>328</v>
      </c>
      <c r="M2" s="188" t="s">
        <v>329</v>
      </c>
      <c r="N2" s="188" t="s">
        <v>330</v>
      </c>
      <c r="O2" s="196"/>
      <c r="T2" s="196"/>
      <c r="U2" s="196"/>
    </row>
  </sheetData>
  <dataValidations count="2">
    <dataValidation allowBlank="1" showErrorMessage="1" sqref="U2" type="list" xr:uid="{4FB4A5E7-2514-40AE-B281-D476E3954F3E}">
      <formula1>ACTIVE_FLAG</formula1>
    </dataValidation>
    <dataValidation allowBlank="1" showErrorMessage="1" sqref="T1:T2 H2" type="list" xr:uid="{6931F143-4CFB-40AE-8033-425724D2AFAF}">
      <formula1>tiemzone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K2"/>
  <sheetViews>
    <sheetView workbookViewId="0" zoomScale="130" zoomScaleNormal="130">
      <selection activeCell="E18" sqref="E18"/>
    </sheetView>
  </sheetViews>
  <sheetFormatPr defaultRowHeight="14.4"/>
  <cols>
    <col min="1" max="2" bestFit="true" customWidth="true" width="12.44140625" collapsed="true"/>
    <col min="3" max="3" bestFit="true" customWidth="true" width="25.6640625" collapsed="true"/>
    <col min="4" max="4" bestFit="true" customWidth="true" width="17.6640625" collapsed="true"/>
    <col min="5" max="5" bestFit="true" customWidth="true" width="22.33203125" collapsed="true"/>
    <col min="6" max="6" bestFit="true" customWidth="true" width="41.6640625" collapsed="true"/>
    <col min="7" max="7" bestFit="true" customWidth="true" width="8.88671875" collapsed="true"/>
    <col min="8" max="8" bestFit="true" customWidth="true" width="21.5546875" collapsed="true"/>
    <col min="9" max="9" bestFit="true" customWidth="true" width="18.33203125" collapsed="true"/>
    <col min="10" max="10" customWidth="true" width="48.44140625" collapsed="true"/>
  </cols>
  <sheetData>
    <row ht="15" r="1" spans="1:10" thickBot="1">
      <c r="A1" s="14" t="s">
        <v>14</v>
      </c>
      <c r="B1" s="15" t="s">
        <v>15</v>
      </c>
      <c r="C1" s="15" t="s">
        <v>16</v>
      </c>
      <c r="D1" s="197" t="s">
        <v>17</v>
      </c>
      <c r="E1" s="197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ht="58.2" r="2" spans="1:10" thickBot="1">
      <c r="A2" s="20" t="s">
        <v>24</v>
      </c>
      <c r="B2" s="21" t="s">
        <v>24</v>
      </c>
      <c r="C2" s="22" t="s">
        <v>25</v>
      </c>
      <c r="D2" s="21" t="str">
        <f>'TC04-Customer'!$B$2</f>
        <v>PK-CUS-POC-S13-5</v>
      </c>
      <c r="E2" s="21" t="str">
        <f>'TC04-Customer'!$C$2</f>
        <v>PK-CUS by Upload S13-5</v>
      </c>
      <c r="F2" s="21" t="str">
        <f>D2&amp;" ( "&amp;E2&amp;"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:id="rId1" ref="C2" xr:uid="{4D98E823-CA4F-482C-9BAD-E97C9E972293}"/>
  </hyperlinks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69</vt:i4>
      </vt:variant>
    </vt:vector>
  </HeadingPairs>
  <TitlesOfParts>
    <vt:vector baseType="lpstr" size="69">
      <vt:lpstr>Indicator</vt:lpstr>
      <vt:lpstr>AutoGen</vt:lpstr>
      <vt:lpstr>AutoIncrement</vt:lpstr>
      <vt:lpstr>TC03-Company</vt:lpstr>
      <vt:lpstr>TC04-Customer</vt:lpstr>
      <vt:lpstr>TC05-BU</vt:lpstr>
      <vt:lpstr>TC06-Supplier</vt:lpstr>
      <vt:lpstr>TC07-DC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Ahmad Fahmi Ab Aziz</dc:creator>
  <cp:lastModifiedBy>Muhammad Syazwan Rusdi</cp:lastModifiedBy>
  <dcterms:modified xsi:type="dcterms:W3CDTF">2023-11-14T03:25:57Z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0x01010097067AA9A672F346A1B58BE42AD9877C</vt:lpwstr>
  </property>
</Properties>
</file>