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74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79.xml"/>
  <Override ContentType="application/vnd.openxmlformats-officedocument.spreadsheetml.worksheet+xml" PartName="/xl/worksheets/sheet180.xml"/>
  <Override ContentType="application/vnd.openxmlformats-officedocument.spreadsheetml.worksheet+xml" PartName="/xl/worksheets/sheet181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92.xml"/>
  <Override ContentType="application/vnd.openxmlformats-officedocument.spreadsheetml.worksheet+xml" PartName="/xl/worksheets/sheet193.xml"/>
  <Override ContentType="application/vnd.openxmlformats-officedocument.spreadsheetml.worksheet+xml" PartName="/xl/worksheets/sheet19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Testbit_SR\git\tb-ttap-brivge-v2 - old poi\Excel Files\Scenario 10\"/>
    </mc:Choice>
  </mc:AlternateContent>
  <xr:revisionPtr documentId="13_ncr:1_{381029F9-E179-4946-87C3-37CA6297FE98}" revIDLastSave="0" xr10:uidLastSave="{00000000-0000-0000-0000-000000000000}" xr6:coauthVersionLast="47" xr6:coauthVersionMax="47"/>
  <bookViews>
    <workbookView windowHeight="12456" windowWidth="23256" xWindow="-23148" xr2:uid="{D91DBB81-1EAD-47E0-8243-635DFA859784}" yWindow="-108"/>
  </bookViews>
  <sheets>
    <sheet name="AutoIncrement" r:id="rId1" sheetId="1"/>
    <sheet name="TC001" r:id="rId2" sheetId="2"/>
    <sheet name="TC002" r:id="rId3" sheetId="3"/>
    <sheet name="TC003" r:id="rId4" sheetId="4"/>
    <sheet name="TC004" r:id="rId5" sheetId="5"/>
    <sheet name="TC005-Req to Parts Master" r:id="rId6" sheetId="6"/>
    <sheet name="TC005-Description" r:id="rId7" sheetId="7"/>
    <sheet name="TC005-Autogen" r:id="rId8" sheetId="8"/>
    <sheet name="TC007-Contract Parts Info" r:id="rId9" sheetId="9"/>
    <sheet name="TC007-Received Req Info" r:id="rId10" sheetId="10"/>
    <sheet name="TC007-Setup Data" r:id="rId11" sheetId="11"/>
    <sheet name="TC008" r:id="rId12" sheetId="12"/>
    <sheet name="TC008-PartDetail" r:id="rId13" sheetId="13"/>
    <sheet name="TC009" r:id="rId14" sheetId="14"/>
    <sheet name="TC010" r:id="rId15" sheetId="15"/>
    <sheet name="TC010.1" r:id="rId16" sheetId="16"/>
    <sheet name="TC010.1ETAWeek" r:id="rId17" sheetId="17"/>
    <sheet name="TC10.2" r:id="rId18" sheetId="18"/>
    <sheet name="TC011" r:id="rId19" sheetId="19"/>
    <sheet name="TC011-Setup Data" r:id="rId20" sheetId="20"/>
    <sheet name="TC011-Received Req Info (SUP1)" r:id="rId21" sheetId="21"/>
    <sheet name="TC011.1" r:id="rId22" sheetId="23"/>
    <sheet name="TC011.1ETAWeek" r:id="rId23" sheetId="22"/>
    <sheet name="TC11.2" r:id="rId24" sheetId="24"/>
    <sheet name="TC012" r:id="rId25" sheetId="25"/>
    <sheet name="TC012-Received Req Info (SUP2)" r:id="rId26" sheetId="26"/>
    <sheet name="TC012-Setup Data" r:id="rId27" sheetId="27"/>
    <sheet name="TC013-DT_ELA" r:id="rId28" sheetId="152"/>
    <sheet name="TC013-DT_YAZ" r:id="rId29" sheetId="153"/>
    <sheet name="TC014" r:id="rId30" sheetId="30"/>
    <sheet name="TC014-DT" r:id="rId31" sheetId="31"/>
    <sheet name="TC015" r:id="rId32" sheetId="32"/>
    <sheet name="TC015-DT" r:id="rId33" sheetId="33"/>
    <sheet name="TC016" r:id="rId34" sheetId="34"/>
    <sheet name="TC017" r:id="rId35" sheetId="35"/>
    <sheet name="TC018" r:id="rId36" sheetId="36"/>
    <sheet name="TC019" r:id="rId37" sheetId="37"/>
    <sheet name="TC20-Req Add New Part (L2)" r:id="rId38" sheetId="38"/>
    <sheet name="TC20-Req Add New Part Info (L2)" r:id="rId39" sheetId="39"/>
    <sheet name="TC20-Autogen Data" r:id="rId40" sheetId="40"/>
    <sheet name="TC021-Contrct Part Info L2 (BU)" r:id="rId41" sheetId="41"/>
    <sheet name="TC021-Received Req Info L2 (BU)" r:id="rId42" sheetId="42"/>
    <sheet name="TC021-Setup Data" r:id="rId43" sheetId="43"/>
    <sheet name="TC022" r:id="rId44" sheetId="44"/>
    <sheet name="TC024" r:id="rId45" sheetId="45"/>
    <sheet name="TC025" r:id="rId46" sheetId="46"/>
    <sheet name="TC026-L3" r:id="rId47" sheetId="184"/>
    <sheet name="TC026-L2" r:id="rId48" sheetId="185"/>
    <sheet name="TC027-materialFieldLvl1" r:id="rId49" sheetId="139"/>
    <sheet name="TC027-materialFieldLvl2" r:id="rId50" sheetId="47"/>
    <sheet name="TC027-Field" r:id="rId51" sheetId="48"/>
    <sheet name="TC027-Level 1" r:id="rId52" sheetId="49"/>
    <sheet name="TC027-Level 2" r:id="rId53" sheetId="50"/>
    <sheet name="TC027-product plan" r:id="rId54" sheetId="51"/>
    <sheet name="TC027-AutoGen" r:id="rId55" sheetId="52"/>
    <sheet name="TC028" r:id="rId56" sheetId="53"/>
    <sheet name="TC029" r:id="rId57" sheetId="171"/>
    <sheet name="TC030-L3" r:id="rId58" sheetId="172"/>
    <sheet name="TC30-L2" r:id="rId59" sheetId="154"/>
    <sheet name="TC031-Create Order Calc Group" r:id="rId60" sheetId="54"/>
    <sheet name="TC033-Up Stock Mngmt Calc Set" r:id="rId61" sheetId="55"/>
    <sheet name="TC034-Create Order Calculation" r:id="rId62" sheetId="56"/>
    <sheet name="TC36" r:id="rId63" sheetId="116"/>
    <sheet name="TC037" r:id="rId64" sheetId="57"/>
    <sheet name="TC038" r:id="rId65" sheetId="58"/>
    <sheet name="TC041-L3" r:id="rId66" sheetId="186"/>
    <sheet name="TC41-L2" r:id="rId67" sheetId="155"/>
    <sheet name="TC42" r:id="rId68" sheetId="140"/>
    <sheet name="TC043" r:id="rId69" sheetId="59"/>
    <sheet name="TC046-L3" r:id="rId70" sheetId="187"/>
    <sheet name="TC46-L2" r:id="rId71" sheetId="156"/>
    <sheet name="TC47" r:id="rId72" sheetId="141"/>
    <sheet name="TC048" r:id="rId73" sheetId="60"/>
    <sheet name="TC049 autogen" r:id="rId74" sheetId="61"/>
    <sheet name="TC049" r:id="rId75" sheetId="142"/>
    <sheet name="TC050-Sup1 SO List" r:id="rId76" sheetId="62"/>
    <sheet name="TC051_price" r:id="rId77" sheetId="63"/>
    <sheet name="TC051" r:id="rId78" sheetId="64"/>
    <sheet name="TC057-L3" r:id="rId79" sheetId="188"/>
    <sheet name="TC057-L2" r:id="rId80" sheetId="157"/>
    <sheet name="TC058n59" r:id="rId81" sheetId="118"/>
    <sheet name="TC59 AutoGen" r:id="rId82" sheetId="143"/>
    <sheet name="TC060" r:id="rId83" sheetId="119"/>
    <sheet name="TC061" r:id="rId84" sheetId="120"/>
    <sheet name="TC063" r:id="rId85" sheetId="121"/>
    <sheet name="TC065" r:id="rId86" sheetId="122"/>
    <sheet name="TC067" r:id="rId87" sheetId="123"/>
    <sheet name="TC071" r:id="rId88" sheetId="124"/>
    <sheet name="TC072-Spot OCRN" r:id="rId89" sheetId="66"/>
    <sheet name="TC072-Place Spot Order" r:id="rId90" sheetId="65"/>
    <sheet name="TC072-Inbound Plan Date" r:id="rId91" sheetId="67"/>
    <sheet name="TC072-Spot Customer Usage" r:id="rId92" sheetId="68"/>
    <sheet name="TC073 AutoGen" r:id="rId93" sheetId="125"/>
    <sheet name="TC073" r:id="rId94" sheetId="144"/>
    <sheet name="TC074_price" r:id="rId95" sheetId="146"/>
    <sheet name="TC074" r:id="rId96" sheetId="145"/>
    <sheet name="TC075" r:id="rId97" sheetId="147"/>
    <sheet name="TC077" r:id="rId98" sheetId="126"/>
    <sheet name="TC078-BU AutoGen PO" r:id="rId99" sheetId="69"/>
    <sheet name="TC079-AutoGen" r:id="rId100" sheetId="149"/>
    <sheet name="TC080" r:id="rId101" sheetId="151"/>
    <sheet name="TC080-AutoGen" r:id="rId102" sheetId="158"/>
    <sheet name="TC081-BU Check PO" r:id="rId103" sheetId="70"/>
    <sheet name="TC082" r:id="rId104" sheetId="127"/>
    <sheet name="TC083" r:id="rId105" sheetId="128"/>
    <sheet name="TC083-Date" r:id="rId106" sheetId="129"/>
    <sheet name="TC084-Change Request No" r:id="rId107" sheetId="71"/>
    <sheet name="TC084-Sup1 AutoGen Change" r:id="rId108" sheetId="72"/>
    <sheet name="TC085-BU AutoGen Change" r:id="rId109" sheetId="73"/>
    <sheet name="TC088-BU Propose New Date" r:id="rId110" sheetId="74"/>
    <sheet name="TC089-Sup1 Check Change" r:id="rId111" sheetId="75"/>
    <sheet name="TC092-Supplier Date Change" r:id="rId112" sheetId="77"/>
    <sheet name="TC094-BU Check Change" r:id="rId113" sheetId="76"/>
    <sheet name="TC099-BU Check PO" r:id="rId114" sheetId="78"/>
    <sheet name="TC100" r:id="rId115" sheetId="130"/>
    <sheet name="TC102-Outbound No" r:id="rId116" sheetId="80"/>
    <sheet name="TC102-Supplier1 Outbound" r:id="rId117" sheetId="79"/>
    <sheet name="TC102-Supplier1 GI Invoice" r:id="rId118" sheetId="81"/>
    <sheet name="TC105n106_NonFContainer" r:id="rId119" sheetId="133"/>
    <sheet name="TC105_PO" r:id="rId120" sheetId="134"/>
    <sheet name="TC106_SO" r:id="rId121" sheetId="135"/>
    <sheet name="TC107" r:id="rId122" sheetId="136"/>
    <sheet name="TC110" r:id="rId123" sheetId="137"/>
    <sheet name="TC111-Change Request No" r:id="rId124" sheetId="82"/>
    <sheet name="TC111-BU AutoGen Change" r:id="rId125" sheetId="83"/>
    <sheet name="TC113-BU Check PO" r:id="rId126" sheetId="84"/>
    <sheet name="TC114" r:id="rId127" sheetId="189"/>
    <sheet name="TC114.1-Get SOid YAZ" r:id="rId128" sheetId="159"/>
    <sheet name="TC115-Supplier2 Outbound" r:id="rId129" sheetId="85"/>
    <sheet name="TC115-Outbound No" r:id="rId130" sheetId="86"/>
    <sheet name="TC117_PO" r:id="rId131" sheetId="190"/>
    <sheet name="TC117-BU AutoGen Cargo Tracking" r:id="rId132" sheetId="87"/>
    <sheet name="TC118-Supplier2 Cargo Tracking" r:id="rId133" sheetId="88"/>
    <sheet name="TC118_SO" r:id="rId134" sheetId="191"/>
    <sheet name="TC119-TC121" r:id="rId135" sheetId="161"/>
    <sheet name="TC121.1 autoGen Invoice" r:id="rId136" sheetId="163"/>
    <sheet name="TC122-AutoGen" r:id="rId137" sheetId="164"/>
    <sheet name="TC123-Supplier2 GI Invoice" r:id="rId138" sheetId="89"/>
    <sheet name="TC126" r:id="rId139" sheetId="165"/>
    <sheet name="TC126-Setup" r:id="rId140" sheetId="166"/>
    <sheet name="TC129" r:id="rId141" sheetId="170"/>
    <sheet name="TC132-BU Check Cargo Tracking" r:id="rId142" sheetId="90"/>
    <sheet name="TC132_PO" r:id="rId143" sheetId="192"/>
    <sheet name="TC134_SO" r:id="rId144" sheetId="193"/>
    <sheet name="TC138-L3" r:id="rId145" sheetId="203"/>
    <sheet name="TC138-L2" r:id="rId146" sheetId="205"/>
    <sheet name="TC142_PO" r:id="rId147" sheetId="194"/>
    <sheet name="TC144_SO" r:id="rId148" sheetId="195"/>
    <sheet name="TC147-BU Check Cargo Tracking" r:id="rId149" sheetId="91"/>
    <sheet name="TC147_PO" r:id="rId150" sheetId="196"/>
    <sheet name="TC148-Supplier1 Cargo Tracking" r:id="rId151" sheetId="92"/>
    <sheet name="TC149_SO" r:id="rId152" sheetId="197"/>
    <sheet name="TC149-Supplier2 Cargo Tracking" r:id="rId153" sheetId="93"/>
    <sheet name="TC150-DC Inbound" r:id="rId154" sheetId="94"/>
    <sheet name="TC154-Upload Customer Stock" r:id="rId155" sheetId="95"/>
    <sheet name="TC154-Stock Date" r:id="rId156" sheetId="96"/>
    <sheet name="TC155-Upload Stock Adjustment" r:id="rId157" sheetId="97"/>
    <sheet name="TC155-Adjustment Date" r:id="rId158" sheetId="98"/>
    <sheet name="TC158-L3" r:id="rId159" sheetId="204"/>
    <sheet name="TC158-L2" r:id="rId160" sheetId="206"/>
    <sheet name="TC159-Customer DI Parts" r:id="rId161" sheetId="99"/>
    <sheet name="TC159-DI Parts Date" r:id="rId162" sheetId="100"/>
    <sheet name="TC159-AutoGenerate" r:id="rId163" sheetId="176"/>
    <sheet name="TC160" r:id="rId164" sheetId="101"/>
    <sheet name="TC162" r:id="rId165" sheetId="102"/>
    <sheet name="TC164-DC Outbound Prio" r:id="rId166" sheetId="103"/>
    <sheet name="TC165-DC Outbound L2" r:id="rId167" sheetId="177"/>
    <sheet name="TC165-Outbound List" r:id="rId168" sheetId="108"/>
    <sheet name="TC166-Customer Check CO1" r:id="rId169" sheetId="104"/>
    <sheet name="TC166-Customer Check CO2" r:id="rId170" sheetId="105"/>
    <sheet name="TC167-BU Check SO1" r:id="rId171" sheetId="106"/>
    <sheet name="TC167-BU Check SO2" r:id="rId172" sheetId="107"/>
    <sheet name="TC168_SO" r:id="rId173" sheetId="199"/>
    <sheet name="TC169_CO" r:id="rId174" sheetId="198"/>
    <sheet name="TC170" r:id="rId175" sheetId="178"/>
    <sheet name="TC172-Seller GI Invoice" r:id="rId176" sheetId="109"/>
    <sheet name="TC176-Customer Inbound L2" r:id="rId177" sheetId="179"/>
    <sheet name="TC176-AutoGenCO" r:id="rId178" sheetId="180"/>
    <sheet name="TC177-Customer Check CO1" r:id="rId179" sheetId="110"/>
    <sheet name="TC177-Customer Check CO2" r:id="rId180" sheetId="111"/>
    <sheet name="TC178-BU Check SO1" r:id="rId181" sheetId="112"/>
    <sheet name="TC178-BU Check SO2" r:id="rId182" sheetId="113"/>
    <sheet name="TC179-Customer Shipping Detail" r:id="rId183" sheetId="114"/>
    <sheet name="TC180" r:id="rId184" sheetId="200"/>
    <sheet name="TC181-Customer Cargo Tracking" r:id="rId185" sheetId="115"/>
    <sheet name="TC181_CO" r:id="rId186" sheetId="202"/>
    <sheet name="TC182_SO" r:id="rId187" sheetId="201"/>
    <sheet name="TC184" r:id="rId188" sheetId="181"/>
    <sheet name="TC185" r:id="rId189" sheetId="182"/>
    <sheet name="TC187" r:id="rId190" sheetId="183"/>
    <sheet name="ContractList" r:id="rId191" sheetId="148"/>
    <sheet name="TC105_ForecastContainer" r:id="rId192" sheetId="131"/>
    <sheet name="TC105_Forecast-Manual" r:id="rId193" sheetId="132"/>
    <sheet name="TC126 Ori" r:id="rId194" sheetId="167"/>
  </sheets>
  <definedNames>
    <definedName hidden="1" localSheetId="44" name="_xlnm._FilterDatabase">'TC024'!$A$1:$L$1</definedName>
    <definedName hidden="1" localSheetId="52" name="_xlnm._FilterDatabase">'TC027-Level 2'!$A$1:$H$22</definedName>
    <definedName localSheetId="166" name="activeFlagListArr">#REF!</definedName>
    <definedName localSheetId="176" name="activeFlagListArr">#REF!</definedName>
    <definedName name="activeFlagListArr">#REF!</definedName>
    <definedName localSheetId="166" name="activeFlagStrArr">#REF!</definedName>
    <definedName localSheetId="176" name="activeFlagStrArr">#REF!</definedName>
    <definedName name="activeFlagStrArr">#REF!</definedName>
    <definedName localSheetId="166" name="CURRENCY_CODE">#REF!</definedName>
    <definedName localSheetId="176" name="CURRENCY_CODE">#REF!</definedName>
    <definedName name="CURRENCY_CODE">#REF!</definedName>
    <definedName localSheetId="166" name="findAllUomArr">#REF!</definedName>
    <definedName name="findAllUomArr">#REF!</definedName>
    <definedName localSheetId="11" name="PAIRED_FLAG">#REF!</definedName>
    <definedName localSheetId="12" name="PAIRED_FLAG">#REF!</definedName>
    <definedName localSheetId="33" name="PAIRED_FLAG">#REF!</definedName>
    <definedName localSheetId="43" name="PAIRED_FLAG">#REF!</definedName>
    <definedName localSheetId="44" name="PAIRED_FLAG">#REF!</definedName>
    <definedName localSheetId="45" name="PAIRED_FLAG">#REF!</definedName>
    <definedName localSheetId="55" name="PAIRED_FLAG">#REF!</definedName>
    <definedName localSheetId="72" name="PAIRED_FLAG">#REF!</definedName>
    <definedName localSheetId="17" name="PAIRED_FLAG">#REF!</definedName>
    <definedName localSheetId="114" name="PAIRED_FLAG">#REF!</definedName>
    <definedName localSheetId="139" name="PAIRED_FLAG">#REF!</definedName>
    <definedName localSheetId="166" name="PAIRED_FLAG">#REF!</definedName>
    <definedName localSheetId="62" name="PAIRED_FLAG">#REF!</definedName>
    <definedName localSheetId="67" name="PAIRED_FLAG">#REF!</definedName>
    <definedName localSheetId="71" name="PAIRED_FLAG">#REF!</definedName>
    <definedName name="PAIRED_FLAG">#REF!</definedName>
    <definedName localSheetId="11" name="PAIRED_ORDER_FLAG">#REF!</definedName>
    <definedName localSheetId="12" name="PAIRED_ORDER_FLAG">#REF!</definedName>
    <definedName localSheetId="33" name="PAIRED_ORDER_FLAG">#REF!</definedName>
    <definedName localSheetId="43" name="PAIRED_ORDER_FLAG">#REF!</definedName>
    <definedName localSheetId="44" name="PAIRED_ORDER_FLAG">#REF!</definedName>
    <definedName localSheetId="45" name="PAIRED_ORDER_FLAG">#REF!</definedName>
    <definedName localSheetId="55" name="PAIRED_ORDER_FLAG">#REF!</definedName>
    <definedName localSheetId="72" name="PAIRED_ORDER_FLAG">#REF!</definedName>
    <definedName localSheetId="17" name="PAIRED_ORDER_FLAG">#REF!</definedName>
    <definedName localSheetId="114" name="PAIRED_ORDER_FLAG">#REF!</definedName>
    <definedName localSheetId="139" name="PAIRED_ORDER_FLAG">#REF!</definedName>
    <definedName localSheetId="166" name="PAIRED_ORDER_FLAG">#REF!</definedName>
    <definedName localSheetId="62" name="PAIRED_ORDER_FLAG">#REF!</definedName>
    <definedName localSheetId="67" name="PAIRED_ORDER_FLAG">#REF!</definedName>
    <definedName localSheetId="71" name="PAIRED_ORDER_FLAG">#REF!</definedName>
    <definedName name="PAIRED_ORDER_FLAG">#REF!</definedName>
    <definedName localSheetId="166" name="pairedPartsFlagStrArr">#REF!</definedName>
    <definedName name="pairedPartsFlagStrArr">#REF!</definedName>
    <definedName localSheetId="166" name="partsTypeArr">#REF!</definedName>
    <definedName name="partsTypeArr">#REF!</definedName>
    <definedName localSheetId="166" name="REPACKING_TYPE">#REF!</definedName>
    <definedName name="REPACKING_TYPE">#REF!</definedName>
    <definedName localSheetId="166" name="rolledPartsFlagArr">#REF!</definedName>
    <definedName name="rolledPartsFlagArr">#REF!</definedName>
    <definedName localSheetId="166" name="rolledPartsUomArr">#REF!</definedName>
    <definedName name="rolledPartsUomArr">#REF!</definedName>
    <definedName localSheetId="11" name="UOM_CODE">#REF!</definedName>
    <definedName localSheetId="12" name="UOM_CODE">#REF!</definedName>
    <definedName localSheetId="33" name="UOM_CODE">#REF!</definedName>
    <definedName localSheetId="43" name="UOM_CODE">#REF!</definedName>
    <definedName localSheetId="44" name="UOM_CODE">#REF!</definedName>
    <definedName localSheetId="45" name="UOM_CODE">#REF!</definedName>
    <definedName localSheetId="55" name="UOM_CODE">#REF!</definedName>
    <definedName localSheetId="72" name="UOM_CODE">#REF!</definedName>
    <definedName localSheetId="17" name="UOM_CODE">#REF!</definedName>
    <definedName localSheetId="114" name="UOM_CODE">#REF!</definedName>
    <definedName localSheetId="139" name="UOM_CODE">#REF!</definedName>
    <definedName localSheetId="166" name="UOM_CODE">#REF!</definedName>
    <definedName localSheetId="62" name="UOM_CODE">#REF!</definedName>
    <definedName localSheetId="67" name="UOM_CODE">#REF!</definedName>
    <definedName localSheetId="71" name="UOM_CODE">#REF!</definedName>
    <definedName name="UOM_CODE">#REF!</definedName>
  </definedNames>
  <calcPr calcId="191029" calcMode="manual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02" l="1" r="A5"/>
  <c i="202" r="A4"/>
  <c i="202" r="A3"/>
  <c i="202" r="A2"/>
  <c i="202" r="B5"/>
  <c i="202" r="B4"/>
  <c i="201" r="B5"/>
  <c i="201" r="A5"/>
  <c i="201" r="B4"/>
  <c i="201" r="A4"/>
  <c i="201" r="A3"/>
  <c i="201" r="A2"/>
  <c i="200" r="C5"/>
  <c i="200" r="B5"/>
  <c i="200" r="C4"/>
  <c i="200" r="B4"/>
  <c i="200" r="B3"/>
  <c i="200" r="B2"/>
  <c i="199" r="A3"/>
  <c i="199" r="A2"/>
  <c i="199" r="A5"/>
  <c i="199" r="A4"/>
  <c i="199" r="B5"/>
  <c i="199" r="B4"/>
  <c i="198" r="A3"/>
  <c i="198" r="A2"/>
  <c i="198" r="A5"/>
  <c i="198" r="A4"/>
  <c i="106" r="D3"/>
  <c i="106" r="D2"/>
  <c i="198" r="B5"/>
  <c i="198" r="B4"/>
  <c i="96" r="A2"/>
  <c i="94" r="A20"/>
  <c i="94" r="A19"/>
  <c i="94" r="A12"/>
  <c i="94" r="A13"/>
  <c i="94" r="A14"/>
  <c i="94" r="A15"/>
  <c i="94" r="A16"/>
  <c i="94" r="A17"/>
  <c i="94" r="A18"/>
  <c i="94" r="A11"/>
  <c i="94" r="A10"/>
  <c i="94" r="A9"/>
  <c i="94" r="A8"/>
  <c i="94" r="A7"/>
  <c i="94" r="A6"/>
  <c i="94" r="A5"/>
  <c i="94" r="A4"/>
  <c i="94" r="A3"/>
  <c i="94" r="A2"/>
  <c i="2" r="C3"/>
  <c i="2" r="C2"/>
  <c i="197" l="1" r="A5"/>
  <c i="197" r="A4"/>
  <c i="197" r="A3"/>
  <c i="197" r="B2"/>
  <c i="197" r="A2"/>
  <c i="196" r="A5"/>
  <c i="196" r="A4"/>
  <c i="196" r="A3"/>
  <c i="196" r="B2"/>
  <c i="196" r="A2"/>
  <c i="195" r="A5"/>
  <c i="195" r="A4"/>
  <c i="195" r="A3"/>
  <c i="195" r="B2"/>
  <c i="195" r="A2"/>
  <c i="194" r="A5"/>
  <c i="194" r="A4"/>
  <c i="194" r="A3"/>
  <c i="194" r="B2"/>
  <c i="194" r="A2"/>
  <c i="193" r="A5"/>
  <c i="193" r="A4"/>
  <c i="193" r="A3"/>
  <c i="193" r="B2"/>
  <c i="193" r="A2"/>
  <c i="192" r="A5"/>
  <c i="192" r="A4"/>
  <c i="192" r="A3"/>
  <c i="192" r="B2"/>
  <c i="192" r="A2"/>
  <c i="170" r="B3"/>
  <c i="170" r="C3"/>
  <c i="170" r="C2"/>
  <c i="170" r="B2"/>
  <c i="191" r="A5"/>
  <c i="191" r="A4"/>
  <c i="191" r="A3"/>
  <c i="191" r="B2"/>
  <c i="191" r="A2"/>
  <c i="190" r="B2"/>
  <c i="190" r="A2"/>
  <c i="190" r="A3"/>
  <c i="190" r="A5"/>
  <c i="190" r="A4"/>
  <c i="159" r="B3"/>
  <c i="25" r="D5"/>
  <c i="25" r="D4"/>
  <c i="25" r="D3"/>
  <c i="25" r="D2"/>
  <c i="85" r="F5"/>
  <c i="85" r="F4"/>
  <c i="85" r="F2"/>
  <c i="189" r="D3"/>
  <c i="189" r="D4"/>
  <c i="189" r="D2"/>
  <c i="189" r="B4"/>
  <c i="189" r="B3"/>
  <c i="189" r="B2"/>
  <c i="189" r="A4"/>
  <c i="189" r="A3"/>
  <c i="189" r="A2"/>
  <c i="67" r="B2"/>
  <c i="67" r="B3"/>
  <c i="67" l="1" r="C3"/>
  <c i="67" r="A3"/>
  <c i="157" r="F4"/>
  <c i="157" r="F3"/>
  <c i="157" r="F2"/>
  <c i="183" r="A3"/>
  <c i="183" r="A2"/>
  <c i="181" r="A7"/>
  <c i="181" r="A6"/>
  <c i="181" r="A5"/>
  <c i="181" r="A4"/>
  <c i="181" r="A3"/>
  <c i="181" r="A2"/>
  <c i="114" r="A5"/>
  <c i="114" r="A4"/>
  <c i="113" r="D3"/>
  <c i="113" r="D2"/>
  <c i="112" r="D3"/>
  <c i="112" r="D2"/>
  <c i="111" r="D3"/>
  <c i="111" r="D2"/>
  <c i="110" r="D3"/>
  <c i="110" r="D2"/>
  <c i="179" r="A5"/>
  <c i="179" r="A4"/>
  <c i="179" r="A3"/>
  <c i="179" r="A2"/>
  <c i="179" r="B5"/>
  <c i="179" r="B4"/>
  <c i="179" r="B3"/>
  <c i="179" r="B2"/>
  <c i="178" l="1" r="B3"/>
  <c i="178" r="B5"/>
  <c i="178" r="C5"/>
  <c i="178" r="C4"/>
  <c i="178" r="B4"/>
  <c i="178" r="B2"/>
  <c i="178" r="K5"/>
  <c i="178" r="J5"/>
  <c i="178" r="I5"/>
  <c i="178" r="H5"/>
  <c i="178" r="G5"/>
  <c i="178" r="K4"/>
  <c i="178" r="J4"/>
  <c i="178" r="I4"/>
  <c i="178" r="H4"/>
  <c i="178" r="G4"/>
  <c i="178" r="K3"/>
  <c i="178" r="J3"/>
  <c i="178" r="I3"/>
  <c i="178" r="H3"/>
  <c i="178" r="G3"/>
  <c i="178" r="K2"/>
  <c i="178" r="J2"/>
  <c i="178" r="I2"/>
  <c i="178" r="H2"/>
  <c i="178" r="G2"/>
  <c i="107" r="D3"/>
  <c i="108" r="A3"/>
  <c i="108" r="A2"/>
  <c i="177" r="C5"/>
  <c i="177" r="C4"/>
  <c i="85" r="F3"/>
  <c i="103" r="D2"/>
  <c i="100" r="A2"/>
  <c i="100" r="B2"/>
  <c i="85" l="1" r="C9"/>
  <c i="85" r="C10"/>
  <c i="85" r="C8"/>
  <c i="85" r="C7"/>
  <c i="85" r="C6"/>
  <c i="85" r="C3"/>
  <c i="85" r="C4"/>
  <c i="85" r="C5"/>
  <c i="85" r="C2"/>
  <c i="126" r="K2"/>
  <c i="126" r="J2"/>
  <c i="67" r="C2"/>
  <c i="67" r="A2"/>
  <c i="177" r="A5"/>
  <c i="177" r="A4"/>
  <c i="177" r="A3"/>
  <c i="177" r="A2"/>
  <c i="177" r="B5"/>
  <c i="177" r="B4"/>
  <c i="177" r="B3"/>
  <c i="177" r="B2"/>
  <c i="79" l="1" r="AG9"/>
  <c i="59" r="H2"/>
  <c i="35" r="A2"/>
  <c i="97" r="A4"/>
  <c i="97" r="A3"/>
  <c i="97" r="A2"/>
  <c i="90" r="A2"/>
  <c i="170" r="A3"/>
  <c i="170" r="A2"/>
  <c i="165" r="C2"/>
  <c i="161" r="C2"/>
  <c i="88" r="A2"/>
  <c i="87" r="B2"/>
  <c i="86" r="A2"/>
  <c i="134" r="A5"/>
  <c i="77" r="B2"/>
  <c i="85" r="AI5"/>
  <c i="85" r="AG5"/>
  <c i="85" r="G5"/>
  <c i="85" r="D5"/>
  <c i="85" r="AI4"/>
  <c i="85" r="AG4"/>
  <c i="85" r="G4"/>
  <c i="85" r="D4"/>
  <c i="85" r="AI3"/>
  <c i="85" r="AG3"/>
  <c i="85" r="G3"/>
  <c i="85" r="D3"/>
  <c i="85" r="AI2"/>
  <c i="85" r="AG2"/>
  <c i="85" r="G2"/>
  <c i="85" r="D2"/>
  <c i="165" r="K5"/>
  <c i="165" r="J5"/>
  <c i="165" r="I5"/>
  <c i="165" r="H5"/>
  <c i="165" r="G5"/>
  <c i="165" r="B5"/>
  <c i="165" r="K4"/>
  <c i="165" r="J4"/>
  <c i="165" r="I4"/>
  <c i="165" r="H4"/>
  <c i="165" r="G4"/>
  <c i="165" r="B4"/>
  <c i="165" r="K3"/>
  <c i="165" r="J3"/>
  <c i="165" r="I3"/>
  <c i="165" r="H3"/>
  <c i="165" r="G3"/>
  <c i="165" r="B3"/>
  <c i="165" r="K2"/>
  <c i="165" r="J2"/>
  <c i="165" r="I2"/>
  <c i="165" r="H2"/>
  <c i="165" r="G2"/>
  <c i="165" r="B2"/>
  <c i="167" r="K5"/>
  <c i="167" r="J5"/>
  <c i="167" r="I5"/>
  <c i="167" r="H5"/>
  <c i="167" r="G5"/>
  <c i="167" r="B5"/>
  <c i="167" r="K4"/>
  <c i="167" r="J4"/>
  <c i="167" r="I4"/>
  <c i="167" r="H4"/>
  <c i="167" r="G4"/>
  <c i="167" r="B4"/>
  <c i="167" r="K3"/>
  <c i="167" r="J3"/>
  <c i="167" r="I3"/>
  <c i="167" r="H3"/>
  <c i="167" r="G3"/>
  <c i="167" r="B3"/>
  <c i="167" r="K2"/>
  <c i="167" r="J2"/>
  <c i="167" r="I2"/>
  <c i="167" r="H2"/>
  <c i="167" r="G2"/>
  <c i="167" r="C2"/>
  <c i="167" r="B2"/>
  <c i="89" l="1" r="A3"/>
  <c i="89" r="A2"/>
  <c i="161" r="B5"/>
  <c i="161" r="B4"/>
  <c i="161" r="B3"/>
  <c i="161" r="B2"/>
  <c i="161" r="J5"/>
  <c i="161" r="G5"/>
  <c i="161" r="J4"/>
  <c i="161" r="G4"/>
  <c i="161" r="J3"/>
  <c i="161" r="G3"/>
  <c i="161" r="J2"/>
  <c i="161" r="G2"/>
  <c i="87" r="A4"/>
  <c i="87" r="A3"/>
  <c i="87" r="A5"/>
  <c i="87" r="A2"/>
  <c i="85" r="AI10"/>
  <c i="85" r="AI9"/>
  <c i="85" r="AI7"/>
  <c i="85" r="AI8"/>
  <c i="85" r="AI6"/>
  <c i="9" r="C8"/>
  <c i="9" r="C7"/>
  <c i="9" r="C6"/>
  <c i="9" r="C5"/>
  <c i="9" r="C4"/>
  <c i="9" r="C2"/>
  <c i="9" r="C3"/>
  <c i="85" r="AG10"/>
  <c i="85" r="AG9"/>
  <c i="85" r="AG8"/>
  <c i="85" r="AG7"/>
  <c i="85" r="AG6"/>
  <c i="85" r="G10"/>
  <c i="85" r="G9"/>
  <c i="85" r="G7"/>
  <c i="85" r="G8"/>
  <c i="85" r="G6"/>
  <c i="84" r="A2"/>
  <c i="82" r="B2"/>
  <c i="137" r="A2"/>
  <c i="136" r="C7"/>
  <c i="136" r="C8"/>
  <c i="136" r="C6"/>
  <c i="136" r="B3"/>
  <c i="136" r="B4"/>
  <c i="136" r="G3"/>
  <c i="136" r="J3"/>
  <c i="136" r="G4"/>
  <c i="136" r="J4"/>
  <c i="136" r="G5"/>
  <c i="136" r="J5"/>
  <c i="136" r="G6"/>
  <c i="136" r="J6"/>
  <c i="136" r="G7"/>
  <c i="136" r="J7"/>
  <c i="136" r="G8"/>
  <c i="136" r="J8"/>
  <c i="136" r="B7"/>
  <c i="136" r="B8"/>
  <c i="136" r="C3"/>
  <c i="136" r="C4"/>
  <c i="136" r="B2"/>
  <c i="136" r="B6"/>
  <c i="136" r="B5"/>
  <c i="135" r="B9"/>
  <c i="135" r="B8"/>
  <c i="135" r="A9"/>
  <c i="135" r="A8"/>
  <c i="135" r="B6"/>
  <c i="135" r="B5"/>
  <c i="135" r="A6"/>
  <c i="135" r="A7"/>
  <c i="135" r="A5"/>
  <c i="135" r="B4"/>
  <c i="135" r="A3"/>
  <c i="135" r="A4"/>
  <c i="135" r="A2"/>
  <c i="133" r="A6"/>
  <c i="133" r="A7"/>
  <c i="133" r="A5"/>
  <c i="134" r="B8"/>
  <c i="134" r="B9"/>
  <c i="134" r="A9"/>
  <c i="134" r="A8"/>
  <c i="134" r="B7"/>
  <c i="134" r="A6"/>
  <c i="134" r="A7"/>
  <c i="134" r="B3"/>
  <c i="134" r="A3"/>
  <c i="134" r="A4"/>
  <c i="134" r="A2"/>
  <c i="134" r="B4"/>
  <c i="134" r="B2"/>
  <c i="134" r="B5"/>
  <c i="133" r="A4"/>
  <c i="136" r="C2"/>
  <c i="135" r="B3"/>
  <c i="135" r="B2"/>
  <c i="133" r="A2"/>
  <c i="133" r="A3"/>
  <c i="79" r="F2"/>
  <c i="79" r="G8"/>
  <c i="79" r="G7"/>
  <c i="79" r="G6"/>
  <c i="79" r="G11"/>
  <c i="79" r="G10"/>
  <c i="79" r="G9"/>
  <c i="79" r="G5"/>
  <c i="79" r="G4"/>
  <c i="79" r="G3"/>
  <c i="79" r="G2"/>
  <c i="19" r="D4"/>
  <c i="19" r="D3"/>
  <c i="19" r="D2"/>
  <c i="79" r="AG11"/>
  <c i="79" r="AG10"/>
  <c i="79" r="AG7"/>
  <c i="79" r="AG8"/>
  <c i="79" r="AG6"/>
  <c i="79" r="AG3"/>
  <c i="79" r="AG4"/>
  <c i="79" r="AG5"/>
  <c i="79" r="AG2"/>
  <c i="79" r="AI8"/>
  <c i="79" r="AI7"/>
  <c i="79" r="AI6"/>
  <c i="79" r="AI11"/>
  <c i="79" r="AI10"/>
  <c i="79" r="AI9"/>
  <c i="79" r="AI5"/>
  <c i="79" r="AI4"/>
  <c i="79" r="AI3"/>
  <c i="79" r="AI2"/>
  <c i="19" r="C4"/>
  <c i="31" r="A4" s="1"/>
  <c i="19" r="C3"/>
  <c i="31" r="A3" s="1"/>
  <c i="19" r="C2"/>
  <c i="31" r="A2" s="1"/>
  <c i="78" l="1" r="A3"/>
  <c i="41" r="C3"/>
  <c i="41" r="C2"/>
  <c i="38" r="B4"/>
  <c i="38" r="B3"/>
  <c i="38" r="B2"/>
  <c i="9" r="D3"/>
  <c i="9" r="D2"/>
  <c i="3" r="D6"/>
  <c i="3" r="D5"/>
  <c i="3" r="D4"/>
  <c i="3" r="D3"/>
  <c i="3" r="D2"/>
  <c i="153" r="E3"/>
  <c i="153" r="E4"/>
  <c i="153" r="E5"/>
  <c i="153" r="E2"/>
  <c i="153" r="H5"/>
  <c i="153" r="H4"/>
  <c i="153" r="H3"/>
  <c i="153" r="H2"/>
  <c i="152" r="H4"/>
  <c i="152" r="H3"/>
  <c i="152" r="H2"/>
  <c i="74" r="D2"/>
  <c i="71" r="B2"/>
  <c i="128" r="A2"/>
  <c i="203" l="1" r="A8"/>
  <c i="204" r="A8"/>
  <c i="203" r="A7"/>
  <c i="204" r="A7"/>
  <c i="185" r="A4"/>
  <c i="206" r="A4"/>
  <c i="205" r="A4"/>
  <c i="101" r="C3"/>
  <c i="102" r="C3"/>
  <c i="185" r="A3"/>
  <c i="206" r="A3"/>
  <c i="102" r="C2"/>
  <c i="205" r="A3"/>
  <c i="101" r="C2"/>
  <c i="186" r="A7"/>
  <c i="187" r="A7"/>
  <c i="188" r="A7"/>
  <c i="184" r="A7"/>
  <c i="186" r="A8"/>
  <c i="187" r="A8"/>
  <c i="188" r="A8"/>
  <c i="184" r="A8"/>
  <c i="111" r="A2"/>
  <c i="113" r="A2"/>
  <c i="105" r="A2"/>
  <c i="107" r="A2"/>
  <c i="112" r="A2"/>
  <c i="110" r="A2"/>
  <c i="106" r="A2"/>
  <c i="104" r="A2"/>
  <c i="176" r="C2"/>
  <c i="99" r="A2"/>
  <c i="176" r="C3"/>
  <c i="99" r="A3"/>
  <c i="156" r="A4"/>
  <c i="171" r="A11"/>
  <c i="171" r="A7"/>
  <c i="172" r="A7"/>
  <c i="154" r="A3"/>
  <c i="171" r="A10"/>
  <c i="172" r="A8"/>
  <c i="171" r="A8"/>
  <c i="97" r="A6"/>
  <c i="95" r="A3"/>
  <c i="95" r="A2"/>
  <c i="97" r="A5"/>
  <c i="154" r="A4"/>
  <c i="155" r="A3"/>
  <c i="157" r="A3"/>
  <c i="155" r="A4"/>
  <c i="157" r="A4"/>
  <c i="156" r="A3"/>
  <c i="151" r="D2"/>
  <c i="151" r="C2"/>
  <c i="144" l="1" r="B3"/>
  <c i="144" r="J3"/>
  <c i="144" r="J2"/>
  <c i="144" r="B2"/>
  <c i="66" r="A2"/>
  <c i="120" r="A2"/>
  <c i="119" r="A2"/>
  <c i="118" r="A2"/>
  <c i="46" r="D2"/>
  <c i="142" r="J3"/>
  <c i="142" r="J4"/>
  <c i="142" r="J2"/>
  <c i="142" r="B3"/>
  <c i="142" r="B4"/>
  <c i="142" r="B2"/>
  <c i="1" l="1" r="E2"/>
  <c i="26" r="F2" s="1"/>
  <c i="13" r="M3"/>
  <c i="13" r="M4"/>
  <c i="13" r="M5"/>
  <c i="13" r="M6"/>
  <c i="13" r="M7"/>
  <c i="13" r="M8"/>
  <c i="13" r="M2"/>
  <c i="23" r="A2"/>
  <c i="25" r="G1"/>
  <c i="123" r="A2"/>
  <c i="122" r="A2"/>
  <c i="121" r="A2"/>
  <c i="57" l="1" r="E3"/>
  <c i="57" r="E2"/>
  <c i="56" l="1" r="D2"/>
  <c i="33" r="H3"/>
  <c i="33" r="H4"/>
  <c i="33" r="H5"/>
  <c i="33" r="H2"/>
  <c i="31" r="H3"/>
  <c i="31" r="H4"/>
  <c i="31" r="H2"/>
  <c i="24" r="C2"/>
  <c i="10" r="F2"/>
  <c i="6" r="B2"/>
  <c i="5" r="A2"/>
  <c i="35" r="J7" s="1"/>
  <c i="32" l="1" r="P2"/>
  <c i="34" r="J7"/>
  <c i="35" r="J6"/>
  <c i="32" r="Q2"/>
  <c i="34" r="J6"/>
  <c i="35" r="J5"/>
  <c i="34" r="J5"/>
  <c i="35" r="J4"/>
  <c i="12" r="S2"/>
  <c i="34" r="J4"/>
  <c i="35" r="J3"/>
  <c i="34" r="J3"/>
  <c i="44" r="J2"/>
  <c i="35" r="J2"/>
  <c i="44" r="J4"/>
  <c i="34" r="J2"/>
  <c i="35" r="J8"/>
  <c i="44" r="J3"/>
  <c i="34" r="J8"/>
  <c i="136" r="J2"/>
  <c i="136" r="G2"/>
  <c i="130" r="A2"/>
  <c i="129" r="A4"/>
  <c i="129" r="A3"/>
  <c i="129" r="A2"/>
  <c i="119" r="G4"/>
  <c i="119" r="F4"/>
  <c i="119" r="E4"/>
  <c i="119" r="D4"/>
  <c i="119" r="C4"/>
  <c i="119" r="G3"/>
  <c i="119" r="F3"/>
  <c i="119" r="E3"/>
  <c i="119" r="D3"/>
  <c i="119" r="C3"/>
  <c i="119" r="G2"/>
  <c i="119" r="F2"/>
  <c i="119" r="E2"/>
  <c i="119" r="D2"/>
  <c i="119" r="C2"/>
  <c i="119" r="A3"/>
  <c i="86" l="1" r="A4"/>
  <c i="86" r="A3"/>
  <c i="84" r="C4"/>
  <c i="84" r="B4"/>
  <c i="84" r="C3"/>
  <c i="84" r="B3"/>
  <c i="84" r="C2"/>
  <c i="84" r="B2"/>
  <c i="83" r="B4"/>
  <c i="83" r="A4"/>
  <c i="83" r="B3"/>
  <c i="83" r="A3"/>
  <c i="83" r="B2"/>
  <c i="83" r="A2"/>
  <c i="79" r="F11"/>
  <c i="79" r="C11"/>
  <c i="79" r="F10"/>
  <c i="79" r="C10"/>
  <c i="79" r="F9"/>
  <c i="79" r="C9"/>
  <c i="80" r="A4" s="1"/>
  <c i="79" r="C8"/>
  <c i="79" r="C7"/>
  <c i="80" r="A3" s="1"/>
  <c i="79" r="F6"/>
  <c i="79" r="C6"/>
  <c i="79" r="F5"/>
  <c i="79" r="C5"/>
  <c i="79" r="F4"/>
  <c i="79" r="C4"/>
  <c i="79" r="F3"/>
  <c i="79" r="C3"/>
  <c i="79" r="C2"/>
  <c i="80" r="A2" s="1"/>
  <c i="78" r="B4"/>
  <c i="78" r="A4"/>
  <c i="78" r="B3"/>
  <c i="78" r="B2"/>
  <c i="78" r="A2"/>
  <c i="76" r="B4"/>
  <c i="76" r="A4"/>
  <c i="76" r="B3"/>
  <c i="76" r="A3"/>
  <c i="76" r="B2"/>
  <c i="76" r="A2"/>
  <c i="75" r="B4"/>
  <c i="75" r="A4"/>
  <c i="75" r="B3"/>
  <c i="75" r="A3"/>
  <c i="75" r="B2"/>
  <c i="75" r="A2"/>
  <c i="73" r="B4"/>
  <c i="73" r="A4"/>
  <c i="73" r="B3"/>
  <c i="73" r="A3"/>
  <c i="73" r="B2"/>
  <c i="73" r="A2"/>
  <c i="72" r="B4"/>
  <c i="72" r="A4"/>
  <c i="72" r="B3"/>
  <c i="72" r="A3"/>
  <c i="72" r="B2"/>
  <c i="72" r="A2"/>
  <c i="70" r="B2"/>
  <c i="70" r="A2"/>
  <c i="127" r="A2" s="1"/>
  <c i="69" r="B2"/>
  <c i="69" r="A2"/>
  <c i="65" r="A7"/>
  <c i="65" r="A6"/>
  <c i="65" r="A5"/>
  <c i="65" r="A4"/>
  <c i="65" r="A3"/>
  <c i="65" r="A2"/>
  <c i="60" r="B2"/>
  <c i="107" r="D2"/>
  <c i="105" r="D3"/>
  <c i="105" r="D2"/>
  <c i="104" r="D3"/>
  <c i="104" r="D2"/>
  <c i="98" r="A2"/>
  <c i="96" r="C2"/>
  <c i="94" r="B20"/>
  <c i="94" r="B19"/>
  <c i="94" r="B18"/>
  <c i="94" r="B17"/>
  <c i="94" r="B16"/>
  <c i="94" r="B15"/>
  <c i="94" r="B14"/>
  <c i="94" r="B13"/>
  <c i="94" r="B12"/>
  <c i="94" r="B11"/>
  <c i="94" r="B10"/>
  <c i="94" r="B9"/>
  <c i="94" r="B8"/>
  <c i="94" r="B7"/>
  <c i="94" r="B6"/>
  <c i="94" r="B5"/>
  <c i="94" r="B4"/>
  <c i="94" r="B3"/>
  <c i="94" r="B2"/>
  <c i="85" r="D10"/>
  <c i="85" r="D9"/>
  <c i="85" r="D8"/>
  <c i="85" r="D7"/>
  <c i="85" r="D6"/>
  <c i="79" r="O11"/>
  <c i="79" r="N11"/>
  <c i="79" r="D11"/>
  <c i="79" r="O10"/>
  <c i="79" r="N10"/>
  <c i="79" r="D10"/>
  <c i="79" r="O9"/>
  <c i="79" r="N9"/>
  <c i="79" r="D9"/>
  <c i="79" r="D8"/>
  <c i="79" r="D7"/>
  <c i="79" r="O6"/>
  <c i="79" r="N6"/>
  <c i="79" r="D6"/>
  <c i="79" r="O5"/>
  <c i="79" r="N5"/>
  <c i="79" r="D5"/>
  <c i="79" r="O4"/>
  <c i="79" r="N4"/>
  <c i="79" r="D4"/>
  <c i="79" r="O3"/>
  <c i="79" r="N3"/>
  <c i="79" r="D3"/>
  <c i="79" r="O2"/>
  <c i="79" r="N2"/>
  <c i="79" r="D2"/>
  <c i="77" r="A2"/>
  <c i="64" r="I4"/>
  <c i="64" r="I3"/>
  <c i="64" r="I2"/>
  <c i="54" r="D2"/>
  <c i="52" r="B2"/>
  <c i="58" r="B4"/>
  <c i="58" r="B3"/>
  <c i="58" r="B2"/>
  <c i="56" r="H2"/>
  <c i="45" r="B11"/>
  <c i="45" r="B10"/>
  <c i="45" r="B9"/>
  <c i="45" r="B8"/>
  <c i="45" r="B7"/>
  <c i="45" r="B6"/>
  <c i="45" r="B5"/>
  <c i="45" r="B4"/>
  <c i="45" r="B3"/>
  <c i="45" r="B2"/>
  <c i="43" r="B2"/>
  <c i="42" r="F2" s="1"/>
  <c i="43" r="A2"/>
  <c i="41" r="C4"/>
  <c i="41" r="B4"/>
  <c i="58" r="A3"/>
  <c i="41" r="B3"/>
  <c i="44" r="D2"/>
  <c i="41" r="B2"/>
  <c i="39" r="B2"/>
  <c i="47" r="A4"/>
  <c i="50" r="A22" s="1"/>
  <c i="47" r="A3"/>
  <c i="50" r="A18" s="1"/>
  <c i="47" r="A2"/>
  <c i="37" r="A2"/>
  <c i="36" r="A2"/>
  <c i="44" r="A2"/>
  <c i="26" r="H2"/>
  <c i="25" r="C5"/>
  <c i="25" r="B5"/>
  <c i="25" r="A5"/>
  <c i="33" r="B4"/>
  <c i="25" r="C4"/>
  <c i="25" r="B4"/>
  <c i="25" r="A4"/>
  <c i="25" r="C3"/>
  <c i="25" r="B3"/>
  <c i="25" r="A3"/>
  <c i="25" r="C2"/>
  <c i="25" r="B2"/>
  <c i="25" r="A2"/>
  <c i="25" r="Q1"/>
  <c i="25" r="P1"/>
  <c i="25" r="O1"/>
  <c i="25" r="N1"/>
  <c i="25" r="M1"/>
  <c i="25" r="L1"/>
  <c i="25" r="K1"/>
  <c i="25" r="J1"/>
  <c i="25" r="I1"/>
  <c i="25" r="H1"/>
  <c i="25" r="F1"/>
  <c i="25" r="E1"/>
  <c i="25" r="D1"/>
  <c i="25" r="C1"/>
  <c i="25" r="B1"/>
  <c i="25" r="A1"/>
  <c i="152" r="C4"/>
  <c i="19" r="B4"/>
  <c i="19" r="A4"/>
  <c i="31" r="C3"/>
  <c i="19" r="B3"/>
  <c i="19" r="A3"/>
  <c i="19" r="B2"/>
  <c i="19" r="A2"/>
  <c i="19" r="Q1"/>
  <c i="19" r="P1"/>
  <c i="19" r="O1"/>
  <c i="19" r="N1"/>
  <c i="19" r="M1"/>
  <c i="19" r="L1"/>
  <c i="19" r="K1"/>
  <c i="19" r="J1"/>
  <c i="19" r="I1"/>
  <c i="19" r="H1"/>
  <c i="19" r="G1"/>
  <c i="19" r="F1"/>
  <c i="19" r="E1"/>
  <c i="19" r="D1"/>
  <c i="19" r="C1"/>
  <c i="19" r="B1"/>
  <c i="19" r="A1"/>
  <c i="33" r="E5"/>
  <c i="33" r="E4"/>
  <c i="33" r="E3"/>
  <c i="33" r="E2"/>
  <c i="31" r="E4"/>
  <c i="31" r="E3"/>
  <c i="31" r="E2"/>
  <c i="23" r="O2"/>
  <c i="22" r="O2"/>
  <c i="23" r="X2" s="1"/>
  <c i="18" r="C2"/>
  <c i="4" r="C2"/>
  <c i="16" r="A2"/>
  <c i="16" r="B2" s="1"/>
  <c i="13" r="AE8"/>
  <c i="13" r="AD8"/>
  <c i="13" r="Z8"/>
  <c i="13" r="Y8"/>
  <c i="13" r="X8"/>
  <c i="13" r="W8"/>
  <c i="13" r="V8"/>
  <c i="13" r="U8"/>
  <c i="13" r="L8"/>
  <c i="13" r="K8"/>
  <c i="13" r="J8"/>
  <c i="13" r="I8"/>
  <c i="13" r="G8"/>
  <c i="13" r="E8"/>
  <c i="13" r="AE7"/>
  <c i="13" r="AD7"/>
  <c i="13" r="Z7"/>
  <c i="13" r="Y7"/>
  <c i="13" r="X7"/>
  <c i="13" r="W7"/>
  <c i="13" r="V7"/>
  <c i="13" r="U7"/>
  <c i="13" r="L7"/>
  <c i="13" r="K7"/>
  <c i="13" r="J7"/>
  <c i="13" r="I7"/>
  <c i="13" r="G7"/>
  <c i="13" r="E7"/>
  <c i="13" r="AE6"/>
  <c i="13" r="AD6"/>
  <c i="13" r="Z6"/>
  <c i="13" r="Y6"/>
  <c i="13" r="X6"/>
  <c i="13" r="W6"/>
  <c i="13" r="V6"/>
  <c i="13" r="U6"/>
  <c i="13" r="L6"/>
  <c i="13" r="K6"/>
  <c i="13" r="J6"/>
  <c i="13" r="I6"/>
  <c i="13" r="G6"/>
  <c i="13" r="E6"/>
  <c i="13" r="AE5"/>
  <c i="13" r="AD5"/>
  <c i="13" r="Z5"/>
  <c i="13" r="Y5"/>
  <c i="13" r="X5"/>
  <c i="13" r="W5"/>
  <c i="13" r="V5"/>
  <c i="13" r="U5"/>
  <c i="13" r="L5"/>
  <c i="13" r="K5"/>
  <c i="13" r="J5"/>
  <c i="13" r="I5"/>
  <c i="13" r="G5"/>
  <c i="13" r="E5"/>
  <c i="13" r="AE4"/>
  <c i="13" r="AD4"/>
  <c i="13" r="Z4"/>
  <c i="13" r="Y4"/>
  <c i="13" r="X4"/>
  <c i="13" r="W4"/>
  <c i="13" r="V4"/>
  <c i="13" r="U4"/>
  <c i="13" r="L4"/>
  <c i="13" r="K4"/>
  <c i="13" r="J4"/>
  <c i="13" r="I4"/>
  <c i="13" r="G4"/>
  <c i="13" r="E4"/>
  <c i="13" r="AE3"/>
  <c i="13" r="AD3"/>
  <c i="13" r="Z3"/>
  <c i="13" r="Y3"/>
  <c i="13" r="X3"/>
  <c i="13" r="W3"/>
  <c i="13" r="V3"/>
  <c i="13" r="U3"/>
  <c i="13" r="L3"/>
  <c i="13" r="K3"/>
  <c i="13" r="J3"/>
  <c i="13" r="I3"/>
  <c i="13" r="G3"/>
  <c i="13" r="E3"/>
  <c i="13" r="AE2"/>
  <c i="13" r="AD2"/>
  <c i="13" r="Z2"/>
  <c i="13" r="Y2"/>
  <c i="13" r="X2"/>
  <c i="13" r="W2"/>
  <c i="13" r="V2"/>
  <c i="13" r="U2"/>
  <c i="13" r="L2"/>
  <c i="13" r="K2"/>
  <c i="13" r="J2"/>
  <c i="13" r="I2"/>
  <c i="13" r="G2"/>
  <c i="13" r="E2"/>
  <c i="11" r="B2"/>
  <c i="148" r="B2" s="1"/>
  <c i="10" r="L2"/>
  <c i="42" r="L2" s="1"/>
  <c i="12" r="L2"/>
  <c i="13" r="C8"/>
  <c i="9" r="B8"/>
  <c i="13" r="D8" s="1"/>
  <c i="13" r="C7"/>
  <c i="9" r="B7"/>
  <c i="13" r="C6"/>
  <c i="9" r="B6"/>
  <c i="13" r="A6" s="1"/>
  <c i="13" r="C5"/>
  <c i="9" r="B5"/>
  <c i="13" r="A5" s="1"/>
  <c i="13" r="C4"/>
  <c i="9" r="B4"/>
  <c i="13" r="D4" s="1"/>
  <c i="13" r="B3"/>
  <c i="13" r="C3"/>
  <c i="9" r="B3"/>
  <c i="13" r="A3" s="1"/>
  <c i="35" r="E2"/>
  <c i="9" r="B2"/>
  <c i="13" r="D2" s="1"/>
  <c i="7" r="A2"/>
  <c i="6" r="B8"/>
  <c i="6" r="B7"/>
  <c i="6" r="B6"/>
  <c i="6" r="B5"/>
  <c i="6" r="B4"/>
  <c i="6" r="J3"/>
  <c i="6" r="B3"/>
  <c i="6" r="J2"/>
  <c i="17" r="O2"/>
  <c i="16" r="X2" s="1"/>
  <c i="16" r="O2"/>
  <c i="5" r="B2"/>
  <c i="6" r="C8"/>
  <c i="9" r="D8" s="1"/>
  <c i="6" r="C7"/>
  <c i="9" r="D7" s="1"/>
  <c i="6" r="C6"/>
  <c i="9" r="D6" s="1"/>
  <c i="6" r="C5"/>
  <c i="9" r="D5" s="1"/>
  <c i="59" r="A2"/>
  <c i="3" r="C6"/>
  <c i="3" r="C5"/>
  <c i="3" r="C4"/>
  <c i="3" r="C3"/>
  <c i="3" r="C2"/>
  <c i="59" r="D2" s="1"/>
  <c i="2" r="C6"/>
  <c i="2" r="C5"/>
  <c i="2" r="C4"/>
  <c i="1" r="D2"/>
  <c i="1" r="C2"/>
  <c i="203" l="1" r="A5"/>
  <c i="204" r="A5"/>
  <c i="203" r="A4"/>
  <c i="204" r="A4"/>
  <c i="203" r="A3"/>
  <c i="204" r="A3"/>
  <c i="185" r="A2"/>
  <c i="206" r="A2"/>
  <c i="205" r="A2"/>
  <c i="201" r="C3"/>
  <c i="202" r="C3"/>
  <c i="201" r="C2"/>
  <c i="200" r="D2"/>
  <c i="199" r="C3"/>
  <c i="202" r="C2"/>
  <c i="198" r="C3"/>
  <c i="198" r="C2"/>
  <c i="200" r="D3"/>
  <c i="199" r="C2"/>
  <c i="203" r="A2"/>
  <c i="204" r="A2"/>
  <c i="184" r="A5"/>
  <c i="186" r="A5"/>
  <c i="187" r="A5"/>
  <c i="188" r="A5"/>
  <c i="187" r="A4"/>
  <c i="188" r="A4"/>
  <c i="184" r="A4"/>
  <c i="186" r="A4"/>
  <c i="188" r="A3"/>
  <c i="184" r="A3"/>
  <c i="186" r="A3"/>
  <c i="187" r="A3"/>
  <c i="187" r="A2"/>
  <c i="188" r="A2"/>
  <c i="184" r="A2"/>
  <c i="186" r="A2"/>
  <c i="191" r="C5"/>
  <c i="194" r="C5"/>
  <c i="192" r="C5"/>
  <c i="197" r="C5"/>
  <c i="190" r="C4"/>
  <c i="192" r="C4"/>
  <c i="191" r="C3"/>
  <c i="197" r="C4"/>
  <c i="196" r="C4"/>
  <c i="195" r="C4"/>
  <c i="194" r="C4"/>
  <c i="193" r="C4"/>
  <c i="196" r="C3"/>
  <c i="197" r="C3"/>
  <c i="195" r="C3"/>
  <c i="194" r="C3"/>
  <c i="193" r="C3"/>
  <c i="192" r="C3"/>
  <c i="196" r="C5"/>
  <c i="195" r="C5"/>
  <c i="193" r="C5"/>
  <c i="191" r="C4"/>
  <c i="190" r="C5"/>
  <c i="190" r="C3"/>
  <c i="99" r="A4"/>
  <c i="112" r="A3"/>
  <c i="111" r="A3"/>
  <c i="110" r="A3"/>
  <c i="113" r="A3"/>
  <c i="107" r="A3"/>
  <c i="104" r="A3"/>
  <c i="106" r="A3"/>
  <c i="105" r="A3"/>
  <c i="111" r="B3"/>
  <c i="113" r="B3"/>
  <c i="112" r="B3"/>
  <c i="110" r="B3"/>
  <c i="107" r="B3"/>
  <c i="106" r="B3"/>
  <c i="105" r="B3"/>
  <c i="104" r="B3"/>
  <c i="111" r="B2"/>
  <c i="113" r="B2"/>
  <c i="107" r="B2"/>
  <c i="105" r="B2"/>
  <c i="112" r="B2"/>
  <c i="110" r="B2"/>
  <c i="104" r="B2"/>
  <c i="106" r="B2"/>
  <c i="114" r="B3"/>
  <c i="114" r="B2"/>
  <c i="178" r="D3"/>
  <c i="177" r="G2"/>
  <c i="177" r="G3"/>
  <c i="178" r="D2"/>
  <c i="44" r="E2"/>
  <c i="99" r="B2"/>
  <c i="44" r="E3"/>
  <c i="99" r="B3"/>
  <c i="44" r="E4"/>
  <c i="99" r="B4"/>
  <c i="99" r="D3"/>
  <c i="99" r="D4"/>
  <c i="99" r="D2"/>
  <c i="55" r="M8"/>
  <c i="171" r="A9"/>
  <c i="171" r="A5"/>
  <c i="172" r="A5"/>
  <c i="171" r="A4"/>
  <c i="172" r="A4"/>
  <c i="172" r="A3"/>
  <c i="171" r="A3"/>
  <c i="171" r="A2"/>
  <c i="172" r="A2"/>
  <c i="95" r="A5"/>
  <c i="97" r="A8"/>
  <c i="95" r="A7"/>
  <c i="97" r="A10"/>
  <c i="95" r="A6"/>
  <c i="97" r="A9"/>
  <c i="20" r="A2"/>
  <c i="126" r="D2" s="1"/>
  <c i="79" r="P8"/>
  <c i="136" r="D5"/>
  <c i="79" r="P7"/>
  <c i="135" r="C7"/>
  <c i="134" r="C6"/>
  <c i="95" r="A8"/>
  <c i="97" r="A11"/>
  <c i="165" r="D4"/>
  <c i="88" r="B4"/>
  <c i="85" r="P6"/>
  <c i="165" r="D3"/>
  <c i="88" r="B3"/>
  <c i="161" r="D5"/>
  <c i="87" r="C3"/>
  <c i="90" r="B5"/>
  <c i="161" r="D4"/>
  <c i="85" r="P10"/>
  <c i="90" r="B4"/>
  <c i="161" r="D3"/>
  <c i="87" r="C4"/>
  <c i="85" r="P9"/>
  <c i="90" r="B3"/>
  <c i="87" r="C5"/>
  <c i="85" r="P8"/>
  <c i="165" r="D5"/>
  <c i="88" r="B5"/>
  <c i="85" r="P7"/>
  <c i="156" r="A2"/>
  <c i="155" r="A2"/>
  <c i="58" r="A4"/>
  <c i="154" r="A2"/>
  <c i="33" r="A3"/>
  <c i="153" r="D3"/>
  <c i="153" r="A3"/>
  <c i="33" r="D5"/>
  <c i="153" r="D5"/>
  <c i="153" r="A5"/>
  <c i="37" r="E3"/>
  <c i="153" r="C3"/>
  <c i="37" r="E5"/>
  <c i="153" r="C5"/>
  <c i="33" r="B3"/>
  <c i="153" r="B3"/>
  <c i="33" r="B5"/>
  <c i="153" r="B5"/>
  <c i="33" r="A2"/>
  <c i="153" r="A2"/>
  <c i="153" r="D2"/>
  <c i="33" r="D4"/>
  <c i="153" r="D4"/>
  <c i="153" r="A4"/>
  <c i="37" r="E2"/>
  <c i="153" r="C2"/>
  <c i="37" r="E4"/>
  <c i="153" r="C4"/>
  <c i="37" r="D2"/>
  <c i="153" r="B2"/>
  <c i="37" r="D4"/>
  <c i="153" r="B4"/>
  <c i="44" r="D4"/>
  <c i="6" r="C4"/>
  <c i="9" r="D4" s="1"/>
  <c i="33" r="C2"/>
  <c i="152" r="A3"/>
  <c i="152" r="D3"/>
  <c i="64" r="F4"/>
  <c i="146" r="A4" s="1"/>
  <c i="152" r="B4"/>
  <c i="33" r="B2"/>
  <c i="64" r="G3"/>
  <c i="152" r="C3"/>
  <c i="152" r="D2"/>
  <c i="152" r="A2"/>
  <c i="152" r="D4"/>
  <c i="152" r="A4"/>
  <c i="36" r="D3"/>
  <c i="152" r="B3"/>
  <c i="34" r="E6"/>
  <c i="31" r="C2"/>
  <c i="152" r="C2"/>
  <c i="64" r="F2"/>
  <c i="119" r="B2" s="1"/>
  <c i="152" r="B2"/>
  <c i="31" r="D3"/>
  <c i="33" r="D2"/>
  <c i="31" r="B4"/>
  <c i="31" r="D4"/>
  <c i="31" r="D2"/>
  <c i="13" r="C2"/>
  <c i="31" r="B2"/>
  <c i="36" r="D2"/>
  <c i="126" r="G2"/>
  <c i="126" r="F2"/>
  <c i="42" r="M2"/>
  <c i="42" r="G2"/>
  <c i="46" r="C3"/>
  <c i="148" r="B3"/>
  <c i="35" r="D2"/>
  <c i="141" r="A4"/>
  <c i="140" r="A4"/>
  <c i="55" r="B4"/>
  <c i="124" r="A4" s="1"/>
  <c i="116" r="A4"/>
  <c i="13" r="A2"/>
  <c i="10" r="H2"/>
  <c i="12" r="N2" s="1"/>
  <c i="12" r="O2"/>
  <c i="35" r="E5"/>
  <c i="55" r="B5"/>
  <c i="124" r="A5" s="1"/>
  <c i="141" r="A5"/>
  <c i="140" r="A5"/>
  <c i="116" r="A5"/>
  <c i="141" r="A6"/>
  <c i="140" r="A6"/>
  <c i="55" r="B6"/>
  <c i="124" r="A6" s="1"/>
  <c i="116" r="A6"/>
  <c i="50" r="D4"/>
  <c i="13" r="B2"/>
  <c i="141" r="A7"/>
  <c i="140" r="A7"/>
  <c i="55" r="B7"/>
  <c i="124" r="A7" s="1"/>
  <c i="116" r="A7"/>
  <c i="36" r="E2"/>
  <c i="141" r="A8"/>
  <c i="140" r="A8"/>
  <c i="116" r="A8"/>
  <c i="55" r="B8"/>
  <c i="124" r="A8" s="1"/>
  <c i="123" r="B2"/>
  <c i="122" r="B2"/>
  <c i="121" r="B2"/>
  <c i="33" r="C4"/>
  <c i="21" r="F2"/>
  <c i="21" r="M2" s="1"/>
  <c i="36" r="E3"/>
  <c i="141" r="A2"/>
  <c i="140" r="A2"/>
  <c i="116" r="A2"/>
  <c i="55" r="B2"/>
  <c i="124" r="A2" s="1"/>
  <c i="57" r="A3"/>
  <c i="141" r="A3"/>
  <c i="140" r="A3"/>
  <c i="116" r="A3"/>
  <c i="55" r="B3"/>
  <c i="124" r="A3" s="1"/>
  <c i="13" r="D5"/>
  <c i="35" r="O5"/>
  <c i="37" r="J5"/>
  <c i="32" r="V2"/>
  <c i="37" r="J4"/>
  <c i="37" r="J2"/>
  <c i="35" r="O7"/>
  <c i="37" r="J3"/>
  <c i="35" r="O6"/>
  <c i="35" r="O8"/>
  <c i="50" r="F20"/>
  <c i="60" r="A2"/>
  <c i="59" r="C2"/>
  <c i="12" r="A2"/>
  <c i="23" r="B2"/>
  <c i="21" r="L2"/>
  <c i="36" r="J3"/>
  <c i="36" r="J2"/>
  <c i="35" r="O3"/>
  <c i="30" r="V2"/>
  <c i="35" r="O4"/>
  <c i="35" r="O2"/>
  <c i="36" r="J4"/>
  <c i="26" r="L2"/>
  <c i="21" r="H2"/>
  <c i="30" r="P2"/>
  <c i="34" r="D6"/>
  <c i="50" r="D16"/>
  <c i="35" r="D6"/>
  <c i="60" r="C6"/>
  <c i="50" r="D15"/>
  <c i="13" r="B6"/>
  <c i="50" r="D14"/>
  <c i="53" r="A6"/>
  <c i="13" r="B7"/>
  <c i="60" r="C7"/>
  <c i="50" r="D19"/>
  <c i="53" r="A7"/>
  <c i="50" r="D18"/>
  <c i="34" r="D7"/>
  <c i="50" r="D17"/>
  <c i="35" r="D7"/>
  <c i="49" r="B4"/>
  <c i="50" r="A20"/>
  <c i="13" r="B8"/>
  <c i="60" r="C8"/>
  <c i="50" r="D20"/>
  <c i="53" r="A8"/>
  <c i="34" r="D8"/>
  <c i="50" r="D22"/>
  <c i="35" r="D8"/>
  <c i="50" r="D21"/>
  <c i="26" r="G2"/>
  <c i="32" r="O2" s="1"/>
  <c i="32" r="N2"/>
  <c i="13" r="B5"/>
  <c i="50" r="D12"/>
  <c i="60" r="C5"/>
  <c i="50" r="D11"/>
  <c i="35" r="D5"/>
  <c i="34" r="D5"/>
  <c i="53" r="A5"/>
  <c i="50" r="D13"/>
  <c i="13" r="D3"/>
  <c i="33" r="C3"/>
  <c i="26" r="M2"/>
  <c i="34" r="E2"/>
  <c i="35" r="D3"/>
  <c i="50" r="D5"/>
  <c i="58" r="A2"/>
  <c i="27" r="A2"/>
  <c i="32" r="A2" s="1"/>
  <c i="44" r="D3"/>
  <c i="34" r="D3"/>
  <c i="35" r="E3"/>
  <c i="35" r="E7"/>
  <c i="36" r="D4"/>
  <c i="50" r="G5"/>
  <c i="50" r="G9"/>
  <c i="50" r="G13"/>
  <c i="50" r="G17"/>
  <c i="50" r="G21"/>
  <c i="60" r="C2"/>
  <c i="64" r="G2"/>
  <c i="31" r="B3"/>
  <c i="33" r="C5"/>
  <c i="34" r="E3"/>
  <c i="34" r="E7"/>
  <c i="36" r="E4"/>
  <c i="50" r="D2"/>
  <c i="50" r="D6"/>
  <c i="60" r="C3"/>
  <c i="64" r="F3"/>
  <c i="146" r="A3" s="1"/>
  <c i="35" r="E4"/>
  <c i="35" r="E8"/>
  <c i="37" r="D5"/>
  <c i="50" r="G2"/>
  <c i="50" r="G6"/>
  <c i="50" r="G10"/>
  <c i="50" r="G14"/>
  <c i="50" r="G18"/>
  <c i="50" r="G22"/>
  <c i="13" r="A7"/>
  <c i="13" r="D7"/>
  <c i="34" r="E4"/>
  <c i="34" r="E8"/>
  <c i="50" r="D3"/>
  <c i="50" r="D7"/>
  <c i="50" r="G3"/>
  <c i="50" r="G7"/>
  <c i="50" r="G11"/>
  <c i="50" r="G15"/>
  <c i="50" r="G19"/>
  <c i="53" r="A2"/>
  <c i="57" r="D2"/>
  <c i="64" r="G4"/>
  <c i="34" r="E5"/>
  <c i="37" r="D3"/>
  <c i="53" r="A3"/>
  <c i="34" r="D2"/>
  <c i="35" r="E6"/>
  <c i="50" r="G4"/>
  <c i="50" r="G8"/>
  <c i="50" r="G12"/>
  <c i="50" r="G16"/>
  <c i="50" r="G20"/>
  <c i="57" r="D3"/>
  <c i="9" r="G2"/>
  <c i="9" r="G3"/>
  <c i="9" r="G4"/>
  <c i="34" r="G3"/>
  <c i="50" r="F4"/>
  <c i="50" r="F12"/>
  <c i="124" r="B3"/>
  <c i="124" r="B4"/>
  <c i="124" r="B5"/>
  <c i="124" r="B6"/>
  <c i="124" r="B7"/>
  <c i="124" r="B8"/>
  <c i="124" r="B2"/>
  <c i="34" r="G6"/>
  <c i="50" r="F7"/>
  <c i="50" r="F15"/>
  <c i="57" r="C2"/>
  <c i="9" r="G5"/>
  <c i="50" r="F2"/>
  <c i="50" r="F10"/>
  <c i="50" r="F18"/>
  <c i="9" r="G6"/>
  <c i="9" r="G7"/>
  <c i="34" r="G4"/>
  <c i="35" r="G2"/>
  <c i="35" r="G4"/>
  <c i="35" r="G6"/>
  <c i="35" r="G8"/>
  <c i="50" r="F5"/>
  <c i="50" r="F13"/>
  <c i="50" r="F21"/>
  <c i="9" r="G8"/>
  <c i="34" r="G7"/>
  <c i="50" r="F8"/>
  <c i="50" r="F16"/>
  <c i="57" r="C3"/>
  <c i="34" r="G2"/>
  <c i="46" r="C2"/>
  <c i="50" r="F3"/>
  <c i="50" r="F11"/>
  <c i="50" r="F19"/>
  <c i="34" r="G5"/>
  <c i="50" r="F6"/>
  <c i="50" r="F14"/>
  <c i="50" r="F22"/>
  <c i="34" r="G8"/>
  <c i="35" r="G3"/>
  <c i="35" r="G5"/>
  <c i="35" r="G7"/>
  <c i="50" r="F9"/>
  <c i="50" r="F17"/>
  <c i="49" r="B2"/>
  <c i="50" r="A3"/>
  <c i="50" r="A5"/>
  <c i="50" r="A7"/>
  <c i="50" r="A9"/>
  <c i="50" r="A11"/>
  <c i="50" r="A13"/>
  <c i="50" r="A15"/>
  <c i="50" r="A17"/>
  <c i="50" r="A19"/>
  <c i="50" r="A21"/>
  <c i="51" r="A2"/>
  <c i="56" r="B2"/>
  <c i="49" r="B3"/>
  <c i="51" r="A3"/>
  <c i="55" r="M3"/>
  <c i="55" r="M5"/>
  <c i="55" r="M7"/>
  <c i="51" r="A4"/>
  <c i="49" r="B5"/>
  <c i="50" r="A2"/>
  <c i="50" r="A4"/>
  <c i="50" r="A6"/>
  <c i="50" r="A8"/>
  <c i="50" r="A10"/>
  <c i="50" r="A12"/>
  <c i="50" r="A14"/>
  <c i="50" r="A16"/>
  <c i="55" r="M2"/>
  <c i="55" r="M4"/>
  <c i="55" r="M6"/>
  <c i="44" r="G3"/>
  <c i="41" r="E4"/>
  <c i="44" r="G4"/>
  <c i="41" r="E2"/>
  <c i="44" r="G2"/>
  <c i="41" r="E3"/>
  <c i="31" r="C4"/>
  <c i="33" r="D3"/>
  <c i="33" r="A5"/>
  <c i="33" r="A4"/>
  <c i="10" r="P2"/>
  <c i="15" r="B2" s="1"/>
  <c i="13" r="D6"/>
  <c i="13" r="A4"/>
  <c i="13" r="A8"/>
  <c i="10" r="G2"/>
  <c i="12" r="M2" s="1"/>
  <c i="10" r="M2"/>
  <c i="10" r="O2"/>
  <c i="14" r="B2" s="1"/>
  <c i="204" l="1" r="A6"/>
  <c i="203" r="A6"/>
  <c i="35" r="L4"/>
  <c i="30" r="A2"/>
  <c i="36" r="G3"/>
  <c i="36" r="G2"/>
  <c i="35" r="L3"/>
  <c i="35" r="L2"/>
  <c i="186" r="A6"/>
  <c i="187" r="A6"/>
  <c i="188" r="A6"/>
  <c i="184" r="A6"/>
  <c i="19" r="G2"/>
  <c i="19" r="G4"/>
  <c i="19" r="G3"/>
  <c i="64" r="A2"/>
  <c i="36" r="G4"/>
  <c i="128" r="B4"/>
  <c i="118" r="B2"/>
  <c i="172" r="A6"/>
  <c i="171" r="A6"/>
  <c i="125" r="B2"/>
  <c i="62" r="B2"/>
  <c i="144" r="C2"/>
  <c i="142" r="C2"/>
  <c i="61" r="B2"/>
  <c i="95" r="A4"/>
  <c i="97" r="A7"/>
  <c i="145" r="B2"/>
  <c i="148" r="B4"/>
  <c i="157" r="A2"/>
  <c i="137" r="B2"/>
  <c i="146" r="A2"/>
  <c i="35" r="L7"/>
  <c i="144" r="C3"/>
  <c i="142" r="C4"/>
  <c i="142" r="C3"/>
  <c i="126" r="C2"/>
  <c i="130" r="B4"/>
  <c i="63" r="A2"/>
  <c i="130" r="B2"/>
  <c i="120" r="B2"/>
  <c i="25" r="G4"/>
  <c i="37" r="G2"/>
  <c i="64" r="A3"/>
  <c i="35" r="L8"/>
  <c i="119" r="B4"/>
  <c i="118" r="B4"/>
  <c i="128" r="B2"/>
  <c i="63" r="A4"/>
  <c i="120" r="B4"/>
  <c i="30" r="N2"/>
  <c i="21" r="G2"/>
  <c i="30" r="O2" s="1"/>
  <c i="35" r="L5"/>
  <c i="147" r="B2"/>
  <c i="148" r="B5"/>
  <c i="61" r="B4"/>
  <c i="125" r="B3"/>
  <c i="61" r="B3"/>
  <c i="42" r="H2"/>
  <c i="35" r="L6"/>
  <c i="37" r="G4"/>
  <c i="128" r="B3"/>
  <c i="118" r="B3"/>
  <c i="119" r="B3"/>
  <c i="130" r="B3"/>
  <c i="120" r="B3"/>
  <c i="63" r="A3"/>
  <c i="13" r="B4"/>
  <c i="53" r="A4"/>
  <c i="50" r="D8"/>
  <c i="57" r="A2"/>
  <c i="60" r="C4"/>
  <c i="34" r="D4"/>
  <c i="50" r="D10"/>
  <c i="35" r="D4"/>
  <c i="50" r="D9"/>
  <c i="37" r="G5"/>
  <c i="25" r="G2"/>
  <c i="25" r="G5"/>
  <c i="37" r="G3"/>
  <c i="25" r="G3"/>
</calcChain>
</file>

<file path=xl/sharedStrings.xml><?xml version="1.0" encoding="utf-8"?>
<sst xmlns="http://schemas.openxmlformats.org/spreadsheetml/2006/main" count="6181" uniqueCount="886">
  <si>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</si>
  <si>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</si>
  <si>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</si>
  <si>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</si>
  <si>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</si>
  <si>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</si>
  <si>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</si>
  <si>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</si>
  <si>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</si>
  <si>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</si>
  <si>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</si>
  <si>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</si>
  <si>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</si>
  <si>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</si>
  <si>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</si>
  <si>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</si>
  <si>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</si>
  <si>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</si>
  <si>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</si>
  <si>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</si>
  <si>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</si>
  <si>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</si>
  <si>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</si>
  <si>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</si>
  <si>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</si>
  <si>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</si>
  <si>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</si>
  <si>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</si>
  <si>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</si>
  <si>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</si>
  <si>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</si>
  <si>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</si>
  <si>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</si>
  <si>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</si>
  <si>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</si>
  <si>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</si>
  <si>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</si>
  <si>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</si>
  <si>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</si>
  <si>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</si>
  <si>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</si>
  <si>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</si>
  <si>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</si>
  <si>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</si>
  <si>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</si>
  <si>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</si>
  <si>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</si>
  <si>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</si>
  <si>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</si>
  <si>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</si>
  <si>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</si>
  <si>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</si>
  <si>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</si>
  <si>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</si>
  <si>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</si>
  <si>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</si>
  <si>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</si>
  <si>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</si>
  <si>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</si>
  <si>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</si>
  <si>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</si>
  <si>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</si>
  <si>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</si>
  <si>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</si>
  <si>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</si>
  <si>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</si>
  <si>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</si>
  <si>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</si>
  <si>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</si>
  <si>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</si>
  <si>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</si>
  <si>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</si>
  <si>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</si>
  <si>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</si>
  <si>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</si>
  <si>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</si>
  <si>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</si>
  <si>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</si>
  <si>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</si>
  <si>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</si>
  <si>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</si>
  <si>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</si>
  <si>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</si>
  <si>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</si>
  <si>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</si>
  <si>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</si>
  <si>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</si>
  <si>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</si>
  <si>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</si>
  <si>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</si>
  <si>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</si>
  <si>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</si>
  <si>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</si>
  <si>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</si>
  <si>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</si>
  <si>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</si>
  <si>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</si>
  <si>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</si>
  <si>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</si>
  <si>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</si>
  <si>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</si>
  <si>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</si>
  <si>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</si>
  <si>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</si>
  <si>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</si>
  <si>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</si>
  <si>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</si>
  <si>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</si>
  <si>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</si>
  <si>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</si>
  <si>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</si>
  <si>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</si>
  <si>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</si>
  <si>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</si>
  <si>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</si>
  <si>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</si>
  <si>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</si>
  <si>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</si>
  <si>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</si>
  <si>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</si>
  <si>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</si>
  <si>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</si>
  <si>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</si>
  <si>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</si>
  <si>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</si>
  <si>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</si>
  <si>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</si>
  <si>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</si>
  <si>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</si>
  <si>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</si>
  <si>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</si>
  <si>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</si>
  <si>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</si>
  <si>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</si>
  <si>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</si>
  <si>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</si>
  <si>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</si>
  <si>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</si>
  <si>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</si>
  <si>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</si>
  <si>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</si>
  <si>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</si>
  <si>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</si>
  <si>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</si>
  <si>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</si>
  <si>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</si>
  <si>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</si>
  <si>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</si>
  <si>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</si>
  <si>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</si>
  <si>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</si>
  <si>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</si>
  <si>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</si>
  <si>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</si>
  <si>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</si>
  <si>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</si>
  <si>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</si>
  <si>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</si>
  <si>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</si>
  <si>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</si>
  <si>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</si>
  <si>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</si>
  <si>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</si>
  <si>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</si>
  <si>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</si>
  <si>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</si>
  <si>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</si>
  <si>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</si>
  <si>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</si>
  <si>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</si>
  <si>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</si>
  <si>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</si>
  <si>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</si>
  <si>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</si>
  <si>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</si>
  <si>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</si>
  <si>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</si>
  <si>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</si>
  <si>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</si>
  <si>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</si>
  <si>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</si>
  <si>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</si>
  <si>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</si>
  <si>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</si>
  <si>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</si>
  <si>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</si>
  <si>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</si>
  <si>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</si>
  <si>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</si>
  <si>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</si>
  <si>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</si>
  <si>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</si>
  <si>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</si>
  <si>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</si>
  <si>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</si>
  <si>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</si>
  <si>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</si>
  <si>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</si>
  <si>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</si>
  <si>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</si>
  <si>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</si>
  <si>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</si>
  <si>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</si>
  <si>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</si>
  <si>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</si>
  <si>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</si>
  <si>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</si>
  <si>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</si>
  <si>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</si>
  <si>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</si>
  <si>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</si>
  <si>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</si>
  <si>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</si>
  <si>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</si>
  <si>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</si>
  <si>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</si>
  <si>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</si>
  <si>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</si>
  <si>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</si>
  <si>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</si>
  <si>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</si>
  <si>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</si>
  <si>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</si>
  <si>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</si>
  <si>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</si>
  <si>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</si>
  <si>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</si>
  <si>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</si>
  <si>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</si>
  <si>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</si>
  <si>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</si>
  <si>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</si>
  <si>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</si>
  <si>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</si>
  <si>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</si>
  <si>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</si>
  <si>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</si>
  <si>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</si>
  <si>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</si>
  <si>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</si>
  <si>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</si>
  <si>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</si>
  <si>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</si>
  <si>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</si>
  <si>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</si>
  <si>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</si>
  <si>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</si>
  <si>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</si>
  <si>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</si>
  <si>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</si>
  <si>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</si>
  <si>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</si>
  <si>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</si>
  <si>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</si>
  <si>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</si>
  <si>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</si>
  <si>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</si>
  <si>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</si>
  <si>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</si>
  <si>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</si>
  <si>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</si>
  <si>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</si>
  <si>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</si>
  <si>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</si>
  <si>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</si>
  <si>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</si>
  <si>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</si>
  <si>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</si>
  <si>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</si>
  <si>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</si>
  <si>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</si>
  <si>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</si>
  <si>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</si>
  <si>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</si>
  <si>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</si>
  <si>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</si>
  <si>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</si>
  <si>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</si>
  <si>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</si>
  <si>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</si>
  <si>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</si>
  <si>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</si>
  <si>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</si>
  <si>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</si>
  <si>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</si>
  <si>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</si>
  <si>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</si>
  <si>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</si>
  <si>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</si>
  <si>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</si>
  <si>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</si>
  <si>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</si>
  <si>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</si>
  <si>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</si>
  <si>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</si>
  <si>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</si>
  <si>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</si>
  <si>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</si>
  <si>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</si>
  <si>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</si>
  <si>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</si>
  <si>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</si>
  <si>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</si>
  <si>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</si>
  <si>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</si>
  <si>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</si>
  <si>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</si>
  <si>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</si>
  <si>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</si>
  <si>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</si>
  <si>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</si>
  <si>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</si>
  <si>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</si>
  <si>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</si>
  <si>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</si>
  <si>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</si>
  <si>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</si>
  <si>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</si>
  <si>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</si>
  <si>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</si>
  <si>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</si>
  <si>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</si>
  <si>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</si>
  <si>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</si>
  <si>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</si>
  <si>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</si>
  <si>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</si>
  <si>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</si>
  <si>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</si>
  <si>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</si>
  <si>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</si>
  <si>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</si>
  <si>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</si>
  <si>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</si>
  <si>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</si>
  <si>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</si>
  <si>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</si>
  <si>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</si>
  <si>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</si>
  <si>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</si>
  <si>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</si>
  <si>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</si>
  <si>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</si>
  <si>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</si>
  <si>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</si>
  <si>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</si>
  <si>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</si>
  <si>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</si>
  <si>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</si>
  <si>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</si>
  <si>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</si>
  <si>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</si>
  <si>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</si>
  <si>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</si>
  <si>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</si>
  <si>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</si>
  <si>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</si>
  <si>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</si>
  <si>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</si>
  <si>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</si>
  <si>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</si>
  <si>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</si>
  <si>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</si>
  <si>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</si>
  <si>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</si>
  <si>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</si>
  <si>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</si>
  <si>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</si>
  <si>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</si>
  <si>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</si>
  <si>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</si>
  <si>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</si>
  <si>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</si>
  <si>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</si>
  <si>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</si>
  <si>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</si>
  <si>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</si>
  <si>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</si>
  <si>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</si>
  <si>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</si>
  <si>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</si>
  <si>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</si>
  <si>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</si>
  <si>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</si>
  <si>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</si>
  <si>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</si>
  <si>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</si>
  <si>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</si>
  <si>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</si>
  <si>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</si>
  <si>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</si>
  <si>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</si>
  <si>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</si>
  <si>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</si>
  <si>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</si>
  <si>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</si>
  <si>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</si>
  <si>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</si>
  <si>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</si>
  <si>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</si>
  <si>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</si>
  <si>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</si>
  <si>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</si>
  <si>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</si>
  <si>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</si>
  <si>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</si>
  <si>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</si>
  <si>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</si>
  <si>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</si>
  <si>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</si>
  <si>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</si>
  <si>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</si>
  <si>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</si>
  <si>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</si>
  <si>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</si>
  <si>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</si>
  <si>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</si>
  <si>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</si>
  <si>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</si>
  <si>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</si>
  <si>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</si>
  <si>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</si>
  <si>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</si>
  <si>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</si>
  <si>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</si>
  <si>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</si>
  <si>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</si>
  <si>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</si>
  <si>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</si>
  <si>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</si>
  <si>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</si>
  <si>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</si>
  <si>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</si>
  <si>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</si>
  <si>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</si>
  <si>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</si>
  <si>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</si>
  <si>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</si>
  <si>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</si>
  <si>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</si>
  <si>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</si>
  <si>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</si>
  <si>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</si>
  <si>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</si>
  <si>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</si>
  <si>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</si>
  <si>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</si>
  <si>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</si>
  <si>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</si>
  <si>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</si>
  <si>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</si>
  <si>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</si>
  <si>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</si>
  <si>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</si>
  <si>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</si>
  <si>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</si>
  <si>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</si>
  <si>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</si>
  <si>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</si>
  <si>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</si>
  <si>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</si>
  <si>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</si>
  <si>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</si>
  <si>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</si>
  <si>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</si>
  <si>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</si>
  <si>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</si>
  <si>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</si>
  <si>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</si>
  <si>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</si>
  <si>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</si>
  <si>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</si>
  <si>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</si>
  <si>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</si>
  <si>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</si>
  <si>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</si>
  <si>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</si>
  <si>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</si>
  <si>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</si>
  <si>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</si>
  <si>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</si>
  <si>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</si>
  <si>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</si>
  <si>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</si>
  <si>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</si>
  <si>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</si>
  <si>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</si>
  <si>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</si>
  <si>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</si>
  <si>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</si>
  <si>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</si>
  <si>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</si>
  <si>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</si>
  <si>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</si>
  <si>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</si>
  <si>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</si>
  <si>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</si>
  <si>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</si>
  <si>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</si>
  <si>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</si>
  <si>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</si>
  <si>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</si>
  <si>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</si>
  <si>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</si>
  <si>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</si>
  <si>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</si>
  <si>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</si>
  <si>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</si>
  <si>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</si>
  <si>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</si>
  <si>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</si>
  <si>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</si>
  <si>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</si>
  <si>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</si>
  <si>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</si>
  <si>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</si>
  <si>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</si>
  <si>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</si>
  <si>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</si>
  <si>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</si>
  <si>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</si>
  <si>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</si>
  <si>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</si>
  <si>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</si>
  <si>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</si>
  <si>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</si>
  <si>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</si>
  <si>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</si>
  <si>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</si>
  <si>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</si>
  <si>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</si>
  <si>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</si>
  <si>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</si>
  <si>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</si>
  <si>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</si>
  <si>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</si>
  <si>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</si>
  <si>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Old_outbound_3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</si>
  <si>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</si>
  <si>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</si>
  <si>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</si>
  <si>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</si>
  <si>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</si>
  <si>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</si>
  <si>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</si>
  <si>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</si>
  <si>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</si>
  <si>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</si>
  <si>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</si>
  <si>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</si>
  <si>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</si>
  <si>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</si>
  <si>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</si>
  <si>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</si>
  <si>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</si>
  <si>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</si>
  <si>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</si>
  <si>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</si>
  <si>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</si>
  <si>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</si>
  <si>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</si>
  <si>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</si>
  <si>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</si>
  <si>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</si>
  <si>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</si>
  <si>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</si>
  <si>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</si>
  <si>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</si>
  <si>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</si>
  <si>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</si>
  <si>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</si>
  <si>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</si>
  <si>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</si>
  <si>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</si>
  <si>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</si>
  <si>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</si>
  <si>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</si>
  <si>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</si>
  <si>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</si>
  <si>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</si>
  <si>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</si>
  <si>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</si>
  <si>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</si>
  <si>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</si>
  <si>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</si>
  <si>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</si>
  <si>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</si>
  <si>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</si>
  <si>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</si>
  <si>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</si>
  <si>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</si>
  <si>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</si>
  <si>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</si>
  <si>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</si>
  <si>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</si>
  <si>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</si>
  <si>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</si>
  <si>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</si>
  <si>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</si>
  <si>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</si>
  <si>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</si>
  <si>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</si>
  <si>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</si>
  <si>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</si>
  <si>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</si>
  <si>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</si>
  <si>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</si>
  <si>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</si>
  <si>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</si>
  <si>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</si>
  <si>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</si>
  <si>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</si>
  <si>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</si>
  <si>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</si>
  <si>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</si>
  <si>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</si>
  <si>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</si>
  <si>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</si>
  <si>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</si>
  <si>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</si>
  <si>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</si>
  <si>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</si>
  <si>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</si>
  <si>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</si>
  <si>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</si>
  <si>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</si>
  <si>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</si>
  <si>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</si>
  <si>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</si>
  <si>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</si>
  <si>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</si>
  <si>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</si>
  <si>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</si>
  <si>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</si>
  <si>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</si>
  <si>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</si>
  <si>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</si>
  <si>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</si>
  <si>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</si>
  <si>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</si>
  <si>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</si>
  <si>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</si>
  <si>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</si>
  <si>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</si>
  <si>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</si>
  <si>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</si>
  <si>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</si>
  <si>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</si>
  <si>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</si>
  <si>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</si>
  <si>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</si>
  <si>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</si>
  <si>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</si>
  <si>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</si>
  <si>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</si>
  <si>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</si>
  <si>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</si>
  <si>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</si>
  <si>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</si>
  <si>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</si>
  <si>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</si>
  <si>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</si>
  <si>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</si>
  <si>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</si>
  <si>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</si>
  <si>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</si>
  <si>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</si>
  <si>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</si>
  <si>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</si>
  <si>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</si>
  <si>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</si>
  <si>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</si>
  <si>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</si>
  <si>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</si>
  <si>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</si>
  <si>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</si>
  <si>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</si>
  <si>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</si>
  <si>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</si>
  <si>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</si>
  <si>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</si>
  <si>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</si>
  <si>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</si>
  <si>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</si>
  <si>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</si>
  <si>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</si>
  <si>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</si>
  <si>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</si>
  <si>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</si>
  <si>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</si>
  <si>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</si>
  <si>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</si>
  <si>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</si>
  <si>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</si>
  <si>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</si>
  <si>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</si>
  <si>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</si>
  <si>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</si>
  <si>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</si>
  <si>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</si>
  <si>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</si>
  <si>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</si>
  <si>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</si>
  <si>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</si>
  <si>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</si>
  <si>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</si>
  <si>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</si>
  <si>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</si>
  <si>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</si>
  <si>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</si>
  <si>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</si>
  <si>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</si>
  <si>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</si>
  <si>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</si>
  <si>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</si>
  <si>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</si>
  <si>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</si>
  <si>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</si>
  <si>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</si>
  <si>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</si>
  <si>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</si>
  <si>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</si>
  <si>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</si>
  <si>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</si>
  <si>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</si>
  <si>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</si>
  <si>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</si>
  <si>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Week 1 Stock Days</t>
  </si>
  <si>
    <t>Week 2 In</t>
  </si>
  <si>
    <t>Week 2 Out</t>
  </si>
  <si>
    <t>Week 2 Balance</t>
  </si>
  <si>
    <t>Week 2 Stock Days</t>
  </si>
  <si>
    <t>Week 3 In</t>
  </si>
  <si>
    <t>Week 3 Out</t>
  </si>
  <si>
    <t>Week 3 Balance</t>
  </si>
  <si>
    <t>Week 3 Stock Days</t>
  </si>
  <si>
    <t>Week 4 In</t>
  </si>
  <si>
    <t>Week 4 Out</t>
  </si>
  <si>
    <t>Week 4 Balance</t>
  </si>
  <si>
    <t>Week 4 Stock Days</t>
  </si>
  <si>
    <t>Week 5 In</t>
  </si>
  <si>
    <t>Week 5 Out</t>
  </si>
  <si>
    <t>Week 5 Balance</t>
  </si>
  <si>
    <t>Week 5 Stock Days</t>
  </si>
  <si>
    <t>Week 6 In</t>
  </si>
  <si>
    <t>Week 6 Out</t>
  </si>
  <si>
    <t>Week 6 Balance</t>
  </si>
  <si>
    <t>Week 6 Stock Days</t>
  </si>
  <si>
    <t>Week 7 In</t>
  </si>
  <si>
    <t>Week 7 Out</t>
  </si>
  <si>
    <t>Week 7 Balance</t>
  </si>
  <si>
    <t>Week 7 Stock Days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</si>
  <si>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</si>
  <si>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</si>
  <si>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</si>
  <si>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</si>
  <si>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</si>
  <si>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</si>
  <si>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</si>
  <si>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</si>
  <si>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</si>
  <si>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</si>
  <si>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</si>
  <si>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</si>
  <si>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</si>
  <si>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</si>
  <si>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</si>
  <si>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</si>
  <si>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</si>
  <si>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</si>
  <si>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</si>
  <si>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</si>
  <si>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</si>
  <si>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</si>
  <si>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</si>
  <si>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</si>
  <si>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</si>
  <si>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</si>
  <si>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</si>
  <si>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</si>
  <si>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</si>
  <si>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</si>
  <si>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</si>
  <si>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</si>
  <si>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</si>
  <si>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NG-100</t>
  </si>
  <si>
    <t>EstimateInboundedPlanQty</t>
  </si>
  <si>
    <t>NG-40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</si>
  <si>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</si>
  <si>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</si>
  <si>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</si>
  <si>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</si>
  <si>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</si>
  <si>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</si>
  <si>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</si>
  <si>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</si>
  <si>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</si>
  <si>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</si>
  <si>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</si>
  <si>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</si>
  <si>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MY-PNA-CUS-2310-003</t>
  </si>
  <si>
    <t>pZ525-2310003</t>
  </si>
  <si>
    <t>pZ525-2310001</t>
  </si>
  <si>
    <t>pZ525-2310002</t>
  </si>
  <si>
    <t>sZ5s125-2310001</t>
  </si>
  <si>
    <t>R-MY-PNA-BU-2310067</t>
  </si>
  <si>
    <t>R-MY-ELA-SUP-2310010</t>
  </si>
  <si>
    <t>R-MY-PNA-BU-2310068</t>
  </si>
  <si>
    <t>R-MY-PNA-CUS-2310043</t>
  </si>
  <si>
    <t>R-MY-PNA-BU-2310069</t>
  </si>
  <si>
    <t>CU-V-202310261625265915</t>
  </si>
  <si>
    <t>pZ525-2310005</t>
  </si>
  <si>
    <t>pZ525-2310004</t>
  </si>
  <si>
    <t>sZ5s125-2310002</t>
  </si>
  <si>
    <t>s25s225-2310003</t>
  </si>
  <si>
    <t>pZ5s125-2310001</t>
  </si>
  <si>
    <t>sZ5s125-2310003</t>
  </si>
  <si>
    <t>rsZ5s125-2310001-01</t>
  </si>
  <si>
    <t>o-MY-ELA-SUP-231026001</t>
  </si>
  <si>
    <t>o-MY-ELA-SUP-231026002</t>
  </si>
  <si>
    <t>o-MY-ELA-SUP-231026003</t>
  </si>
  <si>
    <t>ELA2310016</t>
  </si>
  <si>
    <t>ELA2310017</t>
  </si>
  <si>
    <t>ELA2310018</t>
  </si>
  <si>
    <t>rsZ5s125-2310002-01</t>
  </si>
  <si>
    <t>Receiver Inbound</t>
  </si>
  <si>
    <t>InTransit Qty</t>
  </si>
  <si>
    <t>Receiver Inbounded Qty</t>
  </si>
  <si>
    <t>Plan 1</t>
  </si>
  <si>
    <t>Plan 2</t>
  </si>
  <si>
    <t>s25s225-2310001</t>
  </si>
  <si>
    <t>s25s225-2310002</t>
  </si>
  <si>
    <t>Part</t>
  </si>
  <si>
    <t>Soid</t>
  </si>
  <si>
    <t>o-JP-YAZ-SUP-231026001</t>
  </si>
  <si>
    <t>o-JP-YAZ-SUP-231026002</t>
  </si>
  <si>
    <t>o-JP-YAZ-SUP-231026003</t>
  </si>
  <si>
    <t>JYZ2310013</t>
  </si>
  <si>
    <t>JYZ2310014</t>
  </si>
  <si>
    <t>JYZ2310015</t>
  </si>
  <si>
    <t>JYZ2310016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</si>
  <si>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</si>
  <si>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</si>
  <si>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</si>
  <si>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</si>
  <si>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</si>
  <si>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</si>
  <si>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</si>
  <si>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</si>
  <si>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</si>
  <si>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</si>
  <si>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</si>
  <si>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</si>
  <si>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</si>
  <si>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</si>
  <si>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</si>
  <si>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</si>
  <si>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</si>
  <si>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</si>
  <si>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cZ5L225-2311001</t>
  </si>
  <si>
    <t>cZ5L225-2311002</t>
  </si>
  <si>
    <t>sZ5L225-2311001</t>
  </si>
  <si>
    <t>sZ5L225-2311003</t>
  </si>
  <si>
    <t>o-MY-PNA-DC-231102003</t>
  </si>
  <si>
    <t>o-MY-PNA-DC-231102004</t>
  </si>
  <si>
    <t>PartSpecific</t>
  </si>
  <si>
    <t>COid</t>
  </si>
  <si>
    <t>PNA2311003</t>
  </si>
  <si>
    <t>PNA2311004</t>
  </si>
  <si>
    <t>R-MY-PNA-CUS-2311001</t>
  </si>
  <si>
    <t>CR-MY-PNA-CUS-2311001</t>
  </si>
  <si>
    <t>R-MY-PNA-BU-2311004</t>
  </si>
  <si>
    <t>R-MY-PNA-BU-2311005</t>
  </si>
  <si>
    <t>CR-MY-PNA-CUS-2311002</t>
  </si>
  <si>
    <t>R-MY-PNA-CUS-2311003</t>
  </si>
  <si>
    <t>CR-MY-PNA-CUS-2311003</t>
  </si>
  <si>
    <t>Bom-ver202311211110296770</t>
  </si>
  <si>
    <t>ZT</t>
  </si>
  <si>
    <t>R-MY-PNA-CUS-2311005</t>
  </si>
  <si>
    <t>CR-MY-PNA-CUS-2311005</t>
  </si>
  <si>
    <t>R-MY-PNA-BU-2311010</t>
  </si>
  <si>
    <t>R-MY-PNA-BU-2311011</t>
  </si>
  <si>
    <t>R-MY-PNA-CUS-2311006</t>
  </si>
  <si>
    <t>CR-MY-PNA-CUS-2311006</t>
  </si>
  <si>
    <t>Bom-ver202311231421363868</t>
  </si>
  <si>
    <t>MY-PNA-CUS-2311-002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</si>
</sst>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#,##0.00000"/>
    <numFmt numFmtId="165" formatCode="#,##0.0000"/>
    <numFmt numFmtId="166" formatCode="0.000_ "/>
    <numFmt numFmtId="167" formatCode="0.00;\-0.00;0"/>
    <numFmt numFmtId="168" formatCode="mmm\ dd\,\ yyyy"/>
    <numFmt numFmtId="169" formatCode="#,##0.000000"/>
    <numFmt numFmtId="170" formatCode="#,##0;[Red]#,##0"/>
    <numFmt numFmtId="171" formatCode="_(* #,##0_);_(* \(#,##0\);_(* &quot;-&quot;??_);_(@_)"/>
    <numFmt numFmtId="172" formatCode="#,##0.000"/>
    <numFmt numFmtId="173" formatCode="0.0"/>
    <numFmt numFmtId="174" formatCode="_-* #,##0.00_-;\-* #,##0.00_-;_-* &quot;-&quot;??_-;_-@_-"/>
    <numFmt numFmtId="175" formatCode="0.00_ ;\-0.00\ "/>
    <numFmt numFmtId="176" formatCode="0.0_ ;\-0.0\ "/>
    <numFmt numFmtId="177" formatCode="#,##0_ "/>
    <numFmt numFmtId="178" formatCode="[$-14409]d/m/yyyy;@"/>
    <numFmt numFmtId="179" formatCode="dd\ mmm\ yyyy"/>
    <numFmt numFmtId="180" formatCode="0.00_);[Red]\(0.00\)"/>
    <numFmt numFmtId="181" formatCode="_-* #,##0_-;\-* #,##0_-;_-* &quot;-&quot;??_-;_-@_-"/>
    <numFmt numFmtId="182" formatCode="0.000"/>
    <numFmt numFmtId="183" formatCode="0.00_ "/>
    <numFmt numFmtId="184" formatCode="#,##0.000000_);[Red]\(#,##0.000000\)"/>
    <numFmt numFmtId="185" formatCode="mmm\ d\,\ yyyy"/>
    <numFmt numFmtId="186" formatCode="#,##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b/>
      <sz val="8"/>
      <color rgb="FF003362"/>
      <name val="Montserrat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borderId="0" fillId="0" fontId="0" numFmtId="0"/>
    <xf applyAlignment="0" applyBorder="0" applyFill="0" applyNumberFormat="0" applyProtection="0" borderId="0" fillId="0" fontId="4" numFmtId="0"/>
    <xf borderId="0" fillId="0" fontId="1" numFmtId="0"/>
    <xf applyAlignment="0" applyBorder="0" applyFill="0" applyFont="0" applyProtection="0" borderId="0" fillId="0" fontId="1" numFmtId="43"/>
    <xf borderId="0" fillId="0" fontId="1" numFmtId="0"/>
    <xf borderId="0" fillId="0" fontId="1" numFmtId="0"/>
    <xf borderId="0" fillId="0" fontId="12" numFmtId="0"/>
    <xf borderId="0" fillId="0" fontId="14" numFmtId="0"/>
    <xf applyAlignment="0" applyBorder="0" applyFill="0" applyNumberFormat="0" applyProtection="0" borderId="0" fillId="0" fontId="5" numFmtId="0"/>
    <xf applyAlignment="0" applyBorder="0" applyFill="0" applyFont="0" applyProtection="0" borderId="0" fillId="0" fontId="1" numFmtId="174"/>
    <xf borderId="0" fillId="0" fontId="14" numFmtId="0"/>
    <xf borderId="0" fillId="0" fontId="1" numFmtId="0"/>
    <xf borderId="0" fillId="0" fontId="14" numFmtId="0"/>
    <xf borderId="0" fillId="0" fontId="14" numFmtId="0"/>
    <xf borderId="0" fillId="0" fontId="1" numFmtId="0">
      <alignment vertical="center"/>
    </xf>
    <xf borderId="0" fillId="0" fontId="20" numFmtId="0">
      <alignment vertical="center"/>
    </xf>
    <xf borderId="0" fillId="0" fontId="12" numFmtId="0">
      <alignment vertical="center"/>
    </xf>
    <xf borderId="0" fillId="0" fontId="12" numFmtId="0">
      <alignment vertical="center"/>
    </xf>
    <xf borderId="0" fillId="0" fontId="1" numFmtId="0"/>
    <xf applyAlignment="0" applyBorder="0" applyFill="0" applyFont="0" applyProtection="0" borderId="0" fillId="0" fontId="1" numFmtId="43"/>
    <xf borderId="0" fillId="0" fontId="20" numFmtId="0">
      <alignment vertical="center"/>
    </xf>
    <xf borderId="0" fillId="0" fontId="14" numFmtId="0"/>
  </cellStyleXfs>
  <cellXfs count="249">
    <xf borderId="0" fillId="0" fontId="0" numFmtId="0" xfId="0"/>
    <xf applyFont="1" borderId="0" fillId="0" fontId="2" numFmtId="0" xfId="0"/>
    <xf applyFont="1" applyNumberFormat="1" borderId="0" fillId="0" fontId="2" numFmtId="49" xfId="0"/>
    <xf applyAlignment="1" applyFont="1" applyNumberFormat="1" borderId="0" fillId="0" fontId="2" numFmtId="49" xfId="0">
      <alignment horizontal="left"/>
    </xf>
    <xf applyAlignment="1" applyFont="1" applyNumberFormat="1" borderId="0" fillId="0" fontId="2" numFmtId="49" xfId="0">
      <alignment horizontal="center"/>
    </xf>
    <xf applyAlignment="1" applyFont="1" applyNumberFormat="1" borderId="0" fillId="0" fontId="3" numFmtId="164" xfId="0">
      <alignment horizontal="right" vertical="center"/>
    </xf>
    <xf applyAlignment="1" applyFont="1" applyNumberFormat="1" borderId="0" fillId="0" fontId="3" numFmtId="49" xfId="0">
      <alignment horizontal="left" wrapText="1"/>
    </xf>
    <xf applyAlignment="1" applyFont="1" applyNumberFormat="1" borderId="0" fillId="0" fontId="2" numFmtId="49" xfId="0">
      <alignment horizontal="left" vertical="center"/>
    </xf>
    <xf applyAlignment="1" applyFont="1" borderId="0" fillId="0" fontId="2" numFmtId="0" xfId="0">
      <alignment horizontal="left" vertical="center"/>
    </xf>
    <xf applyAlignment="1" applyFont="1" applyNumberFormat="1" borderId="0" fillId="0" fontId="2" numFmtId="49" xfId="0">
      <alignment horizontal="left" wrapText="1"/>
    </xf>
    <xf applyAlignment="1" applyFont="1" borderId="0" fillId="0" fontId="2" numFmtId="0" xfId="0">
      <alignment horizontal="left"/>
    </xf>
    <xf applyAlignment="1" applyFont="1" borderId="0" fillId="0" fontId="2" numFmtId="0" xfId="0">
      <alignment horizontal="left" wrapText="1"/>
    </xf>
    <xf applyAlignment="1" applyFont="1" borderId="0" fillId="0" fontId="6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horizontal="center"/>
    </xf>
    <xf applyAlignment="1" applyFont="1" applyNumberFormat="1" borderId="0" fillId="0" fontId="3" numFmtId="3" xfId="0">
      <alignment horizontal="right" vertical="center"/>
    </xf>
    <xf applyAlignment="1" applyFont="1" applyNumberFormat="1" borderId="0" fillId="0" fontId="3" numFmtId="165" xfId="0">
      <alignment horizontal="right" vertical="center"/>
    </xf>
    <xf applyAlignment="1" applyFont="1" borderId="0" fillId="0" fontId="2" numFmtId="0" xfId="0">
      <alignment vertical="center"/>
    </xf>
    <xf applyAlignment="1" applyFont="1" borderId="0" fillId="0" fontId="2" numFmtId="0" xfId="2">
      <alignment horizontal="left" vertical="center"/>
    </xf>
    <xf applyAlignment="1" applyFont="1" applyNumberFormat="1" borderId="0" fillId="0" fontId="2" numFmtId="9" xfId="0">
      <alignment horizontal="right" vertical="center"/>
    </xf>
    <xf applyAlignment="1" applyFont="1" applyNumberFormat="1" borderId="0" fillId="0" fontId="2" numFmtId="166" xfId="0">
      <alignment horizontal="right" vertical="center"/>
    </xf>
    <xf applyAlignment="1" applyFont="1" applyNumberFormat="1" borderId="0" fillId="0" fontId="3" numFmtId="4" xfId="0">
      <alignment horizontal="right" vertical="center"/>
    </xf>
    <xf applyAlignment="1" applyFont="1" applyNumberFormat="1" borderId="0" fillId="0" fontId="2" numFmtId="49" xfId="0">
      <alignment horizontal="left" vertical="center" wrapText="1"/>
    </xf>
    <xf applyAlignment="1" borderId="0" fillId="0" fontId="0" numFmtId="0" xfId="0">
      <alignment wrapText="1"/>
    </xf>
    <xf applyAlignment="1" applyFont="1" borderId="0" fillId="0" fontId="8" numFmtId="0" xfId="0">
      <alignment horizontal="center" vertical="center" wrapText="1"/>
    </xf>
    <xf applyNumberFormat="1" borderId="0" fillId="0" fontId="0" numFmtId="167" xfId="0"/>
    <xf applyNumberFormat="1" borderId="0" fillId="0" fontId="0" numFmtId="49" xfId="0"/>
    <xf applyNumberFormat="1" borderId="0" fillId="0" fontId="0" numFmtId="168" xfId="0"/>
    <xf applyAlignment="1" applyFont="1" applyNumberFormat="1" borderId="0" fillId="0" fontId="3" numFmtId="169" xfId="0">
      <alignment horizontal="right" vertical="center"/>
    </xf>
    <xf applyFont="1" borderId="0" fillId="0" fontId="6" numFmtId="0" xfId="0"/>
    <xf applyAlignment="1" applyBorder="1" applyFill="1" applyFont="1" borderId="0" fillId="0" fontId="7" numFmtId="0" xfId="1"/>
    <xf applyFont="1" borderId="0" fillId="0" fontId="9" numFmtId="0" xfId="0"/>
    <xf applyAlignment="1" applyFont="1" applyNumberFormat="1" borderId="0" fillId="0" fontId="2" numFmtId="170" xfId="0">
      <alignment horizontal="right" vertical="center"/>
    </xf>
    <xf applyAlignment="1" applyFont="1" applyNumberFormat="1" borderId="0" fillId="0" fontId="2" numFmtId="1" xfId="0">
      <alignment horizontal="right" vertical="center"/>
    </xf>
    <xf applyAlignment="1" applyFont="1" borderId="0" fillId="0" fontId="2" numFmtId="0" xfId="0">
      <alignment horizontal="right" vertical="center"/>
    </xf>
    <xf applyFont="1" applyNumberFormat="1" borderId="0" fillId="0" fontId="2" numFmtId="168" xfId="0"/>
    <xf applyAlignment="1" applyBorder="1" applyFill="1" applyFont="1" applyNumberFormat="1" borderId="0" fillId="0" fontId="3" numFmtId="171" xfId="3">
      <alignment horizontal="right" vertical="center"/>
    </xf>
    <xf applyAlignment="1" applyFont="1" borderId="0" fillId="0" fontId="3" numFmtId="0" xfId="0">
      <alignment horizontal="right" vertical="center"/>
    </xf>
    <xf applyFill="1" borderId="0" fillId="2" fontId="0" numFmtId="0" xfId="0"/>
    <xf applyAlignment="1" applyFont="1" borderId="0" fillId="0" fontId="2" numFmtId="0" xfId="0">
      <alignment horizontal="left" vertical="center" wrapText="1"/>
    </xf>
    <xf applyAlignment="1" applyFont="1" applyNumberFormat="1" borderId="0" fillId="0" fontId="3" numFmtId="172" xfId="0">
      <alignment horizontal="right" vertical="center"/>
    </xf>
    <xf applyAlignment="1" applyFont="1" borderId="0" fillId="0" fontId="2" numFmtId="0" xfId="2">
      <alignment horizontal="left"/>
    </xf>
    <xf applyAlignment="1" applyFont="1" borderId="0" fillId="0" fontId="3" numFmtId="0" xfId="0">
      <alignment horizontal="left" vertical="center"/>
    </xf>
    <xf applyAlignment="1" applyFont="1" borderId="0" fillId="0" fontId="10" numFmtId="0" xfId="0">
      <alignment horizontal="left" vertical="center" wrapText="1"/>
    </xf>
    <xf applyAlignment="1" applyFont="1" borderId="0" fillId="0" fontId="2" numFmtId="0" xfId="4">
      <alignment horizontal="left"/>
    </xf>
    <xf applyAlignment="1" applyFont="1" borderId="0" fillId="0" fontId="2" numFmtId="0" xfId="0">
      <alignment wrapText="1"/>
    </xf>
    <xf applyAlignment="1" applyFont="1" applyNumberFormat="1" borderId="0" fillId="0" fontId="3" numFmtId="3" xfId="0">
      <alignment horizontal="right" vertical="center" wrapText="1"/>
    </xf>
    <xf applyAlignment="1" applyFont="1" applyNumberFormat="1" borderId="0" fillId="0" fontId="3" numFmtId="165" xfId="0">
      <alignment horizontal="right" vertical="center" wrapText="1"/>
    </xf>
    <xf applyAlignment="1" applyFont="1" borderId="0" fillId="0" fontId="6" numFmtId="0" xfId="0">
      <alignment horizontal="left" vertical="center"/>
    </xf>
    <xf applyFont="1" applyNumberFormat="1" borderId="0" fillId="0" fontId="2" numFmtId="3" xfId="0"/>
    <xf applyFont="1" applyNumberFormat="1" borderId="0" fillId="0" fontId="2" numFmtId="173" xfId="0"/>
    <xf applyAlignment="1" applyBorder="1" applyFill="1" applyFont="1" borderId="1" fillId="2" fontId="11" numFmtId="0" xfId="5">
      <alignment horizontal="center" vertical="center" wrapText="1"/>
    </xf>
    <xf applyAlignment="1" applyBorder="1" applyFill="1" applyFont="1" borderId="1" fillId="3" fontId="11" numFmtId="0" xfId="6">
      <alignment horizontal="center" vertical="center" wrapText="1"/>
    </xf>
    <xf applyAlignment="1" applyBorder="1" applyFill="1" applyFont="1" borderId="1" fillId="3" fontId="13" numFmtId="0" xfId="6">
      <alignment horizontal="center" vertical="center" wrapText="1"/>
    </xf>
    <xf applyAlignment="1" applyBorder="1" applyFont="1" applyNumberFormat="1" borderId="1" fillId="0" fontId="8" numFmtId="49" xfId="0">
      <alignment vertical="center"/>
    </xf>
    <xf applyAlignment="1" applyBorder="1" applyFont="1" applyNumberFormat="1" borderId="1" fillId="0" fontId="8" numFmtId="166" xfId="0">
      <alignment vertical="center"/>
    </xf>
    <xf applyAlignment="1" applyBorder="1" applyFont="1" borderId="1" fillId="0" fontId="8" numFmtId="0" xfId="0">
      <alignment vertical="center"/>
    </xf>
    <xf applyAlignment="1" applyBorder="1" applyFill="1" applyFont="1" borderId="1" fillId="2" fontId="13" numFmtId="0" xfId="6">
      <alignment horizontal="center" vertical="center" wrapText="1"/>
    </xf>
    <xf applyAlignment="1" applyBorder="1" applyFill="1" applyFont="1" borderId="1" fillId="4" fontId="13" numFmtId="0" xfId="7">
      <alignment horizontal="center" vertical="center" wrapText="1"/>
    </xf>
    <xf applyBorder="1" applyFont="1" borderId="1" fillId="0" fontId="8" numFmtId="0" xfId="0"/>
    <xf applyBorder="1" applyFont="1" applyNumberFormat="1" borderId="1" fillId="0" fontId="8" numFmtId="49" xfId="0"/>
    <xf applyAlignment="1" applyBorder="1" applyFill="1" applyFont="1" applyNumberFormat="1" borderId="1" fillId="2" fontId="8" numFmtId="49" xfId="4">
      <alignment horizontal="center" vertical="center"/>
    </xf>
    <xf applyBorder="1" applyFont="1" applyNumberFormat="1" borderId="1" fillId="0" fontId="8" numFmtId="166" xfId="4"/>
    <xf applyAlignment="1" applyBorder="1" applyFill="1" applyFont="1" applyProtection="1" borderId="2" fillId="5" fontId="15" numFmtId="0" xfId="8">
      <alignment horizontal="center" vertical="center"/>
    </xf>
    <xf applyAlignment="1" applyBorder="1" applyFont="1" borderId="1" fillId="0" fontId="16" numFmtId="0" xfId="0">
      <alignment horizontal="left"/>
    </xf>
    <xf applyAlignment="1" applyBorder="1" applyFont="1" applyNumberFormat="1" applyProtection="1" borderId="1" fillId="0" fontId="16" numFmtId="175" xfId="9">
      <protection locked="0"/>
    </xf>
    <xf applyAlignment="1" applyBorder="1" applyFont="1" applyNumberFormat="1" applyProtection="1" borderId="1" fillId="0" fontId="16" numFmtId="176" xfId="9">
      <protection locked="0"/>
    </xf>
    <xf applyAlignment="1" applyFont="1" borderId="0" fillId="0" fontId="3" numFmtId="0" xfId="0">
      <alignment horizontal="center" vertical="center"/>
    </xf>
    <xf applyAlignment="1" applyFont="1" applyNumberFormat="1" borderId="0" fillId="0" fontId="3" numFmtId="177" xfId="0">
      <alignment horizontal="center" vertical="center"/>
    </xf>
    <xf applyAlignment="1" applyFont="1" borderId="0" fillId="0" fontId="3" numFmtId="0" xfId="0">
      <alignment vertical="center"/>
    </xf>
    <xf applyAlignment="1" applyFont="1" borderId="0" fillId="0" fontId="17" numFmtId="0" xfId="0">
      <alignment horizontal="center" vertical="center"/>
    </xf>
    <xf applyAlignment="1" applyFont="1" borderId="0" fillId="0" fontId="18" numFmtId="0" xfId="0">
      <alignment horizontal="center" vertical="center"/>
    </xf>
    <xf applyAlignment="1" applyFont="1" applyNumberFormat="1" borderId="0" fillId="0" fontId="18" numFmtId="2" xfId="0">
      <alignment horizontal="center" vertical="center"/>
    </xf>
    <xf applyAlignment="1" applyFont="1" borderId="0" fillId="0" fontId="6" numFmtId="0" xfId="0">
      <alignment horizontal="center"/>
    </xf>
    <xf applyFont="1" applyNumberFormat="1" borderId="0" fillId="0" fontId="6" numFmtId="49" xfId="0"/>
    <xf applyFont="1" applyNumberFormat="1" borderId="0" fillId="0" fontId="2" numFmtId="2" xfId="0"/>
    <xf applyFont="1" applyNumberFormat="1" borderId="0" fillId="0" fontId="2" numFmtId="178" xfId="0"/>
    <xf applyAlignment="1" applyFont="1" borderId="0" fillId="0" fontId="11" numFmtId="0" xfId="10">
      <alignment horizontal="center" vertical="center" wrapText="1"/>
    </xf>
    <xf applyAlignment="1" applyFont="1" borderId="0" fillId="0" fontId="11" numFmtId="0" xfId="0">
      <alignment horizontal="center" vertical="center" wrapText="1"/>
    </xf>
    <xf applyAlignment="1" applyFont="1" applyNumberFormat="1" borderId="0" fillId="0" fontId="8" numFmtId="49" xfId="0">
      <alignment horizontal="left" vertical="center"/>
    </xf>
    <xf applyFont="1" borderId="0" fillId="0" fontId="16" numFmtId="0" xfId="11"/>
    <xf applyAlignment="1" applyFont="1" borderId="0" fillId="0" fontId="16" numFmtId="0" xfId="0">
      <alignment horizontal="left" vertical="center"/>
    </xf>
    <xf applyAlignment="1" applyFont="1" applyNumberFormat="1" borderId="0" fillId="0" fontId="14" numFmtId="3" xfId="0">
      <alignment horizontal="right" vertical="center"/>
    </xf>
    <xf applyAlignment="1" applyBorder="1" applyFill="1" applyFont="1" borderId="1" fillId="2" fontId="11" numFmtId="0" xfId="12">
      <alignment horizontal="center" vertical="center" wrapText="1"/>
    </xf>
    <xf applyAlignment="1" applyBorder="1" applyFill="1" applyFont="1" borderId="1" fillId="6" fontId="11" numFmtId="0" xfId="13">
      <alignment horizontal="center" vertical="center" wrapText="1"/>
    </xf>
    <xf applyAlignment="1" applyBorder="1" applyFill="1" applyFont="1" borderId="1" fillId="7" fontId="8" numFmtId="0" xfId="14">
      <alignment horizontal="left" vertical="center"/>
    </xf>
    <xf applyAlignment="1" applyBorder="1" applyFill="1" applyFont="1" applyNumberFormat="1" borderId="1" fillId="7" fontId="8" numFmtId="179" xfId="0">
      <alignment horizontal="left" vertical="center"/>
    </xf>
    <xf applyAlignment="1" applyBorder="1" applyFill="1" applyFont="1" applyNumberFormat="1" borderId="1" fillId="7" fontId="8" numFmtId="180" xfId="0">
      <alignment horizontal="right" vertical="center"/>
    </xf>
    <xf applyAlignment="1" applyBorder="1" applyFill="1" applyFont="1" borderId="1" fillId="2" fontId="3" numFmtId="0" xfId="10">
      <alignment horizontal="center" vertical="center"/>
    </xf>
    <xf applyAlignment="1" applyBorder="1" applyFill="1" applyFont="1" borderId="1" fillId="5" fontId="3" numFmtId="0" xfId="10">
      <alignment horizontal="center" vertical="center"/>
    </xf>
    <xf applyAlignment="1" applyBorder="1" applyFill="1" applyFont="1" borderId="1" fillId="8" fontId="3" numFmtId="0" xfId="0">
      <alignment horizontal="center" vertical="center"/>
    </xf>
    <xf applyAlignment="1" applyBorder="1" applyFill="1" applyFont="1" applyNumberFormat="1" borderId="1" fillId="7" fontId="2" numFmtId="49" xfId="0">
      <alignment horizontal="left" vertical="center"/>
    </xf>
    <xf applyAlignment="1" applyBorder="1" applyFont="1" applyNumberFormat="1" borderId="1" fillId="0" fontId="3" numFmtId="3" xfId="0">
      <alignment horizontal="right" vertical="center"/>
    </xf>
    <xf applyAlignment="1" applyFont="1" borderId="0" fillId="0" fontId="2" numFmtId="0" quotePrefix="1" xfId="0">
      <alignment horizontal="left"/>
    </xf>
    <xf applyBorder="1" applyFill="1" applyFont="1" applyNumberFormat="1" borderId="0" fillId="0" fontId="2" numFmtId="181" xfId="9"/>
    <xf applyFont="1" applyNumberFormat="1" borderId="0" fillId="0" fontId="2" numFmtId="1" xfId="0"/>
    <xf applyAlignment="1" applyBorder="1" applyFill="1" applyFont="1" borderId="2" fillId="9" fontId="11" numFmtId="0" xfId="13">
      <alignment horizontal="center" vertical="center" wrapText="1"/>
    </xf>
    <xf applyAlignment="1" applyBorder="1" applyFill="1" applyFont="1" borderId="2" fillId="10" fontId="11" numFmtId="0" xfId="0">
      <alignment vertical="center"/>
    </xf>
    <xf applyAlignment="1" applyBorder="1" applyFill="1" borderId="1" fillId="7" fontId="14" numFmtId="0" xfId="13">
      <alignment horizontal="left" vertical="center" wrapText="1"/>
    </xf>
    <xf applyAlignment="1" applyBorder="1" applyFont="1" applyNumberFormat="1" borderId="1" fillId="0" fontId="14" numFmtId="182" xfId="0">
      <alignment horizontal="right" vertical="center"/>
    </xf>
    <xf applyFont="1" borderId="0" fillId="0" fontId="19" numFmtId="0" xfId="0"/>
    <xf applyAlignment="1" applyFont="1" borderId="0" fillId="0" fontId="19" numFmtId="0" xfId="0">
      <alignment wrapText="1"/>
    </xf>
    <xf applyFont="1" applyNumberFormat="1" borderId="0" fillId="0" fontId="19" numFmtId="3" xfId="0"/>
    <xf applyFont="1" applyNumberFormat="1" borderId="0" fillId="0" fontId="19" numFmtId="181" xfId="9"/>
    <xf applyAlignment="1" applyFont="1" borderId="0" fillId="0" fontId="3" numFmtId="0" xfId="13">
      <alignment horizontal="left" vertical="center" wrapText="1"/>
    </xf>
    <xf applyAlignment="1" applyFont="1" applyNumberFormat="1" applyProtection="1" borderId="0" fillId="0" fontId="2" numFmtId="1" xfId="0">
      <alignment vertical="center" wrapText="1"/>
      <protection locked="0"/>
    </xf>
    <xf applyFont="1" applyNumberFormat="1" applyProtection="1" borderId="0" fillId="0" fontId="2" numFmtId="1" xfId="15">
      <alignment vertical="center"/>
      <protection locked="0"/>
    </xf>
    <xf applyFont="1" applyNumberFormat="1" borderId="0" fillId="0" fontId="2" numFmtId="172" xfId="0"/>
    <xf applyAlignment="1" applyBorder="1" applyFill="1" applyFont="1" applyNumberFormat="1" borderId="0" fillId="0" fontId="2" numFmtId="181" xfId="9">
      <alignment wrapText="1"/>
    </xf>
    <xf applyAlignment="1" applyFont="1" applyNumberFormat="1" borderId="0" fillId="0" fontId="2" numFmtId="3" xfId="0">
      <alignment wrapText="1"/>
    </xf>
    <xf applyFont="1" applyNumberFormat="1" borderId="0" fillId="0" fontId="2" numFmtId="181" xfId="9"/>
    <xf applyAlignment="1" applyFont="1" applyNumberFormat="1" borderId="0" fillId="0" fontId="2" numFmtId="172" xfId="0">
      <alignment wrapText="1"/>
    </xf>
    <xf applyAlignment="1" applyFont="1" borderId="0" fillId="0" fontId="2" numFmtId="0" xfId="0">
      <alignment vertical="top"/>
    </xf>
    <xf applyAlignment="1" applyFont="1" borderId="0" fillId="0" fontId="6" numFmtId="0" xfId="0">
      <alignment horizontal="left" vertical="top"/>
    </xf>
    <xf applyAlignment="1" applyFont="1" applyNumberFormat="1" borderId="0" fillId="0" fontId="2" numFmtId="183" xfId="0">
      <alignment horizontal="right" vertical="center"/>
    </xf>
    <xf applyAlignment="1" applyFont="1" borderId="0" fillId="0" fontId="3" numFmtId="0" xfId="15">
      <alignment horizontal="left" vertical="center"/>
    </xf>
    <xf applyAlignment="1" applyFont="1" applyNumberFormat="1" borderId="0" fillId="0" fontId="2" numFmtId="179" xfId="0">
      <alignment horizontal="center" vertical="center"/>
    </xf>
    <xf applyAlignment="1" applyFont="1" applyNumberFormat="1" applyProtection="1" borderId="0" fillId="0" fontId="3" numFmtId="166" xfId="7">
      <alignment horizontal="right" vertical="center"/>
      <protection locked="0"/>
    </xf>
    <xf applyAlignment="1" applyFont="1" applyNumberFormat="1" applyProtection="1" borderId="0" fillId="0" fontId="3" numFmtId="172" xfId="7">
      <alignment horizontal="left" vertical="center"/>
      <protection locked="0"/>
    </xf>
    <xf applyAlignment="1" applyFont="1" borderId="0" fillId="0" fontId="3" numFmtId="0" xfId="15">
      <alignment horizontal="right" vertical="center"/>
    </xf>
    <xf applyAlignment="1" applyFont="1" applyNumberFormat="1" applyProtection="1" borderId="0" fillId="0" fontId="3" numFmtId="179" xfId="7">
      <alignment horizontal="center" vertical="center"/>
      <protection locked="0"/>
    </xf>
    <xf applyFill="1" applyFont="1" applyNumberFormat="1" borderId="0" fillId="11" fontId="2" numFmtId="3" xfId="0"/>
    <xf applyFill="1" applyFont="1" borderId="0" fillId="11" fontId="2" numFmtId="0" xfId="0"/>
    <xf applyAlignment="1" applyFont="1" borderId="0" fillId="0" fontId="6" numFmtId="0" xfId="0">
      <alignment wrapText="1"/>
    </xf>
    <xf applyFill="1" applyFont="1" borderId="0" fillId="12" fontId="2" numFmtId="0" xfId="0"/>
    <xf applyAlignment="1" applyFill="1" applyFont="1" borderId="0" fillId="12" fontId="2" numFmtId="0" xfId="0">
      <alignment horizontal="left" vertical="center"/>
    </xf>
    <xf applyFill="1" applyFont="1" borderId="0" fillId="12" fontId="6" numFmtId="0" xfId="0"/>
    <xf applyAlignment="1" applyFont="1" borderId="0" fillId="0" fontId="2" numFmtId="0" xfId="0">
      <alignment horizontal="left" vertical="top"/>
    </xf>
    <xf applyAlignment="1" applyFont="1" applyProtection="1" borderId="0" fillId="0" fontId="3" numFmtId="0" xfId="7">
      <alignment vertical="center"/>
      <protection locked="0"/>
    </xf>
    <xf applyAlignment="1" applyBorder="1" applyFill="1" applyFont="1" applyNumberFormat="1" applyProtection="1" borderId="1" fillId="7" fontId="21" numFmtId="172" xfId="7">
      <alignment vertical="center"/>
      <protection locked="0"/>
    </xf>
    <xf applyAlignment="1" applyFont="1" borderId="0" fillId="0" fontId="2" numFmtId="0" xfId="15">
      <alignment horizontal="left" vertical="center"/>
    </xf>
    <xf applyFont="1" applyNumberFormat="1" borderId="0" fillId="0" fontId="2" numFmtId="177" xfId="0"/>
    <xf applyAlignment="1" applyFont="1" borderId="0" fillId="0" fontId="22" numFmtId="0" xfId="0">
      <alignment horizontal="center" vertical="center" wrapText="1"/>
    </xf>
    <xf applyAlignment="1" applyFont="1" applyNumberFormat="1" borderId="0" fillId="0" fontId="3" numFmtId="184" xfId="0">
      <alignment horizontal="right" vertical="center"/>
    </xf>
    <xf applyAlignment="1" applyFont="1" borderId="0" fillId="0" fontId="3" numFmtId="0" xfId="13">
      <alignment horizontal="center" vertical="center"/>
    </xf>
    <xf applyAlignment="1" applyFont="1" applyNumberFormat="1" applyProtection="1" borderId="0" fillId="0" fontId="3" numFmtId="179" xfId="13">
      <alignment horizontal="center" vertical="center"/>
      <protection locked="0"/>
    </xf>
    <xf applyAlignment="1" applyBorder="1" applyFill="1" applyFont="1" borderId="1" fillId="7" fontId="2" numFmtId="0" xfId="0">
      <alignment horizontal="left" vertical="center"/>
    </xf>
    <xf applyBorder="1" applyFill="1" applyFont="1" applyNumberFormat="1" borderId="1" fillId="7" fontId="2" numFmtId="177" xfId="15">
      <alignment vertical="center"/>
    </xf>
    <xf applyFont="1" applyNumberFormat="1" applyProtection="1" borderId="0" fillId="0" fontId="2" numFmtId="177" xfId="15">
      <alignment vertical="center"/>
      <protection locked="0"/>
    </xf>
    <xf applyAlignment="1" applyBorder="1" applyFill="1" applyFont="1" borderId="1" fillId="8" fontId="8" numFmtId="0" xfId="10">
      <alignment horizontal="center" vertical="center" wrapText="1"/>
    </xf>
    <xf applyAlignment="1" applyBorder="1" applyFont="1" applyNumberFormat="1" borderId="1" fillId="0" fontId="14" numFmtId="2" xfId="9">
      <alignment horizontal="right" vertical="center"/>
    </xf>
    <xf applyAlignment="1" applyBorder="1" applyFont="1" applyNumberFormat="1" borderId="1" fillId="0" fontId="14" numFmtId="181" xfId="9">
      <alignment horizontal="right" vertical="center"/>
    </xf>
    <xf applyAlignment="1" applyBorder="1" applyFont="1" applyNumberFormat="1" borderId="1" fillId="0" fontId="14" numFmtId="1" xfId="9">
      <alignment horizontal="right" vertical="center"/>
    </xf>
    <xf applyAlignment="1" applyBorder="1" applyFont="1" applyNumberFormat="1" borderId="1" fillId="0" fontId="14" numFmtId="172" xfId="0">
      <alignment horizontal="right" vertical="center"/>
    </xf>
    <xf applyAlignment="1" applyBorder="1" applyFont="1" applyNumberFormat="1" borderId="1" fillId="0" fontId="8" numFmtId="166" xfId="0">
      <alignment horizontal="center" vertical="center"/>
    </xf>
    <xf applyAlignment="1" applyBorder="1" applyFont="1" applyNumberFormat="1" borderId="1" fillId="0" fontId="14" numFmtId="3" xfId="0">
      <alignment horizontal="right" vertical="center"/>
    </xf>
    <xf applyAlignment="1" applyBorder="1" applyFont="1" applyNumberFormat="1" borderId="1" fillId="0" fontId="14" numFmtId="4" xfId="0">
      <alignment horizontal="right" vertical="center"/>
    </xf>
    <xf applyAlignment="1" applyBorder="1" applyFill="1" applyFont="1" borderId="1" fillId="2" fontId="11" numFmtId="0" xfId="10">
      <alignment horizontal="center" vertical="center" wrapText="1"/>
    </xf>
    <xf applyAlignment="1" applyBorder="1" applyFill="1" applyFont="1" borderId="2" fillId="14" fontId="13" numFmtId="0" xfId="0">
      <alignment horizontal="center" vertical="center" wrapText="1"/>
    </xf>
    <xf applyAlignment="1" applyBorder="1" applyFill="1" applyFont="1" borderId="1" fillId="15" fontId="11" numFmtId="0" xfId="10">
      <alignment horizontal="center" vertical="center" wrapText="1"/>
    </xf>
    <xf applyAlignment="1" applyBorder="1" applyFill="1" applyFont="1" applyNumberFormat="1" borderId="1" fillId="7" fontId="16" numFmtId="49" xfId="0">
      <alignment horizontal="left" vertical="center"/>
    </xf>
    <xf applyAlignment="1" applyBorder="1" applyFill="1" applyProtection="1" borderId="1" fillId="7" fontId="14" numFmtId="0" xfId="7">
      <alignment vertical="center"/>
      <protection locked="0"/>
    </xf>
    <xf applyAlignment="1" applyBorder="1" applyFont="1" borderId="1" fillId="0" fontId="16" numFmtId="0" xfId="0">
      <alignment horizontal="left" vertical="center"/>
    </xf>
    <xf applyAlignment="1" applyBorder="1" applyFill="1" applyFont="1" borderId="2" fillId="14" fontId="8" numFmtId="0" xfId="0">
      <alignment horizontal="center" vertical="center" wrapText="1"/>
    </xf>
    <xf applyAlignment="1" applyBorder="1" applyFill="1" applyFont="1" applyNumberFormat="1" borderId="2" fillId="14" fontId="8" numFmtId="177" xfId="0">
      <alignment horizontal="center" vertical="center" wrapText="1"/>
    </xf>
    <xf applyAlignment="1" applyBorder="1" applyFill="1" applyFont="1" applyNumberFormat="1" borderId="1" fillId="16" fontId="8" numFmtId="49" xfId="17">
      <alignment horizontal="center" vertical="center" wrapText="1"/>
    </xf>
    <xf applyAlignment="1" applyBorder="1" applyFill="1" applyFont="1" borderId="1" fillId="4" fontId="14" numFmtId="0" xfId="0">
      <alignment horizontal="center" vertical="center" wrapText="1"/>
    </xf>
    <xf applyAlignment="1" applyBorder="1" applyFill="1" applyFont="1" borderId="1" fillId="17" fontId="8" numFmtId="0" xfId="17">
      <alignment horizontal="center" vertical="center" wrapText="1"/>
    </xf>
    <xf applyAlignment="1" applyBorder="1" applyFill="1" applyFont="1" borderId="1" fillId="18" fontId="14" numFmtId="0" xfId="18">
      <alignment horizontal="center" vertical="center" wrapText="1"/>
    </xf>
    <xf applyAlignment="1" applyBorder="1" applyFill="1" applyFont="1" borderId="1" fillId="9" fontId="8" numFmtId="0" xfId="17">
      <alignment horizontal="center" vertical="center" wrapText="1"/>
    </xf>
    <xf applyAlignment="1" applyBorder="1" applyFont="1" applyNumberFormat="1" borderId="1" fillId="0" fontId="16" numFmtId="49" xfId="17">
      <alignment horizontal="left" vertical="top"/>
    </xf>
    <xf applyAlignment="1" applyBorder="1" applyFill="1" applyFont="1" borderId="1" fillId="13" fontId="8" numFmtId="0" xfId="17">
      <alignment horizontal="left" vertical="top"/>
    </xf>
    <xf applyAlignment="1" applyBorder="1" applyFill="1" applyFont="1" applyNumberFormat="1" borderId="1" fillId="7" fontId="14" numFmtId="49" xfId="17">
      <alignment horizontal="left" vertical="top" wrapText="1"/>
    </xf>
    <xf applyAlignment="1" applyBorder="1" applyFill="1" applyFont="1" applyNumberFormat="1" borderId="1" fillId="13" fontId="8" numFmtId="49" xfId="17">
      <alignment horizontal="left" vertical="top"/>
    </xf>
    <xf applyAlignment="1" applyBorder="1" applyFill="1" applyFont="1" applyNumberFormat="1" borderId="1" fillId="13" fontId="8" numFmtId="179" xfId="17">
      <alignment horizontal="center" vertical="top"/>
    </xf>
    <xf applyAlignment="1" applyBorder="1" applyFont="1" applyNumberFormat="1" borderId="1" fillId="0" fontId="14" numFmtId="2" xfId="0">
      <alignment horizontal="right" vertical="center"/>
    </xf>
    <xf applyAlignment="1" applyBorder="1" applyFont="1" applyNumberFormat="1" borderId="1" fillId="0" fontId="14" numFmtId="164" xfId="0">
      <alignment horizontal="right" vertical="center"/>
    </xf>
    <xf applyAlignment="1" applyBorder="1" applyFill="1" applyFont="1" applyNumberFormat="1" borderId="1" fillId="13" fontId="8" numFmtId="49" xfId="17">
      <alignment horizontal="center" vertical="top"/>
    </xf>
    <xf applyAlignment="1" applyBorder="1" applyFill="1" applyFont="1" applyNumberFormat="1" borderId="1" fillId="13" fontId="8" numFmtId="177" xfId="17">
      <alignment horizontal="right" vertical="top"/>
    </xf>
    <xf applyFont="1" applyNumberFormat="1" borderId="0" fillId="0" fontId="0" numFmtId="181" xfId="9"/>
    <xf applyBorder="1" borderId="2" fillId="0" fontId="0" numFmtId="0" xfId="0"/>
    <xf applyAlignment="1" borderId="0" fillId="0" fontId="14" numFmtId="0" xfId="13">
      <alignment horizontal="left" vertical="center" wrapText="1"/>
    </xf>
    <xf applyFont="1" applyNumberFormat="1" applyProtection="1" borderId="0" fillId="0" fontId="16" numFmtId="2" xfId="16">
      <alignment vertical="center"/>
      <protection locked="0"/>
    </xf>
    <xf applyNumberFormat="1" borderId="0" fillId="0" fontId="0" numFmtId="2" xfId="0"/>
    <xf applyAlignment="1" applyBorder="1" applyFont="1" applyNumberFormat="1" applyProtection="1" borderId="1" fillId="0" fontId="11" numFmtId="179" xfId="13">
      <alignment horizontal="center" vertical="center" wrapText="1"/>
      <protection locked="0"/>
    </xf>
    <xf applyNumberFormat="1" borderId="0" fillId="0" fontId="0" numFmtId="3" xfId="0"/>
    <xf applyAlignment="1" applyFont="1" borderId="0" fillId="0" fontId="19" numFmtId="0" xfId="0">
      <alignment vertical="top" wrapText="1"/>
    </xf>
    <xf applyAlignment="1" applyFill="1" applyFont="1" borderId="0" fillId="10" fontId="19" numFmtId="0" xfId="0">
      <alignment vertical="top" wrapText="1"/>
    </xf>
    <xf applyAlignment="1" borderId="0" fillId="0" fontId="0" numFmtId="0" xfId="0">
      <alignment vertical="top" wrapText="1"/>
    </xf>
    <xf applyAlignment="1" applyFill="1" applyFont="1" borderId="0" fillId="19" fontId="19" numFmtId="0" xfId="0">
      <alignment vertical="top" wrapText="1"/>
    </xf>
    <xf applyAlignment="1" applyFill="1" applyFont="1" borderId="0" fillId="20" fontId="19" numFmtId="0" xfId="0">
      <alignment vertical="top" wrapText="1"/>
    </xf>
    <xf applyAlignment="1" applyFont="1" borderId="0" fillId="0" fontId="19" numFmtId="0" xfId="0">
      <alignment vertical="top"/>
    </xf>
    <xf applyAlignment="1" applyFill="1" applyFont="1" borderId="0" fillId="20" fontId="19" numFmtId="0" xfId="0">
      <alignment vertical="top"/>
    </xf>
    <xf applyFont="1" borderId="0" fillId="0" fontId="23" numFmtId="0" xfId="0"/>
    <xf applyAlignment="1" applyFont="1" borderId="0" fillId="0" fontId="24" numFmtId="0" xfId="0">
      <alignment horizontal="left" vertical="center" wrapText="1"/>
    </xf>
    <xf applyNumberFormat="1" borderId="0" fillId="0" fontId="0" numFmtId="185" xfId="0"/>
    <xf applyBorder="1" applyFill="1" applyFont="1" applyNumberFormat="1" applyProtection="1" borderId="1" fillId="7" fontId="16" numFmtId="2" xfId="16">
      <alignment vertical="center"/>
      <protection locked="0"/>
    </xf>
    <xf applyBorder="1" applyFont="1" borderId="1" fillId="0" fontId="16" numFmtId="0" xfId="0"/>
    <xf applyFont="1" applyNumberFormat="1" borderId="0" fillId="0" fontId="2" numFmtId="185" xfId="0"/>
    <xf applyFont="1" applyNumberFormat="1" borderId="0" fillId="0" fontId="2" numFmtId="1" xfId="19"/>
    <xf applyAlignment="1" applyBorder="1" applyFill="1" applyFont="1" applyNumberFormat="1" borderId="0" fillId="0" fontId="6" numFmtId="2" xfId="9">
      <alignment vertical="center"/>
    </xf>
    <xf applyBorder="1" applyFill="1" applyFont="1" applyNumberFormat="1" borderId="0" fillId="0" fontId="2" numFmtId="2" xfId="9"/>
    <xf applyAlignment="1" applyBorder="1" applyFill="1" applyFont="1" applyNumberFormat="1" applyProtection="1" borderId="0" fillId="0" fontId="2" numFmtId="2" xfId="9">
      <alignment vertical="center"/>
      <protection locked="0"/>
    </xf>
    <xf applyAlignment="1" applyBorder="1" applyFill="1" applyFont="1" borderId="3" fillId="13" fontId="8" numFmtId="0" xfId="0">
      <alignment horizontal="center" vertical="center" wrapText="1"/>
    </xf>
    <xf applyFill="1" applyFont="1" borderId="0" fillId="2" fontId="2" numFmtId="0" xfId="0"/>
    <xf applyAlignment="1" applyBorder="1" applyFont="1" borderId="4" fillId="0" fontId="23" numFmtId="0" xfId="0">
      <alignment horizontal="center" vertical="center"/>
    </xf>
    <xf applyFill="1" borderId="0" fillId="11" fontId="0" numFmtId="0" xfId="0"/>
    <xf applyAlignment="1" applyBorder="1" applyFill="1" applyFont="1" applyNumberFormat="1" borderId="5" fillId="21" fontId="23" numFmtId="168" xfId="0">
      <alignment horizontal="center" vertical="center"/>
    </xf>
    <xf applyAlignment="1" applyBorder="1" applyFont="1" borderId="1" fillId="0" fontId="8" numFmtId="0" xfId="10">
      <alignment horizontal="center" vertical="center" wrapText="1"/>
    </xf>
    <xf applyFill="1" borderId="0" fillId="22" fontId="0" numFmtId="0" xfId="0"/>
    <xf applyAlignment="1" applyBorder="1" applyFont="1" borderId="6" fillId="0" fontId="26" numFmtId="0" xfId="0">
      <alignment horizontal="center" vertical="center"/>
    </xf>
    <xf applyAlignment="1" applyBorder="1" applyFont="1" borderId="7" fillId="0" fontId="26" numFmtId="0" xfId="0">
      <alignment horizontal="center" vertical="center"/>
    </xf>
    <xf applyAlignment="1" applyBorder="1" applyFont="1" borderId="9" fillId="0" fontId="23" numFmtId="0" xfId="0">
      <alignment horizontal="center" vertical="center"/>
    </xf>
    <xf applyAlignment="1" applyBorder="1" applyFont="1" borderId="4" fillId="0" fontId="23" numFmtId="0" xfId="0">
      <alignment horizontal="center" vertical="center" wrapText="1"/>
    </xf>
    <xf applyAlignment="1" applyBorder="1" applyFill="1" applyFont="1" borderId="7" fillId="11" fontId="26" numFmtId="0" xfId="0">
      <alignment horizontal="center" vertical="center"/>
    </xf>
    <xf applyAlignment="1" applyBorder="1" applyFont="1" applyNumberFormat="1" borderId="8" fillId="0" fontId="26" numFmtId="185" xfId="0">
      <alignment horizontal="center" vertical="center"/>
    </xf>
    <xf applyAlignment="1" applyBorder="1" applyFont="1" applyNumberFormat="1" borderId="10" fillId="0" fontId="23" numFmtId="185" xfId="0">
      <alignment horizontal="center" vertical="center"/>
    </xf>
    <xf applyAlignment="1" applyFont="1" borderId="0" fillId="0" fontId="23" numFmtId="0" xfId="0">
      <alignment wrapText="1"/>
    </xf>
    <xf applyFill="1" borderId="0" fillId="18" fontId="0" numFmtId="0" xfId="0"/>
    <xf applyAlignment="1" applyBorder="1" applyFill="1" applyFont="1" applyNumberFormat="1" borderId="1" fillId="7" fontId="8" numFmtId="49" xfId="0">
      <alignment horizontal="left" vertical="center" wrapText="1"/>
    </xf>
    <xf applyFill="1" applyFont="1" borderId="0" fillId="18" fontId="2" numFmtId="0" xfId="0"/>
    <xf applyAlignment="1" applyBorder="1" applyFont="1" applyNumberFormat="1" borderId="1" fillId="0" fontId="27" numFmtId="164" xfId="0">
      <alignment horizontal="right" vertical="center"/>
    </xf>
    <xf applyFont="1" applyNumberFormat="1" borderId="0" fillId="0" fontId="2" numFmtId="171" xfId="19"/>
    <xf applyAlignment="1" applyBorder="1" applyFont="1" applyNumberFormat="1" borderId="1" fillId="0" fontId="28" numFmtId="3" xfId="0">
      <alignment horizontal="right" vertical="center"/>
    </xf>
    <xf applyAlignment="1" applyBorder="1" applyFont="1" applyNumberFormat="1" borderId="1" fillId="0" fontId="28" numFmtId="4" xfId="0">
      <alignment horizontal="right" vertical="center"/>
    </xf>
    <xf applyAlignment="1" applyBorder="1" applyFill="1" applyFont="1" applyNumberFormat="1" borderId="1" fillId="23" fontId="29" numFmtId="3" xfId="0">
      <alignment horizontal="right" vertical="center"/>
    </xf>
    <xf applyAlignment="1" applyBorder="1" applyFont="1" borderId="1" fillId="0" fontId="28" numFmtId="0" xfId="0">
      <alignment horizontal="right" vertical="center"/>
    </xf>
    <xf applyAlignment="1" applyBorder="1" applyFont="1" applyNumberFormat="1" borderId="1" fillId="0" fontId="28" numFmtId="186" xfId="0">
      <alignment horizontal="right" vertical="center"/>
    </xf>
    <xf applyAlignment="1" applyFill="1" applyFont="1" applyNumberFormat="1" borderId="0" fillId="2" fontId="18" numFmtId="49" xfId="0">
      <alignment horizontal="center" vertical="center"/>
    </xf>
    <xf applyFill="1" applyFont="1" borderId="0" fillId="24" fontId="2" numFmtId="0" xfId="0"/>
    <xf applyAlignment="1" applyFill="1" applyFont="1" borderId="0" fillId="24" fontId="2" numFmtId="0" xfId="0">
      <alignment wrapText="1"/>
    </xf>
    <xf applyAlignment="1" applyBorder="1" applyFill="1" applyFont="1" borderId="1" fillId="7" fontId="16" numFmtId="0" xfId="0">
      <alignment horizontal="left" vertical="center"/>
    </xf>
    <xf applyAlignment="1" applyFill="1" applyFont="1" borderId="0" fillId="2" fontId="2" numFmtId="0" xfId="0">
      <alignment horizontal="left" vertical="center"/>
    </xf>
    <xf applyAlignment="1" applyFill="1" applyFont="1" borderId="0" fillId="24" fontId="3" numFmtId="0" xfId="15">
      <alignment horizontal="left" vertical="center"/>
    </xf>
    <xf applyFill="1" borderId="0" fillId="24" fontId="0" numFmtId="0" xfId="0"/>
    <xf applyFont="1" applyNumberFormat="1" borderId="0" fillId="0" fontId="2" numFmtId="1" xfId="9"/>
    <xf applyAlignment="1" applyFill="1" applyFont="1" borderId="0" fillId="24" fontId="6" numFmtId="0" xfId="0">
      <alignment horizontal="left" vertical="top"/>
    </xf>
    <xf applyFont="1" borderId="0" fillId="0" fontId="30" numFmtId="0" xfId="0"/>
    <xf applyFont="1" borderId="0" fillId="0" fontId="3" numFmtId="0" xfId="0"/>
    <xf applyFont="1" applyNumberFormat="1" borderId="0" fillId="0" fontId="30" numFmtId="185" xfId="0"/>
    <xf applyAlignment="1" applyFont="1" applyNumberFormat="1" applyProtection="1" borderId="0" fillId="0" fontId="3" numFmtId="179" xfId="21">
      <alignment horizontal="center" vertical="center"/>
      <protection locked="0"/>
    </xf>
    <xf applyAlignment="1" applyFont="1" applyNumberFormat="1" applyProtection="1" borderId="0" fillId="0" fontId="3" numFmtId="166" xfId="21">
      <alignment horizontal="right" vertical="center"/>
      <protection locked="0"/>
    </xf>
    <xf applyAlignment="1" applyFont="1" applyNumberFormat="1" applyProtection="1" borderId="0" fillId="0" fontId="3" numFmtId="172" xfId="21">
      <alignment horizontal="left" vertical="center"/>
      <protection locked="0"/>
    </xf>
    <xf applyFill="1" applyFont="1" borderId="0" fillId="22" fontId="30" numFmtId="0" xfId="0"/>
    <xf applyFill="1" applyFont="1" borderId="0" fillId="11" fontId="30" numFmtId="0" xfId="0"/>
    <xf applyFill="1" borderId="0" fillId="25" fontId="0" numFmtId="0" xfId="0"/>
    <xf applyFill="1" borderId="0" fillId="15" fontId="0" numFmtId="0" xfId="0"/>
    <xf applyAlignment="1" applyBorder="1" applyFill="1" applyFont="1" applyNumberFormat="1" borderId="1" fillId="7" fontId="16" numFmtId="183" xfId="0">
      <alignment horizontal="right" vertical="center"/>
    </xf>
    <xf applyAlignment="1" applyFont="1" applyProtection="1" borderId="0" fillId="0" fontId="3" numFmtId="0" xfId="21">
      <alignment vertical="center"/>
      <protection locked="0"/>
    </xf>
    <xf applyAlignment="1" applyBorder="1" applyFont="1" applyNumberFormat="1" borderId="11" fillId="0" fontId="28" numFmtId="186" xfId="0">
      <alignment horizontal="right" vertical="center"/>
    </xf>
    <xf applyBorder="1" applyFill="1" applyFont="1" applyNumberFormat="1" applyProtection="1" borderId="1" fillId="24" fontId="21" numFmtId="2" xfId="16">
      <alignment vertical="center"/>
      <protection locked="0"/>
    </xf>
    <xf applyFill="1" applyFont="1" borderId="0" fillId="24" fontId="30" numFmtId="0" xfId="0"/>
    <xf applyAlignment="1" borderId="0" fillId="0" fontId="0" numFmtId="0" xfId="0">
      <alignment vertical="top"/>
    </xf>
    <xf applyAlignment="1" applyFont="1" borderId="0" fillId="0" fontId="6" numFmtId="0" xfId="0">
      <alignment vertical="top"/>
    </xf>
    <xf applyAlignment="1" applyFont="1" borderId="0" fillId="0" fontId="6" numFmtId="0" xfId="0">
      <alignment vertical="top" wrapText="1"/>
    </xf>
    <xf applyAlignment="1" applyFont="1" applyNumberFormat="1" borderId="0" fillId="0" fontId="2" numFmtId="2" xfId="0">
      <alignment vertical="top"/>
    </xf>
    <xf applyFill="1" borderId="0" fillId="26" fontId="0" numFmtId="0" xfId="0"/>
    <xf applyFont="1" borderId="0" fillId="0" fontId="31" numFmtId="0" xfId="0"/>
  </cellXfs>
  <cellStyles count="22">
    <cellStyle builtinId="3" name="Comma" xfId="19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builtinId="0" name="Normal" xf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標準 2 4 2" xfId="18" xr:uid="{26A18DD4-92BD-4D5A-86B4-8905952975B6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worksheets/sheet142.xml" Type="http://schemas.openxmlformats.org/officeDocument/2006/relationships/worksheet"/><Relationship Id="rId143" Target="worksheets/sheet143.xml" Type="http://schemas.openxmlformats.org/officeDocument/2006/relationships/worksheet"/><Relationship Id="rId144" Target="worksheets/sheet144.xml" Type="http://schemas.openxmlformats.org/officeDocument/2006/relationships/worksheet"/><Relationship Id="rId145" Target="worksheets/sheet145.xml" Type="http://schemas.openxmlformats.org/officeDocument/2006/relationships/worksheet"/><Relationship Id="rId146" Target="worksheets/sheet146.xml" Type="http://schemas.openxmlformats.org/officeDocument/2006/relationships/worksheet"/><Relationship Id="rId147" Target="worksheets/sheet147.xml" Type="http://schemas.openxmlformats.org/officeDocument/2006/relationships/worksheet"/><Relationship Id="rId148" Target="worksheets/sheet148.xml" Type="http://schemas.openxmlformats.org/officeDocument/2006/relationships/worksheet"/><Relationship Id="rId149" Target="worksheets/sheet149.xml" Type="http://schemas.openxmlformats.org/officeDocument/2006/relationships/worksheet"/><Relationship Id="rId15" Target="worksheets/sheet15.xml" Type="http://schemas.openxmlformats.org/officeDocument/2006/relationships/worksheet"/><Relationship Id="rId150" Target="worksheets/sheet150.xml" Type="http://schemas.openxmlformats.org/officeDocument/2006/relationships/worksheet"/><Relationship Id="rId151" Target="worksheets/sheet151.xml" Type="http://schemas.openxmlformats.org/officeDocument/2006/relationships/worksheet"/><Relationship Id="rId152" Target="worksheets/sheet152.xml" Type="http://schemas.openxmlformats.org/officeDocument/2006/relationships/worksheet"/><Relationship Id="rId153" Target="worksheets/sheet153.xml" Type="http://schemas.openxmlformats.org/officeDocument/2006/relationships/worksheet"/><Relationship Id="rId154" Target="worksheets/sheet154.xml" Type="http://schemas.openxmlformats.org/officeDocument/2006/relationships/worksheet"/><Relationship Id="rId155" Target="worksheets/sheet155.xml" Type="http://schemas.openxmlformats.org/officeDocument/2006/relationships/worksheet"/><Relationship Id="rId156" Target="worksheets/sheet156.xml" Type="http://schemas.openxmlformats.org/officeDocument/2006/relationships/worksheet"/><Relationship Id="rId157" Target="worksheets/sheet157.xml" Type="http://schemas.openxmlformats.org/officeDocument/2006/relationships/worksheet"/><Relationship Id="rId158" Target="worksheets/sheet158.xml" Type="http://schemas.openxmlformats.org/officeDocument/2006/relationships/worksheet"/><Relationship Id="rId159" Target="worksheets/sheet159.xml" Type="http://schemas.openxmlformats.org/officeDocument/2006/relationships/worksheet"/><Relationship Id="rId16" Target="worksheets/sheet16.xml" Type="http://schemas.openxmlformats.org/officeDocument/2006/relationships/worksheet"/><Relationship Id="rId160" Target="worksheets/sheet160.xml" Type="http://schemas.openxmlformats.org/officeDocument/2006/relationships/worksheet"/><Relationship Id="rId161" Target="worksheets/sheet161.xml" Type="http://schemas.openxmlformats.org/officeDocument/2006/relationships/worksheet"/><Relationship Id="rId162" Target="worksheets/sheet162.xml" Type="http://schemas.openxmlformats.org/officeDocument/2006/relationships/worksheet"/><Relationship Id="rId163" Target="worksheets/sheet163.xml" Type="http://schemas.openxmlformats.org/officeDocument/2006/relationships/worksheet"/><Relationship Id="rId164" Target="worksheets/sheet164.xml" Type="http://schemas.openxmlformats.org/officeDocument/2006/relationships/worksheet"/><Relationship Id="rId165" Target="worksheets/sheet165.xml" Type="http://schemas.openxmlformats.org/officeDocument/2006/relationships/worksheet"/><Relationship Id="rId166" Target="worksheets/sheet166.xml" Type="http://schemas.openxmlformats.org/officeDocument/2006/relationships/worksheet"/><Relationship Id="rId167" Target="worksheets/sheet167.xml" Type="http://schemas.openxmlformats.org/officeDocument/2006/relationships/worksheet"/><Relationship Id="rId168" Target="worksheets/sheet168.xml" Type="http://schemas.openxmlformats.org/officeDocument/2006/relationships/worksheet"/><Relationship Id="rId169" Target="worksheets/sheet169.xml" Type="http://schemas.openxmlformats.org/officeDocument/2006/relationships/worksheet"/><Relationship Id="rId17" Target="worksheets/sheet17.xml" Type="http://schemas.openxmlformats.org/officeDocument/2006/relationships/worksheet"/><Relationship Id="rId170" Target="worksheets/sheet170.xml" Type="http://schemas.openxmlformats.org/officeDocument/2006/relationships/worksheet"/><Relationship Id="rId171" Target="worksheets/sheet171.xml" Type="http://schemas.openxmlformats.org/officeDocument/2006/relationships/worksheet"/><Relationship Id="rId172" Target="worksheets/sheet172.xml" Type="http://schemas.openxmlformats.org/officeDocument/2006/relationships/worksheet"/><Relationship Id="rId173" Target="worksheets/sheet173.xml" Type="http://schemas.openxmlformats.org/officeDocument/2006/relationships/worksheet"/><Relationship Id="rId174" Target="worksheets/sheet174.xml" Type="http://schemas.openxmlformats.org/officeDocument/2006/relationships/worksheet"/><Relationship Id="rId175" Target="worksheets/sheet175.xml" Type="http://schemas.openxmlformats.org/officeDocument/2006/relationships/worksheet"/><Relationship Id="rId176" Target="worksheets/sheet176.xml" Type="http://schemas.openxmlformats.org/officeDocument/2006/relationships/worksheet"/><Relationship Id="rId177" Target="worksheets/sheet177.xml" Type="http://schemas.openxmlformats.org/officeDocument/2006/relationships/worksheet"/><Relationship Id="rId178" Target="worksheets/sheet178.xml" Type="http://schemas.openxmlformats.org/officeDocument/2006/relationships/worksheet"/><Relationship Id="rId179" Target="worksheets/sheet179.xml" Type="http://schemas.openxmlformats.org/officeDocument/2006/relationships/worksheet"/><Relationship Id="rId18" Target="worksheets/sheet18.xml" Type="http://schemas.openxmlformats.org/officeDocument/2006/relationships/worksheet"/><Relationship Id="rId180" Target="worksheets/sheet180.xml" Type="http://schemas.openxmlformats.org/officeDocument/2006/relationships/worksheet"/><Relationship Id="rId181" Target="worksheets/sheet181.xml" Type="http://schemas.openxmlformats.org/officeDocument/2006/relationships/worksheet"/><Relationship Id="rId182" Target="worksheets/sheet182.xml" Type="http://schemas.openxmlformats.org/officeDocument/2006/relationships/worksheet"/><Relationship Id="rId183" Target="worksheets/sheet183.xml" Type="http://schemas.openxmlformats.org/officeDocument/2006/relationships/worksheet"/><Relationship Id="rId184" Target="worksheets/sheet184.xml" Type="http://schemas.openxmlformats.org/officeDocument/2006/relationships/worksheet"/><Relationship Id="rId185" Target="worksheets/sheet185.xml" Type="http://schemas.openxmlformats.org/officeDocument/2006/relationships/worksheet"/><Relationship Id="rId186" Target="worksheets/sheet186.xml" Type="http://schemas.openxmlformats.org/officeDocument/2006/relationships/worksheet"/><Relationship Id="rId187" Target="worksheets/sheet187.xml" Type="http://schemas.openxmlformats.org/officeDocument/2006/relationships/worksheet"/><Relationship Id="rId188" Target="worksheets/sheet188.xml" Type="http://schemas.openxmlformats.org/officeDocument/2006/relationships/worksheet"/><Relationship Id="rId189" Target="worksheets/sheet189.xml" Type="http://schemas.openxmlformats.org/officeDocument/2006/relationships/worksheet"/><Relationship Id="rId19" Target="worksheets/sheet19.xml" Type="http://schemas.openxmlformats.org/officeDocument/2006/relationships/worksheet"/><Relationship Id="rId190" Target="worksheets/sheet190.xml" Type="http://schemas.openxmlformats.org/officeDocument/2006/relationships/worksheet"/><Relationship Id="rId191" Target="worksheets/sheet191.xml" Type="http://schemas.openxmlformats.org/officeDocument/2006/relationships/worksheet"/><Relationship Id="rId192" Target="worksheets/sheet192.xml" Type="http://schemas.openxmlformats.org/officeDocument/2006/relationships/worksheet"/><Relationship Id="rId193" Target="worksheets/sheet193.xml" Type="http://schemas.openxmlformats.org/officeDocument/2006/relationships/worksheet"/><Relationship Id="rId194" Target="worksheets/sheet194.xml" Type="http://schemas.openxmlformats.org/officeDocument/2006/relationships/worksheet"/><Relationship Id="rId195" Target="theme/theme1.xml" Type="http://schemas.openxmlformats.org/officeDocument/2006/relationships/theme"/><Relationship Id="rId196" Target="styles.xml" Type="http://schemas.openxmlformats.org/officeDocument/2006/relationships/styles"/><Relationship Id="rId197" Target="sharedStrings.xml" Type="http://schemas.openxmlformats.org/officeDocument/2006/relationships/sharedStrings"/><Relationship Id="rId198" Target="calcChain.xml" Type="http://schemas.openxmlformats.org/officeDocument/2006/relationships/calcChain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7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2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31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3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47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5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167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2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9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F2"/>
  <sheetViews>
    <sheetView tabSelected="1" workbookViewId="0">
      <selection activeCell="C8" sqref="C8"/>
    </sheetView>
  </sheetViews>
  <sheetFormatPr defaultRowHeight="14.4"/>
  <sheetData>
    <row r="1" spans="1:5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700</v>
      </c>
    </row>
    <row r="2" spans="1:5">
      <c r="A2" s="96">
        <v>21</v>
      </c>
      <c r="B2" s="1" t="s">
        <v>877</v>
      </c>
      <c r="C2" s="1" t="str">
        <f>B2&amp;"s1"</f>
        <v>ZTs1</v>
      </c>
      <c r="D2" s="1" t="str">
        <f>B2&amp;"s2"</f>
        <v>ZTs2</v>
      </c>
      <c r="E2" s="1" t="str">
        <f>A2&amp;"s2"</f>
        <v>21s2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R2"/>
  <sheetViews>
    <sheetView topLeftCell="H1" workbookViewId="0" zoomScale="90" zoomScaleNormal="90">
      <selection activeCell="Q2" sqref="Q2"/>
    </sheetView>
  </sheetViews>
  <sheetFormatPr defaultColWidth="8.88671875" defaultRowHeight="13.8"/>
  <cols>
    <col min="1" max="1" customWidth="true" style="1" width="5.77734375" collapsed="true"/>
    <col min="2" max="11" customWidth="true" style="1" width="20.77734375" collapsed="true"/>
    <col min="12" max="12" customWidth="true" style="1" width="32.109375" collapsed="true"/>
    <col min="13" max="17" customWidth="true" style="1" width="20.77734375" collapsed="true"/>
    <col min="18" max="16384" style="1" width="8.88671875" collapsed="true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3" t="s">
        <v>164</v>
      </c>
    </row>
    <row ht="14.4" r="2" spans="1:17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ZT-21</v>
      </c>
      <c r="G2" s="1" t="str">
        <f>"CD-"&amp;F2</f>
        <v>CD-ZT-21</v>
      </c>
      <c r="H2" s="1" t="str">
        <f>'TC003'!C2&amp;"("&amp;'TC003'!D2&amp;")"</f>
        <v>FN 60 DAYS-ZT(60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PNDC-PNCUS-ZT(PNDC-PNCUS-ZT)</v>
      </c>
      <c r="M2" s="1" t="str">
        <f>"RD-"&amp;F2</f>
        <v>RD-ZT-21</v>
      </c>
      <c r="N2" s="1" t="s">
        <v>148</v>
      </c>
      <c r="O2" s="1" t="str">
        <f>"S1D-"&amp;F2</f>
        <v>S1D-ZT-21</v>
      </c>
      <c r="P2" s="1" t="str">
        <f>"S2D-"&amp;F2</f>
        <v>S2D-ZT-21</v>
      </c>
      <c r="Q2" t="s">
        <v>879</v>
      </c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B2"/>
  <sheetViews>
    <sheetView workbookViewId="0">
      <selection activeCell="A2" sqref="A2"/>
    </sheetView>
  </sheetViews>
  <sheetFormatPr defaultRowHeight="14.4"/>
  <cols>
    <col min="1" max="1" customWidth="true" width="15.77734375" collapsed="true"/>
  </cols>
  <sheetData>
    <row r="1" spans="1:1">
      <c r="A1" s="197" t="s">
        <v>508</v>
      </c>
    </row>
    <row r="2" spans="1:1">
      <c r="A2" t="s">
        <v>816</v>
      </c>
    </row>
  </sheetData>
  <pageMargins bottom="0.75" footer="0.3" header="0.3" left="0.7" right="0.7" top="0.75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K2"/>
  <sheetViews>
    <sheetView workbookViewId="0">
      <selection activeCell="C2" sqref="C2"/>
    </sheetView>
  </sheetViews>
  <sheetFormatPr defaultRowHeight="14.4"/>
  <cols>
    <col min="1" max="1" customWidth="true" width="17.109375" collapsed="true"/>
    <col min="3" max="3" customWidth="true" width="17.33203125" collapsed="true"/>
    <col min="4" max="4" customWidth="true" width="28.109375" collapsed="true"/>
    <col min="5" max="5" customWidth="true" width="19.21875" collapsed="true"/>
    <col min="6" max="6" customWidth="true" width="14.33203125" collapsed="true"/>
    <col min="10" max="10" customWidth="true" width="8.88671875" collapsed="true"/>
  </cols>
  <sheetData>
    <row ht="39.6" r="1" spans="1:10">
      <c r="A1" s="154" t="s">
        <v>33</v>
      </c>
      <c r="B1" s="155" t="s">
        <v>621</v>
      </c>
      <c r="C1" s="158" t="s">
        <v>436</v>
      </c>
      <c r="D1" s="158" t="s">
        <v>626</v>
      </c>
      <c r="E1" s="159" t="s">
        <v>403</v>
      </c>
      <c r="F1" s="158" t="s">
        <v>629</v>
      </c>
      <c r="G1" s="158" t="s">
        <v>137</v>
      </c>
      <c r="H1" s="160" t="s">
        <v>630</v>
      </c>
      <c r="I1" s="160" t="s">
        <v>631</v>
      </c>
      <c r="J1" s="160" t="s">
        <v>636</v>
      </c>
    </row>
    <row customHeight="1" ht="17.399999999999999" r="2" spans="1:10">
      <c r="A2" s="161" t="s">
        <v>10</v>
      </c>
      <c r="B2" s="161"/>
      <c r="C2" t="str">
        <f>'TC079-AutoGen'!A2</f>
        <v>sZ5s125-2310003</v>
      </c>
      <c r="D2" s="162" t="str">
        <f>'TC078-BU AutoGen PO'!Q2</f>
        <v>pZ5s125-2310001</v>
      </c>
      <c r="E2" s="146">
        <v>44000</v>
      </c>
      <c r="F2" s="212">
        <v>15</v>
      </c>
      <c r="G2" s="168" t="s">
        <v>144</v>
      </c>
      <c r="H2" s="146">
        <v>22000</v>
      </c>
      <c r="I2" s="146">
        <v>22000</v>
      </c>
      <c r="J2" s="169">
        <v>1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B2"/>
  <sheetViews>
    <sheetView workbookViewId="0">
      <selection activeCell="A2" sqref="A2"/>
    </sheetView>
  </sheetViews>
  <sheetFormatPr defaultRowHeight="14.4"/>
  <cols>
    <col min="1" max="1" customWidth="true" width="23.21875" collapsed="true"/>
  </cols>
  <sheetData>
    <row customHeight="1" ht="17.399999999999999" r="1" spans="1:1">
      <c r="A1" s="158" t="s">
        <v>626</v>
      </c>
    </row>
    <row r="2" spans="1:1">
      <c r="A2" t="s">
        <v>815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Q2"/>
  <sheetViews>
    <sheetView workbookViewId="0" zoomScale="90" zoomScaleNormal="90">
      <selection activeCell="B2" sqref="B2"/>
    </sheetView>
  </sheetViews>
  <sheetFormatPr defaultColWidth="8.88671875" defaultRowHeight="13.8"/>
  <cols>
    <col min="1" max="16" customWidth="true" style="1" width="20.77734375" collapsed="true"/>
    <col min="17" max="16384" style="1" width="8.88671875" collapsed="true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ZTpna1219AS1</v>
      </c>
      <c r="B2" s="46" t="str">
        <f>AutoIncrement!B2&amp;"pna-1219AS-1"</f>
        <v>ZTpna-1219AS-1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E2"/>
  <sheetViews>
    <sheetView workbookViewId="0">
      <selection activeCell="A2" sqref="A2"/>
    </sheetView>
  </sheetViews>
  <sheetFormatPr defaultRowHeight="14.4"/>
  <cols>
    <col min="1" max="1" customWidth="true" width="31.21875" collapsed="true"/>
    <col min="2" max="2" bestFit="true" customWidth="true" width="11.33203125" collapsed="true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ZTpna1219AS1</v>
      </c>
      <c r="B2" s="170">
        <v>44000</v>
      </c>
      <c r="C2">
        <v>20.001000000000001</v>
      </c>
      <c r="D2" t="s">
        <v>442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I4"/>
  <sheetViews>
    <sheetView workbookViewId="0">
      <selection activeCell="A2" sqref="A2"/>
    </sheetView>
  </sheetViews>
  <sheetFormatPr defaultRowHeight="14.4"/>
  <cols>
    <col min="1" max="1" customWidth="true" width="23.0" collapsed="true"/>
    <col min="2" max="2" customWidth="true" width="33.109375" collapsed="true"/>
    <col min="3" max="3" customWidth="true" width="22.21875" collapsed="true"/>
    <col min="4" max="4" customWidth="true" width="43.5546875" collapsed="true"/>
    <col min="5" max="5" customWidth="true" width="24.88671875" collapsed="true"/>
    <col min="6" max="6" customWidth="true" width="23.0" collapsed="true"/>
    <col min="7" max="7" customWidth="true" width="19.5546875" collapsed="true"/>
    <col min="8" max="8" customWidth="true" width="23.109375" collapsed="true"/>
  </cols>
  <sheetData>
    <row r="1" spans="1:8">
      <c r="A1" t="s">
        <v>637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'TC050-Sup1 SO List'!A2</f>
        <v>sZ5s125-2310001</v>
      </c>
      <c r="B2" s="172" t="str">
        <f>'TC051'!F2</f>
        <v>ZTATEST202306050000000000001</v>
      </c>
      <c r="C2" s="173">
        <v>140085460</v>
      </c>
      <c r="D2" s="174"/>
      <c r="E2" s="173">
        <v>140085460</v>
      </c>
      <c r="F2" s="174"/>
      <c r="G2" s="174"/>
      <c r="H2" s="174"/>
    </row>
    <row r="3" spans="1:8">
      <c r="B3" s="172" t="str">
        <f>'TC051'!F3</f>
        <v>ZTATEST202306050000000000002</v>
      </c>
      <c r="C3" s="173">
        <v>140085460</v>
      </c>
      <c r="D3" s="174"/>
      <c r="E3" s="173">
        <v>140085460</v>
      </c>
      <c r="F3" s="174"/>
      <c r="G3" s="174"/>
      <c r="H3" s="174"/>
    </row>
    <row r="4" spans="1:8">
      <c r="B4" s="172" t="str">
        <f>'TC051'!F4</f>
        <v>ZTpna1219AS1</v>
      </c>
      <c r="C4" s="173">
        <v>88000</v>
      </c>
      <c r="D4" s="173">
        <v>22000</v>
      </c>
      <c r="E4" s="173">
        <v>22000</v>
      </c>
      <c r="F4" s="173">
        <v>44000</v>
      </c>
      <c r="G4" s="174"/>
      <c r="H4" s="174"/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B4"/>
  <sheetViews>
    <sheetView workbookViewId="0">
      <selection activeCell="C2" sqref="C2"/>
    </sheetView>
  </sheetViews>
  <sheetFormatPr defaultRowHeight="14.4"/>
  <cols>
    <col min="1" max="1" customWidth="true" width="18.77734375" collapsed="true"/>
  </cols>
  <sheetData>
    <row r="1" spans="1:1">
      <c r="A1" t="s">
        <v>583</v>
      </c>
    </row>
    <row r="2" spans="1:1">
      <c r="A2" s="175" t="n">
        <f ca="1">TODAY()+1</f>
        <v>45254.0</v>
      </c>
    </row>
    <row r="3" spans="1:1">
      <c r="A3" s="175" t="n">
        <f ca="1">TODAY()+7</f>
        <v>45260.0</v>
      </c>
    </row>
    <row r="4" spans="1:1">
      <c r="A4" s="175" t="n">
        <f ca="1">TODAY()+14</f>
        <v>45267.0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C2"/>
  <sheetViews>
    <sheetView workbookViewId="0">
      <selection activeCell="A2" sqref="A2"/>
    </sheetView>
  </sheetViews>
  <sheetFormatPr defaultRowHeight="14.4"/>
  <cols>
    <col min="1" max="1" customWidth="true" width="20.77734375" collapsed="true"/>
    <col min="2" max="2" customWidth="true" width="17.77734375" collapsed="true"/>
  </cols>
  <sheetData>
    <row r="1" spans="1:2">
      <c r="A1" s="209" t="s">
        <v>125</v>
      </c>
      <c r="B1" t="s">
        <v>714</v>
      </c>
    </row>
    <row r="2" spans="1:2">
      <c r="A2" t="s">
        <v>817</v>
      </c>
      <c r="B2" t="str">
        <f>'TC007-Received Req Info'!Q2</f>
        <v>CR-MY-PNA-CUS-2311005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R4"/>
  <sheetViews>
    <sheetView topLeftCell="G1" workbookViewId="0" zoomScale="90" zoomScaleNormal="90">
      <selection activeCell="N1" sqref="N1:Q1"/>
    </sheetView>
  </sheetViews>
  <sheetFormatPr defaultColWidth="8.88671875" defaultRowHeight="13.8"/>
  <cols>
    <col min="1" max="2" customWidth="true" style="1" width="30.77734375" collapsed="true"/>
    <col min="3" max="17" customWidth="true" style="1" width="20.77734375" collapsed="true"/>
    <col min="18" max="18" customWidth="true" style="1" width="18.6640625" collapsed="true"/>
    <col min="19" max="16384" style="1" width="8.88671875" collapsed="true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20" t="s">
        <v>452</v>
      </c>
      <c r="O1" s="220" t="s">
        <v>454</v>
      </c>
      <c r="P1" s="220" t="s">
        <v>455</v>
      </c>
      <c r="Q1" s="220" t="s">
        <v>456</v>
      </c>
    </row>
    <row customHeight="1" ht="13.95" r="2" spans="1:17">
      <c r="A2" s="8" t="str">
        <f>AutoIncrement!B2&amp;"ATEST202306050000000000001"</f>
        <v>ZTATEST202306050000000000001</v>
      </c>
      <c r="B2" s="10" t="str">
        <f>AutoIncrement!B2&amp;"SUP-PNATEST,20230605000000000000-1"</f>
        <v>ZTSUP-PNATEST,20230605000000000000-1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customHeight="1" ht="13.95" r="3" spans="1:17">
      <c r="A3" s="40" t="str">
        <f>AutoIncrement!B2&amp;"ATEST202306050000000000002"</f>
        <v>ZTATEST202306050000000000002</v>
      </c>
      <c r="B3" s="10" t="str">
        <f>AutoIncrement!B2&amp;"SUP-PNATEST,20230605000000000000-2"</f>
        <v>ZTSUP-PNATEST,20230605000000000000-2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customHeight="1" ht="13.95" r="4" spans="1:17">
      <c r="A4" s="1" t="str">
        <f>AutoIncrement!B2&amp;"pna1219AS1"</f>
        <v>ZTpna1219AS1</v>
      </c>
      <c r="B4" s="1" t="str">
        <f>AutoIncrement!B2&amp;"pna-1219AS-1"</f>
        <v>ZTpna-1219AS-1</v>
      </c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N4" s="213">
        <v>44000</v>
      </c>
      <c r="O4" s="50">
        <v>22000</v>
      </c>
      <c r="P4" s="50">
        <v>22000</v>
      </c>
      <c r="Q4" s="50">
        <v>44000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W4"/>
  <sheetViews>
    <sheetView topLeftCell="P1" workbookViewId="0" zoomScale="145" zoomScaleNormal="145">
      <selection activeCell="V2" sqref="V2:V3"/>
    </sheetView>
  </sheetViews>
  <sheetFormatPr defaultColWidth="8.88671875" defaultRowHeight="13.8"/>
  <cols>
    <col min="1" max="2" customWidth="true" style="1" width="30.77734375" collapsed="true"/>
    <col min="3" max="22" customWidth="true" style="1" width="20.77734375" collapsed="true"/>
    <col min="23" max="16384" style="1" width="8.88671875" collapsed="true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452</v>
      </c>
      <c r="T1" s="220" t="s">
        <v>454</v>
      </c>
      <c r="U1" s="220" t="s">
        <v>455</v>
      </c>
      <c r="V1" s="220" t="s">
        <v>456</v>
      </c>
    </row>
    <row r="2" spans="1:22">
      <c r="A2" s="8" t="str">
        <f>AutoIncrement!B2&amp;"ATEST202306050000000000001"</f>
        <v>ZTATEST202306050000000000001</v>
      </c>
      <c r="B2" s="10" t="str">
        <f>AutoIncrement!B2&amp;"BU-PNATEST,20230605000000000000-1"</f>
        <v>ZTBU-PNATEST,20230605000000000000-1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Q2" s="111"/>
      <c r="R2" s="111">
        <v>140085460</v>
      </c>
      <c r="T2" s="111">
        <v>140085460</v>
      </c>
      <c r="V2" s="111">
        <v>140085460</v>
      </c>
    </row>
    <row ht="27.6" r="3" spans="1:22">
      <c r="A3" s="40" t="str">
        <f>AutoIncrement!B2&amp;"ATEST202306050000000000002"</f>
        <v>ZTATEST202306050000000000002</v>
      </c>
      <c r="B3" s="11" t="str">
        <f>AutoIncrement!B2&amp;"BU-PNATEST,20230605000000000000-2"</f>
        <v>ZTBU-PNATEST,20230605000000000000-2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Q3" s="111"/>
      <c r="R3" s="111">
        <v>140085460</v>
      </c>
      <c r="T3" s="111">
        <v>140085460</v>
      </c>
      <c r="V3" s="111">
        <v>140085460</v>
      </c>
    </row>
    <row r="4" spans="1:22">
      <c r="A4" s="1" t="str">
        <f>AutoIncrement!B2&amp;"pna1219AS1"</f>
        <v>ZTpna1219AS1</v>
      </c>
      <c r="B4" s="1" t="str">
        <f>AutoIncrement!B2&amp;"pna-1219AS-1"</f>
        <v>ZTpna-1219AS-1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111">
        <v>22000</v>
      </c>
      <c r="V4" s="111">
        <v>22000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C2"/>
  <sheetViews>
    <sheetView workbookViewId="0" zoomScale="90" zoomScaleNormal="90">
      <selection activeCell="A2" sqref="A2"/>
    </sheetView>
  </sheetViews>
  <sheetFormatPr defaultColWidth="8.88671875" defaultRowHeight="13.8"/>
  <cols>
    <col min="1" max="2" customWidth="true" style="1" width="20.6640625" collapsed="true"/>
    <col min="3" max="16384" style="1" width="8.88671875" collapsed="true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PNABU-L3-ZT-021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dimension ref="A1:E2"/>
  <sheetViews>
    <sheetView workbookViewId="0" zoomScale="90" zoomScaleNormal="90">
      <selection activeCell="D3" sqref="D3"/>
    </sheetView>
  </sheetViews>
  <sheetFormatPr defaultColWidth="8.88671875" defaultRowHeight="13.8"/>
  <cols>
    <col min="1" max="4" customWidth="true" style="1" width="15.77734375" collapsed="true"/>
    <col min="5" max="16384" style="1" width="8.88671875" collapsed="true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89" t="n">
        <f ca="1">EDATE(TODAY(), 1)</f>
        <v>45283.0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R4"/>
  <sheetViews>
    <sheetView workbookViewId="0" zoomScale="90" zoomScaleNormal="90">
      <selection activeCell="N4" sqref="N4"/>
    </sheetView>
  </sheetViews>
  <sheetFormatPr defaultColWidth="8.88671875" defaultRowHeight="13.8"/>
  <cols>
    <col min="1" max="2" customWidth="true" style="1" width="30.77734375" collapsed="true"/>
    <col min="3" max="17" customWidth="true" style="1" width="20.77734375" collapsed="true"/>
    <col min="18" max="16384" style="1" width="8.88671875" collapsed="true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customFormat="1" r="2" s="46" spans="1:17">
      <c r="A2" s="8" t="str">
        <f>AutoIncrement!B2&amp;"ATEST202306050000000000001"</f>
        <v>ZTATEST202306050000000000001</v>
      </c>
      <c r="B2" s="10" t="str">
        <f>AutoIncrement!B2&amp;"SUP-PNATEST,20230605000000000000-1"</f>
        <v>ZTSUP-PNATEST,20230605000000000000-1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customFormat="1" r="3" s="46" spans="1:17">
      <c r="A3" s="40" t="str">
        <f>AutoIncrement!B2&amp;"ATEST202306050000000000002"</f>
        <v>ZTATEST202306050000000000002</v>
      </c>
      <c r="B3" s="10" t="str">
        <f>AutoIncrement!B2&amp;"SUP-PNATEST,20230605000000000000-2"</f>
        <v>ZTSUP-PNATEST,20230605000000000000-2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customFormat="1" r="4" s="46" spans="1:17">
      <c r="A4" s="1" t="str">
        <f>AutoIncrement!B2&amp;"pna1219AS1"</f>
        <v>ZTpna1219AS1</v>
      </c>
      <c r="B4" s="1" t="str">
        <f>AutoIncrement!B2&amp;"pna-1219AS-1"</f>
        <v>ZTpna-1219AS-1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C2"/>
  <sheetViews>
    <sheetView workbookViewId="0">
      <selection activeCell="H11" sqref="H11"/>
    </sheetView>
  </sheetViews>
  <sheetFormatPr defaultColWidth="8.88671875" defaultRowHeight="13.8"/>
  <cols>
    <col min="1" max="1" customWidth="true" style="1" width="20.77734375" collapsed="true"/>
    <col min="2" max="2" customWidth="true" style="1" width="16.88671875" collapsed="true"/>
    <col min="3" max="16384" style="1" width="8.88671875" collapsed="true"/>
  </cols>
  <sheetData>
    <row ht="14.4" r="1" spans="1:2">
      <c r="A1" s="1" t="s">
        <v>470</v>
      </c>
      <c r="B1" t="s">
        <v>637</v>
      </c>
    </row>
    <row ht="14.4" r="2" spans="1:2">
      <c r="A2" s="1" t="str">
        <f ca="1">TEXT(DATE(YEAR(TODAY()), MONTH(TODAY())+1, DAY(TODAY())+12), "dd MMM yyyy")</f>
        <v>04 一月 2024</v>
      </c>
      <c r="B2" t="str">
        <f>'TC050-Sup1 SO List'!A2</f>
        <v>sZ5s125-2310001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X4"/>
  <sheetViews>
    <sheetView topLeftCell="K1" workbookViewId="0" zoomScale="85" zoomScaleNormal="85">
      <selection activeCell="V12" sqref="V12"/>
    </sheetView>
  </sheetViews>
  <sheetFormatPr defaultColWidth="8.88671875" defaultRowHeight="13.8"/>
  <cols>
    <col min="1" max="2" customWidth="true" style="1" width="30.77734375" collapsed="true"/>
    <col min="3" max="19" customWidth="true" style="1" width="20.77734375" collapsed="true"/>
    <col min="20" max="20" customWidth="true" style="1" width="15.5546875" collapsed="true"/>
    <col min="21" max="21" customWidth="true" style="1" width="14.6640625" collapsed="true"/>
    <col min="22" max="22" customWidth="true" style="1" width="13.5546875" collapsed="true"/>
    <col min="23" max="23" customWidth="true" style="1" width="12.88671875" collapsed="true"/>
    <col min="24" max="16384" style="1" width="8.88671875" collapsed="true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ZTATEST202306050000000000001</v>
      </c>
      <c r="B2" s="10" t="str">
        <f>AutoIncrement!B2&amp;"BU-PNATEST,20230605000000000000-1"</f>
        <v>ZTBU-PNATEST,20230605000000000000-1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R2" s="111">
        <v>140085460</v>
      </c>
      <c r="S2" s="111"/>
      <c r="T2" s="111">
        <v>140085460</v>
      </c>
      <c r="V2" s="111">
        <v>140085460</v>
      </c>
    </row>
    <row ht="27.6" r="3" spans="1:23">
      <c r="A3" s="40" t="str">
        <f>AutoIncrement!B2&amp;"ATEST202306050000000000002"</f>
        <v>ZTATEST202306050000000000002</v>
      </c>
      <c r="B3" s="11" t="str">
        <f>AutoIncrement!B2&amp;"BU-PNATEST,20230605000000000000-2"</f>
        <v>ZTBU-PNATEST,20230605000000000000-2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R3" s="111">
        <v>140085460</v>
      </c>
      <c r="S3" s="111"/>
      <c r="T3" s="111">
        <v>140085460</v>
      </c>
      <c r="V3" s="111">
        <v>140085460</v>
      </c>
    </row>
    <row r="4" spans="1:23">
      <c r="A4" s="1" t="str">
        <f>AutoIncrement!B2&amp;"pna1219AS1"</f>
        <v>ZTpna1219AS1</v>
      </c>
      <c r="B4" s="1" t="str">
        <f>AutoIncrement!B2&amp;"pna-1219AS-1"</f>
        <v>ZTpna-1219AS-1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50">
        <v>22000</v>
      </c>
      <c r="V4" s="111">
        <v>22000</v>
      </c>
      <c r="W4" s="50">
        <v>44000</v>
      </c>
    </row>
  </sheetData>
  <phoneticPr fontId="25" type="noConversion"/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W4"/>
  <sheetViews>
    <sheetView topLeftCell="L1" workbookViewId="0" zoomScale="90" zoomScaleNormal="90">
      <selection activeCell="O32" sqref="O32"/>
    </sheetView>
  </sheetViews>
  <sheetFormatPr defaultColWidth="8.88671875" defaultRowHeight="13.8"/>
  <cols>
    <col min="1" max="2" customWidth="true" style="1" width="30.77734375" collapsed="true"/>
    <col min="3" max="22" customWidth="true" style="1" width="20.77734375" collapsed="true"/>
    <col min="23" max="16384" style="1" width="8.88671875" collapsed="true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21" t="s">
        <v>471</v>
      </c>
      <c r="O1" s="221" t="s">
        <v>472</v>
      </c>
      <c r="P1" s="221" t="s">
        <v>473</v>
      </c>
      <c r="Q1" s="221" t="s">
        <v>474</v>
      </c>
      <c r="R1" s="221" t="s">
        <v>475</v>
      </c>
      <c r="S1" s="221" t="s">
        <v>476</v>
      </c>
      <c r="T1" s="221" t="s">
        <v>477</v>
      </c>
      <c r="U1" s="221" t="s">
        <v>478</v>
      </c>
      <c r="V1" s="221" t="s">
        <v>479</v>
      </c>
    </row>
    <row r="2" spans="1:22">
      <c r="A2" s="1" t="str">
        <f>AutoIncrement!B2&amp;"ATEST202306050000000000001"</f>
        <v>ZTATEST202306050000000000001</v>
      </c>
      <c r="B2" s="1" t="str">
        <f>AutoIncrement!B2&amp;"BU-PNATEST,20230605000000000000-1"</f>
        <v>ZTBU-PNATEST,20230605000000000000-1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2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ZTATEST202306050000000000002</v>
      </c>
      <c r="B3" s="1" t="str">
        <f>AutoIncrement!B2&amp;"BU-PNATEST,20230605000000000000-2"</f>
        <v>ZTBU-PNATEST,20230605000000000000-2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8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ZTpna1219AS1</v>
      </c>
      <c r="B4" s="1" t="str">
        <f>AutoIncrement!B2&amp;"pna-1219AS-1"</f>
        <v>ZTpna-1219AS-1</v>
      </c>
      <c r="E4" s="1" t="s">
        <v>145</v>
      </c>
      <c r="F4" s="1" t="s">
        <v>145</v>
      </c>
      <c r="G4" s="111">
        <v>22000</v>
      </c>
      <c r="H4" s="111">
        <v>22000</v>
      </c>
      <c r="I4" s="111">
        <v>88000</v>
      </c>
      <c r="J4" s="108">
        <v>1.0009999999999999</v>
      </c>
      <c r="K4" s="1" t="s">
        <v>144</v>
      </c>
      <c r="L4" s="1" t="s">
        <v>443</v>
      </c>
      <c r="M4" s="1">
        <v>0</v>
      </c>
      <c r="N4" s="111">
        <v>22000</v>
      </c>
      <c r="O4" s="1" t="s">
        <v>429</v>
      </c>
      <c r="P4" s="111">
        <v>22000</v>
      </c>
      <c r="Q4" s="1" t="s">
        <v>429</v>
      </c>
      <c r="R4" s="50">
        <v>44000</v>
      </c>
      <c r="S4" s="1" t="s">
        <v>429</v>
      </c>
      <c r="T4" s="111">
        <v>22000</v>
      </c>
      <c r="U4" s="111">
        <v>22000</v>
      </c>
      <c r="V4" s="50">
        <v>44000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O4"/>
  <sheetViews>
    <sheetView workbookViewId="0" zoomScale="85" zoomScaleNormal="85">
      <selection activeCell="B5" sqref="B5"/>
    </sheetView>
  </sheetViews>
  <sheetFormatPr defaultRowHeight="14.4"/>
  <cols>
    <col min="1" max="1" customWidth="true" width="32.33203125" collapsed="true"/>
    <col min="2" max="2" customWidth="true" width="36.109375" collapsed="true"/>
    <col min="3" max="4" bestFit="true" customWidth="true" width="11.6640625" collapsed="true"/>
    <col min="5" max="5" customWidth="true" width="19.33203125" collapsed="true"/>
    <col min="6" max="6" customWidth="true" width="19.0" collapsed="true"/>
    <col min="7" max="7" customWidth="true" width="14.21875" collapsed="true"/>
    <col min="8" max="8" customWidth="true" width="16.6640625" collapsed="true"/>
    <col min="9" max="9" customWidth="true" width="19.33203125" collapsed="true"/>
    <col min="10" max="10" customWidth="true" width="14.88671875" collapsed="true"/>
    <col min="11" max="11" customWidth="true" width="14.21875" collapsed="true"/>
    <col min="12" max="12" customWidth="true" width="14.33203125" collapsed="true"/>
    <col min="13" max="13" customWidth="true" width="14.88671875" collapsed="true"/>
    <col min="14" max="14" customWidth="true" width="13.44140625" collapsed="true"/>
  </cols>
  <sheetData>
    <row r="1" spans="1:14">
      <c r="A1" t="s">
        <v>637</v>
      </c>
      <c r="B1" t="s">
        <v>339</v>
      </c>
      <c r="C1" t="s">
        <v>105</v>
      </c>
      <c r="D1" t="s">
        <v>213</v>
      </c>
      <c r="E1" t="s">
        <v>418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</row>
    <row r="2" spans="1:14">
      <c r="A2" t="str">
        <f>'TC083'!A2</f>
        <v>sZ5s125-2310001</v>
      </c>
      <c r="B2" s="172" t="str">
        <f>'TC051'!F2</f>
        <v>ZTATEST202306050000000000001</v>
      </c>
      <c r="C2">
        <v>10</v>
      </c>
      <c r="D2">
        <v>20</v>
      </c>
      <c r="E2" s="176">
        <v>140085460</v>
      </c>
      <c r="F2">
        <v>0</v>
      </c>
      <c r="G2" t="s">
        <v>429</v>
      </c>
      <c r="H2" s="176">
        <v>140085460</v>
      </c>
      <c r="I2" t="s">
        <v>429</v>
      </c>
      <c r="J2">
        <v>0</v>
      </c>
      <c r="K2" t="s">
        <v>429</v>
      </c>
      <c r="L2">
        <v>0</v>
      </c>
      <c r="M2" s="176">
        <v>140085460</v>
      </c>
      <c r="N2">
        <v>0</v>
      </c>
    </row>
    <row r="3" spans="1:14">
      <c r="B3" s="172" t="str">
        <f>'TC051'!F3</f>
        <v>ZTATEST202306050000000000002</v>
      </c>
      <c r="C3">
        <v>10</v>
      </c>
      <c r="D3">
        <v>20</v>
      </c>
      <c r="E3" s="176">
        <v>140085460</v>
      </c>
      <c r="F3">
        <v>0</v>
      </c>
      <c r="G3" t="s">
        <v>429</v>
      </c>
      <c r="H3" s="176">
        <v>140085460</v>
      </c>
      <c r="I3" t="s">
        <v>429</v>
      </c>
      <c r="J3" s="176">
        <v>0</v>
      </c>
      <c r="K3" t="s">
        <v>429</v>
      </c>
      <c r="L3">
        <v>0</v>
      </c>
      <c r="M3" s="176">
        <v>140085460</v>
      </c>
      <c r="N3">
        <v>0</v>
      </c>
    </row>
    <row r="4" spans="1:14">
      <c r="B4" s="172" t="str">
        <f>'TC051'!F4</f>
        <v>ZTpna1219AS1</v>
      </c>
      <c r="C4" s="170">
        <v>22000</v>
      </c>
      <c r="D4" s="170">
        <v>22000</v>
      </c>
      <c r="E4" s="176">
        <v>88000</v>
      </c>
      <c r="F4" s="170">
        <v>22000</v>
      </c>
      <c r="G4" t="s">
        <v>429</v>
      </c>
      <c r="H4" s="170">
        <v>22000</v>
      </c>
      <c r="I4" t="s">
        <v>429</v>
      </c>
      <c r="J4" s="176">
        <v>44000</v>
      </c>
      <c r="K4" t="s">
        <v>429</v>
      </c>
      <c r="L4" s="170">
        <v>22000</v>
      </c>
      <c r="M4" s="170">
        <v>22000</v>
      </c>
      <c r="N4" s="176">
        <v>44000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C4"/>
  <sheetViews>
    <sheetView workbookViewId="0">
      <selection activeCell="A19" sqref="A19"/>
    </sheetView>
  </sheetViews>
  <sheetFormatPr defaultColWidth="8.88671875" defaultRowHeight="13.8"/>
  <cols>
    <col min="1" max="2" customWidth="true" style="1" width="25.77734375" collapsed="true"/>
    <col min="3" max="16384" style="1" width="8.88671875" collapsed="true"/>
  </cols>
  <sheetData>
    <row r="1" spans="1:2">
      <c r="A1" s="1" t="s">
        <v>534</v>
      </c>
      <c r="B1" s="123" t="s">
        <v>480</v>
      </c>
    </row>
    <row ht="14.4" r="2" spans="1:2">
      <c r="A2" s="1" t="str">
        <f>'TC102-Supplier1 Outbound'!C2</f>
        <v>o-MY-ELA-ZT-21-001</v>
      </c>
      <c r="B2" t="s">
        <v>818</v>
      </c>
    </row>
    <row ht="14.4" r="3" spans="1:2">
      <c r="A3" s="1" t="str">
        <f>'TC102-Supplier1 Outbound'!C7</f>
        <v>o-MY-ELA-ZT-21-002</v>
      </c>
      <c r="B3" t="s">
        <v>819</v>
      </c>
    </row>
    <row ht="14.4" r="4" spans="1:2">
      <c r="A4" s="1" t="str">
        <f>'TC102-Supplier1 Outbound'!C9</f>
        <v>o-MY-ELA-ZT-21-003</v>
      </c>
      <c r="B4" t="s">
        <v>820</v>
      </c>
    </row>
  </sheetData>
  <phoneticPr fontId="25" type="noConversion"/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O11"/>
  <sheetViews>
    <sheetView topLeftCell="S1" workbookViewId="0" zoomScale="80" zoomScaleNormal="80">
      <selection activeCell="AB3" sqref="AB3:AB8"/>
    </sheetView>
  </sheetViews>
  <sheetFormatPr defaultColWidth="8.88671875" defaultRowHeight="13.8"/>
  <cols>
    <col min="1" max="1" customWidth="true" style="113" width="5.77734375" collapsed="true"/>
    <col min="2" max="6" customWidth="true" style="113" width="20.77734375" collapsed="true"/>
    <col min="7" max="7" customWidth="true" style="113" width="50.6640625" collapsed="true"/>
    <col min="8" max="34" customWidth="true" style="113" width="20.77734375" collapsed="true"/>
    <col min="35" max="35" customWidth="true" style="113" width="37.44140625" collapsed="true"/>
    <col min="36" max="36" customWidth="true" style="113" width="36.88671875" collapsed="true"/>
    <col min="37" max="40" customWidth="true" style="113" width="20.77734375" collapsed="true"/>
    <col min="41" max="43" customWidth="true" style="113" width="15.6640625" collapsed="true"/>
    <col min="44" max="16384" style="113" width="8.88671875" collapsed="true"/>
  </cols>
  <sheetData>
    <row customHeight="1" ht="13.95" r="1" spans="1:40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145</v>
      </c>
      <c r="C2" s="114" t="str">
        <f>"o-MY-ELA-"&amp;AutoIncrement!B2&amp;"-"&amp;AutoIncrement!A2&amp;"-001"</f>
        <v>o-MY-ELA-ZT-21-001</v>
      </c>
      <c r="D2" s="113" t="str">
        <f ca="1">TEXT(DATE(YEAR(TODAY()), MONTH(TODAY()), DAY(TODAY())), "dd MMM yyyy")</f>
        <v>23 十一月 2023</v>
      </c>
      <c r="F2" s="113" t="str">
        <f>"Bs1-"&amp;AutoIncrement!B2&amp;"-"&amp;AutoIncrement!A2&amp;"-001"</f>
        <v>Bs1-ZT-21-001</v>
      </c>
      <c r="G2" s="8" t="str">
        <f>AutoIncrement!$B$2&amp;"ATEST202306050000000000001"</f>
        <v>ZTATEST202306050000000000001</v>
      </c>
      <c r="H2" s="8" t="s">
        <v>114</v>
      </c>
      <c r="I2" s="115">
        <v>140085460</v>
      </c>
      <c r="J2" s="7" t="s">
        <v>515</v>
      </c>
      <c r="K2" s="8" t="s">
        <v>516</v>
      </c>
      <c r="L2" s="116" t="s">
        <v>98</v>
      </c>
      <c r="M2" s="116" t="s">
        <v>190</v>
      </c>
      <c r="N2" s="117" t="str">
        <f ca="1">TEXT(DATE(YEAR(TODAY()), MONTH(TODAY()), DAY(TODAY())+9), "dd MMM yyyy")</f>
        <v>02 十二月 2023</v>
      </c>
      <c r="O2" s="117" t="str">
        <f ca="1">TEXT(DATE(YEAR(TODAY()), MONTH(TODAY()), DAY(TODAY())+13), "dd MMM yyyy")</f>
        <v>06 十二月 2023</v>
      </c>
      <c r="P2" s="8"/>
      <c r="Q2" s="8"/>
      <c r="R2" s="8"/>
      <c r="S2" s="8"/>
      <c r="T2" s="118"/>
      <c r="U2" s="118"/>
      <c r="V2" s="118"/>
      <c r="W2" s="222" t="s">
        <v>849</v>
      </c>
      <c r="X2" s="8" t="s">
        <v>517</v>
      </c>
      <c r="Y2" s="118"/>
      <c r="Z2" s="118"/>
      <c r="AA2" s="118"/>
      <c r="AB2" s="8"/>
      <c r="AC2" s="119"/>
      <c r="AD2" s="118"/>
      <c r="AE2" s="118"/>
      <c r="AF2" s="118"/>
      <c r="AG2" s="116" t="str">
        <f>'TC050-Sup1 SO List'!$A$2</f>
        <v>sZ5s125-2310001</v>
      </c>
      <c r="AH2" s="116" t="s">
        <v>145</v>
      </c>
      <c r="AI2" s="8" t="str">
        <f>AutoIncrement!$B$2&amp;"SUP-PNATEST,20230605000000000000-1"</f>
        <v>ZTSUP-PNATEST,20230605000000000000-1</v>
      </c>
      <c r="AJ2" s="116" t="s">
        <v>518</v>
      </c>
      <c r="AK2" s="8"/>
      <c r="AL2" s="8"/>
      <c r="AM2" s="35">
        <v>10</v>
      </c>
      <c r="AN2" s="115">
        <v>140085460</v>
      </c>
    </row>
    <row r="3" spans="1:40">
      <c r="A3" s="113">
        <v>2</v>
      </c>
      <c r="B3" s="113" t="s">
        <v>145</v>
      </c>
      <c r="C3" s="114" t="str">
        <f>"o-MY-ELA-"&amp;AutoIncrement!B2&amp;"-"&amp;AutoIncrement!A2&amp;"-001"</f>
        <v>o-MY-ELA-ZT-21-001</v>
      </c>
      <c r="D3" s="113" t="str">
        <f ca="1" ref="D3:D11" si="0" t="shared">TEXT(DATE(YEAR(TODAY()), MONTH(TODAY()), DAY(TODAY())), "dd MMM yyyy")</f>
        <v>23 十一月 2023</v>
      </c>
      <c r="F3" s="113" t="str">
        <f>"Bs1-"&amp;AutoIncrement!B2&amp;"-"&amp;AutoIncrement!A2&amp;"-001"</f>
        <v>Bs1-ZT-21-001</v>
      </c>
      <c r="G3" s="8" t="str">
        <f>AutoIncrement!$B$2&amp;"ATEST202306050000000000002"</f>
        <v>ZTATEST202306050000000000002</v>
      </c>
      <c r="H3" s="8" t="s">
        <v>114</v>
      </c>
      <c r="I3" s="115">
        <v>140085460</v>
      </c>
      <c r="J3" s="7" t="s">
        <v>515</v>
      </c>
      <c r="K3" s="8" t="s">
        <v>516</v>
      </c>
      <c r="L3" s="116" t="s">
        <v>98</v>
      </c>
      <c r="M3" s="116" t="s">
        <v>190</v>
      </c>
      <c r="N3" s="117" t="str">
        <f ca="1" ref="N3:N6" si="1" t="shared">TEXT(DATE(YEAR(TODAY()), MONTH(TODAY()), DAY(TODAY())+9), "dd MMM yyyy")</f>
        <v>02 十二月 2023</v>
      </c>
      <c r="O3" s="117" t="str">
        <f ca="1" ref="O3:O6" si="2" t="shared">TEXT(DATE(YEAR(TODAY()), MONTH(TODAY()), DAY(TODAY())+13), "dd MMM yyyy")</f>
        <v>06 十二月 2023</v>
      </c>
      <c r="P3" s="8" t="s">
        <v>519</v>
      </c>
      <c r="Q3" s="8" t="s">
        <v>520</v>
      </c>
      <c r="R3" s="8" t="s">
        <v>521</v>
      </c>
      <c r="S3" s="8" t="s">
        <v>522</v>
      </c>
      <c r="T3" s="118"/>
      <c r="U3" s="118"/>
      <c r="V3" s="118"/>
      <c r="W3" s="222" t="s">
        <v>849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855</v>
      </c>
      <c r="AC3" s="119"/>
      <c r="AD3" s="118"/>
      <c r="AE3" s="118"/>
      <c r="AF3" s="118"/>
      <c r="AG3" s="116" t="str">
        <f>'TC050-Sup1 SO List'!$A$2</f>
        <v>sZ5s125-2310001</v>
      </c>
      <c r="AH3" s="116" t="s">
        <v>145</v>
      </c>
      <c r="AI3" s="8" t="str">
        <f>AutoIncrement!$B$2&amp;"SUP-PNATEST,20230605000000000000-2"</f>
        <v>ZTSUP-PNATEST,20230605000000000000-2</v>
      </c>
      <c r="AJ3" s="116" t="s">
        <v>523</v>
      </c>
      <c r="AK3" s="8"/>
      <c r="AL3" s="8"/>
      <c r="AM3" s="35">
        <v>10</v>
      </c>
      <c r="AN3" s="115">
        <v>140085460</v>
      </c>
    </row>
    <row r="4" spans="1:40">
      <c r="A4" s="113">
        <v>3</v>
      </c>
      <c r="B4" s="113" t="s">
        <v>145</v>
      </c>
      <c r="C4" s="114" t="str">
        <f>"o-MY-ELA-"&amp;AutoIncrement!B2&amp;"-"&amp;AutoIncrement!A2&amp;"-001"</f>
        <v>o-MY-ELA-ZT-21-001</v>
      </c>
      <c r="D4" s="113" t="str">
        <f ca="1" si="0" t="shared"/>
        <v>23 十一月 2023</v>
      </c>
      <c r="F4" s="113" t="str">
        <f>"Bs1-"&amp;AutoIncrement!B2&amp;"-"&amp;AutoIncrement!A2&amp;"-001"</f>
        <v>Bs1-ZT-21-001</v>
      </c>
      <c r="G4" s="8" t="str">
        <f>AutoIncrement!$B$2&amp;"pna1219AS1"</f>
        <v>ZTpna1219AS1</v>
      </c>
      <c r="H4" s="8" t="s">
        <v>20</v>
      </c>
      <c r="I4" s="115">
        <v>44000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 t="str">
        <f ca="1" si="1" t="shared"/>
        <v>02 十二月 2023</v>
      </c>
      <c r="O4" s="117" t="str">
        <f ca="1" si="2" t="shared"/>
        <v>06 十二月 2023</v>
      </c>
      <c r="P4" s="8" t="s">
        <v>519</v>
      </c>
      <c r="Q4" s="8" t="s">
        <v>520</v>
      </c>
      <c r="R4" s="8" t="s">
        <v>521</v>
      </c>
      <c r="S4" s="8" t="s">
        <v>522</v>
      </c>
      <c r="T4" s="118"/>
      <c r="U4" s="118"/>
      <c r="V4" s="118"/>
      <c r="W4" s="222" t="s">
        <v>850</v>
      </c>
      <c r="X4" s="8" t="s">
        <v>524</v>
      </c>
      <c r="Y4" s="118">
        <v>100.001</v>
      </c>
      <c r="Z4" s="118">
        <v>100.001</v>
      </c>
      <c r="AA4" s="118">
        <v>100.001</v>
      </c>
      <c r="AB4" s="222" t="s">
        <v>855</v>
      </c>
      <c r="AC4" s="119" t="s">
        <v>525</v>
      </c>
      <c r="AD4" s="118"/>
      <c r="AE4" s="118"/>
      <c r="AF4" s="118"/>
      <c r="AG4" s="116" t="str">
        <f>'TC050-Sup1 SO List'!$A$2</f>
        <v>sZ5s125-2310001</v>
      </c>
      <c r="AH4" s="116" t="s">
        <v>145</v>
      </c>
      <c r="AI4" s="8" t="str">
        <f>AutoIncrement!$B$2&amp;"pna-1219AS-1"</f>
        <v>ZTpna-1219AS-1</v>
      </c>
      <c r="AJ4" s="116" t="s">
        <v>249</v>
      </c>
      <c r="AK4" s="8"/>
      <c r="AL4" s="8"/>
      <c r="AM4" s="35">
        <v>22000</v>
      </c>
      <c r="AN4" s="115">
        <v>88000</v>
      </c>
    </row>
    <row r="5" spans="1:40">
      <c r="A5" s="113">
        <v>4</v>
      </c>
      <c r="B5" s="113" t="s">
        <v>145</v>
      </c>
      <c r="C5" s="114" t="str">
        <f>"o-MY-ELA-"&amp;AutoIncrement!B2&amp;"-"&amp;AutoIncrement!A2&amp;"-001"</f>
        <v>o-MY-ELA-ZT-21-001</v>
      </c>
      <c r="D5" s="113" t="str">
        <f ca="1" si="0" t="shared"/>
        <v>23 十一月 2023</v>
      </c>
      <c r="F5" s="113" t="str">
        <f>"Bs1-"&amp;AutoIncrement!B2&amp;"-"&amp;AutoIncrement!A2&amp;"-001"</f>
        <v>Bs1-ZT-21-001</v>
      </c>
      <c r="G5" s="8" t="str">
        <f>AutoIncrement!$B$2&amp;"pna1219AS1"</f>
        <v>ZTpna1219AS1</v>
      </c>
      <c r="H5" s="8" t="s">
        <v>20</v>
      </c>
      <c r="I5" s="115">
        <v>44000</v>
      </c>
      <c r="J5" s="7" t="s">
        <v>515</v>
      </c>
      <c r="K5" s="8" t="s">
        <v>516</v>
      </c>
      <c r="L5" s="116" t="s">
        <v>98</v>
      </c>
      <c r="M5" s="116" t="s">
        <v>190</v>
      </c>
      <c r="N5" s="117" t="str">
        <f ca="1" si="1" t="shared"/>
        <v>02 十二月 2023</v>
      </c>
      <c r="O5" s="117" t="str">
        <f ca="1" si="2" t="shared"/>
        <v>06 十二月 2023</v>
      </c>
      <c r="P5" s="8" t="s">
        <v>526</v>
      </c>
      <c r="Q5" s="8" t="s">
        <v>527</v>
      </c>
      <c r="R5" s="8" t="s">
        <v>528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849</v>
      </c>
      <c r="X5" s="8" t="s">
        <v>524</v>
      </c>
      <c r="Y5" s="118">
        <v>100.001</v>
      </c>
      <c r="Z5" s="118">
        <v>100.001</v>
      </c>
      <c r="AA5" s="118">
        <v>100.001</v>
      </c>
      <c r="AB5" s="222" t="s">
        <v>856</v>
      </c>
      <c r="AC5" s="119" t="s">
        <v>525</v>
      </c>
      <c r="AD5" s="118">
        <v>10.000999999999999</v>
      </c>
      <c r="AE5" s="118">
        <v>10.000999999999999</v>
      </c>
      <c r="AF5" s="118">
        <v>10.000999999999999</v>
      </c>
      <c r="AG5" s="116" t="str">
        <f>'TC050-Sup1 SO List'!$A$2</f>
        <v>sZ5s125-2310001</v>
      </c>
      <c r="AH5" s="116" t="s">
        <v>145</v>
      </c>
      <c r="AI5" s="8" t="str">
        <f>AutoIncrement!$B$2&amp;"pna-1219AS-1"</f>
        <v>ZTpna-1219AS-1</v>
      </c>
      <c r="AJ5" s="116" t="s">
        <v>249</v>
      </c>
      <c r="AK5" s="8"/>
      <c r="AL5" s="8"/>
      <c r="AM5" s="35">
        <v>22000</v>
      </c>
      <c r="AN5" s="115">
        <v>88000</v>
      </c>
    </row>
    <row r="6" spans="1:40">
      <c r="A6" s="113">
        <v>5</v>
      </c>
      <c r="B6" s="113" t="s">
        <v>145</v>
      </c>
      <c r="C6" s="114" t="str">
        <f>"o-MY-ELA-"&amp;AutoIncrement!B2&amp;"-"&amp;AutoIncrement!A2&amp;"-001"</f>
        <v>o-MY-ELA-ZT-21-001</v>
      </c>
      <c r="D6" s="113" t="str">
        <f ca="1" si="0" t="shared"/>
        <v>23 十一月 2023</v>
      </c>
      <c r="F6" s="113" t="str">
        <f>"Bs1-"&amp;AutoIncrement!B2&amp;"-"&amp;AutoIncrement!A2&amp;"-001"</f>
        <v>Bs1-ZT-21-001</v>
      </c>
      <c r="G6" s="8" t="str">
        <f>AutoIncrement!$B$2&amp;"ATEST202306050000000000001"</f>
        <v>ZTATEST202306050000000000001</v>
      </c>
      <c r="H6" s="8" t="s">
        <v>114</v>
      </c>
      <c r="I6" s="120">
        <v>100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 t="str">
        <f ca="1" si="1" t="shared"/>
        <v>02 十二月 2023</v>
      </c>
      <c r="O6" s="117" t="str">
        <f ca="1" si="2" t="shared"/>
        <v>06 十二月 2023</v>
      </c>
      <c r="P6" s="8" t="s">
        <v>526</v>
      </c>
      <c r="Q6" s="8" t="s">
        <v>527</v>
      </c>
      <c r="R6" s="8" t="s">
        <v>528</v>
      </c>
      <c r="S6" s="8" t="s">
        <v>522</v>
      </c>
      <c r="T6" s="118">
        <v>1000.001</v>
      </c>
      <c r="U6" s="118">
        <v>1000.001</v>
      </c>
      <c r="V6" s="118">
        <v>1000.001</v>
      </c>
      <c r="W6" s="222" t="s">
        <v>850</v>
      </c>
      <c r="X6" s="8" t="s">
        <v>517</v>
      </c>
      <c r="Y6" s="118">
        <v>100.001</v>
      </c>
      <c r="Z6" s="118">
        <v>100.001</v>
      </c>
      <c r="AA6" s="118">
        <v>100.001</v>
      </c>
      <c r="AB6" s="222" t="s">
        <v>856</v>
      </c>
      <c r="AC6" s="119" t="s">
        <v>525</v>
      </c>
      <c r="AD6" s="118">
        <v>10.000999999999999</v>
      </c>
      <c r="AE6" s="118">
        <v>10.000999999999999</v>
      </c>
      <c r="AF6" s="118">
        <v>10.000999999999999</v>
      </c>
      <c r="AG6" s="224" t="str">
        <f>'TC074'!$C$2</f>
        <v>sZ5s125-2310002</v>
      </c>
      <c r="AH6" s="116" t="s">
        <v>145</v>
      </c>
      <c r="AI6" s="8" t="str">
        <f>AutoIncrement!$B$2&amp;"SUP-PNATEST,20230605000000000000-1"</f>
        <v>ZTSUP-PNATEST,20230605000000000000-1</v>
      </c>
      <c r="AJ6" s="116" t="s">
        <v>518</v>
      </c>
      <c r="AK6" s="8"/>
      <c r="AL6" s="8"/>
      <c r="AM6" s="35">
        <v>10</v>
      </c>
      <c r="AN6" s="115">
        <v>200</v>
      </c>
    </row>
    <row r="7" spans="1:40">
      <c r="A7" s="113">
        <v>6</v>
      </c>
      <c r="B7" s="113" t="s">
        <v>145</v>
      </c>
      <c r="C7" s="114" t="str">
        <f>"o-MY-ELA-"&amp;AutoIncrement!B2&amp;"-"&amp;AutoIncrement!A2&amp;"-002"</f>
        <v>o-MY-ELA-ZT-21-002</v>
      </c>
      <c r="D7" s="113" t="str">
        <f ca="1" si="0" t="shared"/>
        <v>23 十一月 2023</v>
      </c>
      <c r="G7" s="8" t="str">
        <f>AutoIncrement!$B$2&amp;"ATEST202306050000000000001"</f>
        <v>ZTATEST202306050000000000001</v>
      </c>
      <c r="H7" s="8" t="s">
        <v>114</v>
      </c>
      <c r="I7" s="120">
        <v>50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"NYKU8417026"&amp;AutoIncrement!$C$2</f>
        <v>NYKU8417026ZTs1</v>
      </c>
      <c r="Q7" s="8"/>
      <c r="R7" s="8"/>
      <c r="S7" s="8"/>
      <c r="T7" s="118"/>
      <c r="U7" s="118"/>
      <c r="V7" s="118"/>
      <c r="W7" s="222" t="s">
        <v>851</v>
      </c>
      <c r="X7" s="8" t="s">
        <v>517</v>
      </c>
      <c r="Y7" s="118">
        <v>100.001</v>
      </c>
      <c r="Z7" s="118">
        <v>100.001</v>
      </c>
      <c r="AA7" s="118">
        <v>100.001</v>
      </c>
      <c r="AB7" s="222" t="s">
        <v>857</v>
      </c>
      <c r="AC7" s="119" t="s">
        <v>525</v>
      </c>
      <c r="AD7" s="118">
        <v>10.000999999999999</v>
      </c>
      <c r="AE7" s="118">
        <v>10.000999999999999</v>
      </c>
      <c r="AF7" s="118">
        <v>10.000999999999999</v>
      </c>
      <c r="AG7" s="224" t="str">
        <f>'TC074'!$C$2</f>
        <v>sZ5s125-2310002</v>
      </c>
      <c r="AH7" s="116" t="s">
        <v>145</v>
      </c>
      <c r="AI7" s="8" t="str">
        <f>AutoIncrement!$B$2&amp;"SUP-PNATEST,20230605000000000000-1"</f>
        <v>ZTSUP-PNATEST,20230605000000000000-1</v>
      </c>
      <c r="AJ7" s="116" t="s">
        <v>518</v>
      </c>
      <c r="AK7" s="8"/>
      <c r="AL7" s="8"/>
      <c r="AM7" s="35">
        <v>10</v>
      </c>
      <c r="AN7" s="115">
        <v>200</v>
      </c>
    </row>
    <row r="8" spans="1:40">
      <c r="A8" s="113">
        <v>7</v>
      </c>
      <c r="B8" s="113" t="s">
        <v>145</v>
      </c>
      <c r="C8" s="114" t="str">
        <f>"o-MY-ELA-"&amp;AutoIncrement!B2&amp;"-"&amp;AutoIncrement!A2&amp;"-002"</f>
        <v>o-MY-ELA-ZT-21-002</v>
      </c>
      <c r="D8" s="113" t="str">
        <f ca="1" si="0" t="shared"/>
        <v>23 十一月 2023</v>
      </c>
      <c r="G8" s="8" t="str">
        <f>AutoIncrement!$B$2&amp;"ATEST202306050000000000002"</f>
        <v>ZTATEST202306050000000000002</v>
      </c>
      <c r="H8" s="8" t="s">
        <v>114</v>
      </c>
      <c r="I8" s="120">
        <v>200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"NYKU8417026"&amp;AutoIncrement!$C$2</f>
        <v>NYKU8417026ZTs1</v>
      </c>
      <c r="Q8" s="8"/>
      <c r="R8" s="8"/>
      <c r="S8" s="8"/>
      <c r="T8" s="118"/>
      <c r="U8" s="118"/>
      <c r="V8" s="118"/>
      <c r="W8" s="222" t="s">
        <v>851</v>
      </c>
      <c r="X8" s="8" t="s">
        <v>517</v>
      </c>
      <c r="Y8" s="118">
        <v>100.001</v>
      </c>
      <c r="Z8" s="118">
        <v>100.001</v>
      </c>
      <c r="AA8" s="118">
        <v>100.001</v>
      </c>
      <c r="AB8" s="222" t="s">
        <v>858</v>
      </c>
      <c r="AC8" s="119" t="s">
        <v>530</v>
      </c>
      <c r="AD8" s="118">
        <v>20.001000000000001</v>
      </c>
      <c r="AE8" s="118">
        <v>20.001000000000001</v>
      </c>
      <c r="AF8" s="118">
        <v>20.001000000000001</v>
      </c>
      <c r="AG8" s="224" t="str">
        <f>'TC074'!$C$2</f>
        <v>sZ5s125-2310002</v>
      </c>
      <c r="AH8" s="116" t="s">
        <v>145</v>
      </c>
      <c r="AI8" s="8" t="str">
        <f>AutoIncrement!$B$2&amp;"SUP-PNATEST,20230605000000000000-2"</f>
        <v>ZTSUP-PNATEST,20230605000000000000-2</v>
      </c>
      <c r="AJ8" s="116" t="s">
        <v>523</v>
      </c>
      <c r="AK8" s="8"/>
      <c r="AL8" s="8"/>
      <c r="AM8" s="35">
        <v>10</v>
      </c>
      <c r="AN8" s="115">
        <v>200</v>
      </c>
    </row>
    <row r="9" spans="1:40">
      <c r="A9" s="113">
        <v>8</v>
      </c>
      <c r="B9" s="113" t="s">
        <v>145</v>
      </c>
      <c r="C9" s="114" t="str">
        <f>"o-MY-ELA-"&amp;AutoIncrement!B2&amp;"-"&amp;AutoIncrement!A2&amp;"-003"</f>
        <v>o-MY-ELA-ZT-21-003</v>
      </c>
      <c r="D9" s="113" t="str">
        <f ca="1" si="0" t="shared"/>
        <v>23 十一月 2023</v>
      </c>
      <c r="F9" s="113" t="str">
        <f>"Bs1-"&amp;AutoIncrement!B2&amp;"-"&amp;AutoIncrement!A2&amp;"-003"</f>
        <v>Bs1-ZT-21-003</v>
      </c>
      <c r="G9" s="8" t="str">
        <f>AutoIncrement!$B$2&amp;"pna1219AS1"</f>
        <v>ZTpna1219AS1</v>
      </c>
      <c r="H9" s="8" t="s">
        <v>20</v>
      </c>
      <c r="I9" s="120">
        <v>44000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 t="str">
        <f ca="1" ref="N9:N11" si="3" t="shared">TEXT(DATE(YEAR(TODAY()), MONTH(TODAY()), DAY(TODAY())+9), "dd MMM yyyy")</f>
        <v>02 十二月 2023</v>
      </c>
      <c r="O9" s="117" t="str">
        <f ca="1" ref="O9:O11" si="4" t="shared">TEXT(DATE(YEAR(TODAY()), MONTH(TODAY()), DAY(TODAY())+13), "dd MMM yyyy")</f>
        <v>06 十二月 2023</v>
      </c>
      <c r="P9" s="8" t="s">
        <v>529</v>
      </c>
      <c r="Q9" s="8" t="s">
        <v>527</v>
      </c>
      <c r="R9" s="8" t="s">
        <v>521</v>
      </c>
      <c r="S9" s="8" t="s">
        <v>531</v>
      </c>
      <c r="T9" s="118"/>
      <c r="U9" s="118"/>
      <c r="V9" s="118"/>
      <c r="W9" s="222" t="s">
        <v>852</v>
      </c>
      <c r="X9" s="8" t="s">
        <v>517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224" t="str">
        <f>'TC074'!$C$2</f>
        <v>sZ5s125-2310002</v>
      </c>
      <c r="AH9" s="116" t="s">
        <v>145</v>
      </c>
      <c r="AI9" s="8" t="str">
        <f>AutoIncrement!$B$2&amp;"pna-1219AS-1"</f>
        <v>ZTpna-1219AS-1</v>
      </c>
      <c r="AJ9" s="116" t="s">
        <v>249</v>
      </c>
      <c r="AK9" s="8"/>
      <c r="AL9" s="8"/>
      <c r="AM9" s="35">
        <v>22000</v>
      </c>
      <c r="AN9" s="115">
        <v>44000</v>
      </c>
    </row>
    <row r="10" spans="1:40">
      <c r="A10" s="113">
        <v>9</v>
      </c>
      <c r="B10" s="113" t="s">
        <v>145</v>
      </c>
      <c r="C10" s="114" t="str">
        <f>"o-MY-ELA-"&amp;AutoIncrement!B2&amp;"-"&amp;AutoIncrement!A2&amp;"-003"</f>
        <v>o-MY-ELA-ZT-21-003</v>
      </c>
      <c r="D10" s="113" t="str">
        <f ca="1" si="0" t="shared"/>
        <v>23 十一月 2023</v>
      </c>
      <c r="F10" s="113" t="str">
        <f>"Bs1-"&amp;AutoIncrement!B2&amp;"-"&amp;AutoIncrement!A2&amp;"-003"</f>
        <v>Bs1-ZT-21-003</v>
      </c>
      <c r="G10" s="8" t="str">
        <f>AutoIncrement!$B$2&amp;"pna1219AS1"</f>
        <v>ZTpna1219AS1</v>
      </c>
      <c r="H10" s="8" t="s">
        <v>20</v>
      </c>
      <c r="I10" s="120">
        <v>22000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 t="str">
        <f ca="1" si="3" t="shared"/>
        <v>02 十二月 2023</v>
      </c>
      <c r="O10" s="117" t="str">
        <f ca="1" si="4" t="shared"/>
        <v>06 十二月 2023</v>
      </c>
      <c r="P10" s="8" t="s">
        <v>532</v>
      </c>
      <c r="Q10" s="8"/>
      <c r="R10" s="8"/>
      <c r="S10" s="8"/>
      <c r="T10" s="118"/>
      <c r="U10" s="118"/>
      <c r="V10" s="118"/>
      <c r="W10" s="222" t="s">
        <v>853</v>
      </c>
      <c r="X10" s="8" t="s">
        <v>517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'TC079-AutoGen'!$A$2</f>
        <v>sZ5s125-2310003</v>
      </c>
      <c r="AH10" s="116" t="s">
        <v>145</v>
      </c>
      <c r="AI10" s="8" t="str">
        <f>AutoIncrement!$B$2&amp;"pna-1219AS-1"</f>
        <v>ZTpna-1219AS-1</v>
      </c>
      <c r="AJ10" s="116" t="s">
        <v>249</v>
      </c>
      <c r="AK10" s="8"/>
      <c r="AL10" s="8"/>
      <c r="AM10" s="35">
        <v>22000</v>
      </c>
      <c r="AN10" s="115">
        <v>44000</v>
      </c>
    </row>
    <row r="11" spans="1:40">
      <c r="A11" s="113">
        <v>10</v>
      </c>
      <c r="B11" s="113" t="s">
        <v>145</v>
      </c>
      <c r="C11" s="114" t="str">
        <f>"o-MY-ELA-"&amp;AutoIncrement!B2&amp;"-"&amp;AutoIncrement!A2&amp;"-003"</f>
        <v>o-MY-ELA-ZT-21-003</v>
      </c>
      <c r="D11" s="113" t="str">
        <f ca="1" si="0" t="shared"/>
        <v>23 十一月 2023</v>
      </c>
      <c r="F11" s="113" t="str">
        <f>"Bs1-"&amp;AutoIncrement!B2&amp;"-"&amp;AutoIncrement!A2&amp;"-003"</f>
        <v>Bs1-ZT-21-003</v>
      </c>
      <c r="G11" s="8" t="str">
        <f>AutoIncrement!$B$2&amp;"pna1219AS1"</f>
        <v>ZTpna1219AS1</v>
      </c>
      <c r="H11" s="8" t="s">
        <v>20</v>
      </c>
      <c r="I11" s="120">
        <v>22000</v>
      </c>
      <c r="J11" s="7" t="s">
        <v>515</v>
      </c>
      <c r="K11" s="8" t="s">
        <v>516</v>
      </c>
      <c r="L11" s="116" t="s">
        <v>98</v>
      </c>
      <c r="M11" s="116" t="s">
        <v>190</v>
      </c>
      <c r="N11" s="117" t="str">
        <f ca="1" si="3" t="shared"/>
        <v>02 十二月 2023</v>
      </c>
      <c r="O11" s="117" t="str">
        <f ca="1" si="4" t="shared"/>
        <v>06 十二月 2023</v>
      </c>
      <c r="P11" s="8" t="s">
        <v>533</v>
      </c>
      <c r="Q11" s="8"/>
      <c r="R11" s="8"/>
      <c r="S11" s="8"/>
      <c r="T11" s="118"/>
      <c r="U11" s="118"/>
      <c r="V11" s="118"/>
      <c r="W11" s="222" t="s">
        <v>854</v>
      </c>
      <c r="X11" s="8" t="s">
        <v>517</v>
      </c>
      <c r="Y11" s="118">
        <v>100.001</v>
      </c>
      <c r="Z11" s="118">
        <v>100.001</v>
      </c>
      <c r="AA11" s="118">
        <v>100.001</v>
      </c>
      <c r="AB11" s="8"/>
      <c r="AC11" s="119"/>
      <c r="AD11" s="118"/>
      <c r="AE11" s="118"/>
      <c r="AF11" s="118"/>
      <c r="AG11" s="116" t="str">
        <f>'TC079-AutoGen'!$A$2</f>
        <v>sZ5s125-2310003</v>
      </c>
      <c r="AH11" s="116" t="s">
        <v>145</v>
      </c>
      <c r="AI11" s="8" t="str">
        <f>AutoIncrement!$B$2&amp;"pna-1219AS-1"</f>
        <v>ZTpna-1219AS-1</v>
      </c>
      <c r="AJ11" s="116" t="s">
        <v>249</v>
      </c>
      <c r="AK11" s="8"/>
      <c r="AL11" s="8"/>
      <c r="AM11" s="35">
        <v>22000</v>
      </c>
      <c r="AN11" s="115">
        <v>44000</v>
      </c>
    </row>
  </sheetData>
  <dataValidations count="2">
    <dataValidation allowBlank="1" sqref="K2:K11" type="list" xr:uid="{D6495CDE-1D9D-4792-A88C-FA7FFD562EE5}">
      <formula1>"Outbound,Transfer"</formula1>
    </dataValidation>
    <dataValidation allowBlank="1" sqref="J2:J11" type="list" xr:uid="{B571BA12-472F-4FEF-A28D-5EC1CF764599}">
      <formula1>"Sea,Air,Truck,LCL,Hand Carry,Others"</formula1>
    </dataValidation>
  </dataValidations>
  <pageMargins bottom="0.75" footer="0.3" header="0.3" left="0.7" right="0.7" top="0.75"/>
  <pageSetup orientation="portrait" r:id="rId1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B4"/>
  <sheetViews>
    <sheetView workbookViewId="0"/>
  </sheetViews>
  <sheetFormatPr defaultColWidth="8.88671875" defaultRowHeight="13.8"/>
  <cols>
    <col min="1" max="1" customWidth="true" style="1" width="23.33203125" collapsed="true"/>
    <col min="2" max="16384" style="1" width="8.88671875" collapsed="true"/>
  </cols>
  <sheetData>
    <row r="1" spans="1:1">
      <c r="A1" s="123" t="s">
        <v>535</v>
      </c>
    </row>
    <row ht="14.4" r="2" spans="1:1">
      <c r="A2" t="s">
        <v>821</v>
      </c>
    </row>
    <row ht="14.4" r="3" spans="1:1">
      <c r="A3" t="s">
        <v>822</v>
      </c>
    </row>
    <row ht="14.4" r="4" spans="1:1">
      <c r="A4" t="s">
        <v>823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U7"/>
  <sheetViews>
    <sheetView workbookViewId="0">
      <selection activeCell="A6" sqref="A6"/>
    </sheetView>
  </sheetViews>
  <sheetFormatPr defaultRowHeight="14.4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48.6640625" collapsed="true"/>
    <col min="5" max="5" customWidth="true" width="13.88671875" collapsed="true"/>
    <col min="7" max="7" customWidth="true" width="29.6640625" collapsed="true"/>
    <col min="8" max="8" customWidth="true" width="19.6640625" collapsed="true"/>
    <col min="9" max="9" customWidth="true" width="18.44140625" collapsed="true"/>
    <col min="10" max="10" customWidth="true" width="32.5546875" collapsed="true"/>
    <col min="11" max="11" customWidth="true" width="36.88671875" collapsed="true"/>
    <col min="12" max="12" customWidth="true" width="32.21875" collapsed="true"/>
    <col min="13" max="13" customWidth="true" width="34.6640625" collapsed="true"/>
    <col min="14" max="14" customWidth="true" width="27.109375" collapsed="true"/>
    <col min="15" max="15" customWidth="true" width="26.109375" collapsed="true"/>
    <col min="16" max="16" customWidth="true" width="28.0" collapsed="true"/>
    <col min="17" max="17" customWidth="true" width="35.6640625" collapsed="true"/>
    <col min="18" max="18" customWidth="true" width="28.109375" collapsed="true"/>
    <col min="19" max="19" customWidth="true" width="17.21875" collapsed="true"/>
    <col min="20" max="20" customWidth="true" width="29.0" collapsed="true"/>
  </cols>
  <sheetData>
    <row customFormat="1" customHeight="1" ht="28.2" r="1" s="179" spans="1:20">
      <c r="A1" s="182" t="s">
        <v>653</v>
      </c>
      <c r="B1" s="182" t="s">
        <v>491</v>
      </c>
      <c r="C1" s="182" t="s">
        <v>544</v>
      </c>
      <c r="D1" s="183" t="s">
        <v>545</v>
      </c>
      <c r="E1" s="182" t="s">
        <v>546</v>
      </c>
      <c r="F1" s="182" t="s">
        <v>547</v>
      </c>
      <c r="G1" s="182" t="s">
        <v>548</v>
      </c>
      <c r="H1" s="182" t="s">
        <v>549</v>
      </c>
      <c r="I1" s="182" t="s">
        <v>550</v>
      </c>
      <c r="J1" s="182" t="s">
        <v>551</v>
      </c>
      <c r="K1" s="177" t="s">
        <v>552</v>
      </c>
      <c r="L1" s="182" t="s">
        <v>553</v>
      </c>
      <c r="M1" s="182" t="s">
        <v>554</v>
      </c>
      <c r="N1" s="182" t="s">
        <v>555</v>
      </c>
      <c r="O1" s="182" t="s">
        <v>560</v>
      </c>
      <c r="P1" s="182" t="s">
        <v>561</v>
      </c>
      <c r="Q1" s="182" t="s">
        <v>562</v>
      </c>
      <c r="R1" s="182" t="s">
        <v>560</v>
      </c>
      <c r="S1" s="182" t="s">
        <v>561</v>
      </c>
      <c r="T1" s="182" t="s">
        <v>562</v>
      </c>
    </row>
    <row customFormat="1" r="2" s="179" spans="1:20">
      <c r="A2" s="222" t="str">
        <f>"Bs1-"&amp;AutoIncrement!$B$2&amp;"-"&amp;AutoIncrement!$A$2&amp;"-001"</f>
        <v>Bs1-ZT-21-001</v>
      </c>
      <c r="B2" s="8" t="s">
        <v>519</v>
      </c>
      <c r="C2" s="101" t="s">
        <v>566</v>
      </c>
      <c r="D2" s="101" t="s">
        <v>567</v>
      </c>
      <c r="E2" s="101" t="s">
        <v>568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</row>
    <row customFormat="1" r="3" s="179" spans="1:20">
      <c r="A3" s="222" t="str">
        <f>"Bs1-"&amp;AutoIncrement!$B$2&amp;"-"&amp;AutoIncrement!A2&amp;"-001"</f>
        <v>Bs1-ZT-21-001</v>
      </c>
      <c r="B3" s="101"/>
      <c r="C3" s="101" t="s">
        <v>566</v>
      </c>
      <c r="D3" s="101" t="s">
        <v>567</v>
      </c>
      <c r="E3" s="101" t="s">
        <v>568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</row>
    <row r="4" spans="1:20">
      <c r="A4" s="222" t="str">
        <f>"Bs1-"&amp;AutoIncrement!$B$2&amp;"-"&amp;AutoIncrement!A2&amp;"-001"</f>
        <v>Bs1-ZT-21-001</v>
      </c>
      <c r="B4" s="8" t="s">
        <v>526</v>
      </c>
      <c r="C4" s="101" t="s">
        <v>566</v>
      </c>
      <c r="D4" s="101" t="s">
        <v>567</v>
      </c>
      <c r="E4" s="101" t="s">
        <v>568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</row>
    <row r="5" spans="1:20">
      <c r="A5" s="222" t="str">
        <f>"Bs1-"&amp;AutoIncrement!$B$2&amp;"-"&amp;AutoIncrement!$A$2&amp;"-003"</f>
        <v>Bs1-ZT-21-003</v>
      </c>
      <c r="B5" t="s">
        <v>573</v>
      </c>
      <c r="C5" s="101" t="s">
        <v>566</v>
      </c>
      <c r="D5" s="101" t="s">
        <v>567</v>
      </c>
      <c r="E5" s="101" t="s">
        <v>568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</row>
    <row r="6" spans="1:20">
      <c r="A6" s="222" t="str">
        <f>"Bs1-"&amp;AutoIncrement!$B$2&amp;"-"&amp;AutoIncrement!$A$2&amp;"-003"</f>
        <v>Bs1-ZT-21-003</v>
      </c>
      <c r="B6" t="s">
        <v>575</v>
      </c>
      <c r="C6" s="101" t="s">
        <v>566</v>
      </c>
      <c r="D6" s="101" t="s">
        <v>567</v>
      </c>
      <c r="E6" s="101" t="s">
        <v>568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</row>
    <row r="7" spans="1:20">
      <c r="A7" s="222" t="str">
        <f>"Bs1-"&amp;AutoIncrement!$B$2&amp;"-"&amp;AutoIncrement!$A$2&amp;"-003"</f>
        <v>Bs1-ZT-21-003</v>
      </c>
      <c r="B7" t="s">
        <v>576</v>
      </c>
      <c r="C7" s="101" t="s">
        <v>566</v>
      </c>
      <c r="D7" s="101" t="s">
        <v>567</v>
      </c>
      <c r="E7" s="101" t="s">
        <v>568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W2"/>
  <sheetViews>
    <sheetView topLeftCell="K1" workbookViewId="0" zoomScale="85" zoomScaleNormal="85">
      <selection activeCell="P34" sqref="P33:P34"/>
    </sheetView>
  </sheetViews>
  <sheetFormatPr defaultRowHeight="14.4"/>
  <cols>
    <col min="1" max="22" customWidth="true" width="20.77734375" collapsed="true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PNABU-L3-ZT-021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ZT-21</v>
      </c>
      <c r="M2" t="str">
        <f>'TC007-Received Req Info'!G2</f>
        <v>CD-ZT-21</v>
      </c>
      <c r="N2" t="str">
        <f>'TC007-Received Req Info'!H2</f>
        <v>FN 60 DAYS-ZT(60 DAYS BY INV DATE)</v>
      </c>
      <c r="O2" t="str">
        <f>'TC003'!C2</f>
        <v>FN 60 DAYS-ZT</v>
      </c>
      <c r="P2" t="s">
        <v>144</v>
      </c>
      <c r="Q2" t="s">
        <v>167</v>
      </c>
      <c r="R2" t="s">
        <v>98</v>
      </c>
      <c r="S2" t="str">
        <f>'TC004'!A2</f>
        <v>PNDC-PNCUS-ZT</v>
      </c>
      <c r="T2" t="s">
        <v>148</v>
      </c>
      <c r="U2" t="s">
        <v>192</v>
      </c>
      <c r="V2" t="s">
        <v>193</v>
      </c>
    </row>
  </sheetData>
  <pageMargins bottom="0.75" footer="0.3" header="0.3" left="0.7" right="0.7" top="0.75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V9"/>
  <sheetViews>
    <sheetView workbookViewId="0">
      <selection activeCell="C16" sqref="C1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</cols>
  <sheetData>
    <row ht="43.2" r="1" spans="1:21">
      <c r="A1" t="s">
        <v>668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'TC049 autogen'!$A$2</f>
        <v>pZ525-2310003</v>
      </c>
      <c r="B2" s="222" t="str">
        <f>"Bs1-"&amp;AutoIncrement!$B$2&amp;"-"&amp;AutoIncrement!$A$2&amp;"-001"</f>
        <v>Bs1-ZT-21-001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'TC049 autogen'!$A$2</f>
        <v>pZ525-2310003</v>
      </c>
      <c r="B3" s="222" t="str">
        <f>"Bs1-"&amp;AutoIncrement!$B$2&amp;"-"&amp;AutoIncrement!$A$2&amp;"-001"</f>
        <v>Bs1-ZT-21-001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'TC049 autogen'!$A$2</f>
        <v>pZ525-2310003</v>
      </c>
      <c r="B4" s="222" t="str">
        <f>"Bs1-"&amp;AutoIncrement!$B$2&amp;"-"&amp;AutoIncrement!$A$2&amp;"-001"</f>
        <v>Bs1-ZT-21-001</v>
      </c>
      <c r="C4" s="8" t="s">
        <v>526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'TC073 AutoGen'!$A$2</f>
        <v>pZ525-2310005</v>
      </c>
      <c r="B5" s="222" t="str">
        <f>"Bs1-"&amp;AutoIncrement!$B$2&amp;"-"&amp;AutoIncrement!$A$2&amp;"-001"</f>
        <v>Bs1-ZT-21-001</v>
      </c>
      <c r="C5" s="8" t="s">
        <v>526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'TC073 AutoGen'!$A$2</f>
        <v>pZ525-2310005</v>
      </c>
      <c r="C6" t="str">
        <f>"NYKU8417026"&amp;AutoIncrement!$C$2</f>
        <v>NYKU8417026ZTs1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s="225" t="str">
        <f>'TC073 AutoGen'!$A$2</f>
        <v>pZ525-2310005</v>
      </c>
      <c r="B7" s="222" t="str">
        <f>"Bs1-"&amp;AutoIncrement!$B$2&amp;"-"&amp;AutoIncrement!$A$2&amp;"-003"</f>
        <v>Bs1-ZT-21-003</v>
      </c>
      <c r="C7" t="s">
        <v>573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'TC078-BU AutoGen PO'!$Q$2</f>
        <v>pZ5s125-2310001</v>
      </c>
      <c r="B8" s="222" t="str">
        <f>"Bs1-"&amp;AutoIncrement!$B$2&amp;"-"&amp;AutoIncrement!$A$2&amp;"-003"</f>
        <v>Bs1-ZT-21-003</v>
      </c>
      <c r="C8" s="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'TC078-BU AutoGen PO'!$Q$2</f>
        <v>pZ5s125-2310001</v>
      </c>
      <c r="B9" s="222" t="str">
        <f>"Bs1-"&amp;AutoIncrement!$B$2&amp;"-"&amp;AutoIncrement!$A$2&amp;"-003"</f>
        <v>Bs1-ZT-21-003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honeticPr fontId="25" type="noConversion"/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V9"/>
  <sheetViews>
    <sheetView workbookViewId="0">
      <selection activeCell="A5" sqref="A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</cols>
  <sheetData>
    <row ht="43.2" r="1" spans="1:21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'TC050-Sup1 SO List'!$A$2</f>
        <v>sZ5s125-2310001</v>
      </c>
      <c r="B2" s="222" t="str">
        <f>"Bs1-"&amp;AutoIncrement!$B$2&amp;"-"&amp;AutoIncrement!$A$2&amp;"-001"</f>
        <v>Bs1-ZT-21-001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'TC050-Sup1 SO List'!$A$2</f>
        <v>sZ5s125-2310001</v>
      </c>
      <c r="B3" s="222" t="str">
        <f>"Bs1-"&amp;AutoIncrement!$B$2&amp;"-"&amp;AutoIncrement!$A$2&amp;"-001"</f>
        <v>Bs1-ZT-21-001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'TC050-Sup1 SO List'!$A$2</f>
        <v>sZ5s125-2310001</v>
      </c>
      <c r="B4" s="222" t="str">
        <f>"Bs1-"&amp;AutoIncrement!$B$2&amp;"-"&amp;AutoIncrement!$A$2&amp;"-001"</f>
        <v>Bs1-ZT-21-001</v>
      </c>
      <c r="C4" t="s">
        <v>572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'TC074'!$C$2</f>
        <v>sZ5s125-2310002</v>
      </c>
      <c r="B5" s="222" t="str">
        <f>"Bs1-"&amp;AutoIncrement!$B$2&amp;"-"&amp;AutoIncrement!$A$2&amp;"-001"</f>
        <v>Bs1-ZT-21-001</v>
      </c>
      <c r="C5" t="s">
        <v>572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'TC074'!$C$2</f>
        <v>sZ5s125-2310002</v>
      </c>
      <c r="B6" s="222" t="str">
        <f>"Bs1-"&amp;AutoIncrement!$B$2&amp;"-"&amp;AutoIncrement!$A$2&amp;"-003"</f>
        <v>Bs1-ZT-21-003</v>
      </c>
      <c r="C6" t="s">
        <v>573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t="str">
        <f>'TC074'!$C$2</f>
        <v>sZ5s125-2310002</v>
      </c>
      <c r="C7" t="str">
        <f>"NYKU8417026"&amp;AutoIncrement!$C$2</f>
        <v>NYKU8417026ZTs1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'TC079-AutoGen'!$A$2</f>
        <v>sZ5s125-2310003</v>
      </c>
      <c r="B8" s="222" t="str">
        <f>"Bs1-"&amp;AutoIncrement!$B$2&amp;"-"&amp;AutoIncrement!$A$2&amp;"-003"</f>
        <v>Bs1-ZT-21-003</v>
      </c>
      <c r="C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'TC079-AutoGen'!$A$2</f>
        <v>sZ5s125-2310003</v>
      </c>
      <c r="B9" s="222" t="str">
        <f>"Bs1-"&amp;AutoIncrement!$B$2&amp;"-"&amp;AutoIncrement!$A$2&amp;"-003"</f>
        <v>Bs1-ZT-21-003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M8"/>
  <sheetViews>
    <sheetView workbookViewId="0">
      <selection activeCell="D6" sqref="D6"/>
    </sheetView>
  </sheetViews>
  <sheetFormatPr defaultRowHeight="14.4"/>
  <cols>
    <col min="2" max="2" customWidth="true" width="21.6640625" collapsed="true"/>
    <col min="3" max="3" customWidth="true" width="47.6640625" collapsed="true"/>
    <col min="4" max="4" customWidth="true" width="32.33203125" collapsed="true"/>
    <col min="5" max="5" customWidth="true" width="23.77734375" collapsed="true"/>
    <col min="6" max="6" customWidth="true" width="22.109375" collapsed="true"/>
    <col min="7" max="8" customWidth="true" width="14.33203125" collapsed="true"/>
    <col min="10" max="10" customWidth="true" width="22.109375" collapsed="true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customHeight="1" ht="18" r="2" spans="1:12">
      <c r="A2">
        <v>1</v>
      </c>
      <c r="B2" s="114" t="str">
        <f>'TC102-Outbound No'!$B$2</f>
        <v>o-MY-ELA-SUP-231026001</v>
      </c>
      <c r="C2" s="222" t="str">
        <f>"Bs1-"&amp;AutoIncrement!$B$2&amp;"-"&amp;AutoIncrement!$A$2&amp;"-001"</f>
        <v>Bs1-ZT-21-001</v>
      </c>
      <c r="D2" s="101" t="s">
        <v>572</v>
      </c>
      <c r="E2" s="185"/>
      <c r="F2" t="s">
        <v>677</v>
      </c>
      <c r="G2" s="186" t="n">
        <f ca="1">TODAY()</f>
        <v>45253.0</v>
      </c>
      <c r="H2" s="186" t="s">
        <v>469</v>
      </c>
      <c r="I2" t="s">
        <v>697</v>
      </c>
      <c r="J2" s="186" t="n">
        <f ca="1">TODAY()</f>
        <v>45253.0</v>
      </c>
      <c r="K2" t="s">
        <v>698</v>
      </c>
      <c r="L2" t="s">
        <v>699</v>
      </c>
    </row>
    <row customHeight="1" ht="16.8" r="3" spans="1:12">
      <c r="A3">
        <v>1</v>
      </c>
      <c r="B3" s="114" t="str">
        <f>'TC102-Outbound No'!$B$2</f>
        <v>o-MY-ELA-SUP-231026001</v>
      </c>
      <c r="C3" s="222" t="str">
        <f>"Bs1-"&amp;AutoIncrement!$B$2&amp;"-"&amp;AutoIncrement!$A$2&amp;"-001"</f>
        <v>Bs1-ZT-21-001</v>
      </c>
      <c r="D3" s="101" t="s">
        <v>565</v>
      </c>
      <c r="F3" t="s">
        <v>677</v>
      </c>
      <c r="G3" s="186" t="n">
        <f ca="1" ref="G3:G8" si="0" t="shared">TODAY()</f>
        <v>45253.0</v>
      </c>
      <c r="H3" s="186" t="s">
        <v>756</v>
      </c>
      <c r="I3" t="s">
        <v>697</v>
      </c>
      <c r="J3" s="186" t="n">
        <f ca="1" ref="J3:J8" si="1" t="shared">TODAY()</f>
        <v>45253.0</v>
      </c>
      <c r="K3" t="s">
        <v>698</v>
      </c>
      <c r="L3" t="s">
        <v>699</v>
      </c>
    </row>
    <row customHeight="1" ht="15.6" r="4" spans="1:12">
      <c r="A4">
        <v>1</v>
      </c>
      <c r="B4" s="114" t="str">
        <f>'TC102-Outbound No'!$B$2</f>
        <v>o-MY-ELA-SUP-231026001</v>
      </c>
      <c r="C4" s="222" t="str">
        <f>"Bs1-"&amp;AutoIncrement!$B$2&amp;"-"&amp;AutoIncrement!$A$2&amp;"-001"</f>
        <v>Bs1-ZT-21-001</v>
      </c>
      <c r="F4" t="s">
        <v>677</v>
      </c>
      <c r="G4" s="186" t="n">
        <f ca="1" si="0" t="shared"/>
        <v>45253.0</v>
      </c>
      <c r="H4" s="186" t="s">
        <v>757</v>
      </c>
      <c r="I4" t="s">
        <v>697</v>
      </c>
      <c r="J4" s="186" t="n">
        <f ca="1" si="1" t="shared"/>
        <v>45253.0</v>
      </c>
      <c r="K4" t="s">
        <v>698</v>
      </c>
      <c r="L4" t="s">
        <v>699</v>
      </c>
    </row>
    <row r="5" spans="1:12">
      <c r="A5">
        <v>2</v>
      </c>
      <c r="B5" s="114" t="str">
        <f>'TC102-Outbound No'!$B$3</f>
        <v>o-MY-ELA-SUP-231026002</v>
      </c>
      <c r="D5" s="101" t="str">
        <f>"NYKU8417026"&amp;AutoIncrement!$C$2</f>
        <v>NYKU8417026ZTs1</v>
      </c>
      <c r="F5" t="s">
        <v>240</v>
      </c>
      <c r="G5" s="186" t="n">
        <f ca="1" si="0" t="shared"/>
        <v>45253.0</v>
      </c>
      <c r="H5" s="186" t="s">
        <v>758</v>
      </c>
      <c r="I5" t="s">
        <v>697</v>
      </c>
      <c r="J5" s="186" t="n">
        <f ca="1" si="1" t="shared"/>
        <v>45253.0</v>
      </c>
      <c r="K5" t="s">
        <v>698</v>
      </c>
      <c r="L5" t="s">
        <v>699</v>
      </c>
    </row>
    <row r="6" spans="1:12">
      <c r="A6">
        <v>3</v>
      </c>
      <c r="B6" s="114" t="str">
        <f>'TC102-Outbound No'!$B$4</f>
        <v>o-MY-ELA-SUP-231026003</v>
      </c>
      <c r="C6" s="222" t="str">
        <f>"Bs1-"&amp;AutoIncrement!$B$2&amp;"-"&amp;AutoIncrement!$A$2&amp;"-003"</f>
        <v>Bs1-ZT-21-003</v>
      </c>
      <c r="D6" s="101" t="s">
        <v>573</v>
      </c>
      <c r="F6" t="s">
        <v>240</v>
      </c>
      <c r="G6" s="186" t="n">
        <f ca="1" si="0" t="shared"/>
        <v>45253.0</v>
      </c>
      <c r="H6" s="186" t="s">
        <v>759</v>
      </c>
      <c r="I6" t="s">
        <v>697</v>
      </c>
      <c r="J6" s="186" t="n">
        <f ca="1" si="1" t="shared"/>
        <v>45253.0</v>
      </c>
      <c r="K6" t="s">
        <v>698</v>
      </c>
      <c r="L6" t="s">
        <v>699</v>
      </c>
    </row>
    <row r="7" spans="1:12">
      <c r="A7">
        <v>3</v>
      </c>
      <c r="B7" s="114" t="str">
        <f>'TC102-Outbound No'!$B$4</f>
        <v>o-MY-ELA-SUP-231026003</v>
      </c>
      <c r="C7" s="222" t="str">
        <f>"Bs1-"&amp;AutoIncrement!$B$2&amp;"-"&amp;AutoIncrement!$A$2&amp;"-003"</f>
        <v>Bs1-ZT-21-003</v>
      </c>
      <c r="D7" s="101" t="s">
        <v>576</v>
      </c>
      <c r="F7" t="s">
        <v>677</v>
      </c>
      <c r="G7" s="186" t="n">
        <f ca="1" si="0" t="shared"/>
        <v>45253.0</v>
      </c>
      <c r="H7" s="186" t="s">
        <v>760</v>
      </c>
      <c r="I7" t="s">
        <v>697</v>
      </c>
      <c r="J7" s="186" t="n">
        <f ca="1" si="1" t="shared"/>
        <v>45253.0</v>
      </c>
      <c r="K7" t="s">
        <v>698</v>
      </c>
      <c r="L7" t="s">
        <v>699</v>
      </c>
    </row>
    <row r="8" spans="1:12">
      <c r="A8">
        <v>3</v>
      </c>
      <c r="B8" s="114" t="str">
        <f>'TC102-Outbound No'!$B$4</f>
        <v>o-MY-ELA-SUP-231026003</v>
      </c>
      <c r="C8" s="222" t="str">
        <f>"Bs1-"&amp;AutoIncrement!$B$2&amp;"-"&amp;AutoIncrement!$A$2&amp;"-003"</f>
        <v>Bs1-ZT-21-003</v>
      </c>
      <c r="D8" s="101" t="s">
        <v>575</v>
      </c>
      <c r="F8" t="s">
        <v>677</v>
      </c>
      <c r="G8" s="186" t="n">
        <f ca="1" si="0" t="shared"/>
        <v>45253.0</v>
      </c>
      <c r="H8" s="186" t="s">
        <v>761</v>
      </c>
      <c r="I8" t="s">
        <v>697</v>
      </c>
      <c r="J8" s="186" t="n">
        <f ca="1" si="1" t="shared"/>
        <v>45253.0</v>
      </c>
      <c r="K8" t="s">
        <v>698</v>
      </c>
      <c r="L8" t="s">
        <v>699</v>
      </c>
    </row>
  </sheetData>
  <phoneticPr fontId="25" type="noConversion"/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I2"/>
  <sheetViews>
    <sheetView workbookViewId="0">
      <selection activeCell="D2" sqref="D2:E2"/>
    </sheetView>
  </sheetViews>
  <sheetFormatPr defaultRowHeight="14.4"/>
  <cols>
    <col min="1" max="1" customWidth="true" width="32.33203125" collapsed="true"/>
    <col min="2" max="2" customWidth="true" width="33.109375" collapsed="true"/>
    <col min="3" max="3" customWidth="true" width="22.21875" collapsed="true"/>
    <col min="4" max="4" customWidth="true" width="43.5546875" collapsed="true"/>
    <col min="5" max="5" customWidth="true" width="24.88671875" collapsed="true"/>
    <col min="6" max="6" customWidth="true" width="23.0" collapsed="true"/>
    <col min="7" max="7" customWidth="true" width="19.5546875" collapsed="true"/>
    <col min="8" max="8" customWidth="true" width="23.109375" collapsed="true"/>
  </cols>
  <sheetData>
    <row r="1" spans="1:8">
      <c r="A1" t="s">
        <v>669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'TC074'!$C$2</f>
        <v>sZ5s125-2310002</v>
      </c>
      <c r="B2" s="99" t="str">
        <f>'TC051'!$F2</f>
        <v>ZTATEST202306050000000000001</v>
      </c>
      <c r="C2" s="187">
        <v>150</v>
      </c>
      <c r="D2" s="241">
        <v>150</v>
      </c>
      <c r="E2" s="242"/>
      <c r="G2" s="174"/>
      <c r="H2" s="174"/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C2"/>
  <sheetViews>
    <sheetView workbookViewId="0">
      <selection activeCell="A2" sqref="A2"/>
    </sheetView>
  </sheetViews>
  <sheetFormatPr defaultRowHeight="14.4"/>
  <cols>
    <col min="1" max="1" customWidth="true" width="26.109375" collapsed="true"/>
    <col min="2" max="2" customWidth="true" width="25.77734375" collapsed="true"/>
  </cols>
  <sheetData>
    <row r="1" spans="1:2">
      <c r="A1" s="197" t="s">
        <v>125</v>
      </c>
      <c r="B1" t="s">
        <v>714</v>
      </c>
    </row>
    <row r="2" spans="1:2">
      <c r="A2" t="s">
        <v>824</v>
      </c>
      <c r="B2" t="str">
        <f>'TC007-Received Req Info'!$Q$2</f>
        <v>CR-MY-PNA-CUS-2311005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AA4"/>
  <sheetViews>
    <sheetView topLeftCell="D1" workbookViewId="0" zoomScale="90" zoomScaleNormal="90">
      <selection sqref="A1:V4"/>
    </sheetView>
  </sheetViews>
  <sheetFormatPr defaultColWidth="8.88671875" defaultRowHeight="13.8"/>
  <cols>
    <col min="1" max="2" customWidth="true" style="1" width="30.77734375" collapsed="true"/>
    <col min="3" max="26" customWidth="true" style="1" width="20.77734375" collapsed="true"/>
    <col min="27" max="16384" style="1" width="8.88671875" collapsed="true"/>
  </cols>
  <sheetData>
    <row r="1" spans="1:26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536</v>
      </c>
      <c r="R1" s="220" t="s">
        <v>462</v>
      </c>
      <c r="S1" s="220" t="s">
        <v>463</v>
      </c>
      <c r="T1" s="220" t="s">
        <v>464</v>
      </c>
      <c r="U1" s="220" t="s">
        <v>452</v>
      </c>
      <c r="V1" s="220" t="s">
        <v>453</v>
      </c>
      <c r="W1" s="220" t="s">
        <v>537</v>
      </c>
      <c r="X1" s="220" t="s">
        <v>454</v>
      </c>
      <c r="Y1" s="220" t="s">
        <v>455</v>
      </c>
      <c r="Z1" s="220" t="s">
        <v>456</v>
      </c>
    </row>
    <row r="2" spans="1:26">
      <c r="A2" s="8" t="str">
        <f>AutoIncrement!B2&amp;"ATEST202306050000000000001"</f>
        <v>ZTATEST202306050000000000001</v>
      </c>
      <c r="B2" s="10" t="str">
        <f>AutoIncrement!B2&amp;"BU-PNATEST,20230605000000000000-1"</f>
        <v>ZTBU-PNATEST,20230605000000000000-1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2">
        <v>150</v>
      </c>
      <c r="L2" s="1">
        <v>0</v>
      </c>
      <c r="M2" s="1" t="s">
        <v>457</v>
      </c>
      <c r="O2" s="1">
        <v>0</v>
      </c>
      <c r="P2" s="111">
        <v>200</v>
      </c>
      <c r="Q2" s="226">
        <v>0</v>
      </c>
      <c r="S2" s="123">
        <v>150</v>
      </c>
      <c r="T2" s="50"/>
      <c r="U2" s="111">
        <v>200</v>
      </c>
      <c r="V2" s="123">
        <v>150</v>
      </c>
    </row>
    <row customHeight="1" ht="26.4" r="3" spans="1:26">
      <c r="A3" s="40" t="str">
        <f>AutoIncrement!B2&amp;"ATEST202306050000000000002"</f>
        <v>ZTATEST202306050000000000002</v>
      </c>
      <c r="B3" s="11" t="str">
        <f>AutoIncrement!B2&amp;"BU-PNATEST,20230605000000000000-2"</f>
        <v>ZTBU-PNATEST,20230605000000000000-2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1">
        <v>200</v>
      </c>
      <c r="P3" s="226">
        <v>0</v>
      </c>
      <c r="Q3" s="1">
        <v>0</v>
      </c>
      <c r="R3" s="1">
        <v>200</v>
      </c>
      <c r="S3" s="111"/>
      <c r="T3" s="50"/>
      <c r="U3" s="1">
        <v>200</v>
      </c>
      <c r="V3" s="1">
        <v>200</v>
      </c>
      <c r="W3" s="111"/>
    </row>
    <row r="4" spans="1:26">
      <c r="A4" s="1" t="str">
        <f>AutoIncrement!B2&amp;"pna1219AS1"</f>
        <v>ZTpna1219AS1</v>
      </c>
      <c r="B4" s="1" t="str">
        <f>AutoIncrement!B2&amp;"pna-1219AS-1"</f>
        <v>ZTpna-1219AS-1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1">
        <v>44000</v>
      </c>
      <c r="R4" s="111"/>
      <c r="S4" s="111"/>
      <c r="T4" s="111">
        <v>44000</v>
      </c>
      <c r="U4" s="111">
        <v>44000</v>
      </c>
      <c r="V4" s="111">
        <v>44000</v>
      </c>
      <c r="W4" s="111"/>
      <c r="X4" s="111"/>
      <c r="Y4" s="111"/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Z4"/>
  <sheetViews>
    <sheetView workbookViewId="0" zoomScale="90" zoomScaleNormal="90">
      <selection activeCell="U9" sqref="U9"/>
    </sheetView>
  </sheetViews>
  <sheetFormatPr defaultColWidth="8.88671875" defaultRowHeight="13.8"/>
  <cols>
    <col min="1" max="1" customWidth="true" style="1" width="19.77734375" collapsed="true"/>
    <col min="2" max="3" customWidth="true" style="1" width="30.77734375" collapsed="true"/>
    <col min="4" max="25" customWidth="true" style="1" width="20.77734375" collapsed="true"/>
    <col min="26" max="16384" style="1" width="8.88671875" collapsed="true"/>
  </cols>
  <sheetData>
    <row r="1" spans="1:25">
      <c r="A1" s="1" t="s">
        <v>763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21" t="s">
        <v>477</v>
      </c>
      <c r="V1" s="221" t="s">
        <v>478</v>
      </c>
      <c r="W1" s="221" t="s">
        <v>479</v>
      </c>
      <c r="X1" s="221" t="s">
        <v>538</v>
      </c>
      <c r="Y1" s="221" t="s">
        <v>539</v>
      </c>
    </row>
    <row r="2" spans="1:25">
      <c r="A2" s="1" t="str">
        <f>'TC073 AutoGen'!$A$2</f>
        <v>pZ525-2310005</v>
      </c>
      <c r="B2" s="1" t="str">
        <f>AutoIncrement!B2&amp;"ATEST202306050000000000001"</f>
        <v>ZTATEST202306050000000000001</v>
      </c>
      <c r="C2" s="1" t="str">
        <f>AutoIncrement!B2&amp;"BU-PNATEST,20230605000000000000-1"</f>
        <v>ZTBU-PNATEST,20230605000000000000-1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2">
        <v>2.0019999999999998</v>
      </c>
      <c r="L2" s="1" t="s">
        <v>442</v>
      </c>
      <c r="M2" s="1" t="s">
        <v>540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ZTATEST202306050000000000002</v>
      </c>
      <c r="C3" s="1" t="str">
        <f>AutoIncrement!B2&amp;"BU-PNATEST,20230605000000000000-2"</f>
        <v>ZTBU-PNATEST,20230605000000000000-2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540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ZTpna1219AS1</v>
      </c>
      <c r="C4" s="1" t="str">
        <f>AutoIncrement!B2&amp;"pna-1219AS-1"</f>
        <v>ZTpna-1219AS-1</v>
      </c>
      <c r="F4" s="1" t="s">
        <v>145</v>
      </c>
      <c r="G4" s="1" t="s">
        <v>145</v>
      </c>
      <c r="H4" s="111">
        <v>44000</v>
      </c>
      <c r="I4" s="111">
        <v>22000</v>
      </c>
      <c r="J4" s="111">
        <v>44000</v>
      </c>
      <c r="K4" s="112">
        <v>10.000999999999999</v>
      </c>
      <c r="L4" s="1" t="s">
        <v>442</v>
      </c>
      <c r="M4" s="1" t="s">
        <v>540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1">
        <v>44000</v>
      </c>
      <c r="W4" s="50">
        <v>0</v>
      </c>
      <c r="Y4" s="111"/>
    </row>
  </sheetData>
  <pageMargins bottom="0.75" footer="0.3" header="0.3" left="0.7" right="0.7" top="0.75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U4"/>
  <sheetViews>
    <sheetView workbookViewId="0">
      <selection activeCell="U1" sqref="U1:AL1048576"/>
    </sheetView>
  </sheetViews>
  <sheetFormatPr defaultRowHeight="14.4"/>
  <cols>
    <col min="1" max="1" customWidth="true" width="28.77734375" collapsed="true"/>
    <col min="2" max="2" customWidth="true" width="37.88671875" collapsed="true"/>
    <col min="3" max="3" customWidth="true" width="14.0" collapsed="true"/>
    <col min="4" max="5" customWidth="true" width="38.109375" collapsed="true"/>
    <col min="11" max="11" customWidth="true" width="18.21875" collapsed="true"/>
    <col min="12" max="13" customWidth="true" width="17.0" collapsed="true"/>
    <col min="14" max="14" customWidth="true" width="29.21875" collapsed="true"/>
  </cols>
  <sheetData>
    <row r="1" spans="1:20">
      <c r="A1" s="1" t="s">
        <v>284</v>
      </c>
      <c r="B1" s="1" t="s">
        <v>458</v>
      </c>
      <c r="C1" s="1" t="s">
        <v>414</v>
      </c>
      <c r="D1" s="1" t="s">
        <v>626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825</v>
      </c>
      <c r="M1" s="1" t="s">
        <v>826</v>
      </c>
      <c r="N1" s="1" t="s">
        <v>827</v>
      </c>
      <c r="O1" s="220" t="s">
        <v>828</v>
      </c>
      <c r="P1" s="220" t="s">
        <v>283</v>
      </c>
      <c r="Q1" s="220" t="s">
        <v>829</v>
      </c>
      <c r="R1" s="220" t="s">
        <v>283</v>
      </c>
      <c r="S1" s="220" t="s">
        <v>829</v>
      </c>
      <c r="T1" s="220" t="s">
        <v>283</v>
      </c>
    </row>
    <row r="2" spans="1:20">
      <c r="A2" s="8" t="str">
        <f>AutoIncrement!B2&amp;"ATEST202306050000000000001"</f>
        <v>ZTATEST202306050000000000001</v>
      </c>
      <c r="B2" s="10" t="str">
        <f>AutoIncrement!B2&amp;"SUP-PNATEST,20230605000000000000-1"</f>
        <v>ZTSUP-PNATEST,20230605000000000000-1</v>
      </c>
      <c r="C2" s="46"/>
      <c r="D2" s="46" t="str">
        <f>'TC073 AutoGen'!$A$2</f>
        <v>pZ525-2310005</v>
      </c>
      <c r="E2" s="46" t="s">
        <v>99</v>
      </c>
      <c r="F2" s="1">
        <v>5</v>
      </c>
      <c r="G2" s="1">
        <v>20</v>
      </c>
      <c r="H2" s="122">
        <v>150</v>
      </c>
      <c r="I2" s="108">
        <v>2.0019999999999998</v>
      </c>
      <c r="J2" s="50" t="s">
        <v>442</v>
      </c>
      <c r="K2" s="1" t="s">
        <v>608</v>
      </c>
      <c r="L2" s="123">
        <v>150</v>
      </c>
      <c r="M2" s="123">
        <v>150</v>
      </c>
      <c r="N2" s="1">
        <v>0</v>
      </c>
      <c r="O2" s="1">
        <v>0</v>
      </c>
      <c r="P2" s="111" t="s">
        <v>429</v>
      </c>
      <c r="Q2" s="123">
        <v>150</v>
      </c>
      <c r="R2" s="111" t="s">
        <v>429</v>
      </c>
      <c r="S2" s="1">
        <v>0</v>
      </c>
      <c r="T2" s="111" t="s">
        <v>429</v>
      </c>
    </row>
    <row ht="27.6" r="3" spans="1:20">
      <c r="A3" s="40" t="str">
        <f>AutoIncrement!B2&amp;"ATEST202306050000000000002"</f>
        <v>ZTATEST202306050000000000002</v>
      </c>
      <c r="B3" s="11" t="str">
        <f>AutoIncrement!B2&amp;"SUP-PNATEST,20230605000000000000-2"</f>
        <v>ZTSUP-PNATEST,20230605000000000000-2</v>
      </c>
      <c r="C3" s="46"/>
      <c r="D3" s="46" t="str">
        <f>'TC073 AutoGen'!$A$2</f>
        <v>pZ525-2310005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608</v>
      </c>
      <c r="L3" s="1">
        <v>200</v>
      </c>
      <c r="M3" s="1">
        <v>200</v>
      </c>
      <c r="N3" s="1">
        <v>0</v>
      </c>
      <c r="O3" s="111">
        <v>200</v>
      </c>
      <c r="P3" s="111" t="s">
        <v>429</v>
      </c>
      <c r="Q3" s="1">
        <v>0</v>
      </c>
      <c r="R3" s="111" t="s">
        <v>429</v>
      </c>
      <c r="S3" s="1">
        <v>0</v>
      </c>
      <c r="T3" s="111" t="s">
        <v>429</v>
      </c>
    </row>
    <row r="4" spans="1:20">
      <c r="A4" s="1" t="str">
        <f>AutoIncrement!B2&amp;"pna1219AS1"</f>
        <v>ZTpna1219AS1</v>
      </c>
      <c r="B4" s="1" t="str">
        <f>AutoIncrement!B2&amp;"pna-1219AS-1"</f>
        <v>ZTpna-1219AS-1</v>
      </c>
      <c r="C4" s="46"/>
      <c r="D4" s="46" t="str">
        <f>'TC073 AutoGen'!$A$2</f>
        <v>pZ525-2310005</v>
      </c>
      <c r="E4" s="46" t="s">
        <v>99</v>
      </c>
      <c r="F4" s="50">
        <v>44000</v>
      </c>
      <c r="G4" s="50">
        <v>22000</v>
      </c>
      <c r="H4" s="50">
        <v>44000</v>
      </c>
      <c r="I4" s="108">
        <v>10.000999999999999</v>
      </c>
      <c r="J4" s="50" t="s">
        <v>442</v>
      </c>
      <c r="K4" s="1" t="s">
        <v>608</v>
      </c>
      <c r="L4" s="111">
        <v>44000</v>
      </c>
      <c r="M4" s="111">
        <v>44000</v>
      </c>
      <c r="N4" s="1">
        <v>0</v>
      </c>
      <c r="O4" s="1">
        <v>0</v>
      </c>
      <c r="P4" s="111" t="s">
        <v>429</v>
      </c>
      <c r="Q4" s="1">
        <v>0</v>
      </c>
      <c r="R4" s="111" t="s">
        <v>429</v>
      </c>
      <c r="S4" s="111">
        <v>44000</v>
      </c>
      <c r="T4" s="111" t="s">
        <v>429</v>
      </c>
    </row>
  </sheetData>
  <pageMargins bottom="0.75" footer="0.3" header="0.3" left="0.7" right="0.7" top="0.75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C4"/>
  <sheetViews>
    <sheetView workbookViewId="0"/>
  </sheetViews>
  <sheetFormatPr defaultRowHeight="14.4"/>
  <cols>
    <col min="1" max="1" customWidth="true" width="27.6640625" collapsed="true"/>
    <col min="2" max="2" customWidth="true" width="17.109375" collapsed="true"/>
  </cols>
  <sheetData>
    <row r="1" spans="1:2">
      <c r="A1" s="200" t="s">
        <v>833</v>
      </c>
      <c r="B1" t="s">
        <v>832</v>
      </c>
    </row>
    <row r="2" spans="1:2">
      <c r="A2" t="s">
        <v>831</v>
      </c>
    </row>
    <row r="3" spans="1:2">
      <c r="A3" t="s">
        <v>830</v>
      </c>
      <c r="B3" s="8" t="str">
        <f>AutoIncrement!$B$2&amp;"pna45050040130"</f>
        <v>ZTpna45050040130</v>
      </c>
    </row>
    <row r="4" spans="1:2">
      <c r="A4" t="s">
        <v>814</v>
      </c>
    </row>
  </sheetData>
  <pageMargins bottom="0.75" footer="0.3" header="0.3" left="0.7" right="0.7" top="0.75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O10"/>
  <sheetViews>
    <sheetView workbookViewId="0" zoomScale="90" zoomScaleNormal="90">
      <selection activeCell="F14" sqref="F14"/>
    </sheetView>
  </sheetViews>
  <sheetFormatPr defaultColWidth="8.88671875" defaultRowHeight="13.8"/>
  <cols>
    <col min="1" max="1" style="113" width="8.88671875" collapsed="true"/>
    <col min="2" max="2" customWidth="true" style="113" width="15.6640625" collapsed="true"/>
    <col min="3" max="3" customWidth="true" style="113" width="25.6640625" collapsed="true"/>
    <col min="4" max="5" customWidth="true" style="113" width="15.6640625" collapsed="true"/>
    <col min="6" max="6" customWidth="true" style="113" width="40.0" collapsed="true"/>
    <col min="7" max="7" customWidth="true" style="113" width="30.33203125" collapsed="true"/>
    <col min="8" max="8" customWidth="true" style="113" width="18.6640625" collapsed="true"/>
    <col min="9" max="15" customWidth="true" style="113" width="15.6640625" collapsed="true"/>
    <col min="16" max="16" customWidth="true" style="113" width="28.109375" collapsed="true"/>
    <col min="17" max="22" customWidth="true" style="113" width="15.6640625" collapsed="true"/>
    <col min="23" max="23" customWidth="true" style="113" width="29.0" collapsed="true"/>
    <col min="24" max="27" customWidth="true" style="113" width="15.6640625" collapsed="true"/>
    <col min="28" max="28" customWidth="true" style="113" width="33.109375" collapsed="true"/>
    <col min="29" max="29" customWidth="true" style="113" width="15.6640625" collapsed="true"/>
    <col min="30" max="32" customWidth="true" style="113" width="20.6640625" collapsed="true"/>
    <col min="33" max="34" customWidth="true" style="113" width="15.6640625" collapsed="true"/>
    <col min="35" max="35" customWidth="true" style="113" width="25.6640625" collapsed="true"/>
    <col min="36" max="36" customWidth="true" style="113" width="27.6640625" collapsed="true"/>
    <col min="37" max="43" customWidth="true" style="113" width="15.6640625" collapsed="true"/>
    <col min="44" max="16384" style="113" width="8.88671875" collapsed="true"/>
  </cols>
  <sheetData>
    <row customHeight="1" ht="13.95" r="1" spans="1:40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150</v>
      </c>
      <c r="C2" s="227" t="str">
        <f>"o-JP-YAZ-"&amp;AutoIncrement!$B$2&amp;"-"&amp;AutoIncrement!$A$2&amp;"-001"</f>
        <v>o-JP-YAZ-ZT-21-001</v>
      </c>
      <c r="D2" s="113" t="str">
        <f ca="1">TEXT(DATE(YEAR(TODAY()), MONTH(TODAY()), DAY(TODAY())), "dd MMM yyyy")</f>
        <v>23 十一月 2023</v>
      </c>
      <c r="F2" s="113" t="str">
        <f>"Bs2-"&amp;AutoIncrement!$B$2&amp;"-"&amp;AutoIncrement!$A$2&amp;"-001"</f>
        <v>Bs2-ZT-21-001</v>
      </c>
      <c r="G2" s="8" t="str">
        <f>AutoIncrement!$B$2&amp;"pna18001404835"</f>
        <v>ZTpna18001404835</v>
      </c>
      <c r="H2" s="8" t="s">
        <v>13</v>
      </c>
      <c r="I2" s="115">
        <v>49500</v>
      </c>
      <c r="J2" s="7" t="s">
        <v>515</v>
      </c>
      <c r="K2" s="8" t="s">
        <v>516</v>
      </c>
      <c r="L2" s="116" t="s">
        <v>98</v>
      </c>
      <c r="M2" s="116" t="s">
        <v>190</v>
      </c>
      <c r="N2" s="117"/>
      <c r="O2" s="117"/>
      <c r="P2" s="8" t="s">
        <v>519</v>
      </c>
      <c r="Q2" s="8" t="s">
        <v>520</v>
      </c>
      <c r="R2" s="8" t="s">
        <v>521</v>
      </c>
      <c r="S2" s="8" t="s">
        <v>522</v>
      </c>
      <c r="T2" s="118">
        <v>1000.001</v>
      </c>
      <c r="U2" s="118">
        <v>1000.001</v>
      </c>
      <c r="V2" s="118">
        <v>1000.001</v>
      </c>
      <c r="W2" s="222" t="s">
        <v>841</v>
      </c>
      <c r="X2" s="8" t="s">
        <v>517</v>
      </c>
      <c r="Y2" s="118">
        <v>100.001</v>
      </c>
      <c r="Z2" s="118">
        <v>100.001</v>
      </c>
      <c r="AA2" s="118">
        <v>100.001</v>
      </c>
      <c r="AB2" s="222" t="s">
        <v>848</v>
      </c>
      <c r="AC2" s="119"/>
      <c r="AD2" s="118"/>
      <c r="AE2" s="118"/>
      <c r="AF2" s="118"/>
      <c r="AG2" s="116" t="str">
        <f>'TC114.1-Get SOid YAZ'!$A$2</f>
        <v>s25s225-2310002</v>
      </c>
      <c r="AH2" s="116" t="s">
        <v>150</v>
      </c>
      <c r="AI2" s="8" t="str">
        <f>AutoIncrement!$B$2&amp;"pna-18001404835"</f>
        <v>ZTpna-18001404835</v>
      </c>
      <c r="AJ2" s="116" t="s">
        <v>259</v>
      </c>
      <c r="AK2" s="8"/>
      <c r="AL2" s="8"/>
      <c r="AM2" s="35">
        <v>100</v>
      </c>
      <c r="AN2" s="115">
        <v>49500</v>
      </c>
    </row>
    <row r="3" spans="1:40">
      <c r="A3" s="113">
        <v>2</v>
      </c>
      <c r="B3" s="113" t="s">
        <v>150</v>
      </c>
      <c r="C3" s="227" t="str">
        <f>"o-JP-YAZ-"&amp;AutoIncrement!$B$2&amp;"-"&amp;AutoIncrement!$A$2&amp;"-001"</f>
        <v>o-JP-YAZ-ZT-21-001</v>
      </c>
      <c r="D3" s="113" t="str">
        <f ca="1" ref="D3:D5" si="0" t="shared">TEXT(DATE(YEAR(TODAY()), MONTH(TODAY()), DAY(TODAY())), "dd MMM yyyy")</f>
        <v>23 十一月 2023</v>
      </c>
      <c r="F3" s="113" t="str">
        <f>"Bs2-"&amp;AutoIncrement!B2&amp;"-"&amp;AutoIncrement!$A$2&amp;"-001"</f>
        <v>Bs2-ZT-21-001</v>
      </c>
      <c r="G3" s="8" t="str">
        <f>AutoIncrement!$B$2&amp;"pna18007703930"</f>
        <v>ZTpna18007703930</v>
      </c>
      <c r="H3" s="8" t="s">
        <v>13</v>
      </c>
      <c r="I3" s="115">
        <v>75000</v>
      </c>
      <c r="J3" s="7" t="s">
        <v>515</v>
      </c>
      <c r="K3" s="8" t="s">
        <v>516</v>
      </c>
      <c r="L3" s="116" t="s">
        <v>98</v>
      </c>
      <c r="M3" s="116" t="s">
        <v>190</v>
      </c>
      <c r="N3" s="117"/>
      <c r="O3" s="117"/>
      <c r="P3" s="8" t="s">
        <v>519</v>
      </c>
      <c r="Q3" s="8" t="s">
        <v>520</v>
      </c>
      <c r="R3" s="8" t="s">
        <v>521</v>
      </c>
      <c r="S3" s="8" t="s">
        <v>522</v>
      </c>
      <c r="T3" s="118">
        <v>1000.001</v>
      </c>
      <c r="U3" s="118">
        <v>1000.001</v>
      </c>
      <c r="V3" s="118">
        <v>1000.001</v>
      </c>
      <c r="W3" s="222" t="s">
        <v>842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848</v>
      </c>
      <c r="AC3" s="119"/>
      <c r="AD3" s="118"/>
      <c r="AE3" s="118"/>
      <c r="AF3" s="118"/>
      <c r="AG3" s="116" t="str">
        <f>'TC114.1-Get SOid YAZ'!$A$2</f>
        <v>s25s225-2310002</v>
      </c>
      <c r="AH3" s="116" t="s">
        <v>150</v>
      </c>
      <c r="AI3" s="8" t="str">
        <f>AutoIncrement!$B$2&amp;"pna-18007703930"</f>
        <v>ZTpna-18007703930</v>
      </c>
      <c r="AJ3" s="116" t="s">
        <v>261</v>
      </c>
      <c r="AK3" s="8"/>
      <c r="AL3" s="8"/>
      <c r="AM3" s="35">
        <v>1500</v>
      </c>
      <c r="AN3" s="115">
        <v>75000</v>
      </c>
    </row>
    <row r="4" spans="1:40">
      <c r="A4" s="113">
        <v>3</v>
      </c>
      <c r="B4" s="113" t="s">
        <v>150</v>
      </c>
      <c r="C4" s="227" t="str">
        <f>"o-JP-YAZ-"&amp;AutoIncrement!$B$2&amp;"-"&amp;AutoIncrement!$A$2&amp;"-001"</f>
        <v>o-JP-YAZ-ZT-21-001</v>
      </c>
      <c r="D4" s="113" t="str">
        <f ca="1" si="0" t="shared"/>
        <v>23 十一月 2023</v>
      </c>
      <c r="F4" s="113" t="str">
        <f>"Bs2-"&amp;AutoIncrement!$B$2&amp;"-"&amp;AutoIncrement!$A$2&amp;"-001"</f>
        <v>Bs2-ZT-21-001</v>
      </c>
      <c r="G4" s="8" t="str">
        <f>AutoIncrement!$B$2&amp;"pna45050040130"</f>
        <v>ZTpna45050040130</v>
      </c>
      <c r="H4" s="8" t="s">
        <v>13</v>
      </c>
      <c r="I4" s="115">
        <v>102000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/>
      <c r="O4" s="117"/>
      <c r="P4" s="8" t="s">
        <v>519</v>
      </c>
      <c r="Q4" s="8" t="s">
        <v>520</v>
      </c>
      <c r="R4" s="8" t="s">
        <v>521</v>
      </c>
      <c r="S4" s="8" t="s">
        <v>522</v>
      </c>
      <c r="T4" s="118">
        <v>1000.001</v>
      </c>
      <c r="U4" s="118">
        <v>1000.001</v>
      </c>
      <c r="V4" s="118">
        <v>1000.001</v>
      </c>
      <c r="W4" s="222" t="s">
        <v>843</v>
      </c>
      <c r="X4" s="8" t="s">
        <v>517</v>
      </c>
      <c r="Y4" s="118">
        <v>100.001</v>
      </c>
      <c r="Z4" s="118">
        <v>100.001</v>
      </c>
      <c r="AA4" s="118">
        <v>100.001</v>
      </c>
      <c r="AB4" s="222" t="s">
        <v>848</v>
      </c>
      <c r="AC4" s="119"/>
      <c r="AD4" s="118"/>
      <c r="AE4" s="118"/>
      <c r="AF4" s="118"/>
      <c r="AG4" s="116" t="str">
        <f>'TC114.1-Get SOid YAZ'!$A$2</f>
        <v>s25s225-2310002</v>
      </c>
      <c r="AH4" s="116" t="s">
        <v>150</v>
      </c>
      <c r="AI4" s="8" t="str">
        <f>AutoIncrement!$B$2&amp;"pna-45050040130"</f>
        <v>ZTpna-45050040130</v>
      </c>
      <c r="AJ4" s="116" t="s">
        <v>262</v>
      </c>
      <c r="AK4" s="8"/>
      <c r="AL4" s="8"/>
      <c r="AM4" s="35">
        <v>6000</v>
      </c>
      <c r="AN4" s="115">
        <v>102000</v>
      </c>
    </row>
    <row r="5" spans="1:40">
      <c r="A5" s="113">
        <v>4</v>
      </c>
      <c r="B5" s="113" t="s">
        <v>150</v>
      </c>
      <c r="C5" s="227" t="str">
        <f>"o-JP-YAZ-"&amp;AutoIncrement!$B$2&amp;"-"&amp;AutoIncrement!$A$2&amp;"-001"</f>
        <v>o-JP-YAZ-ZT-21-001</v>
      </c>
      <c r="D5" s="113" t="str">
        <f ca="1" si="0" t="shared"/>
        <v>23 十一月 2023</v>
      </c>
      <c r="F5" s="113" t="str">
        <f>"Bs2-"&amp;AutoIncrement!$B$2&amp;"-"&amp;AutoIncrement!$A$2&amp;"-001"</f>
        <v>Bs2-ZT-21-001</v>
      </c>
      <c r="G5" s="8" t="str">
        <f>AutoIncrement!$B$2&amp;"pnaNSL2BLACK"</f>
        <v>ZTpnaNSL2BLACK</v>
      </c>
      <c r="H5" s="8" t="s">
        <v>6</v>
      </c>
      <c r="I5" s="115">
        <v>140</v>
      </c>
      <c r="J5" s="7" t="s">
        <v>515</v>
      </c>
      <c r="K5" s="8" t="s">
        <v>516</v>
      </c>
      <c r="L5" s="116" t="s">
        <v>98</v>
      </c>
      <c r="M5" s="116" t="s">
        <v>190</v>
      </c>
      <c r="N5" s="117"/>
      <c r="O5" s="117"/>
      <c r="P5" s="8" t="s">
        <v>519</v>
      </c>
      <c r="Q5" s="8" t="s">
        <v>520</v>
      </c>
      <c r="R5" s="8" t="s">
        <v>521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844</v>
      </c>
      <c r="X5" s="8" t="s">
        <v>517</v>
      </c>
      <c r="Y5" s="118">
        <v>100.001</v>
      </c>
      <c r="Z5" s="118">
        <v>100.001</v>
      </c>
      <c r="AA5" s="118">
        <v>100.001</v>
      </c>
      <c r="AB5" s="222" t="s">
        <v>848</v>
      </c>
      <c r="AC5" s="119"/>
      <c r="AD5" s="118"/>
      <c r="AE5" s="118"/>
      <c r="AF5" s="118"/>
      <c r="AG5" s="116" t="str">
        <f>'TC114.1-Get SOid YAZ'!$A$2</f>
        <v>s25s225-2310002</v>
      </c>
      <c r="AH5" s="116" t="s">
        <v>150</v>
      </c>
      <c r="AI5" s="8" t="str">
        <f>AutoIncrement!$B$2&amp;"pna-NSL-2BLACK"</f>
        <v>ZTpna-NSL-2BLACK</v>
      </c>
      <c r="AJ5" s="116" t="s">
        <v>263</v>
      </c>
      <c r="AK5" s="8"/>
      <c r="AL5" s="8"/>
      <c r="AM5" s="35">
        <v>20</v>
      </c>
      <c r="AN5" s="115">
        <v>140</v>
      </c>
    </row>
    <row r="6" spans="1:40">
      <c r="A6" s="113">
        <v>5</v>
      </c>
      <c r="B6" s="113" t="s">
        <v>150</v>
      </c>
      <c r="C6" s="114" t="str">
        <f>"o-JP-YAZ-"&amp;AutoIncrement!$B$2&amp;"-"&amp;AutoIncrement!$A$2&amp;"-002"</f>
        <v>o-JP-YAZ-ZT-21-002</v>
      </c>
      <c r="D6" s="113" t="str">
        <f ca="1" ref="D6:D10" si="1" t="shared">TEXT(DATE(YEAR(TODAY()), MONTH(TODAY()), DAY(TODAY())), "dd MMM yyyy")</f>
        <v>23 十一月 2023</v>
      </c>
      <c r="G6" s="8" t="str">
        <f>AutoIncrement!$B$2&amp;"pna18001404835"</f>
        <v>ZTpna18001404835</v>
      </c>
      <c r="H6" s="8" t="s">
        <v>13</v>
      </c>
      <c r="I6" s="115">
        <v>49500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/>
      <c r="O6" s="117"/>
      <c r="P6" s="223" t="str">
        <f>"NYKU8417026"&amp;AutoIncrement!$D$2</f>
        <v>NYKU8417026ZTs2</v>
      </c>
      <c r="Q6" s="8"/>
      <c r="R6" s="8"/>
      <c r="S6" s="8"/>
      <c r="T6" s="118"/>
      <c r="U6" s="118"/>
      <c r="V6" s="118"/>
      <c r="W6" s="222" t="s">
        <v>845</v>
      </c>
      <c r="X6" s="8" t="s">
        <v>541</v>
      </c>
      <c r="Y6" s="118">
        <v>100.001</v>
      </c>
      <c r="Z6" s="118">
        <v>100.001</v>
      </c>
      <c r="AA6" s="118">
        <v>100.001</v>
      </c>
      <c r="AB6" s="8"/>
      <c r="AC6" s="119"/>
      <c r="AD6" s="118"/>
      <c r="AE6" s="118"/>
      <c r="AF6" s="118"/>
      <c r="AG6" s="116" t="str">
        <f>'TC114.1-Get SOid YAZ'!$A$3</f>
        <v>s25s225-2310001</v>
      </c>
      <c r="AH6" s="116" t="s">
        <v>150</v>
      </c>
      <c r="AI6" s="8" t="str">
        <f>AutoIncrement!$B$2&amp;"pna-18001404835"</f>
        <v>ZTpna-18001404835</v>
      </c>
      <c r="AJ6" s="116" t="s">
        <v>259</v>
      </c>
      <c r="AK6" s="8"/>
      <c r="AL6" s="8"/>
      <c r="AM6" s="35">
        <v>100</v>
      </c>
      <c r="AN6" s="115">
        <v>49500</v>
      </c>
    </row>
    <row r="7" spans="1:40">
      <c r="A7" s="113">
        <v>6</v>
      </c>
      <c r="B7" s="113" t="s">
        <v>150</v>
      </c>
      <c r="C7" s="114" t="str">
        <f>"o-JP-YAZ-"&amp;AutoIncrement!$B$2&amp;"-"&amp;AutoIncrement!$A$2&amp;"-002"</f>
        <v>o-JP-YAZ-ZT-21-002</v>
      </c>
      <c r="D7" s="113" t="str">
        <f ca="1" si="1" t="shared"/>
        <v>23 十一月 2023</v>
      </c>
      <c r="G7" s="8" t="str">
        <f>AutoIncrement!$B$2&amp;"pna45050040130"</f>
        <v>ZTpna45050040130</v>
      </c>
      <c r="H7" s="8" t="s">
        <v>13</v>
      </c>
      <c r="I7" s="115">
        <v>102000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"NYKU8417026"&amp;AutoIncrement!$D$2</f>
        <v>NYKU8417026ZTs2</v>
      </c>
      <c r="Q7" s="8"/>
      <c r="R7" s="8"/>
      <c r="S7" s="8"/>
      <c r="T7" s="118"/>
      <c r="U7" s="118"/>
      <c r="V7" s="118"/>
      <c r="W7" s="222" t="s">
        <v>846</v>
      </c>
      <c r="X7" s="8" t="s">
        <v>541</v>
      </c>
      <c r="Y7" s="118">
        <v>100.001</v>
      </c>
      <c r="Z7" s="118">
        <v>100.001</v>
      </c>
      <c r="AA7" s="118">
        <v>100.001</v>
      </c>
      <c r="AB7" s="8"/>
      <c r="AC7" s="119"/>
      <c r="AD7" s="118"/>
      <c r="AE7" s="118"/>
      <c r="AF7" s="118"/>
      <c r="AG7" s="116" t="str">
        <f>'TC114.1-Get SOid YAZ'!$A$3</f>
        <v>s25s225-2310001</v>
      </c>
      <c r="AH7" s="116" t="s">
        <v>150</v>
      </c>
      <c r="AI7" s="8" t="str">
        <f>AutoIncrement!$B$2&amp;"pna-45050040130"</f>
        <v>ZTpna-45050040130</v>
      </c>
      <c r="AJ7" s="116" t="s">
        <v>262</v>
      </c>
      <c r="AK7" s="8"/>
      <c r="AL7" s="8"/>
      <c r="AM7" s="35">
        <v>6000</v>
      </c>
      <c r="AN7" s="115">
        <v>102000</v>
      </c>
    </row>
    <row r="8" spans="1:40">
      <c r="A8" s="113">
        <v>7</v>
      </c>
      <c r="B8" s="113" t="s">
        <v>150</v>
      </c>
      <c r="C8" s="114" t="str">
        <f>"o-JP-YAZ-"&amp;AutoIncrement!$B$2&amp;"-"&amp;AutoIncrement!$A$2&amp;"-003"</f>
        <v>o-JP-YAZ-ZT-21-003</v>
      </c>
      <c r="D8" s="113" t="str">
        <f ca="1" si="1" t="shared"/>
        <v>23 十一月 2023</v>
      </c>
      <c r="G8" s="8" t="str">
        <f>AutoIncrement!$B$2&amp;"pna18007703930"</f>
        <v>ZTpna18007703930</v>
      </c>
      <c r="H8" s="8" t="s">
        <v>13</v>
      </c>
      <c r="I8" s="238">
        <v>1500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"JP-YAZ-C-230608001-"&amp;AutoIncrement!$D$2</f>
        <v>JP-YAZ-C-230608001-ZTs2</v>
      </c>
      <c r="Q8" s="8"/>
      <c r="R8" s="8"/>
      <c r="S8" s="8"/>
      <c r="T8" s="118"/>
      <c r="U8" s="118"/>
      <c r="V8" s="118"/>
      <c r="W8" s="222" t="s">
        <v>847</v>
      </c>
      <c r="X8" s="8" t="s">
        <v>541</v>
      </c>
      <c r="Y8" s="118">
        <v>100.001</v>
      </c>
      <c r="Z8" s="118">
        <v>100.001</v>
      </c>
      <c r="AA8" s="118">
        <v>100.001</v>
      </c>
      <c r="AB8" s="8"/>
      <c r="AC8" s="119"/>
      <c r="AD8" s="118"/>
      <c r="AE8" s="118"/>
      <c r="AF8" s="118"/>
      <c r="AG8" s="116" t="str">
        <f>'TC114.1-Get SOid YAZ'!$A$4</f>
        <v>s25s225-2310003</v>
      </c>
      <c r="AH8" s="116" t="s">
        <v>150</v>
      </c>
      <c r="AI8" s="8" t="str">
        <f>AutoIncrement!$B$2&amp;"pna-18007703930"</f>
        <v>ZTpna-18007703930</v>
      </c>
      <c r="AJ8" s="116" t="s">
        <v>261</v>
      </c>
      <c r="AK8" s="8"/>
      <c r="AL8" s="8"/>
      <c r="AM8" s="35">
        <v>1500</v>
      </c>
      <c r="AN8" s="238">
        <v>1500</v>
      </c>
    </row>
    <row r="9" spans="1:40">
      <c r="A9" s="113">
        <v>8</v>
      </c>
      <c r="B9" s="113" t="s">
        <v>150</v>
      </c>
      <c r="C9" s="114" t="str">
        <f>"o-JP-YAZ-"&amp;AutoIncrement!$B$2&amp;"-"&amp;AutoIncrement!$A$2&amp;"-003"</f>
        <v>o-JP-YAZ-ZT-21-003</v>
      </c>
      <c r="D9" s="113" t="str">
        <f ca="1" si="1" t="shared"/>
        <v>23 十一月 2023</v>
      </c>
      <c r="G9" s="8" t="str">
        <f>AutoIncrement!$B$2&amp;"pna45050040130"</f>
        <v>ZTpna45050040130</v>
      </c>
      <c r="H9" s="8" t="s">
        <v>13</v>
      </c>
      <c r="I9" s="115">
        <v>6000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/>
      <c r="O9" s="117"/>
      <c r="P9" s="223" t="str">
        <f>"JP-YAZ-C-230608001-"&amp;AutoIncrement!$D$2</f>
        <v>JP-YAZ-C-230608001-ZTs2</v>
      </c>
      <c r="Q9" s="8"/>
      <c r="R9" s="8"/>
      <c r="S9" s="8"/>
      <c r="T9" s="118"/>
      <c r="U9" s="118"/>
      <c r="V9" s="118"/>
      <c r="W9" s="222" t="s">
        <v>847</v>
      </c>
      <c r="X9" s="8" t="s">
        <v>541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116" t="str">
        <f>'TC114.1-Get SOid YAZ'!$A$4</f>
        <v>s25s225-2310003</v>
      </c>
      <c r="AH9" s="116" t="s">
        <v>150</v>
      </c>
      <c r="AI9" s="8" t="str">
        <f>AutoIncrement!$B$2&amp;"pna-45050040130"</f>
        <v>ZTpna-45050040130</v>
      </c>
      <c r="AJ9" s="116" t="s">
        <v>262</v>
      </c>
      <c r="AK9" s="8"/>
      <c r="AL9" s="8"/>
      <c r="AM9" s="35">
        <v>6000</v>
      </c>
      <c r="AN9" s="115">
        <v>6000</v>
      </c>
    </row>
    <row r="10" spans="1:40">
      <c r="A10" s="113">
        <v>9</v>
      </c>
      <c r="B10" s="113" t="s">
        <v>150</v>
      </c>
      <c r="C10" s="114" t="str">
        <f>"o-JP-YAZ-"&amp;AutoIncrement!$B$2&amp;"-"&amp;AutoIncrement!$A$2&amp;"-003"</f>
        <v>o-JP-YAZ-ZT-21-003</v>
      </c>
      <c r="D10" s="113" t="str">
        <f ca="1" si="1" t="shared"/>
        <v>23 十一月 2023</v>
      </c>
      <c r="G10" s="8" t="str">
        <f>AutoIncrement!$B$2&amp;"pnaNSL2BLACK"</f>
        <v>ZTpnaNSL2BLACK</v>
      </c>
      <c r="H10" s="8" t="s">
        <v>6</v>
      </c>
      <c r="I10" s="115">
        <v>200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/>
      <c r="O10" s="117"/>
      <c r="P10" s="223" t="str">
        <f>"EGSU9073529"&amp;AutoIncrement!$D$2</f>
        <v>EGSU9073529ZTs2</v>
      </c>
      <c r="Q10" s="8"/>
      <c r="R10" s="8"/>
      <c r="S10" s="8"/>
      <c r="T10" s="118"/>
      <c r="U10" s="118"/>
      <c r="V10" s="118"/>
      <c r="W10" s="222" t="s">
        <v>847</v>
      </c>
      <c r="X10" s="8" t="s">
        <v>541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'TC114.1-Get SOid YAZ'!$A$4</f>
        <v>s25s225-2310003</v>
      </c>
      <c r="AH10" s="116" t="s">
        <v>150</v>
      </c>
      <c r="AI10" s="8" t="str">
        <f>AutoIncrement!$B$2&amp;"pna-NSL-2BLACK"</f>
        <v>ZTpna-NSL-2BLACK</v>
      </c>
      <c r="AJ10" s="116" t="s">
        <v>263</v>
      </c>
      <c r="AK10" s="8"/>
      <c r="AL10" s="8"/>
      <c r="AM10" s="35">
        <v>20</v>
      </c>
      <c r="AN10" s="115">
        <v>200</v>
      </c>
    </row>
  </sheetData>
  <dataValidations count="2">
    <dataValidation allowBlank="1" sqref="J2:J10" type="list" xr:uid="{8C6598E8-AA46-4766-8C78-8325723E0941}">
      <formula1>"Sea,Air,Truck,LCL,Hand Carry,Others"</formula1>
    </dataValidation>
    <dataValidation allowBlank="1" sqref="K2:K10" type="list" xr:uid="{726610D5-EBDD-455D-BB13-EDC74C7383D0}">
      <formula1>"Outbound,Transfer"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G8"/>
  <sheetViews>
    <sheetView topLeftCell="D1" workbookViewId="0" zoomScale="80" zoomScaleNormal="80">
      <selection activeCell="M1" sqref="M1"/>
    </sheetView>
  </sheetViews>
  <sheetFormatPr defaultRowHeight="14.4"/>
  <cols>
    <col min="1" max="5" customWidth="true" width="30.77734375" collapsed="true"/>
    <col min="6" max="25" customWidth="true" width="15.77734375" collapsed="true"/>
    <col min="26" max="26" customWidth="true" style="26" width="15.77734375" collapsed="true"/>
    <col min="27" max="32" customWidth="true" width="15.77734375" collapsed="true"/>
  </cols>
  <sheetData>
    <row customHeight="1" ht="21.6" r="1" spans="1:32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ZTCUS-PNATEST,20230605000000000000-1</v>
      </c>
      <c r="B2" t="str">
        <f>'TC007-Contract Parts Info'!D2</f>
        <v>ZTATEST202306050000000000001</v>
      </c>
      <c r="C2" t="str">
        <f>'TC007-Contract Parts Info'!C2</f>
        <v>ZTBU-PNATEST,20230605000000000000-1</v>
      </c>
      <c r="D2" t="str">
        <f>'TC007-Contract Parts Info'!B2</f>
        <v>ZTCUS-PNATEST,20230605000000000000-1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 t="n">
        <f>'TC007-Contract Parts Info'!I2</f>
        <v>0.25</v>
      </c>
      <c r="J2" s="20" t="n">
        <f>'TC007-Contract Parts Info'!J2</f>
        <v>0.2</v>
      </c>
      <c r="K2" s="20" t="n">
        <f>'TC007-Contract Parts Info'!K2</f>
        <v>0.2</v>
      </c>
      <c r="L2" s="22" t="n">
        <f>'TC007-Contract Parts Info'!U2</f>
        <v>0.02</v>
      </c>
      <c r="M2" s="28" t="str">
        <f ca="1">TEXT(DATE(YEAR(TODAY()), MONTH(TODAY()), DAY(TODAY())), "mmm d, yyyy")</f>
        <v>十一月 23, 2023</v>
      </c>
      <c r="U2" s="16" t="n">
        <f>'TC007-Contract Parts Info'!O2</f>
        <v>20.0</v>
      </c>
      <c r="V2" s="16" t="n">
        <f>'TC007-Contract Parts Info'!P2</f>
        <v>10.0</v>
      </c>
      <c r="W2" s="8" t="str">
        <f>'TC007-Contract Parts Info'!L2</f>
        <v>KG</v>
      </c>
      <c r="X2" s="8" t="str">
        <f>'TC007-Contract Parts Info'!M2</f>
        <v>KG</v>
      </c>
      <c r="Y2" s="29" t="n">
        <f>'TC007-Contract Parts Info'!N2</f>
        <v>1.0</v>
      </c>
      <c r="Z2" s="22" t="n">
        <f>'TC007-Contract Parts Info'!Q2</f>
        <v>1.11</v>
      </c>
      <c r="AA2">
        <v>0</v>
      </c>
      <c r="AB2">
        <v>0</v>
      </c>
      <c r="AC2">
        <v>0</v>
      </c>
      <c r="AD2" s="22" t="n">
        <f>'TC007-Contract Parts Info'!R2</f>
        <v>1.11</v>
      </c>
      <c r="AE2" s="22" t="n">
        <f>'TC007-Contract Parts Info'!S2</f>
        <v>1.11</v>
      </c>
    </row>
    <row r="3" spans="1:32">
      <c r="A3" t="str">
        <f>'TC007-Contract Parts Info'!B3</f>
        <v>ZTCUS-PNATEST,20230605000000000000-2</v>
      </c>
      <c r="B3" t="str">
        <f>'TC007-Contract Parts Info'!D3</f>
        <v>ZTATEST202306050000000000002</v>
      </c>
      <c r="C3" t="str">
        <f>'TC007-Contract Parts Info'!C3</f>
        <v>ZTBU-PNATEST,20230605000000000000-2</v>
      </c>
      <c r="D3" t="str">
        <f>'TC007-Contract Parts Info'!B3</f>
        <v>ZTCUS-PNATEST,20230605000000000000-2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 t="n">
        <f>'TC007-Contract Parts Info'!I3</f>
        <v>0.25</v>
      </c>
      <c r="J3" s="20" t="n">
        <f>'TC007-Contract Parts Info'!J3</f>
        <v>0.2</v>
      </c>
      <c r="K3" s="20" t="n">
        <f>'TC007-Contract Parts Info'!K3</f>
        <v>0.2</v>
      </c>
      <c r="L3" s="22" t="n">
        <f>'TC007-Contract Parts Info'!U3</f>
        <v>12.85</v>
      </c>
      <c r="M3" s="28" t="str">
        <f ca="1" ref="M3:M8" si="0" t="shared">TEXT(DATE(YEAR(TODAY()), MONTH(TODAY()), DAY(TODAY())), "mmm d, yyyy")</f>
        <v>十一月 23, 2023</v>
      </c>
      <c r="U3" s="16" t="n">
        <f>'TC007-Contract Parts Info'!O3</f>
        <v>20.0</v>
      </c>
      <c r="V3" s="16" t="n">
        <f>'TC007-Contract Parts Info'!P3</f>
        <v>10.0</v>
      </c>
      <c r="W3" s="8" t="str">
        <f>'TC007-Contract Parts Info'!L3</f>
        <v>KG</v>
      </c>
      <c r="X3" s="8" t="str">
        <f>'TC007-Contract Parts Info'!M3</f>
        <v>KG</v>
      </c>
      <c r="Y3" s="29" t="n">
        <f>'TC007-Contract Parts Info'!N3</f>
        <v>1.0</v>
      </c>
      <c r="Z3" s="22" t="n">
        <f>'TC007-Contract Parts Info'!Q3</f>
        <v>1.11</v>
      </c>
      <c r="AA3">
        <v>0</v>
      </c>
      <c r="AB3">
        <v>0</v>
      </c>
      <c r="AC3">
        <v>0</v>
      </c>
      <c r="AD3" s="22" t="n">
        <f>'TC007-Contract Parts Info'!R3</f>
        <v>1.11</v>
      </c>
      <c r="AE3" s="22" t="n">
        <f>'TC007-Contract Parts Info'!S3</f>
        <v>1.11</v>
      </c>
    </row>
    <row r="4" spans="1:32">
      <c r="A4" t="str">
        <f>'TC007-Contract Parts Info'!B4</f>
        <v>ZTpna-1219AS-1</v>
      </c>
      <c r="B4" t="str">
        <f>'TC007-Contract Parts Info'!D4</f>
        <v>ZTpna1219AS1</v>
      </c>
      <c r="C4" t="str">
        <f>'TC007-Contract Parts Info'!C4</f>
        <v>ZTpna-1219AS-1</v>
      </c>
      <c r="D4" t="str">
        <f>'TC007-Contract Parts Info'!B4</f>
        <v>ZTpna-1219AS-1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 t="n">
        <f>'TC007-Contract Parts Info'!I4</f>
        <v>0.25</v>
      </c>
      <c r="J4" s="20" t="n">
        <f>'TC007-Contract Parts Info'!J4</f>
        <v>0.2</v>
      </c>
      <c r="K4" s="20" t="n">
        <f>'TC007-Contract Parts Info'!K4</f>
        <v>0.2</v>
      </c>
      <c r="L4" s="22" t="n">
        <f>'TC007-Contract Parts Info'!U4</f>
        <v>0.23</v>
      </c>
      <c r="M4" s="28" t="str">
        <f ca="1" si="0" t="shared"/>
        <v>十一月 23, 2023</v>
      </c>
      <c r="U4" s="16" t="n">
        <f>'TC007-Contract Parts Info'!O4</f>
        <v>22000.0</v>
      </c>
      <c r="V4" s="16" t="n">
        <f>'TC007-Contract Parts Info'!P4</f>
        <v>22000.0</v>
      </c>
      <c r="W4" s="8" t="str">
        <f>'TC007-Contract Parts Info'!L4</f>
        <v>PC</v>
      </c>
      <c r="X4" s="8" t="str">
        <f>'TC007-Contract Parts Info'!M4</f>
        <v>PC</v>
      </c>
      <c r="Y4" s="29" t="n">
        <f>'TC007-Contract Parts Info'!N4</f>
        <v>1.0</v>
      </c>
      <c r="Z4" s="16" t="n">
        <f>'TC007-Contract Parts Info'!Q4</f>
        <v>1.0</v>
      </c>
      <c r="AA4">
        <v>0</v>
      </c>
      <c r="AB4">
        <v>0</v>
      </c>
      <c r="AC4">
        <v>0</v>
      </c>
      <c r="AD4" s="16" t="n">
        <f>'TC007-Contract Parts Info'!R4</f>
        <v>1.0</v>
      </c>
      <c r="AE4" s="16" t="n">
        <f>'TC007-Contract Parts Info'!S4</f>
        <v>1.0</v>
      </c>
    </row>
    <row r="5" spans="1:32">
      <c r="A5" t="str">
        <f>'TC007-Contract Parts Info'!B5</f>
        <v>ZTpna-18001404835</v>
      </c>
      <c r="B5" t="str">
        <f>'TC007-Contract Parts Info'!D5</f>
        <v>ZTpna18001404835</v>
      </c>
      <c r="C5" t="str">
        <f>'TC007-Contract Parts Info'!C5</f>
        <v>ZTpna-18001404835</v>
      </c>
      <c r="D5" t="str">
        <f>'TC007-Contract Parts Info'!B5</f>
        <v>ZTpna-18001404835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 t="n">
        <f>'TC007-Contract Parts Info'!I5</f>
        <v>0.25</v>
      </c>
      <c r="J5" s="20" t="n">
        <f>'TC007-Contract Parts Info'!J5</f>
        <v>0.2</v>
      </c>
      <c r="K5" s="20" t="n">
        <f>'TC007-Contract Parts Info'!K5</f>
        <v>0.2</v>
      </c>
      <c r="L5" s="22" t="n">
        <f>'TC007-Contract Parts Info'!U5</f>
        <v>0.23</v>
      </c>
      <c r="M5" s="28" t="str">
        <f ca="1" si="0" t="shared"/>
        <v>十一月 23, 2023</v>
      </c>
      <c r="U5" s="16" t="n">
        <f>'TC007-Contract Parts Info'!O5</f>
        <v>100.0</v>
      </c>
      <c r="V5" s="16" t="n">
        <f>'TC007-Contract Parts Info'!P5</f>
        <v>100.0</v>
      </c>
      <c r="W5" s="8" t="str">
        <f>'TC007-Contract Parts Info'!L5</f>
        <v>MTR</v>
      </c>
      <c r="X5" s="8" t="str">
        <f>'TC007-Contract Parts Info'!M5</f>
        <v>MTR</v>
      </c>
      <c r="Y5" s="29" t="n">
        <f>'TC007-Contract Parts Info'!N5</f>
        <v>1.0</v>
      </c>
      <c r="Z5" s="16" t="n">
        <f>'TC007-Contract Parts Info'!Q5</f>
        <v>1.0</v>
      </c>
      <c r="AA5">
        <v>0</v>
      </c>
      <c r="AB5">
        <v>0</v>
      </c>
      <c r="AC5">
        <v>0</v>
      </c>
      <c r="AD5" s="16" t="n">
        <f>'TC007-Contract Parts Info'!R5</f>
        <v>1.0</v>
      </c>
      <c r="AE5" s="16" t="n">
        <f>'TC007-Contract Parts Info'!S5</f>
        <v>1.0</v>
      </c>
    </row>
    <row r="6" spans="1:32">
      <c r="A6" t="str">
        <f>'TC007-Contract Parts Info'!B6</f>
        <v>ZTpna-18007703930</v>
      </c>
      <c r="B6" t="str">
        <f>'TC007-Contract Parts Info'!D6</f>
        <v>ZTpna18007703930</v>
      </c>
      <c r="C6" t="str">
        <f>'TC007-Contract Parts Info'!C6</f>
        <v>ZTpna-18007703930</v>
      </c>
      <c r="D6" t="str">
        <f>'TC007-Contract Parts Info'!B6</f>
        <v>ZTpna-18007703930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 t="n">
        <f>'TC007-Contract Parts Info'!I6</f>
        <v>0.25</v>
      </c>
      <c r="J6" s="20" t="n">
        <f>'TC007-Contract Parts Info'!J6</f>
        <v>0.2</v>
      </c>
      <c r="K6" s="20" t="n">
        <f>'TC007-Contract Parts Info'!K6</f>
        <v>0.2</v>
      </c>
      <c r="L6" s="22" t="n">
        <f>'TC007-Contract Parts Info'!U6</f>
        <v>0.23</v>
      </c>
      <c r="M6" s="28" t="str">
        <f ca="1" si="0" t="shared"/>
        <v>十一月 23, 2023</v>
      </c>
      <c r="U6" s="16" t="n">
        <f>'TC007-Contract Parts Info'!O6</f>
        <v>1500.0</v>
      </c>
      <c r="V6" s="16" t="n">
        <f>'TC007-Contract Parts Info'!P6</f>
        <v>1500.0</v>
      </c>
      <c r="W6" s="8" t="str">
        <f>'TC007-Contract Parts Info'!L6</f>
        <v>MTR</v>
      </c>
      <c r="X6" s="8" t="str">
        <f>'TC007-Contract Parts Info'!M6</f>
        <v>MTR</v>
      </c>
      <c r="Y6" s="29" t="n">
        <f>'TC007-Contract Parts Info'!N6</f>
        <v>1.0</v>
      </c>
      <c r="Z6" s="16" t="n">
        <f>'TC007-Contract Parts Info'!Q6</f>
        <v>1.0</v>
      </c>
      <c r="AA6">
        <v>0</v>
      </c>
      <c r="AB6">
        <v>0</v>
      </c>
      <c r="AC6">
        <v>0</v>
      </c>
      <c r="AD6" s="16" t="n">
        <f>'TC007-Contract Parts Info'!R6</f>
        <v>1.0</v>
      </c>
      <c r="AE6" s="16" t="n">
        <f>'TC007-Contract Parts Info'!S6</f>
        <v>1.0</v>
      </c>
    </row>
    <row r="7" spans="1:32">
      <c r="A7" t="str">
        <f>'TC007-Contract Parts Info'!B7</f>
        <v>ZTpna-45050040130</v>
      </c>
      <c r="B7" t="str">
        <f>'TC007-Contract Parts Info'!D7</f>
        <v>ZTpna45050040130</v>
      </c>
      <c r="C7" t="str">
        <f>'TC007-Contract Parts Info'!C7</f>
        <v>ZTpna-45050040130</v>
      </c>
      <c r="D7" t="str">
        <f>'TC007-Contract Parts Info'!B7</f>
        <v>ZTpna-45050040130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 t="n">
        <f>'TC007-Contract Parts Info'!I7</f>
        <v>0.25</v>
      </c>
      <c r="J7" s="20" t="n">
        <f>'TC007-Contract Parts Info'!J7</f>
        <v>0.2</v>
      </c>
      <c r="K7" s="20" t="n">
        <f>'TC007-Contract Parts Info'!K7</f>
        <v>0.2</v>
      </c>
      <c r="L7" s="22" t="n">
        <f>'TC007-Contract Parts Info'!U7</f>
        <v>0.23</v>
      </c>
      <c r="M7" s="28" t="str">
        <f ca="1" si="0" t="shared"/>
        <v>十一月 23, 2023</v>
      </c>
      <c r="U7" s="16" t="n">
        <f>'TC007-Contract Parts Info'!O7</f>
        <v>6000.0</v>
      </c>
      <c r="V7" s="16" t="n">
        <f>'TC007-Contract Parts Info'!P7</f>
        <v>6000.0</v>
      </c>
      <c r="W7" s="8" t="str">
        <f>'TC007-Contract Parts Info'!L7</f>
        <v>MTR</v>
      </c>
      <c r="X7" s="8" t="str">
        <f>'TC007-Contract Parts Info'!M7</f>
        <v>MTR</v>
      </c>
      <c r="Y7" s="29" t="n">
        <f>'TC007-Contract Parts Info'!N7</f>
        <v>1.0</v>
      </c>
      <c r="Z7" s="16" t="n">
        <f>'TC007-Contract Parts Info'!Q7</f>
        <v>1.0</v>
      </c>
      <c r="AA7">
        <v>0</v>
      </c>
      <c r="AB7">
        <v>0</v>
      </c>
      <c r="AC7">
        <v>0</v>
      </c>
      <c r="AD7" s="16" t="n">
        <f>'TC007-Contract Parts Info'!R7</f>
        <v>1.0</v>
      </c>
      <c r="AE7" s="16" t="n">
        <f>'TC007-Contract Parts Info'!S7</f>
        <v>1.0</v>
      </c>
    </row>
    <row r="8" spans="1:32">
      <c r="A8" t="str">
        <f>'TC007-Contract Parts Info'!B8</f>
        <v>ZTpna-NSL-2BLACK</v>
      </c>
      <c r="B8" t="str">
        <f>'TC007-Contract Parts Info'!D8</f>
        <v>ZTpnaNSL2BLACK</v>
      </c>
      <c r="C8" t="str">
        <f>'TC007-Contract Parts Info'!C8</f>
        <v>ZTpna-NSL-2BLACK</v>
      </c>
      <c r="D8" t="str">
        <f>'TC007-Contract Parts Info'!B8</f>
        <v>ZTpna-NSL-2BLACK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 t="n">
        <f>'TC007-Contract Parts Info'!I8</f>
        <v>0.25</v>
      </c>
      <c r="J8" s="20" t="n">
        <f>'TC007-Contract Parts Info'!J8</f>
        <v>0.2</v>
      </c>
      <c r="K8" s="20" t="n">
        <f>'TC007-Contract Parts Info'!K8</f>
        <v>0.2</v>
      </c>
      <c r="L8" s="16" t="n">
        <f>'TC007-Contract Parts Info'!U8</f>
        <v>10.0</v>
      </c>
      <c r="M8" s="28" t="str">
        <f ca="1" si="0" t="shared"/>
        <v>十一月 23, 2023</v>
      </c>
      <c r="U8" s="16" t="n">
        <f>'TC007-Contract Parts Info'!O8</f>
        <v>20.0</v>
      </c>
      <c r="V8" s="16" t="n">
        <f>'TC007-Contract Parts Info'!P8</f>
        <v>20.0</v>
      </c>
      <c r="W8" s="8" t="str">
        <f>'TC007-Contract Parts Info'!L8</f>
        <v>ROL</v>
      </c>
      <c r="X8" s="8" t="str">
        <f>'TC007-Contract Parts Info'!M8</f>
        <v>ROL</v>
      </c>
      <c r="Y8" s="29" t="n">
        <f>'TC007-Contract Parts Info'!N8</f>
        <v>1.0</v>
      </c>
      <c r="Z8" s="16" t="n">
        <f>'TC007-Contract Parts Info'!Q8</f>
        <v>1.0</v>
      </c>
      <c r="AA8">
        <v>0</v>
      </c>
      <c r="AB8">
        <v>0</v>
      </c>
      <c r="AC8">
        <v>0</v>
      </c>
      <c r="AD8" s="16" t="n">
        <f>'TC007-Contract Parts Info'!R8</f>
        <v>1.0</v>
      </c>
      <c r="AE8" s="16" t="n">
        <f>'TC007-Contract Parts Info'!S8</f>
        <v>1.0</v>
      </c>
    </row>
  </sheetData>
  <dataValidations count="1">
    <dataValidation allowBlank="1" showErrorMessage="1" sqref="G2:G8" type="list" xr:uid="{6C3B8DFD-23B7-497E-B265-A1948F5D6BA7}">
      <formula1>REPACKING_TYPE</formula1>
    </dataValidation>
  </dataValidations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C4"/>
  <sheetViews>
    <sheetView workbookViewId="0" zoomScale="90" zoomScaleNormal="90">
      <selection activeCell="B3" sqref="B3"/>
    </sheetView>
  </sheetViews>
  <sheetFormatPr defaultColWidth="8.88671875" defaultRowHeight="13.8"/>
  <cols>
    <col min="1" max="1" customWidth="true" style="1" width="24.33203125" collapsed="true"/>
    <col min="2" max="2" customWidth="true" style="1" width="26.6640625" collapsed="true"/>
    <col min="3" max="16384" style="1" width="8.88671875" collapsed="true"/>
  </cols>
  <sheetData>
    <row r="1" spans="1:2">
      <c r="A1" s="1" t="s">
        <v>534</v>
      </c>
      <c r="B1" s="211" t="s">
        <v>480</v>
      </c>
    </row>
    <row ht="14.4" r="2" spans="1:2">
      <c r="A2" s="1" t="str">
        <f>'TC115-Supplier2 Outbound'!C5</f>
        <v>o-JP-YAZ-ZT-21-001</v>
      </c>
      <c r="B2" t="s">
        <v>834</v>
      </c>
    </row>
    <row ht="14.4" r="3" spans="1:2">
      <c r="A3" s="1" t="str">
        <f>'TC115-Supplier2 Outbound'!C6</f>
        <v>o-JP-YAZ-ZT-21-002</v>
      </c>
      <c r="B3" t="s">
        <v>835</v>
      </c>
    </row>
    <row ht="14.4" r="4" spans="1:2">
      <c r="A4" s="1" t="str">
        <f>'TC115-Supplier2 Outbound'!C8</f>
        <v>o-JP-YAZ-ZT-21-003</v>
      </c>
      <c r="B4" t="s">
        <v>836</v>
      </c>
    </row>
  </sheetData>
  <phoneticPr fontId="25" type="noConversion"/>
  <pageMargins bottom="0.75" footer="0.3" header="0.3" left="0.7" right="0.7" top="0.75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B5"/>
  <sheetViews>
    <sheetView workbookViewId="0">
      <selection activeCell="A3" sqref="A3:XFD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  <col min="27" max="27" customWidth="true" width="12.77734375" collapsed="true"/>
  </cols>
  <sheetData>
    <row customFormat="1" ht="41.4" r="1" s="243" spans="1:27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Bs2-ZT-21-001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NYKU8417026ZTs2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JP-YAZ-C-230608001-ZTs2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EGSU9073529ZTs2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bottom="0.75" footer="0.3" header="0.3" left="0.7" right="0.7" top="0.75"/>
  <pageSetup horizontalDpi="300" orientation="portrait" r:id="rId1" verticalDpi="0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B5"/>
  <sheetViews>
    <sheetView workbookViewId="0">
      <selection activeCell="AA1" sqref="E1:AA1"/>
    </sheetView>
  </sheetViews>
  <sheetFormatPr defaultColWidth="8.88671875" defaultRowHeight="13.8"/>
  <cols>
    <col min="1" max="1" customWidth="true" style="1" width="25.109375" collapsed="true"/>
    <col min="2" max="2" customWidth="true" style="1" width="44.109375" collapsed="true"/>
    <col min="3" max="3" customWidth="true" style="1" width="25.6640625" collapsed="true"/>
    <col min="4" max="27" customWidth="true" style="1" width="20.6640625" collapsed="true"/>
    <col min="28" max="16384" style="1" width="8.88671875" collapsed="true"/>
  </cols>
  <sheetData>
    <row r="1" spans="1:27">
      <c r="A1" s="1" t="s">
        <v>480</v>
      </c>
      <c r="B1" s="46" t="s">
        <v>483</v>
      </c>
      <c r="C1" s="1" t="s">
        <v>491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30" t="s">
        <v>551</v>
      </c>
      <c r="L1" s="124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557</v>
      </c>
      <c r="R1" s="30" t="s">
        <v>556</v>
      </c>
      <c r="S1" s="30" t="s">
        <v>557</v>
      </c>
      <c r="T1" s="30" t="s">
        <v>558</v>
      </c>
      <c r="U1" s="30" t="s">
        <v>559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  <c r="AA1" s="30" t="s">
        <v>563</v>
      </c>
    </row>
    <row r="2" spans="1:27">
      <c r="A2" s="1" t="str">
        <f>'TC115-Outbound No'!$B$2</f>
        <v>o-JP-YAZ-SUP-231026001</v>
      </c>
      <c r="B2" s="113" t="str">
        <f>'TC115-Supplier2 Outbound'!$F$2</f>
        <v>Bs2-ZT-21-001</v>
      </c>
      <c r="C2" s="8" t="s">
        <v>565</v>
      </c>
      <c r="D2" s="30" t="s">
        <v>566</v>
      </c>
      <c r="E2" s="30" t="s">
        <v>567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  <c r="AA2" s="30" t="s">
        <v>568</v>
      </c>
    </row>
    <row r="3" spans="1:27">
      <c r="A3" s="1" t="str">
        <f>'TC115-Outbound No'!$B$4</f>
        <v>o-JP-YAZ-SUP-231026003</v>
      </c>
      <c r="C3" s="8" t="str">
        <f>"JP-YAZ-C-230608001-"&amp;AutoIncrement!$D$2</f>
        <v>JP-YAZ-C-230608001-ZTs2</v>
      </c>
      <c r="D3" s="30" t="s">
        <v>566</v>
      </c>
      <c r="E3" s="127" t="s">
        <v>567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  <c r="AA3" s="127" t="s">
        <v>568</v>
      </c>
    </row>
    <row customFormat="1" r="4" s="125" spans="1:27">
      <c r="A4" s="1" t="str">
        <f>'TC115-Outbound No'!$B$4</f>
        <v>o-JP-YAZ-SUP-231026003</v>
      </c>
      <c r="C4" s="126" t="str">
        <f>"EGSU9073529"&amp;AutoIncrement!$D$2</f>
        <v>EGSU9073529ZTs2</v>
      </c>
      <c r="D4" s="127" t="s">
        <v>566</v>
      </c>
      <c r="E4" s="127" t="s">
        <v>567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  <c r="AA4" s="127" t="s">
        <v>568</v>
      </c>
    </row>
    <row customFormat="1" r="5" s="125" spans="1:27">
      <c r="A5" s="1" t="str">
        <f>'TC115-Outbound No'!$B$3</f>
        <v>o-JP-YAZ-SUP-231026002</v>
      </c>
      <c r="C5" s="126" t="str">
        <f>"NYKU8417026"&amp;AutoIncrement!$D$2</f>
        <v>NYKU8417026ZTs2</v>
      </c>
      <c r="D5" s="127" t="s">
        <v>566</v>
      </c>
      <c r="E5" s="127" t="s">
        <v>567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  <c r="AA5" s="127" t="s">
        <v>568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AA5"/>
  <sheetViews>
    <sheetView workbookViewId="0">
      <selection activeCell="A2" sqref="A2:B5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Bs2-ZT-21-001</v>
      </c>
      <c r="B2" s="8" t="s">
        <v>565</v>
      </c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JP-YAZ-C-230608001-ZTs2</v>
      </c>
      <c r="C3" s="30" t="s">
        <v>566</v>
      </c>
      <c r="D3" s="127" t="s">
        <v>567</v>
      </c>
      <c r="E3" s="127" t="s">
        <v>568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</row>
    <row customFormat="1" r="4" s="125" spans="1:26">
      <c r="B4" s="126" t="str">
        <f>"EGSU9073529"&amp;AutoIncrement!$D$2</f>
        <v>EGSU9073529ZTs2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customFormat="1" r="5" s="125" spans="1:26">
      <c r="B5" s="126" t="str">
        <f>"NYKU8417026"&amp;AutoIncrement!$D$2</f>
        <v>NYKU8417026ZTs2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V5"/>
  <sheetViews>
    <sheetView topLeftCell="K1" workbookViewId="0">
      <selection activeCell="V1" sqref="V1:AI104857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</cols>
  <sheetData>
    <row ht="43.2" r="1" spans="1:21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Bs2-ZT-21-001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NYKU8417026ZTs2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JP-YAZ-C-230608001-ZTs2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EGSU9073529ZTs2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dimension ref="A1:M5"/>
  <sheetViews>
    <sheetView workbookViewId="0">
      <selection activeCell="D19" sqref="D19"/>
    </sheetView>
  </sheetViews>
  <sheetFormatPr defaultRowHeight="14.4"/>
  <cols>
    <col min="2" max="2" customWidth="true" width="29.109375" collapsed="true"/>
    <col min="3" max="3" customWidth="true" width="36.109375" collapsed="true"/>
    <col min="4" max="4" customWidth="true" width="32.21875" collapsed="true"/>
    <col min="5" max="5" customWidth="true" width="19.88671875" collapsed="true"/>
    <col min="6" max="6" customWidth="true" width="16.21875" collapsed="true"/>
    <col min="7" max="7" customWidth="true" width="20.109375" collapsed="true"/>
    <col min="8" max="8" customWidth="true" width="15.109375" collapsed="true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>
      <c r="A2">
        <v>1</v>
      </c>
      <c r="B2" s="1" t="str">
        <f>'TC115-Outbound No'!$B$2</f>
        <v>o-JP-YAZ-SUP-231026001</v>
      </c>
      <c r="C2" s="113" t="str">
        <f>'TC115-Supplier2 Outbound'!$F$2</f>
        <v>Bs2-ZT-21-001</v>
      </c>
      <c r="D2" s="8" t="s">
        <v>565</v>
      </c>
      <c r="E2" s="185"/>
      <c r="F2" t="s">
        <v>677</v>
      </c>
      <c r="G2" s="186" t="n">
        <f ca="1">TODAY()</f>
        <v>45253.0</v>
      </c>
      <c r="H2" s="186" t="s">
        <v>469</v>
      </c>
      <c r="I2" t="s">
        <v>697</v>
      </c>
      <c r="J2" s="186" t="n">
        <f ca="1">TODAY()</f>
        <v>45253.0</v>
      </c>
      <c r="K2" t="s">
        <v>698</v>
      </c>
      <c r="L2" t="s">
        <v>699</v>
      </c>
    </row>
    <row r="3" spans="1:12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JP-YAZ-C-230608001-ZTs2</v>
      </c>
      <c r="F3" t="s">
        <v>677</v>
      </c>
      <c r="G3" s="186" t="n">
        <f ca="1" ref="G3:G5" si="0" t="shared">TODAY()</f>
        <v>45253.0</v>
      </c>
      <c r="H3" s="186" t="s">
        <v>756</v>
      </c>
      <c r="I3" t="s">
        <v>697</v>
      </c>
      <c r="J3" s="186" t="n">
        <f ca="1" ref="J3:J5" si="1" t="shared">TODAY()</f>
        <v>45253.0</v>
      </c>
      <c r="K3" t="s">
        <v>698</v>
      </c>
      <c r="L3" t="s">
        <v>699</v>
      </c>
    </row>
    <row r="4" spans="1:12">
      <c r="A4">
        <v>2</v>
      </c>
      <c r="B4" s="1" t="str">
        <f>'TC115-Outbound No'!$B$4</f>
        <v>o-JP-YAZ-SUP-231026003</v>
      </c>
      <c r="C4" s="125"/>
      <c r="D4" s="126" t="str">
        <f>"EGSU9073529"&amp;AutoIncrement!$D$2</f>
        <v>EGSU9073529ZTs2</v>
      </c>
      <c r="F4" t="s">
        <v>677</v>
      </c>
      <c r="G4" s="186" t="n">
        <f ca="1" si="0" t="shared"/>
        <v>45253.0</v>
      </c>
      <c r="H4" s="186" t="s">
        <v>757</v>
      </c>
      <c r="I4" t="s">
        <v>697</v>
      </c>
      <c r="J4" s="186" t="n">
        <f ca="1" si="1" t="shared"/>
        <v>45253.0</v>
      </c>
      <c r="K4" t="s">
        <v>698</v>
      </c>
      <c r="L4" t="s">
        <v>699</v>
      </c>
    </row>
    <row r="5" spans="1:12">
      <c r="A5">
        <v>3</v>
      </c>
      <c r="B5" s="1" t="str">
        <f>'TC115-Outbound No'!$B$3</f>
        <v>o-JP-YAZ-SUP-231026002</v>
      </c>
      <c r="C5" s="125"/>
      <c r="D5" s="126" t="str">
        <f>"NYKU8417026"&amp;AutoIncrement!$D$2</f>
        <v>NYKU8417026ZTs2</v>
      </c>
      <c r="F5" t="s">
        <v>677</v>
      </c>
      <c r="G5" s="186" t="n">
        <f ca="1" si="0" t="shared"/>
        <v>45253.0</v>
      </c>
      <c r="H5" s="186" t="s">
        <v>758</v>
      </c>
      <c r="I5" t="s">
        <v>697</v>
      </c>
      <c r="J5" s="186" t="n">
        <f ca="1" si="1" t="shared"/>
        <v>45253.0</v>
      </c>
      <c r="K5" t="s">
        <v>698</v>
      </c>
      <c r="L5" t="s">
        <v>699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C4"/>
  <sheetViews>
    <sheetView workbookViewId="0"/>
  </sheetViews>
  <sheetFormatPr defaultRowHeight="14.4"/>
  <cols>
    <col min="1" max="1" customWidth="true" width="13.109375" collapsed="true"/>
    <col min="2" max="2" bestFit="true" customWidth="true" width="22.0" collapsed="true"/>
  </cols>
  <sheetData>
    <row r="1" spans="1:2">
      <c r="A1" s="209" t="s">
        <v>535</v>
      </c>
      <c r="B1" t="s">
        <v>480</v>
      </c>
    </row>
    <row r="2" spans="1:2">
      <c r="A2" t="s">
        <v>837</v>
      </c>
      <c r="B2" t="s">
        <v>834</v>
      </c>
    </row>
    <row r="3" spans="1:2">
      <c r="A3" t="s">
        <v>838</v>
      </c>
      <c r="B3" t="s">
        <v>835</v>
      </c>
    </row>
    <row r="4" spans="1:2">
      <c r="A4" t="s">
        <v>839</v>
      </c>
      <c r="B4" t="s">
        <v>836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B2"/>
  <sheetViews>
    <sheetView workbookViewId="0"/>
  </sheetViews>
  <sheetFormatPr defaultRowHeight="14.4"/>
  <cols>
    <col min="1" max="1" customWidth="true" width="18.21875" collapsed="true"/>
  </cols>
  <sheetData>
    <row r="1" spans="1:1">
      <c r="A1" s="197" t="s">
        <v>764</v>
      </c>
    </row>
    <row r="2" spans="1:1">
      <c r="A2" t="s">
        <v>840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B3"/>
  <sheetViews>
    <sheetView workbookViewId="0" zoomScale="90" zoomScaleNormal="90">
      <selection activeCell="A3" sqref="A3"/>
    </sheetView>
  </sheetViews>
  <sheetFormatPr defaultColWidth="8.88671875" defaultRowHeight="13.8"/>
  <cols>
    <col min="1" max="1" customWidth="true" style="1" width="23.33203125" collapsed="true"/>
    <col min="2" max="16384" style="1" width="8.88671875" collapsed="true"/>
  </cols>
  <sheetData>
    <row r="1" spans="1:1">
      <c r="A1" s="211" t="s">
        <v>535</v>
      </c>
    </row>
    <row ht="14.4" r="2" spans="1:1">
      <c r="A2" t="str">
        <f>'TC122-AutoGen'!$A$2</f>
        <v>JYZ2310016</v>
      </c>
    </row>
    <row ht="14.4" r="3" spans="1:1">
      <c r="A3" t="str">
        <f>'TC121.1 autoGen Invoice'!$A$4</f>
        <v>JYZ2310015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L5"/>
  <sheetViews>
    <sheetView workbookViewId="0">
      <selection activeCell="B3" sqref="B3"/>
    </sheetView>
  </sheetViews>
  <sheetFormatPr defaultRowHeight="14.4"/>
  <cols>
    <col min="2" max="2" customWidth="true" width="29.109375" collapsed="true"/>
    <col min="3" max="3" customWidth="true" width="36.109375" collapsed="true"/>
    <col min="4" max="4" customWidth="true" width="32.21875" collapsed="true"/>
    <col min="5" max="5" customWidth="true" width="33.33203125" collapsed="true"/>
    <col min="6" max="6" customWidth="true" width="20.77734375" collapsed="true"/>
    <col min="7" max="7" customWidth="true" width="20.21875" collapsed="true"/>
    <col min="8" max="8" customWidth="true" width="20.0" collapsed="true"/>
    <col min="9" max="9" customWidth="true" width="16.6640625" collapsed="true"/>
    <col min="10" max="10" customWidth="true" width="17.88671875" collapsed="true"/>
    <col min="11" max="11" customWidth="true" width="18.77734375" collapsed="true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'TC115-Supplier2 Outbound'!$F$2</f>
        <v>Bs2-ZT-21-001</v>
      </c>
      <c r="D2" s="8" t="s">
        <v>565</v>
      </c>
      <c r="E2" t="s">
        <v>548</v>
      </c>
      <c r="F2" s="184" t="s">
        <v>677</v>
      </c>
      <c r="G2" s="186" t="n">
        <f ca="1" ref="G2:G5" si="0" t="shared">TODAY()</f>
        <v>45253.0</v>
      </c>
      <c r="H2" t="str">
        <f>'TC126-Setup'!$A$2</f>
        <v>BL-1</v>
      </c>
      <c r="I2" s="186" t="n">
        <f ca="1" ref="I2:I5" si="1" t="shared">TODAY()</f>
        <v>45253.0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JP-YAZ-C-230608001-ZTs2</v>
      </c>
      <c r="E3" t="s">
        <v>548</v>
      </c>
      <c r="F3" t="s">
        <v>677</v>
      </c>
      <c r="G3" s="186" t="n">
        <f ca="1">TODAY()</f>
        <v>45253.0</v>
      </c>
      <c r="H3" t="str">
        <f>'TC126-Setup'!$A$2</f>
        <v>BL-1</v>
      </c>
      <c r="I3" s="186" t="n">
        <f ca="1">TODAY()</f>
        <v>45253.0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tr">
        <f>"EGSU9073529"&amp;AutoIncrement!$D$2</f>
        <v>EGSU9073529ZTs2</v>
      </c>
      <c r="E4" t="s">
        <v>548</v>
      </c>
      <c r="F4" t="s">
        <v>677</v>
      </c>
      <c r="G4" s="186" t="n">
        <f ca="1" si="0" t="shared"/>
        <v>45253.0</v>
      </c>
      <c r="H4" t="str">
        <f>'TC126-Setup'!$A$2</f>
        <v>BL-1</v>
      </c>
      <c r="I4" s="186" t="n">
        <f ca="1" si="1" t="shared"/>
        <v>45253.0</v>
      </c>
      <c r="J4" t="str">
        <f>'TC126-Setup'!$B$2</f>
        <v>Vessel-1</v>
      </c>
      <c r="K4" t="str">
        <f>'TC126-Setup'!$C$2</f>
        <v>v-1</v>
      </c>
    </row>
    <row customFormat="1" r="5" s="228" spans="1:11">
      <c r="A5" s="228">
        <v>3</v>
      </c>
      <c r="B5" s="229" t="str">
        <f>'TC115-Outbound No'!$B$3</f>
        <v>o-JP-YAZ-SUP-231026002</v>
      </c>
      <c r="C5" s="1"/>
      <c r="D5" s="8" t="str">
        <f>"NYKU8417026"&amp;AutoIncrement!$D$2</f>
        <v>NYKU8417026ZTs2</v>
      </c>
      <c r="E5" s="39" t="s">
        <v>548</v>
      </c>
      <c r="F5" s="39" t="s">
        <v>677</v>
      </c>
      <c r="G5" s="230" t="n">
        <f ca="1" si="0" t="shared"/>
        <v>45253.0</v>
      </c>
      <c r="H5" s="228" t="str">
        <f>'TC126-Setup'!$A$2</f>
        <v>BL-1</v>
      </c>
      <c r="I5" s="230" t="n">
        <f ca="1" si="1" t="shared"/>
        <v>45253.0</v>
      </c>
      <c r="J5" s="228" t="str">
        <f>'TC126-Setup'!$B$2</f>
        <v>Vessel-1</v>
      </c>
      <c r="K5" s="228" t="str">
        <f>'TC126-Setup'!$C$2</f>
        <v>v-1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C2"/>
  <sheetViews>
    <sheetView workbookViewId="0" zoomScale="90" zoomScaleNormal="90"/>
  </sheetViews>
  <sheetFormatPr defaultColWidth="8.88671875" defaultRowHeight="13.8"/>
  <cols>
    <col min="1" max="1" customWidth="true" style="1" width="25.77734375" collapsed="true"/>
    <col min="2" max="2" customWidth="true" style="1" width="15.77734375" collapsed="true"/>
    <col min="3" max="16384" style="1" width="8.88671875" collapsed="true"/>
  </cols>
  <sheetData>
    <row r="1" spans="1:2">
      <c r="A1" s="123" t="s">
        <v>223</v>
      </c>
      <c r="B1" s="1" t="s">
        <v>65</v>
      </c>
    </row>
    <row ht="14.4" r="2" spans="1:2">
      <c r="A2" t="s">
        <v>880</v>
      </c>
      <c r="B2" s="1" t="str">
        <f>'TC007-Received Req Info'!O2</f>
        <v>S1D-ZT-21</v>
      </c>
    </row>
  </sheetData>
  <pageMargins bottom="0.75" footer="0.3" header="0.3" left="0.7" right="0.7" top="0.75"/>
  <pageSetup orientation="portrait" r:id="rId1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D2"/>
  <sheetViews>
    <sheetView workbookViewId="0">
      <selection activeCell="K18" sqref="K18:K19"/>
    </sheetView>
  </sheetViews>
  <sheetFormatPr defaultRowHeight="14.4"/>
  <sheetData>
    <row r="1" spans="1:3">
      <c r="A1" s="184" t="s">
        <v>673</v>
      </c>
      <c r="B1" s="184" t="s">
        <v>675</v>
      </c>
      <c r="C1" s="184" t="s">
        <v>676</v>
      </c>
    </row>
    <row r="2" spans="1:3">
      <c r="A2" s="184" t="s">
        <v>697</v>
      </c>
      <c r="B2" s="184" t="s">
        <v>698</v>
      </c>
      <c r="C2" s="184" t="s">
        <v>699</v>
      </c>
    </row>
  </sheetData>
  <pageMargins bottom="0.75" footer="0.3" header="0.3" left="0.7" right="0.7" top="0.75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FF00"/>
  </sheetPr>
  <dimension ref="A1:D3"/>
  <sheetViews>
    <sheetView workbookViewId="0">
      <selection activeCell="B2" sqref="B2"/>
    </sheetView>
  </sheetViews>
  <sheetFormatPr defaultRowHeight="14.4"/>
  <cols>
    <col min="1" max="1" customWidth="true" width="19.0" collapsed="true"/>
    <col min="2" max="2" bestFit="true" customWidth="true" width="11.21875" collapsed="true"/>
    <col min="3" max="3" customWidth="true" width="11.88671875" collapsed="true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JYZ2310016</v>
      </c>
      <c r="B2" s="186" t="n">
        <f ca="1">TODAY()+5</f>
        <v>45258.0</v>
      </c>
      <c r="C2" s="186" t="n">
        <f ca="1">TODAY()+5</f>
        <v>45258.0</v>
      </c>
    </row>
    <row r="3" spans="1:3">
      <c r="A3" t="str">
        <f>'TC121.1 autoGen Invoice'!$A$4</f>
        <v>JYZ2310015</v>
      </c>
      <c r="B3" s="186" t="n">
        <f ca="1">TODAY()+5</f>
        <v>45258.0</v>
      </c>
      <c r="C3" s="186" t="n">
        <f ca="1">TODAY()+5</f>
        <v>45258.0</v>
      </c>
    </row>
  </sheetData>
  <pageMargins bottom="0.75" footer="0.3" header="0.3" left="0.7" right="0.7" top="0.75"/>
</worksheet>
</file>

<file path=xl/worksheets/sheet1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AA5"/>
  <sheetViews>
    <sheetView workbookViewId="0">
      <selection activeCell="D2" sqref="D2:D5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Bs2-ZT-21-001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567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JP-YAZ-C-230608001-ZTs2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567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  <c r="W3" s="30" t="s">
        <v>568</v>
      </c>
      <c r="X3" s="30" t="s">
        <v>568</v>
      </c>
      <c r="Y3" s="30" t="s">
        <v>568</v>
      </c>
      <c r="Z3" s="30" t="s">
        <v>568</v>
      </c>
    </row>
    <row customFormat="1" r="4" s="125" spans="1:26">
      <c r="B4" s="126" t="str">
        <f>"EGSU9073529"&amp;AutoIncrement!$D$2</f>
        <v>EGSU9073529ZTs2</v>
      </c>
      <c r="C4" s="127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567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  <c r="W4" s="30" t="s">
        <v>568</v>
      </c>
      <c r="X4" s="30" t="s">
        <v>568</v>
      </c>
      <c r="Y4" s="30" t="s">
        <v>568</v>
      </c>
      <c r="Z4" s="30" t="s">
        <v>568</v>
      </c>
    </row>
    <row customFormat="1" r="5" s="125" spans="1:26">
      <c r="B5" s="126" t="str">
        <f>"NYKU8417026"&amp;AutoIncrement!$D$2</f>
        <v>NYKU8417026ZTs2</v>
      </c>
      <c r="C5" s="127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567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  <c r="W5" s="30" t="s">
        <v>568</v>
      </c>
      <c r="X5" s="30" t="s">
        <v>568</v>
      </c>
      <c r="Y5" s="30" t="s">
        <v>568</v>
      </c>
      <c r="Z5" s="30" t="s">
        <v>568</v>
      </c>
    </row>
  </sheetData>
  <pageMargins bottom="0.75" footer="0.3" header="0.3" left="0.7" right="0.7" top="0.75"/>
</worksheet>
</file>

<file path=xl/worksheets/sheet1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B5"/>
  <sheetViews>
    <sheetView topLeftCell="B1" workbookViewId="0">
      <selection activeCell="E2" sqref="E2:I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  <col min="9" max="9" customWidth="true" width="22.21875" collapsed="true"/>
    <col min="27" max="27" customWidth="true" width="12.77734375" collapsed="true"/>
  </cols>
  <sheetData>
    <row customFormat="1" ht="41.4" r="1" s="243" spans="1:27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Bs2-ZT-21-001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NYKU8417026ZTs2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JP-YAZ-C-230608001-ZTs2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EGSU9073529ZTs2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bottom="0.75" footer="0.3" header="0.3" left="0.7" right="0.7" top="0.75"/>
  <pageSetup horizontalDpi="300" orientation="portrait" r:id="rId1" verticalDpi="0"/>
</worksheet>
</file>

<file path=xl/worksheets/sheet1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V5"/>
  <sheetViews>
    <sheetView workbookViewId="0">
      <selection activeCell="E2" sqref="E2:I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</cols>
  <sheetData>
    <row ht="43.2" r="1" spans="1:21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Bs2-ZT-21-001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NYKU8417026ZTs2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JP-YAZ-C-230608001-ZTs2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EGSU9073529ZTs2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EA7-47D6-4A3A-B120-FBABC09E38F4}">
  <dimension ref="A1:U8"/>
  <sheetViews>
    <sheetView topLeftCell="F4" workbookViewId="0">
      <selection activeCell="AG1" sqref="AG1:FW1048576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ZTpnaNSL2BLACK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ZTpna45050040130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ZTpna18007703930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ZTpna18001404835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ZTpna1219AS1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ZTATEST202306050000000000002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ZTATEST202306050000000000001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1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EB2F-8544-4881-A3A0-B881A641CA1A}">
  <dimension ref="A1:I4"/>
  <sheetViews>
    <sheetView workbookViewId="0">
      <selection activeCell="E26" sqref="E26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ZT82151BZK50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ZT82151BZE00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ZT82151BZD90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bottom="0.75" footer="0.3" header="0.3" left="0.7" right="0.7" top="0.75"/>
</worksheet>
</file>

<file path=xl/worksheets/sheet1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B5"/>
  <sheetViews>
    <sheetView workbookViewId="0">
      <selection activeCell="E1" sqref="E1:AA104857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  <col min="9" max="9" customWidth="true" width="22.21875" collapsed="true"/>
    <col min="20" max="20" customWidth="true" width="23.88671875" collapsed="true"/>
    <col min="27" max="27" customWidth="true" width="12.77734375" collapsed="true"/>
  </cols>
  <sheetData>
    <row customFormat="1" ht="41.4" r="1" s="243" spans="1:27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Bs2-ZT-21-001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NYKU8417026ZTs2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JP-YAZ-C-230608001-ZTs2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101" t="s">
        <v>567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EGSU9073529ZTs2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101" t="s">
        <v>567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bottom="0.75" footer="0.3" header="0.3" left="0.7" right="0.7" top="0.75"/>
  <pageSetup horizontalDpi="300" orientation="portrait" r:id="rId1" verticalDpi="0"/>
</worksheet>
</file>

<file path=xl/worksheets/sheet1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C5"/>
  <sheetViews>
    <sheetView topLeftCell="I1" workbookViewId="0">
      <selection activeCell="E1" sqref="E1:AA104857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8" max="28" customWidth="true" width="12.77734375" collapsed="true"/>
  </cols>
  <sheetData>
    <row ht="41.4" r="1" spans="1:28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Bs2-ZT-21-001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NYKU8417026ZTs2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JP-YAZ-C-230608001-ZTs2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101" t="s">
        <v>567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EGSU9073529ZTs2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101" t="s">
        <v>567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bottom="0.75" footer="0.3" header="0.3" left="0.7" right="0.7" top="0.75"/>
</worksheet>
</file>

<file path=xl/worksheets/sheet1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AA5"/>
  <sheetViews>
    <sheetView workbookViewId="0">
      <selection activeCell="A3" sqref="A3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customFormat="1" r="4" s="125" spans="1:26">
      <c r="B4" s="126" t="s">
        <v>543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customFormat="1" r="5" s="125" spans="1:26">
      <c r="B5" s="126" t="s">
        <v>542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C2"/>
  <sheetViews>
    <sheetView workbookViewId="0" zoomScale="90" zoomScaleNormal="90"/>
  </sheetViews>
  <sheetFormatPr defaultColWidth="8.88671875" defaultRowHeight="13.8"/>
  <cols>
    <col min="1" max="1" customWidth="true" style="1" width="25.77734375" collapsed="true"/>
    <col min="2" max="2" customWidth="true" style="1" width="15.77734375" collapsed="true"/>
    <col min="3" max="16384" style="1" width="8.88671875" collapsed="true"/>
  </cols>
  <sheetData>
    <row r="1" spans="1:2">
      <c r="A1" s="123" t="s">
        <v>223</v>
      </c>
      <c r="B1" s="1" t="s">
        <v>65</v>
      </c>
    </row>
    <row ht="14.4" r="2" spans="1:2">
      <c r="A2" t="s">
        <v>881</v>
      </c>
      <c r="B2" s="1" t="str">
        <f>'TC007-Received Req Info'!P2</f>
        <v>S2D-ZT-21</v>
      </c>
    </row>
  </sheetData>
  <pageMargins bottom="0.75" footer="0.3" header="0.3" left="0.7" right="0.7" top="0.75"/>
</worksheet>
</file>

<file path=xl/worksheets/sheet1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B5"/>
  <sheetViews>
    <sheetView workbookViewId="0">
      <selection activeCell="S4" sqref="S4:W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  <col min="9" max="9" customWidth="true" width="22.21875" collapsed="true"/>
    <col min="20" max="20" customWidth="true" width="23.88671875" collapsed="true"/>
    <col min="24" max="24" customWidth="true" width="31.44140625" collapsed="true"/>
    <col min="27" max="27" customWidth="true" width="12.77734375" collapsed="true"/>
  </cols>
  <sheetData>
    <row customFormat="1" ht="41.4" r="1" s="243" spans="1:27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Bs2-ZT-21-001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NYKU8417026ZTs2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JP-YAZ-C-230608001-ZTs2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101" t="s">
        <v>567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EGSU9073529ZTs2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101" t="s">
        <v>567</v>
      </c>
      <c r="Y5" s="101" t="s">
        <v>568</v>
      </c>
      <c r="Z5" s="101" t="s">
        <v>568</v>
      </c>
      <c r="AA5" s="101" t="s">
        <v>568</v>
      </c>
    </row>
  </sheetData>
  <pageMargins bottom="0.75" footer="0.3" header="0.3" left="0.7" right="0.7" top="0.75"/>
  <pageSetup horizontalDpi="300" orientation="portrait" r:id="rId1" verticalDpi="0"/>
</worksheet>
</file>

<file path=xl/worksheets/sheet1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W8"/>
  <sheetViews>
    <sheetView workbookViewId="0">
      <selection activeCell="A3" sqref="A3"/>
    </sheetView>
  </sheetViews>
  <sheetFormatPr defaultColWidth="8.88671875" defaultRowHeight="13.8"/>
  <cols>
    <col min="1" max="2" customWidth="true" style="1" width="25.6640625" collapsed="true"/>
    <col min="3" max="18" customWidth="true" style="1" width="20.6640625" collapsed="true"/>
    <col min="19" max="22" customWidth="true" style="1" width="20.77734375" collapsed="true"/>
    <col min="23" max="16384" style="1" width="8.88671875" collapsed="true"/>
  </cols>
  <sheetData>
    <row r="1" spans="1:22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560</v>
      </c>
      <c r="P1" s="30" t="s">
        <v>561</v>
      </c>
      <c r="Q1" s="30" t="s">
        <v>562</v>
      </c>
      <c r="R1" s="30" t="s">
        <v>563</v>
      </c>
      <c r="S1" s="1" t="s">
        <v>560</v>
      </c>
      <c r="T1" s="1" t="s">
        <v>561</v>
      </c>
      <c r="U1" s="1" t="s">
        <v>562</v>
      </c>
      <c r="V1" s="1" t="s">
        <v>562</v>
      </c>
    </row>
    <row r="2" spans="1:22">
      <c r="A2" s="1" t="s">
        <v>571</v>
      </c>
      <c r="B2" s="8"/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</row>
    <row r="3" spans="1:22">
      <c r="A3" s="1" t="s">
        <v>571</v>
      </c>
      <c r="B3" s="1" t="s">
        <v>572</v>
      </c>
      <c r="C3" s="30" t="s">
        <v>566</v>
      </c>
      <c r="D3" s="30" t="s">
        <v>567</v>
      </c>
      <c r="E3" s="30" t="s">
        <v>568</v>
      </c>
      <c r="F3" s="30" t="s">
        <v>568</v>
      </c>
      <c r="G3" s="30" t="s">
        <v>568</v>
      </c>
      <c r="H3" s="30" t="s">
        <v>568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</row>
    <row r="4" spans="1:22">
      <c r="A4" s="1" t="s">
        <v>571</v>
      </c>
      <c r="B4" s="8" t="s">
        <v>565</v>
      </c>
      <c r="C4" s="30" t="s">
        <v>566</v>
      </c>
      <c r="D4" s="30" t="s">
        <v>567</v>
      </c>
      <c r="E4" s="30" t="s">
        <v>568</v>
      </c>
      <c r="F4" s="30" t="s">
        <v>568</v>
      </c>
      <c r="G4" s="30" t="s">
        <v>568</v>
      </c>
      <c r="H4" s="30" t="s">
        <v>568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</row>
    <row r="5" spans="1:22">
      <c r="B5" s="1" t="s">
        <v>573</v>
      </c>
      <c r="C5" s="30" t="s">
        <v>566</v>
      </c>
      <c r="D5" s="30" t="s">
        <v>567</v>
      </c>
      <c r="E5" s="30" t="s">
        <v>568</v>
      </c>
      <c r="F5" s="30" t="s">
        <v>568</v>
      </c>
      <c r="G5" s="30" t="s">
        <v>568</v>
      </c>
      <c r="H5" s="30" t="s">
        <v>568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</row>
    <row r="6" spans="1:22">
      <c r="A6" s="1" t="s">
        <v>574</v>
      </c>
      <c r="B6" s="1" t="s">
        <v>575</v>
      </c>
      <c r="C6" s="30" t="s">
        <v>566</v>
      </c>
      <c r="D6" s="30" t="s">
        <v>567</v>
      </c>
      <c r="E6" s="30" t="s">
        <v>568</v>
      </c>
      <c r="F6" s="30" t="s">
        <v>568</v>
      </c>
      <c r="G6" s="30" t="s">
        <v>568</v>
      </c>
      <c r="H6" s="30" t="s">
        <v>568</v>
      </c>
      <c r="I6" s="30" t="s">
        <v>568</v>
      </c>
      <c r="J6" s="30" t="s">
        <v>568</v>
      </c>
      <c r="K6" s="30" t="s">
        <v>568</v>
      </c>
      <c r="L6" s="30" t="s">
        <v>568</v>
      </c>
      <c r="M6" s="30" t="s">
        <v>568</v>
      </c>
      <c r="N6" s="30" t="s">
        <v>568</v>
      </c>
      <c r="O6" s="30" t="s">
        <v>568</v>
      </c>
      <c r="P6" s="30" t="s">
        <v>568</v>
      </c>
      <c r="Q6" s="30" t="s">
        <v>568</v>
      </c>
      <c r="R6" s="30" t="s">
        <v>568</v>
      </c>
      <c r="S6" s="30" t="s">
        <v>568</v>
      </c>
      <c r="T6" s="30" t="s">
        <v>568</v>
      </c>
      <c r="U6" s="30" t="s">
        <v>568</v>
      </c>
      <c r="V6" s="30" t="s">
        <v>568</v>
      </c>
    </row>
    <row r="7" spans="1:22">
      <c r="A7" s="1" t="s">
        <v>574</v>
      </c>
      <c r="B7" s="1" t="s">
        <v>576</v>
      </c>
      <c r="C7" s="30" t="s">
        <v>566</v>
      </c>
      <c r="D7" s="30" t="s">
        <v>567</v>
      </c>
      <c r="E7" s="30" t="s">
        <v>568</v>
      </c>
      <c r="F7" s="30" t="s">
        <v>568</v>
      </c>
      <c r="G7" s="30" t="s">
        <v>568</v>
      </c>
      <c r="H7" s="30" t="s">
        <v>568</v>
      </c>
      <c r="I7" s="30" t="s">
        <v>568</v>
      </c>
      <c r="J7" s="30" t="s">
        <v>568</v>
      </c>
      <c r="K7" s="30" t="s">
        <v>568</v>
      </c>
      <c r="L7" s="30" t="s">
        <v>568</v>
      </c>
      <c r="M7" s="30" t="s">
        <v>568</v>
      </c>
      <c r="N7" s="30" t="s">
        <v>568</v>
      </c>
      <c r="O7" s="30" t="s">
        <v>568</v>
      </c>
      <c r="P7" s="30" t="s">
        <v>568</v>
      </c>
      <c r="Q7" s="30" t="s">
        <v>568</v>
      </c>
      <c r="R7" s="30" t="s">
        <v>568</v>
      </c>
      <c r="S7" s="30" t="s">
        <v>568</v>
      </c>
      <c r="T7" s="30" t="s">
        <v>568</v>
      </c>
      <c r="U7" s="30" t="s">
        <v>568</v>
      </c>
      <c r="V7" s="30" t="s">
        <v>568</v>
      </c>
    </row>
    <row r="8" spans="1:22">
      <c r="A8" s="1" t="s">
        <v>574</v>
      </c>
      <c r="B8" s="46" t="s">
        <v>573</v>
      </c>
      <c r="C8" s="30" t="s">
        <v>566</v>
      </c>
      <c r="D8" s="30" t="s">
        <v>567</v>
      </c>
      <c r="E8" s="30" t="s">
        <v>568</v>
      </c>
      <c r="F8" s="30" t="s">
        <v>568</v>
      </c>
      <c r="G8" s="30" t="s">
        <v>568</v>
      </c>
      <c r="H8" s="30" t="s">
        <v>568</v>
      </c>
      <c r="I8" s="30" t="s">
        <v>568</v>
      </c>
      <c r="J8" s="30" t="s">
        <v>568</v>
      </c>
      <c r="K8" s="30" t="s">
        <v>568</v>
      </c>
      <c r="L8" s="30" t="s">
        <v>568</v>
      </c>
      <c r="M8" s="30" t="s">
        <v>568</v>
      </c>
      <c r="N8" s="30" t="s">
        <v>568</v>
      </c>
      <c r="O8" s="30" t="s">
        <v>568</v>
      </c>
      <c r="P8" s="30" t="s">
        <v>568</v>
      </c>
      <c r="Q8" s="30" t="s">
        <v>568</v>
      </c>
      <c r="R8" s="30" t="s">
        <v>568</v>
      </c>
      <c r="S8" s="30" t="s">
        <v>568</v>
      </c>
      <c r="T8" s="30" t="s">
        <v>568</v>
      </c>
      <c r="U8" s="30" t="s">
        <v>568</v>
      </c>
      <c r="V8" s="30" t="s">
        <v>568</v>
      </c>
    </row>
  </sheetData>
  <pageMargins bottom="0.75" footer="0.3" header="0.3" left="0.7" right="0.7" top="0.75"/>
</worksheet>
</file>

<file path=xl/worksheets/sheet1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C5"/>
  <sheetViews>
    <sheetView workbookViewId="0">
      <selection activeCell="E2" sqref="E2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Bs2-ZT-21-001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NYKU8417026ZTs2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JP-YAZ-C-230608001-ZTs2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101" t="s">
        <v>567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EGSU9073529ZTs2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101" t="s">
        <v>567</v>
      </c>
      <c r="Z5" s="101" t="s">
        <v>568</v>
      </c>
      <c r="AA5" s="101" t="s">
        <v>568</v>
      </c>
      <c r="AB5" s="101" t="s">
        <v>568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AA5"/>
  <sheetViews>
    <sheetView workbookViewId="0">
      <selection activeCell="A3" sqref="A3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customFormat="1" r="4" s="125" spans="1:26">
      <c r="B4" s="126" t="s">
        <v>577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customFormat="1" r="5" s="125" spans="1:26">
      <c r="B5" s="126" t="s">
        <v>573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bottom="0.75" footer="0.3" header="0.3" left="0.7" right="0.7" top="0.75"/>
</worksheet>
</file>

<file path=xl/worksheets/sheet1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F20"/>
  <sheetViews>
    <sheetView workbookViewId="0">
      <selection activeCell="A19" sqref="A19:A20"/>
    </sheetView>
  </sheetViews>
  <sheetFormatPr defaultRowHeight="13.8"/>
  <cols>
    <col min="1" max="1" customWidth="true" style="1" width="27.77734375" collapsed="true"/>
    <col min="2" max="2" customWidth="true" style="1" width="15.77734375" collapsed="true"/>
    <col min="3" max="16384" style="1" width="8.88671875" collapsed="true"/>
  </cols>
  <sheetData>
    <row customFormat="1" customHeight="1" ht="13.95" r="1" s="128" spans="1:5">
      <c r="A1" s="128" t="s">
        <v>578</v>
      </c>
      <c r="B1" s="128" t="s">
        <v>579</v>
      </c>
      <c r="C1" s="128" t="s">
        <v>500</v>
      </c>
      <c r="D1" s="128" t="s">
        <v>580</v>
      </c>
      <c r="E1" s="128" t="s">
        <v>581</v>
      </c>
    </row>
    <row r="2" spans="1:5">
      <c r="A2" s="129" t="str">
        <f>"i-MY-PNA-DC-"&amp;AutoIncrement!$B$2&amp;"-01-003"</f>
        <v>i-MY-PNA-DC-ZT-01-003</v>
      </c>
      <c r="B2" s="1" t="str">
        <f ca="1">TEXT(DATE(YEAR(TODAY()), MONTH(TODAY()), DAY(TODAY())), "dd MMM yyyy")</f>
        <v>23 十一月 2023</v>
      </c>
    </row>
    <row r="3" spans="1:5">
      <c r="A3" s="129" t="str">
        <f>"i-MY-PNA-DC-"&amp;AutoIncrement!$B$2&amp;"-01-003"</f>
        <v>i-MY-PNA-DC-ZT-01-003</v>
      </c>
      <c r="B3" s="1" t="str">
        <f ca="1" ref="B3:B20" si="0" t="shared">TEXT(DATE(YEAR(TODAY()), MONTH(TODAY()), DAY(TODAY())), "dd MMM yyyy")</f>
        <v>23 十一月 2023</v>
      </c>
    </row>
    <row r="4" spans="1:5">
      <c r="A4" s="129" t="str">
        <f>"i-MY-PNA-DC-"&amp;AutoIncrement!$B$2&amp;"-01-003"</f>
        <v>i-MY-PNA-DC-ZT-01-003</v>
      </c>
      <c r="B4" s="1" t="str">
        <f ca="1" si="0" t="shared"/>
        <v>23 十一月 2023</v>
      </c>
    </row>
    <row r="5" spans="1:5">
      <c r="A5" s="129" t="str">
        <f>"i-MY-PNA-DC-"&amp;AutoIncrement!$B$2&amp;"-01-003"</f>
        <v>i-MY-PNA-DC-ZT-01-003</v>
      </c>
      <c r="B5" s="1" t="str">
        <f ca="1" si="0" t="shared"/>
        <v>23 十一月 2023</v>
      </c>
    </row>
    <row r="6" spans="1:5">
      <c r="A6" s="129" t="str">
        <f>"i-MY-PNA-DC-"&amp;AutoIncrement!$B$2&amp;"-01-003"</f>
        <v>i-MY-PNA-DC-ZT-01-003</v>
      </c>
      <c r="B6" s="1" t="str">
        <f ca="1" si="0" t="shared"/>
        <v>23 十一月 2023</v>
      </c>
    </row>
    <row r="7" spans="1:5">
      <c r="A7" s="129" t="str">
        <f>"i-MY-PNA-DC-"&amp;AutoIncrement!$B$2&amp;"-01-003"</f>
        <v>i-MY-PNA-DC-ZT-01-003</v>
      </c>
      <c r="B7" s="1" t="str">
        <f ca="1" si="0" t="shared"/>
        <v>23 十一月 2023</v>
      </c>
    </row>
    <row r="8" spans="1:5">
      <c r="A8" s="129" t="str">
        <f>"i-MY-PNA-DC-"&amp;AutoIncrement!$B$2&amp;"-01-003"</f>
        <v>i-MY-PNA-DC-ZT-01-003</v>
      </c>
      <c r="B8" s="1" t="str">
        <f ca="1" si="0" t="shared"/>
        <v>23 十一月 2023</v>
      </c>
    </row>
    <row r="9" spans="1:5">
      <c r="A9" s="129" t="str">
        <f>"i-MY-PNA-DC-"&amp;AutoIncrement!$B$2&amp;"-01-003"</f>
        <v>i-MY-PNA-DC-ZT-01-003</v>
      </c>
      <c r="B9" s="1" t="str">
        <f ca="1" si="0" t="shared"/>
        <v>23 十一月 2023</v>
      </c>
    </row>
    <row r="10" spans="1:5">
      <c r="A10" s="129" t="str">
        <f>"i-MY-PNA-DC-"&amp;AutoIncrement!$B$2&amp;"-01-003"</f>
        <v>i-MY-PNA-DC-ZT-01-003</v>
      </c>
      <c r="B10" s="1" t="str">
        <f ca="1" si="0" t="shared"/>
        <v>23 十一月 2023</v>
      </c>
    </row>
    <row r="11" spans="1:5">
      <c r="A11" s="129" t="str">
        <f>"i-MY-PNA-DC-"&amp;AutoIncrement!$B$2&amp;"-01-001"</f>
        <v>i-MY-PNA-DC-ZT-01-001</v>
      </c>
      <c r="B11" s="1" t="str">
        <f ca="1" si="0" t="shared"/>
        <v>23 十一月 2023</v>
      </c>
      <c r="C11" s="130">
        <v>100.001</v>
      </c>
      <c r="D11" s="130">
        <v>100.001</v>
      </c>
      <c r="E11" s="130">
        <v>100.001</v>
      </c>
    </row>
    <row r="12" spans="1:5">
      <c r="A12" s="129" t="str">
        <f>"i-MY-PNA-DC-"&amp;AutoIncrement!$B$2&amp;"-01-001"</f>
        <v>i-MY-PNA-DC-ZT-01-001</v>
      </c>
      <c r="B12" s="1" t="str">
        <f ca="1" si="0" t="shared"/>
        <v>23 十一月 2023</v>
      </c>
    </row>
    <row r="13" spans="1:5">
      <c r="A13" s="129" t="str">
        <f>"i-MY-PNA-DC-"&amp;AutoIncrement!$B$2&amp;"-01-001"</f>
        <v>i-MY-PNA-DC-ZT-01-001</v>
      </c>
      <c r="B13" s="1" t="str">
        <f ca="1" si="0" t="shared"/>
        <v>23 十一月 2023</v>
      </c>
    </row>
    <row r="14" spans="1:5">
      <c r="A14" s="129" t="str">
        <f>"i-MY-PNA-DC-"&amp;AutoIncrement!$B$2&amp;"-01-001"</f>
        <v>i-MY-PNA-DC-ZT-01-001</v>
      </c>
      <c r="B14" s="1" t="str">
        <f ca="1" si="0" t="shared"/>
        <v>23 十一月 2023</v>
      </c>
    </row>
    <row r="15" spans="1:5">
      <c r="A15" s="129" t="str">
        <f>"i-MY-PNA-DC-"&amp;AutoIncrement!$B$2&amp;"-01-001"</f>
        <v>i-MY-PNA-DC-ZT-01-001</v>
      </c>
      <c r="B15" s="1" t="str">
        <f ca="1" si="0" t="shared"/>
        <v>23 十一月 2023</v>
      </c>
    </row>
    <row r="16" spans="1:5">
      <c r="A16" s="129" t="str">
        <f>"i-MY-PNA-DC-"&amp;AutoIncrement!$B$2&amp;"-01-001"</f>
        <v>i-MY-PNA-DC-ZT-01-001</v>
      </c>
      <c r="B16" s="1" t="str">
        <f ca="1" si="0" t="shared"/>
        <v>23 十一月 2023</v>
      </c>
    </row>
    <row r="17" spans="1:2">
      <c r="A17" s="129" t="str">
        <f>"i-MY-PNA-DC-"&amp;AutoIncrement!$B$2&amp;"-01-001"</f>
        <v>i-MY-PNA-DC-ZT-01-001</v>
      </c>
      <c r="B17" s="1" t="str">
        <f ca="1" si="0" t="shared"/>
        <v>23 十一月 2023</v>
      </c>
    </row>
    <row r="18" spans="1:2">
      <c r="A18" s="129" t="str">
        <f>"i-MY-PNA-DC-"&amp;AutoIncrement!$B$2&amp;"-01-001"</f>
        <v>i-MY-PNA-DC-ZT-01-001</v>
      </c>
      <c r="B18" s="1" t="str">
        <f ca="1" si="0" t="shared"/>
        <v>23 十一月 2023</v>
      </c>
    </row>
    <row r="19" spans="1:2">
      <c r="A19" s="129" t="str">
        <f>"i-MY-PNA-DC-"&amp;AutoIncrement!$B$2&amp;"-01-002"</f>
        <v>i-MY-PNA-DC-ZT-01-002</v>
      </c>
      <c r="B19" s="1" t="str">
        <f ca="1" si="0" t="shared"/>
        <v>23 十一月 2023</v>
      </c>
    </row>
    <row r="20" spans="1:2">
      <c r="A20" s="129" t="str">
        <f>"i-MY-PNA-DC-"&amp;AutoIncrement!$B$2&amp;"-01-002"</f>
        <v>i-MY-PNA-DC-ZT-01-002</v>
      </c>
      <c r="B20" s="1" t="str">
        <f ca="1" si="0" t="shared"/>
        <v>23 十一月 2023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C8"/>
  <sheetViews>
    <sheetView workbookViewId="0">
      <selection activeCell="A2" sqref="A2:A8"/>
    </sheetView>
  </sheetViews>
  <sheetFormatPr defaultRowHeight="13.8"/>
  <cols>
    <col min="1" max="1" customWidth="true" style="1" width="30.77734375" collapsed="true"/>
    <col min="2" max="2" customWidth="true" style="1" width="20.77734375" collapsed="true"/>
    <col min="3" max="16384" style="1" width="8.88671875" collapsed="true"/>
  </cols>
  <sheetData>
    <row r="1" spans="1:2">
      <c r="A1" s="1" t="s">
        <v>36</v>
      </c>
      <c r="B1" s="1" t="s">
        <v>582</v>
      </c>
    </row>
    <row r="2" spans="1:2">
      <c r="A2" s="131" t="str">
        <f>'TC007-Contract Parts Info'!$D$2</f>
        <v>ZTATEST202306050000000000001</v>
      </c>
      <c r="B2" s="132">
        <v>250</v>
      </c>
    </row>
    <row r="3" spans="1:2">
      <c r="A3" s="131" t="str">
        <f>'TC007-Contract Parts Info'!$D$3</f>
        <v>ZTATEST202306050000000000002</v>
      </c>
      <c r="B3" s="132">
        <v>250</v>
      </c>
    </row>
    <row r="4" spans="1:2">
      <c r="A4" s="131" t="str">
        <f>'TC007-Contract Parts Info'!$D$4</f>
        <v>ZTpna1219AS1</v>
      </c>
      <c r="B4" s="132">
        <v>250</v>
      </c>
    </row>
    <row r="5" spans="1:2">
      <c r="A5" s="131" t="str">
        <f>'TC007-Contract Parts Info'!$D$5</f>
        <v>ZTpna18001404835</v>
      </c>
      <c r="B5" s="132">
        <v>250</v>
      </c>
    </row>
    <row r="6" spans="1:2">
      <c r="A6" s="131" t="str">
        <f>'TC007-Contract Parts Info'!$D$6</f>
        <v>ZTpna18007703930</v>
      </c>
      <c r="B6" s="132">
        <v>250</v>
      </c>
    </row>
    <row r="7" spans="1:2">
      <c r="A7" s="131" t="str">
        <f>'TC007-Contract Parts Info'!$D$7</f>
        <v>ZTpna45050040130</v>
      </c>
      <c r="B7" s="132">
        <v>250</v>
      </c>
    </row>
    <row r="8" spans="1:2">
      <c r="A8" s="131" t="str">
        <f>'TC007-Contract Parts Info'!$D$8</f>
        <v>ZTpnaNSL2BLACK</v>
      </c>
      <c r="B8" s="132">
        <v>250</v>
      </c>
    </row>
  </sheetData>
  <pageMargins bottom="0.75" footer="0.3" header="0.3" left="0.7" right="0.7" top="0.75"/>
</worksheet>
</file>

<file path=xl/worksheets/sheet1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D2"/>
  <sheetViews>
    <sheetView workbookViewId="0">
      <selection activeCell="D12" sqref="D12"/>
    </sheetView>
  </sheetViews>
  <sheetFormatPr defaultRowHeight="14.4"/>
  <cols>
    <col min="1" max="1" customWidth="true" width="20.88671875" collapsed="true"/>
    <col min="2" max="2" customWidth="true" width="9.88671875" collapsed="true"/>
  </cols>
  <sheetData>
    <row r="1" spans="1:3">
      <c r="A1" t="s">
        <v>583</v>
      </c>
      <c r="B1" t="s">
        <v>584</v>
      </c>
    </row>
    <row r="2" spans="1:3">
      <c r="A2" t="str">
        <f ca="1">TEXT(DATE(YEAR(TODAY()), MONTH(TODAY()), DAY(TODAY())), "dd MMM yyyy")</f>
        <v>23 十一月 2023</v>
      </c>
      <c r="B2">
        <v>30</v>
      </c>
      <c r="C2" t="str">
        <f ca="1">TEXT(DAY(TODAY()), "dd")</f>
        <v>23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D11"/>
  <sheetViews>
    <sheetView workbookViewId="0">
      <selection activeCell="A5" sqref="A5"/>
    </sheetView>
  </sheetViews>
  <sheetFormatPr defaultRowHeight="13.8"/>
  <cols>
    <col min="1" max="3" customWidth="true" style="1" width="30.77734375" collapsed="true"/>
    <col min="4" max="16384" style="1" width="8.88671875" collapsed="true"/>
  </cols>
  <sheetData>
    <row r="1" spans="1:3">
      <c r="A1" s="1" t="s">
        <v>36</v>
      </c>
      <c r="B1" s="133" t="s">
        <v>585</v>
      </c>
      <c r="C1" s="133" t="s">
        <v>586</v>
      </c>
    </row>
    <row r="2" spans="1:3">
      <c r="A2" s="8" t="str">
        <f>AutoIncrement!$B$2&amp;"82151BZD90"</f>
        <v>ZT82151BZD90</v>
      </c>
      <c r="B2" s="134">
        <v>50</v>
      </c>
      <c r="C2" s="134">
        <v>10</v>
      </c>
    </row>
    <row r="3" spans="1:3">
      <c r="A3" s="8" t="str">
        <f>AutoIncrement!$B$2&amp;"82151BZE00"</f>
        <v>ZT82151BZE00</v>
      </c>
      <c r="B3" s="134">
        <v>50</v>
      </c>
      <c r="C3" s="134">
        <v>10</v>
      </c>
    </row>
    <row r="4" spans="1:3">
      <c r="A4" s="8" t="str">
        <f>AutoIncrement!$B$2&amp;"82151BZK50"</f>
        <v>ZT82151BZK50</v>
      </c>
      <c r="B4" s="134">
        <v>50</v>
      </c>
      <c r="C4" s="134">
        <v>10</v>
      </c>
    </row>
    <row r="5" spans="1:3">
      <c r="A5" s="131" t="str">
        <f>'TC007-Contract Parts Info'!$D$2</f>
        <v>ZTATEST202306050000000000001</v>
      </c>
      <c r="B5" s="134">
        <v>50</v>
      </c>
      <c r="C5" s="134">
        <v>10</v>
      </c>
    </row>
    <row r="6" spans="1:3">
      <c r="A6" s="131" t="str">
        <f>'TC007-Contract Parts Info'!$D$3</f>
        <v>ZTATEST202306050000000000002</v>
      </c>
      <c r="B6" s="134">
        <v>50</v>
      </c>
      <c r="C6" s="134">
        <v>10</v>
      </c>
    </row>
    <row r="7" spans="1:3">
      <c r="A7" s="131" t="str">
        <f>'TC007-Contract Parts Info'!$D$4</f>
        <v>ZTpna1219AS1</v>
      </c>
      <c r="B7" s="134">
        <v>50</v>
      </c>
      <c r="C7" s="134">
        <v>10</v>
      </c>
    </row>
    <row r="8" spans="1:3">
      <c r="A8" s="131" t="str">
        <f>'TC007-Contract Parts Info'!$D$5</f>
        <v>ZTpna18001404835</v>
      </c>
      <c r="B8" s="134">
        <v>50</v>
      </c>
      <c r="C8" s="134">
        <v>10</v>
      </c>
    </row>
    <row r="9" spans="1:3">
      <c r="A9" s="131" t="str">
        <f>'TC007-Contract Parts Info'!$D$6</f>
        <v>ZTpna18007703930</v>
      </c>
      <c r="B9" s="134">
        <v>50</v>
      </c>
      <c r="C9" s="134">
        <v>10</v>
      </c>
    </row>
    <row r="10" spans="1:3">
      <c r="A10" s="131" t="str">
        <f>'TC007-Contract Parts Info'!$D$7</f>
        <v>ZTpna45050040130</v>
      </c>
      <c r="B10" s="134">
        <v>50</v>
      </c>
      <c r="C10" s="134">
        <v>10</v>
      </c>
    </row>
    <row r="11" spans="1:3">
      <c r="A11" s="131" t="str">
        <f>'TC007-Contract Parts Info'!$D$8</f>
        <v>ZTpnaNSL2BLACK</v>
      </c>
      <c r="B11" s="134">
        <v>50</v>
      </c>
      <c r="C11" s="134">
        <v>10</v>
      </c>
    </row>
  </sheetData>
  <pageMargins bottom="0.75" footer="0.3" header="0.3" left="0.7" right="0.7" top="0.75"/>
</worksheet>
</file>

<file path=xl/worksheets/sheet1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B2"/>
  <sheetViews>
    <sheetView workbookViewId="0">
      <selection activeCell="A3" sqref="A3"/>
    </sheetView>
  </sheetViews>
  <sheetFormatPr defaultRowHeight="14.4"/>
  <cols>
    <col min="1" max="1" customWidth="true" width="30.88671875" collapsed="true"/>
  </cols>
  <sheetData>
    <row r="1" spans="1:1">
      <c r="A1" t="s">
        <v>587</v>
      </c>
    </row>
    <row r="2" spans="1:1">
      <c r="A2" t="str">
        <f ca="1">TEXT(DATE(YEAR(TODAY()), MONTH(TODAY()), DAY(TODAY())), "dd MMM yyyy")</f>
        <v>23 十一月 2023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A25F-9E01-4523-A470-9DB3587A0B46}">
  <dimension ref="A1:U8"/>
  <sheetViews>
    <sheetView topLeftCell="F1" workbookViewId="0">
      <selection activeCell="K24" sqref="K24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ZTpnaNSL2BLACK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ZTpna45050040130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ZTpna18007703930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ZTpna18001404835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ZTpna1219AS1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ZTATEST202306050000000000002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ZTATEST202306050000000000001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Y2"/>
  <sheetViews>
    <sheetView topLeftCell="E1" workbookViewId="0" zoomScale="90" zoomScaleNormal="90">
      <selection activeCell="O1" sqref="O1"/>
    </sheetView>
  </sheetViews>
  <sheetFormatPr defaultColWidth="8.88671875" defaultRowHeight="13.8"/>
  <cols>
    <col min="1" max="1" customWidth="true" style="1" width="54.0" collapsed="true"/>
    <col min="2" max="24" customWidth="true" style="1" width="20.77734375" collapsed="true"/>
    <col min="25" max="16384" style="1" width="8.88671875" collapsed="true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ELASUP-PNDC-21</v>
      </c>
      <c r="B2" s="30" t="str">
        <f>A2</f>
        <v>ELASUP-PNDC-21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display="ETDWeekDay (click here to set ETD days)" location="RANGE!A1" ref="O1" xr:uid="{07EA3ADF-C5D8-453B-8DA3-AE36EE64384B}"/>
    <hyperlink display="Shipping Frequency Weeks (Click here to add week)" location="RANGE!A1" ref="X1" xr:uid="{23F0ED97-4FA0-44F6-B84E-2101C24EDD5A}"/>
  </hyperlinks>
  <pageMargins bottom="0.75" footer="0.3" header="0.3" left="0.7" right="0.7" top="0.75"/>
</worksheet>
</file>

<file path=xl/worksheets/sheet1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9702-A129-4F47-BFF7-6F8485EF8CB7}">
  <dimension ref="A1:I4"/>
  <sheetViews>
    <sheetView workbookViewId="0">
      <selection activeCell="E23" sqref="E23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ZT82151BZK50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ZT82151BZE00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ZT82151BZD90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bottom="0.75" footer="0.3" header="0.3" left="0.7" right="0.7" top="0.75"/>
</worksheet>
</file>

<file path=xl/worksheets/sheet1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J4"/>
  <sheetViews>
    <sheetView workbookViewId="0">
      <selection activeCell="A4" sqref="A4"/>
    </sheetView>
  </sheetViews>
  <sheetFormatPr defaultRowHeight="13.8"/>
  <cols>
    <col min="1" max="9" customWidth="true" style="1" width="20.77734375" collapsed="true"/>
    <col min="10" max="16384" style="1" width="8.88671875" collapsed="true"/>
  </cols>
  <sheetData>
    <row r="1" spans="1:9">
      <c r="A1" s="135" t="s">
        <v>339</v>
      </c>
      <c r="B1" s="135" t="s">
        <v>342</v>
      </c>
      <c r="C1" s="135" t="s">
        <v>588</v>
      </c>
      <c r="D1" s="135" t="s">
        <v>589</v>
      </c>
      <c r="E1" s="135" t="s">
        <v>590</v>
      </c>
      <c r="F1" s="135" t="s">
        <v>484</v>
      </c>
      <c r="G1" s="135" t="s">
        <v>105</v>
      </c>
      <c r="H1" s="136" t="s">
        <v>591</v>
      </c>
      <c r="I1" s="136" t="s">
        <v>592</v>
      </c>
    </row>
    <row r="2" spans="1:9">
      <c r="A2" s="137" t="str">
        <f>'TC021-Contrct Part Info L2 (BU)'!$C2</f>
        <v>ZT82151BZD90</v>
      </c>
      <c r="B2" s="137" t="str">
        <f>'TC021-Contrct Part Info L2 (BU)'!$B2</f>
        <v>ZT82151-BZD90</v>
      </c>
      <c r="C2" s="137" t="s">
        <v>190</v>
      </c>
      <c r="D2" s="137" t="str">
        <f>'TC021-Setup Data'!$A$2</f>
        <v>PNABU-L2-ZT-021</v>
      </c>
      <c r="E2" s="137" t="s">
        <v>301</v>
      </c>
      <c r="F2" s="137" t="s">
        <v>20</v>
      </c>
      <c r="G2" s="138">
        <v>10</v>
      </c>
      <c r="H2" s="139">
        <v>100</v>
      </c>
      <c r="I2" s="139"/>
    </row>
    <row r="3" spans="1:9">
      <c r="A3" s="137" t="str">
        <f>'TC021-Contrct Part Info L2 (BU)'!$C3</f>
        <v>ZT82151BZE00</v>
      </c>
      <c r="B3" s="137" t="str">
        <f>'TC021-Contrct Part Info L2 (BU)'!$B3</f>
        <v>ZT82151-BZE00</v>
      </c>
      <c r="C3" s="137" t="s">
        <v>190</v>
      </c>
      <c r="D3" s="137" t="str">
        <f>'TC021-Setup Data'!$A$2</f>
        <v>PNABU-L2-ZT-021</v>
      </c>
      <c r="E3" s="137" t="s">
        <v>301</v>
      </c>
      <c r="F3" s="137" t="s">
        <v>20</v>
      </c>
      <c r="G3" s="138">
        <v>10</v>
      </c>
      <c r="H3" s="139"/>
      <c r="I3" s="139">
        <v>100</v>
      </c>
    </row>
    <row r="4" spans="1:9">
      <c r="A4" s="137" t="str">
        <f>'TC021-Contrct Part Info L2 (BU)'!$C4</f>
        <v>ZT82151BZK50</v>
      </c>
      <c r="B4" s="137" t="str">
        <f>'TC021-Contrct Part Info L2 (BU)'!$B4</f>
        <v>ZT82151-BZK50</v>
      </c>
      <c r="C4" s="137" t="s">
        <v>190</v>
      </c>
      <c r="D4" s="137" t="str">
        <f>'TC021-Setup Data'!$A$2</f>
        <v>PNABU-L2-ZT-021</v>
      </c>
      <c r="E4" s="137" t="s">
        <v>302</v>
      </c>
      <c r="F4" s="137" t="s">
        <v>20</v>
      </c>
      <c r="G4" s="138">
        <v>10</v>
      </c>
      <c r="H4" s="139">
        <v>40</v>
      </c>
      <c r="I4" s="139">
        <v>60</v>
      </c>
    </row>
  </sheetData>
  <pageMargins bottom="0.75" footer="0.3" header="0.3" left="0.7" right="0.7" top="0.75"/>
</worksheet>
</file>

<file path=xl/worksheets/sheet1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C2"/>
  <sheetViews>
    <sheetView workbookViewId="0">
      <selection activeCell="K28" sqref="K28"/>
    </sheetView>
  </sheetViews>
  <sheetFormatPr defaultRowHeight="14.4"/>
  <cols>
    <col min="1" max="2" customWidth="true" width="15.77734375" collapsed="true"/>
  </cols>
  <sheetData>
    <row r="1" spans="1:2">
      <c r="A1" s="136" t="s">
        <v>591</v>
      </c>
      <c r="B1" s="136" t="s">
        <v>592</v>
      </c>
    </row>
    <row r="2" spans="1:2">
      <c r="A2" s="136" t="str">
        <f ca="1">TEXT(DATE(YEAR(TODAY()), MONTH(TODAY()), DAY(TODAY())+1), "dd MMM yyyy")</f>
        <v>24 十一月 2023</v>
      </c>
      <c r="B2" s="136" t="n">
        <f ca="1">EOMONTH(TODAY(),0)</f>
        <v>45260.0</v>
      </c>
    </row>
  </sheetData>
  <pageMargins bottom="0.75" footer="0.3" header="0.3" left="0.7" right="0.7" top="0.75"/>
</worksheet>
</file>

<file path=xl/worksheets/sheet1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D3"/>
  <sheetViews>
    <sheetView workbookViewId="0">
      <selection activeCell="D21" sqref="D21"/>
    </sheetView>
  </sheetViews>
  <sheetFormatPr defaultRowHeight="14.4"/>
  <cols>
    <col min="1" max="1" customWidth="true" width="5.77734375" collapsed="true"/>
    <col min="2" max="2" customWidth="true" width="46.0" collapsed="true"/>
    <col min="3" max="3" customWidth="true" width="13.6640625" collapsed="true"/>
  </cols>
  <sheetData>
    <row r="1" spans="1:3">
      <c r="A1" t="s">
        <v>34</v>
      </c>
      <c r="B1" s="209" t="s">
        <v>593</v>
      </c>
    </row>
    <row r="2" spans="1:3">
      <c r="A2">
        <v>1</v>
      </c>
      <c r="B2" t="s">
        <v>767</v>
      </c>
      <c r="C2" t="str">
        <f>'TC021-Contrct Part Info L2 (BU)'!$C2</f>
        <v>ZT82151BZD90</v>
      </c>
    </row>
    <row r="3" spans="1:3">
      <c r="A3">
        <v>2</v>
      </c>
      <c r="B3" t="s">
        <v>768</v>
      </c>
      <c r="C3" t="str">
        <f>'TC021-Contrct Part Info L2 (BU)'!$C3</f>
        <v>ZT82151BZE00</v>
      </c>
    </row>
  </sheetData>
  <pageMargins bottom="0.75" footer="0.3" header="0.3" left="0.7" right="0.7" top="0.75"/>
</worksheet>
</file>

<file path=xl/worksheets/sheet1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D3"/>
  <sheetViews>
    <sheetView workbookViewId="0">
      <selection activeCell="B2" sqref="B2"/>
    </sheetView>
  </sheetViews>
  <sheetFormatPr defaultRowHeight="14.4"/>
  <cols>
    <col min="1" max="1" customWidth="true" width="5.77734375" collapsed="true"/>
    <col min="2" max="2" customWidth="true" width="46.0" collapsed="true"/>
    <col min="3" max="3" customWidth="true" width="18.0" collapsed="true"/>
  </cols>
  <sheetData>
    <row r="1" spans="1:3">
      <c r="A1" t="s">
        <v>34</v>
      </c>
      <c r="B1" s="209" t="s">
        <v>769</v>
      </c>
      <c r="C1" t="s">
        <v>865</v>
      </c>
    </row>
    <row r="2" spans="1:3">
      <c r="A2">
        <v>1</v>
      </c>
      <c r="B2" t="s">
        <v>860</v>
      </c>
      <c r="C2" s="137" t="str">
        <f>'TC021-Contrct Part Info L2 (BU)'!$C$3</f>
        <v>ZT82151BZE00</v>
      </c>
    </row>
    <row r="3" spans="1:3">
      <c r="A3">
        <v>2</v>
      </c>
      <c r="B3" t="s">
        <v>859</v>
      </c>
      <c r="C3" s="137" t="str">
        <f>'TC021-Contrct Part Info L2 (BU)'!$C$2</f>
        <v>ZT82151BZD90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D3"/>
  <sheetViews>
    <sheetView workbookViewId="0">
      <selection activeCell="C1" sqref="C1:C3"/>
    </sheetView>
  </sheetViews>
  <sheetFormatPr defaultRowHeight="14.4"/>
  <cols>
    <col min="1" max="1" customWidth="true" width="5.77734375" collapsed="true"/>
    <col min="2" max="2" customWidth="true" width="15.77734375" collapsed="true"/>
    <col min="3" max="3" customWidth="true" width="23.44140625" collapsed="true"/>
  </cols>
  <sheetData>
    <row r="1" spans="1:3">
      <c r="A1" t="s">
        <v>34</v>
      </c>
      <c r="B1" s="209" t="s">
        <v>770</v>
      </c>
      <c r="C1" t="s">
        <v>865</v>
      </c>
    </row>
    <row r="2" spans="1:3">
      <c r="A2">
        <v>1</v>
      </c>
      <c r="B2" t="s">
        <v>862</v>
      </c>
      <c r="C2" s="137" t="str">
        <f>'TC021-Contrct Part Info L2 (BU)'!$C$3</f>
        <v>ZT82151BZE00</v>
      </c>
    </row>
    <row r="3" spans="1:3">
      <c r="A3">
        <v>2</v>
      </c>
      <c r="B3" t="s">
        <v>861</v>
      </c>
      <c r="C3" s="137" t="str">
        <f>'TC021-Contrct Part Info L2 (BU)'!$C$2</f>
        <v>ZT82151BZD90</v>
      </c>
    </row>
  </sheetData>
  <pageMargins bottom="0.75" footer="0.3" header="0.3" left="0.7" right="0.7" top="0.75"/>
</worksheet>
</file>

<file path=xl/worksheets/sheet1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E2"/>
  <sheetViews>
    <sheetView workbookViewId="0">
      <selection activeCell="F7" sqref="F7"/>
    </sheetView>
  </sheetViews>
  <sheetFormatPr defaultRowHeight="14.4"/>
  <cols>
    <col min="1" max="3" customWidth="true" width="15.77734375" collapsed="true"/>
    <col min="4" max="4" customWidth="true" width="17.77734375" collapsed="true"/>
  </cols>
  <sheetData>
    <row r="1" spans="1:4">
      <c r="A1" t="s">
        <v>594</v>
      </c>
      <c r="B1" t="s">
        <v>595</v>
      </c>
      <c r="C1" t="s">
        <v>596</v>
      </c>
      <c r="D1" t="s">
        <v>489</v>
      </c>
    </row>
    <row r="2" spans="1:4">
      <c r="A2">
        <v>18</v>
      </c>
      <c r="B2">
        <v>9</v>
      </c>
      <c r="C2">
        <v>2023</v>
      </c>
      <c r="D2" s="136" t="str">
        <f ca="1">TEXT(DATE(YEAR(TODAY()), MONTH(TODAY()), DAY(TODAY())+1), "dd MMM yyyy")</f>
        <v>24 十一月 2023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X5"/>
  <sheetViews>
    <sheetView workbookViewId="0" zoomScale="90" zoomScaleNormal="90">
      <selection activeCell="G2" sqref="G2:G3"/>
    </sheetView>
  </sheetViews>
  <sheetFormatPr defaultColWidth="8.88671875" defaultRowHeight="13.8"/>
  <cols>
    <col min="1" max="1" customWidth="true" style="113" width="25.6640625" collapsed="true"/>
    <col min="2" max="13" customWidth="true" style="113" width="15.6640625" collapsed="true"/>
    <col min="14" max="14" customWidth="true" style="113" width="29.0" collapsed="true"/>
    <col min="15" max="18" customWidth="true" style="113" width="15.6640625" collapsed="true"/>
    <col min="19" max="19" customWidth="true" style="113" width="33.109375" collapsed="true"/>
    <col min="20" max="20" customWidth="true" style="113" width="15.6640625" collapsed="true"/>
    <col min="21" max="23" customWidth="true" style="113" width="20.6640625" collapsed="true"/>
    <col min="24" max="26" customWidth="true" style="113" width="15.6640625" collapsed="true"/>
    <col min="27" max="16384" style="113" width="8.88671875" collapsed="true"/>
  </cols>
  <sheetData>
    <row customHeight="1" ht="13.95" r="1" spans="1:23">
      <c r="A1" s="113" t="s">
        <v>480</v>
      </c>
      <c r="B1" s="113" t="s">
        <v>481</v>
      </c>
      <c r="C1" s="113" t="s">
        <v>483</v>
      </c>
      <c r="D1" s="113" t="s">
        <v>485</v>
      </c>
      <c r="E1" s="113" t="s">
        <v>489</v>
      </c>
      <c r="F1" s="113" t="s">
        <v>490</v>
      </c>
      <c r="G1" s="113" t="s">
        <v>491</v>
      </c>
      <c r="H1" s="113" t="s">
        <v>492</v>
      </c>
      <c r="I1" s="113" t="s">
        <v>493</v>
      </c>
      <c r="J1" s="113" t="s">
        <v>494</v>
      </c>
      <c r="K1" s="113" t="s">
        <v>495</v>
      </c>
      <c r="L1" s="113" t="s">
        <v>496</v>
      </c>
      <c r="M1" s="113" t="s">
        <v>497</v>
      </c>
      <c r="N1" s="113" t="s">
        <v>498</v>
      </c>
      <c r="O1" s="113" t="s">
        <v>499</v>
      </c>
      <c r="P1" s="113" t="s">
        <v>500</v>
      </c>
      <c r="Q1" s="113" t="s">
        <v>501</v>
      </c>
      <c r="R1" s="113" t="s">
        <v>502</v>
      </c>
      <c r="S1" s="113" t="s">
        <v>503</v>
      </c>
      <c r="T1" s="113" t="s">
        <v>504</v>
      </c>
      <c r="U1" s="113" t="s">
        <v>505</v>
      </c>
      <c r="V1" s="113" t="s">
        <v>506</v>
      </c>
      <c r="W1" s="113" t="s">
        <v>507</v>
      </c>
    </row>
    <row r="2" spans="1:23">
      <c r="A2" s="114" t="str">
        <f>"o-MY-PNA-DC-"&amp;AutoIncrement!B2&amp;"-"&amp;AutoIncrement!A2&amp;"-001"</f>
        <v>o-MY-PNA-DC-ZT-21-001</v>
      </c>
      <c r="B2" s="113" t="str">
        <f ca="1">TEXT(DATE(YEAR(TODAY()), MONTH(TODAY()), DAY(TODAY())), "dd MMM yyyy")</f>
        <v>23 十一月 2023</v>
      </c>
      <c r="D2" s="115">
        <v>100</v>
      </c>
      <c r="E2" s="231"/>
      <c r="F2" s="231"/>
      <c r="G2" s="8" t="str">
        <f>"TLLU6124978"&amp;AutoIncrement!$D$2</f>
        <v>TLLU6124978ZTs2</v>
      </c>
      <c r="H2" s="8"/>
      <c r="I2" s="8"/>
      <c r="J2" s="8"/>
      <c r="K2" s="232"/>
      <c r="L2" s="232"/>
      <c r="M2" s="232"/>
      <c r="N2" s="8" t="s">
        <v>780</v>
      </c>
      <c r="O2" s="8" t="s">
        <v>771</v>
      </c>
      <c r="P2" s="232"/>
      <c r="Q2" s="232"/>
      <c r="R2" s="232"/>
      <c r="S2" s="8"/>
      <c r="T2" s="233"/>
      <c r="U2" s="232"/>
      <c r="V2" s="232"/>
      <c r="W2" s="232"/>
    </row>
    <row r="3" spans="1:23">
      <c r="A3" s="114" t="str">
        <f>"o-MY-PNA-DC-"&amp;AutoIncrement!B2&amp;"-"&amp;AutoIncrement!A2&amp;"-001"</f>
        <v>o-MY-PNA-DC-ZT-21-001</v>
      </c>
      <c r="B3" s="113" t="str">
        <f ca="1" ref="B3:B5" si="0" t="shared">TEXT(DATE(YEAR(TODAY()), MONTH(TODAY()), DAY(TODAY())), "dd MMM yyyy")</f>
        <v>23 十一月 2023</v>
      </c>
      <c r="D3" s="246">
        <v>40</v>
      </c>
      <c r="E3" s="231"/>
      <c r="F3" s="231"/>
      <c r="G3" s="8" t="str">
        <f>"C-20130614001"&amp;AutoIncrement!$D$2</f>
        <v>C-20130614001ZTs2</v>
      </c>
      <c r="H3" s="8" t="s">
        <v>772</v>
      </c>
      <c r="I3" s="8" t="s">
        <v>773</v>
      </c>
      <c r="J3" s="8" t="s">
        <v>774</v>
      </c>
      <c r="K3" s="232">
        <v>1000.001</v>
      </c>
      <c r="L3" s="232">
        <v>1000.001</v>
      </c>
      <c r="M3" s="232">
        <v>1000.001</v>
      </c>
      <c r="N3" s="8" t="s">
        <v>781</v>
      </c>
      <c r="O3" s="8" t="s">
        <v>775</v>
      </c>
      <c r="P3" s="232">
        <v>10</v>
      </c>
      <c r="Q3" s="232">
        <v>10</v>
      </c>
      <c r="R3" s="232">
        <v>10</v>
      </c>
      <c r="S3" s="8" t="s">
        <v>782</v>
      </c>
      <c r="T3" s="233"/>
      <c r="U3" s="232"/>
      <c r="V3" s="232"/>
      <c r="W3" s="232"/>
    </row>
    <row r="4" spans="1:23">
      <c r="A4" s="114" t="str">
        <f>"o-MY-PNA-DC-"&amp;AutoIncrement!B2&amp;"-"&amp;AutoIncrement!A2&amp;"-002"</f>
        <v>o-MY-PNA-DC-ZT-21-002</v>
      </c>
      <c r="B4" s="113" t="str">
        <f ca="1" si="0" t="shared"/>
        <v>23 十一月 2023</v>
      </c>
      <c r="C4" s="113" t="str">
        <f>"B-NT-"&amp;AutoIncrement!$B$2&amp;"-"&amp;AutoIncrement!$A$2&amp;"-001"</f>
        <v>B-NT-ZT-21-001</v>
      </c>
      <c r="D4" s="115">
        <v>100</v>
      </c>
      <c r="E4" s="231"/>
      <c r="F4" s="231"/>
      <c r="G4" s="8" t="s">
        <v>776</v>
      </c>
      <c r="H4" s="8" t="s">
        <v>772</v>
      </c>
      <c r="I4" s="8" t="s">
        <v>773</v>
      </c>
      <c r="J4" s="8" t="s">
        <v>774</v>
      </c>
      <c r="K4" s="232">
        <v>1000.001</v>
      </c>
      <c r="L4" s="232">
        <v>1000.001</v>
      </c>
      <c r="M4" s="232">
        <v>1000.001</v>
      </c>
      <c r="N4" s="8" t="s">
        <v>780</v>
      </c>
      <c r="O4" s="8" t="s">
        <v>777</v>
      </c>
      <c r="P4" s="232">
        <v>10</v>
      </c>
      <c r="Q4" s="232">
        <v>10</v>
      </c>
      <c r="R4" s="232">
        <v>10</v>
      </c>
      <c r="S4" s="8" t="s">
        <v>782</v>
      </c>
      <c r="T4" s="233" t="s">
        <v>778</v>
      </c>
      <c r="U4" s="232">
        <v>1</v>
      </c>
      <c r="V4" s="232">
        <v>1</v>
      </c>
      <c r="W4" s="232">
        <v>1</v>
      </c>
    </row>
    <row r="5" spans="1:23">
      <c r="A5" s="114" t="str">
        <f>"o-MY-PNA-DC-"&amp;AutoIncrement!B2&amp;"-"&amp;AutoIncrement!A2&amp;"-002"</f>
        <v>o-MY-PNA-DC-ZT-21-002</v>
      </c>
      <c r="B5" s="113" t="str">
        <f ca="1" si="0" t="shared"/>
        <v>23 十一月 2023</v>
      </c>
      <c r="C5" s="113" t="str">
        <f>"B-NT-"&amp;AutoIncrement!$B$2&amp;"-"&amp;AutoIncrement!$A$2&amp;"-001"</f>
        <v>B-NT-ZT-21-001</v>
      </c>
      <c r="D5" s="115">
        <v>60</v>
      </c>
      <c r="E5" s="231"/>
      <c r="F5" s="231"/>
      <c r="G5" s="8"/>
      <c r="H5" s="8"/>
      <c r="I5" s="8"/>
      <c r="J5" s="8"/>
      <c r="K5" s="232"/>
      <c r="L5" s="232"/>
      <c r="M5" s="232"/>
      <c r="N5" s="8" t="s">
        <v>781</v>
      </c>
      <c r="O5" s="8" t="s">
        <v>779</v>
      </c>
      <c r="P5" s="232">
        <v>10</v>
      </c>
      <c r="Q5" s="232">
        <v>10</v>
      </c>
      <c r="R5" s="232">
        <v>10</v>
      </c>
      <c r="S5" s="8" t="s">
        <v>783</v>
      </c>
      <c r="T5" s="233" t="s">
        <v>778</v>
      </c>
      <c r="U5" s="232">
        <v>1</v>
      </c>
      <c r="V5" s="232">
        <v>1</v>
      </c>
      <c r="W5" s="232">
        <v>1</v>
      </c>
    </row>
  </sheetData>
  <pageMargins bottom="0.75" footer="0.3" header="0.3" left="0.7" right="0.7" top="0.75"/>
  <pageSetup orientation="portrait" r:id="rId1"/>
</worksheet>
</file>

<file path=xl/worksheets/sheet1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C3"/>
  <sheetViews>
    <sheetView workbookViewId="0">
      <selection activeCell="A26" sqref="A26:A27"/>
    </sheetView>
  </sheetViews>
  <sheetFormatPr defaultRowHeight="14.4"/>
  <cols>
    <col min="1" max="2" customWidth="true" width="30.77734375" collapsed="true"/>
  </cols>
  <sheetData>
    <row r="1" spans="1:2">
      <c r="A1" t="s">
        <v>534</v>
      </c>
      <c r="B1" s="209" t="s">
        <v>480</v>
      </c>
    </row>
    <row r="2" spans="1:2">
      <c r="A2" t="str">
        <f>"o-MY-PNA-DC-"&amp;AutoIncrement!$B$2&amp;"-"&amp;AutoIncrement!A2&amp;"-001"</f>
        <v>o-MY-PNA-DC-ZT-21-001</v>
      </c>
      <c r="B2" t="s">
        <v>863</v>
      </c>
    </row>
    <row r="3" spans="1:2">
      <c r="A3" t="str">
        <f>"o-MY-PNA-DC-"&amp;AutoIncrement!$B$2&amp;"-"&amp;AutoIncrement!$A$2&amp;"-002"</f>
        <v>o-MY-PNA-DC-ZT-21-002</v>
      </c>
      <c r="B3" t="s">
        <v>864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sheetPr>
    <tabColor theme="5" tint="0.59999389629810485"/>
  </sheetPr>
  <dimension ref="A1:Q3"/>
  <sheetViews>
    <sheetView topLeftCell="C1" workbookViewId="0">
      <selection activeCell="D2" sqref="D2:D3"/>
    </sheetView>
  </sheetViews>
  <sheetFormatPr defaultRowHeight="14.4"/>
  <cols>
    <col min="1" max="14" customWidth="true" width="15.77734375" collapsed="true"/>
    <col min="15" max="15" customWidth="true" width="19.6640625" collapsed="true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(BU)'!$C$3</f>
        <v>ZT82151BZE00</v>
      </c>
      <c r="B2" s="137" t="str">
        <f>'TC021-Contrct Part Info L2 (BU)'!$B$3</f>
        <v>ZT82151-BZE00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s="247" t="s">
        <v>429</v>
      </c>
      <c r="P2">
        <v>100</v>
      </c>
    </row>
    <row r="3" spans="1:16">
      <c r="A3" s="137" t="str">
        <f>'TC021-Contrct Part Info L2 (BU)'!$C$4</f>
        <v>ZT82151BZK50</v>
      </c>
      <c r="B3" s="137" t="str">
        <f>'TC021-Contrct Part Info L2 (BU)'!$B$4</f>
        <v>ZT82151-BZK50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60</v>
      </c>
      <c r="O3" s="247" t="s">
        <v>429</v>
      </c>
      <c r="P3">
        <v>60</v>
      </c>
    </row>
  </sheetData>
  <phoneticPr fontId="25" type="noConversion"/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P2"/>
  <sheetViews>
    <sheetView workbookViewId="0" zoomScale="90" zoomScaleNormal="90">
      <selection activeCell="A2" sqref="A2"/>
    </sheetView>
  </sheetViews>
  <sheetFormatPr defaultColWidth="8.88671875" defaultRowHeight="13.8"/>
  <cols>
    <col min="1" max="15" customWidth="true" style="1" width="20.77734375" collapsed="true"/>
    <col min="16" max="16384" style="1" width="8.88671875" collapsed="true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bottom="0.75" footer="0.3" header="0.3" left="0.7" right="0.7" top="0.75"/>
  <pageSetup orientation="portrait" r:id="rId1"/>
</worksheet>
</file>

<file path=xl/worksheets/sheet1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Q3"/>
  <sheetViews>
    <sheetView workbookViewId="0">
      <selection activeCell="P3" sqref="P3"/>
    </sheetView>
  </sheetViews>
  <sheetFormatPr defaultRowHeight="14.4"/>
  <cols>
    <col min="1" max="15" customWidth="true" width="15.77734375" collapsed="true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(BU)'!$C$2</f>
        <v>ZT82151BZD90</v>
      </c>
      <c r="B2" s="137" t="str">
        <f>'TC021-Contrct Part Info L2 (BU)'!$B$2</f>
        <v>ZT82151-BZD90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t="s">
        <v>785</v>
      </c>
      <c r="P2">
        <v>100</v>
      </c>
    </row>
    <row r="3" spans="1:16">
      <c r="A3" s="137" t="str">
        <f>'TC021-Contrct Part Info L2 (BU)'!$C$4</f>
        <v>ZT82151BZK50</v>
      </c>
      <c r="B3" s="137" t="str">
        <f>'TC021-Contrct Part Info L2 (BU)'!$B$4</f>
        <v>ZT82151-BZK50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40</v>
      </c>
      <c r="O3" t="s">
        <v>787</v>
      </c>
      <c r="P3">
        <v>40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sheetPr>
    <tabColor theme="5" tint="0.39997558519241921"/>
  </sheetPr>
  <dimension ref="A1:Q3"/>
  <sheetViews>
    <sheetView topLeftCell="C1" workbookViewId="0">
      <selection activeCell="D2" sqref="D2:D3"/>
    </sheetView>
  </sheetViews>
  <sheetFormatPr defaultRowHeight="14.4"/>
  <cols>
    <col min="1" max="16" customWidth="true" width="15.77734375" collapsed="true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ZT82151BZE00</v>
      </c>
      <c r="B2" s="137" t="str">
        <f>'TC021-Contrct Part Info L2 (BU)'!$B$3</f>
        <v>ZT82151-BZE00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ZT82151BZK50</v>
      </c>
      <c r="B3" s="137" t="str">
        <f>'TC021-Contrct Part Info L2 (BU)'!$B$4</f>
        <v>ZT82151-BZK50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 s="247">
        <v>60</v>
      </c>
      <c r="M3" s="247">
        <v>60</v>
      </c>
      <c r="N3">
        <v>0</v>
      </c>
      <c r="O3">
        <v>60</v>
      </c>
      <c r="P3" t="s">
        <v>429</v>
      </c>
    </row>
  </sheetData>
  <pageMargins bottom="0.75" footer="0.3" header="0.3" left="0.7" right="0.7" top="0.75"/>
</worksheet>
</file>

<file path=xl/worksheets/sheet1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Q3"/>
  <sheetViews>
    <sheetView workbookViewId="0">
      <selection activeCell="L2" sqref="L2:M3"/>
    </sheetView>
  </sheetViews>
  <sheetFormatPr defaultRowHeight="14.4"/>
  <cols>
    <col min="1" max="16" customWidth="true" width="15.77734375" collapsed="true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ZT82151BZD90</v>
      </c>
      <c r="B2" s="137" t="str">
        <f>'TC021-Contrct Part Info L2 (BU)'!$B$2</f>
        <v>ZT82151-BZD90</v>
      </c>
      <c r="D2" t="str">
        <f>'TC160'!B3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ZT82151BZK50</v>
      </c>
      <c r="B3" s="137" t="str">
        <f>'TC021-Contrct Part Info L2 (BU)'!$B$4</f>
        <v>ZT82151-BZK50</v>
      </c>
      <c r="D3" t="str">
        <f>'TC160'!B3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 s="247">
        <v>40</v>
      </c>
      <c r="M3" s="247">
        <v>40</v>
      </c>
      <c r="N3">
        <v>0</v>
      </c>
      <c r="O3">
        <v>40</v>
      </c>
      <c r="P3" t="s">
        <v>429</v>
      </c>
    </row>
  </sheetData>
  <pageMargins bottom="0.75" footer="0.3" header="0.3" left="0.7" right="0.7" top="0.75"/>
</worksheet>
</file>

<file path=xl/worksheets/sheet1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EFA-925B-4C66-BDCB-73EE5B5D01D0}">
  <dimension ref="A1:AC5"/>
  <sheetViews>
    <sheetView workbookViewId="0">
      <selection activeCell="B10" sqref="B10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TLLU6124978ZTs2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'TC162'!$B$3</f>
        <v>sZ5L225-2311001</v>
      </c>
      <c r="C3" s="8" t="str">
        <f>"C-20130614001"&amp;AutoIncrement!$D$2</f>
        <v>C-20130614001ZTs2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B-NT-ZT-21-001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B-NT-ZT-21-001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bottom="0.75" footer="0.3" header="0.3" left="0.7" right="0.7" top="0.75"/>
</worksheet>
</file>

<file path=xl/worksheets/sheet1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7C4A-7921-4351-8B58-36B067B86431}">
  <dimension ref="A1:AC5"/>
  <sheetViews>
    <sheetView workbookViewId="0">
      <selection sqref="A1:A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866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TLLU6124978ZTs2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'TC160'!$B$3</f>
        <v>cZ5L225-2311001</v>
      </c>
      <c r="C3" s="8" t="str">
        <f>"C-20130614001"&amp;AutoIncrement!$D$2</f>
        <v>C-20130614001ZTs2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B-NT-ZT-21-001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B-NT-ZT-21-001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bottom="0.75" footer="0.3" header="0.3" left="0.7" right="0.7" top="0.75"/>
</worksheet>
</file>

<file path=xl/worksheets/sheet1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L5"/>
  <sheetViews>
    <sheetView workbookViewId="0">
      <selection sqref="A1:F5"/>
    </sheetView>
  </sheetViews>
  <sheetFormatPr defaultRowHeight="14.4"/>
  <cols>
    <col min="2" max="2" customWidth="true" width="29.109375" collapsed="true"/>
    <col min="3" max="3" customWidth="true" width="36.109375" collapsed="true"/>
    <col min="4" max="4" customWidth="true" width="32.21875" collapsed="true"/>
    <col min="5" max="5" customWidth="true" width="33.33203125" collapsed="true"/>
    <col min="6" max="6" customWidth="true" width="20.77734375" collapsed="true"/>
    <col min="7" max="7" customWidth="true" width="20.21875" collapsed="true"/>
    <col min="8" max="8" customWidth="true" width="20.0" collapsed="true"/>
    <col min="9" max="9" customWidth="true" width="16.6640625" collapsed="true"/>
    <col min="10" max="10" customWidth="true" width="17.88671875" collapsed="true"/>
    <col min="11" max="11" customWidth="true" width="18.77734375" collapsed="true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TLLU6124978ZTs2</v>
      </c>
      <c r="F2" s="184" t="s">
        <v>677</v>
      </c>
      <c r="G2" s="186" t="n">
        <f ca="1" ref="G2:G5" si="0" t="shared">TODAY()</f>
        <v>45253.0</v>
      </c>
      <c r="H2" t="str">
        <f>'TC126-Setup'!$A$2</f>
        <v>BL-1</v>
      </c>
      <c r="I2" s="186" t="n">
        <f ca="1" ref="I2:I5" si="1" t="shared">TODAY()</f>
        <v>45253.0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C-20130614001ZTs2</v>
      </c>
      <c r="F3" t="s">
        <v>677</v>
      </c>
      <c r="G3" s="186" t="n">
        <f ca="1">TODAY()</f>
        <v>45253.0</v>
      </c>
      <c r="H3" t="str">
        <f>'TC126-Setup'!$A$2</f>
        <v>BL-1</v>
      </c>
      <c r="I3" s="186" t="n">
        <f ca="1">TODAY()</f>
        <v>45253.0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B-NT-ZT-21-001</v>
      </c>
      <c r="D4" s="8" t="s">
        <v>776</v>
      </c>
      <c r="F4" t="s">
        <v>677</v>
      </c>
      <c r="G4" s="186" t="n">
        <f ca="1" si="0" t="shared"/>
        <v>45253.0</v>
      </c>
      <c r="H4" t="str">
        <f>'TC126-Setup'!$A$2</f>
        <v>BL-1</v>
      </c>
      <c r="I4" s="186" t="n">
        <f ca="1" si="1" t="shared"/>
        <v>45253.0</v>
      </c>
      <c r="J4" t="str">
        <f>'TC126-Setup'!$B$2</f>
        <v>Vessel-1</v>
      </c>
      <c r="K4" t="str">
        <f>'TC126-Setup'!$C$2</f>
        <v>v-1</v>
      </c>
    </row>
    <row customFormat="1" r="5" s="228" spans="1:11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B-NT-ZT-21-001</v>
      </c>
      <c r="D5" s="8"/>
      <c r="E5"/>
      <c r="F5" t="s">
        <v>677</v>
      </c>
      <c r="G5" s="230" t="n">
        <f ca="1" si="0" t="shared"/>
        <v>45253.0</v>
      </c>
      <c r="H5" s="228" t="str">
        <f>'TC126-Setup'!$A$2</f>
        <v>BL-1</v>
      </c>
      <c r="I5" s="230" t="n">
        <f ca="1" si="1" t="shared"/>
        <v>45253.0</v>
      </c>
      <c r="J5" s="228" t="str">
        <f>'TC126-Setup'!$B$2</f>
        <v>Vessel-1</v>
      </c>
      <c r="K5" s="228" t="str">
        <f>'TC126-Setup'!$C$2</f>
        <v>v-1</v>
      </c>
    </row>
  </sheetData>
  <pageMargins bottom="0.75" footer="0.3" header="0.3" left="0.7" right="0.7" top="0.75"/>
</worksheet>
</file>

<file path=xl/worksheets/sheet1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B3"/>
  <sheetViews>
    <sheetView workbookViewId="0">
      <selection activeCell="A2" sqref="A2"/>
    </sheetView>
  </sheetViews>
  <sheetFormatPr defaultRowHeight="14.4"/>
  <cols>
    <col min="1" max="1" customWidth="true" width="21.109375" collapsed="true"/>
  </cols>
  <sheetData>
    <row r="1" spans="1:1">
      <c r="A1" s="209" t="s">
        <v>535</v>
      </c>
    </row>
    <row r="2" spans="1:1">
      <c r="A2" t="s">
        <v>867</v>
      </c>
    </row>
    <row r="3" spans="1:1">
      <c r="A3" t="s">
        <v>868</v>
      </c>
    </row>
  </sheetData>
  <pageMargins bottom="0.75" footer="0.3" header="0.3" left="0.7" right="0.7" top="0.75"/>
</worksheet>
</file>

<file path=xl/worksheets/sheet1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I5"/>
  <sheetViews>
    <sheetView workbookViewId="0">
      <selection activeCell="B8" sqref="B8"/>
    </sheetView>
  </sheetViews>
  <sheetFormatPr defaultRowHeight="14.4"/>
  <cols>
    <col min="1" max="1" customWidth="true" width="25.77734375" collapsed="true"/>
    <col min="2" max="8" customWidth="true" width="15.77734375" collapsed="true"/>
  </cols>
  <sheetData>
    <row r="1" spans="1:8">
      <c r="A1" s="128" t="s">
        <v>578</v>
      </c>
      <c r="B1" s="128" t="s">
        <v>579</v>
      </c>
      <c r="C1" t="s">
        <v>788</v>
      </c>
      <c r="D1" t="s">
        <v>789</v>
      </c>
      <c r="E1" t="s">
        <v>790</v>
      </c>
      <c r="F1" t="s">
        <v>500</v>
      </c>
      <c r="G1" t="s">
        <v>501</v>
      </c>
      <c r="H1" t="s">
        <v>502</v>
      </c>
    </row>
    <row r="2" spans="1:8">
      <c r="A2" s="239" t="str">
        <f>"i-MY-PNA-CUS-"&amp;AutoIncrement!$B$2&amp;"-01-001"</f>
        <v>i-MY-PNA-CUS-ZT-01-001</v>
      </c>
      <c r="B2" s="1" t="str">
        <f ca="1">TEXT(DATE(YEAR(TODAY()), MONTH(TODAY()), DAY(TODAY())), "dd MMM yyyy")</f>
        <v>23 十一月 2023</v>
      </c>
    </row>
    <row r="3" spans="1:8">
      <c r="A3" s="239" t="str">
        <f>"i-MY-PNA-CUS-"&amp;AutoIncrement!$B$2&amp;"-01-002"</f>
        <v>i-MY-PNA-CUS-ZT-01-002</v>
      </c>
      <c r="B3" s="1" t="str">
        <f ca="1">TEXT(DATE(YEAR(TODAY()), MONTH(TODAY()), DAY(TODAY())), "dd MMM yyyy")</f>
        <v>23 十一月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39" t="str">
        <f>"i-MY-PNA-CUS-"&amp;AutoIncrement!$B$2&amp;"-01-003"</f>
        <v>i-MY-PNA-CUS-ZT-01-003</v>
      </c>
      <c r="B4" s="1" t="str">
        <f ca="1">TEXT(DATE(YEAR(TODAY()), MONTH(TODAY()), DAY(TODAY())), "dd MMM yyyy")</f>
        <v>23 十一月 2023</v>
      </c>
    </row>
    <row r="5" spans="1:8">
      <c r="A5" s="239" t="str">
        <f>"i-MY-PNA-CUS-"&amp;AutoIncrement!$B$2&amp;"-01-004"</f>
        <v>i-MY-PNA-CUS-ZT-01-004</v>
      </c>
      <c r="B5" s="1" t="str">
        <f ca="1">TEXT(DATE(YEAR(TODAY()), MONTH(TODAY()), DAY(TODAY())), "dd MMM yyyy")</f>
        <v>23 十一月 2023</v>
      </c>
    </row>
  </sheetData>
  <pageMargins bottom="0.75" footer="0.3" header="0.3" left="0.7" right="0.7" top="0.75"/>
</worksheet>
</file>

<file path=xl/worksheets/sheet1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:B1"/>
  <sheetViews>
    <sheetView workbookViewId="0"/>
  </sheetViews>
  <sheetFormatPr defaultRowHeight="14.4"/>
  <sheetData>
    <row r="1" spans="1:1">
      <c r="A1" s="209" t="s">
        <v>791</v>
      </c>
    </row>
  </sheetData>
  <pageMargins bottom="0.75" footer="0.3" header="0.3" left="0.7" right="0.7" top="0.75"/>
</worksheet>
</file>

<file path=xl/worksheets/sheet1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P3"/>
  <sheetViews>
    <sheetView topLeftCell="B1" workbookViewId="0">
      <selection activeCell="N3" sqref="N3"/>
    </sheetView>
  </sheetViews>
  <sheetFormatPr defaultRowHeight="14.4"/>
  <cols>
    <col min="1" max="15" customWidth="true" width="15.77734375" collapsed="true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(BU)'!$C$3</f>
        <v>ZT82151BZE00</v>
      </c>
      <c r="B2" s="137" t="str">
        <f>'TC021-Contrct Part Info L2 (BU)'!$B$3</f>
        <v>ZT82151-BZE00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ZT82151BZK50</v>
      </c>
      <c r="B3" s="137" t="str">
        <f>'TC021-Contrct Part Info L2 (BU)'!$B$4</f>
        <v>ZT82151-BZK50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608</v>
      </c>
      <c r="M3">
        <v>60</v>
      </c>
      <c r="N3">
        <v>60</v>
      </c>
      <c r="O3" t="s">
        <v>429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I2"/>
  <sheetViews>
    <sheetView workbookViewId="0" zoomScale="90" zoomScaleNormal="90">
      <selection activeCell="E2" sqref="E2"/>
    </sheetView>
  </sheetViews>
  <sheetFormatPr defaultColWidth="8.88671875" defaultRowHeight="13.8"/>
  <cols>
    <col min="1" max="1" customWidth="true" style="1" width="6.0" collapsed="true"/>
    <col min="2" max="8" customWidth="true" style="1" width="20.77734375" collapsed="true"/>
    <col min="9" max="16384" style="1" width="8.88671875" collapsed="true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21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bottom="0.75" footer="0.3" header="0.3" left="0.7" right="0.7" top="0.75"/>
  <pageSetup orientation="portrait" r:id="rId1"/>
</worksheet>
</file>

<file path=xl/worksheets/sheet1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P3"/>
  <sheetViews>
    <sheetView topLeftCell="B1" workbookViewId="0">
      <selection activeCell="N3" sqref="N3"/>
    </sheetView>
  </sheetViews>
  <sheetFormatPr defaultRowHeight="14.4"/>
  <cols>
    <col min="1" max="15" customWidth="true" width="15.77734375" collapsed="true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(BU)'!$C$2</f>
        <v>ZT82151BZD90</v>
      </c>
      <c r="B2" s="137" t="str">
        <f>'TC021-Contrct Part Info L2 (BU)'!$B$2</f>
        <v>ZT82151-BZD90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ZT82151BZK50</v>
      </c>
      <c r="B3" s="137" t="str">
        <f>'TC021-Contrct Part Info L2 (BU)'!$B$4</f>
        <v>ZT82151-BZK50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608</v>
      </c>
      <c r="M3">
        <v>40</v>
      </c>
      <c r="N3">
        <v>40</v>
      </c>
      <c r="O3" t="s">
        <v>429</v>
      </c>
    </row>
  </sheetData>
  <pageMargins bottom="0.75" footer="0.3" header="0.3" left="0.7" right="0.7" top="0.75"/>
</worksheet>
</file>

<file path=xl/worksheets/sheet1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Q3"/>
  <sheetViews>
    <sheetView topLeftCell="C1" workbookViewId="0">
      <selection activeCell="O7" sqref="O7"/>
    </sheetView>
  </sheetViews>
  <sheetFormatPr defaultRowHeight="14.4"/>
  <cols>
    <col min="1" max="16" customWidth="true" width="15.77734375" collapsed="true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ZT82151BZE00</v>
      </c>
      <c r="B2" s="137" t="str">
        <f>'TC021-Contrct Part Info L2 (BU)'!$B$3</f>
        <v>ZT82151-BZE00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ZT82151BZK50</v>
      </c>
      <c r="B3" s="137" t="str">
        <f>'TC021-Contrct Part Info L2 (BU)'!$B$4</f>
        <v>ZT82151-BZK50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bottom="0.75" footer="0.3" header="0.3" left="0.7" right="0.7" top="0.75"/>
</worksheet>
</file>

<file path=xl/worksheets/sheet1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Q3"/>
  <sheetViews>
    <sheetView workbookViewId="0">
      <selection activeCell="O7" sqref="O7"/>
    </sheetView>
  </sheetViews>
  <sheetFormatPr defaultRowHeight="14.4"/>
  <cols>
    <col min="1" max="16" customWidth="true" width="15.77734375" collapsed="true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ZT82151BZD90</v>
      </c>
      <c r="B2" s="137" t="str">
        <f>'TC021-Contrct Part Info L2 (BU)'!$B$2</f>
        <v>ZT82151-BZD90</v>
      </c>
      <c r="D2" t="str">
        <f>'TC160'!$B$3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ZT82151BZK50</v>
      </c>
      <c r="B3" s="137" t="str">
        <f>'TC021-Contrct Part Info L2 (BU)'!$B$4</f>
        <v>ZT82151-BZK50</v>
      </c>
      <c r="D3" t="str">
        <f>'TC160'!$B$3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bottom="0.75" footer="0.3" header="0.3" left="0.7" right="0.7" top="0.75"/>
</worksheet>
</file>

<file path=xl/worksheets/sheet1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C5"/>
  <sheetViews>
    <sheetView workbookViewId="0">
      <selection activeCell="B5" sqref="B5"/>
    </sheetView>
  </sheetViews>
  <sheetFormatPr defaultRowHeight="14.4"/>
  <cols>
    <col min="1" max="2" customWidth="true" width="25.77734375" collapsed="true"/>
  </cols>
  <sheetData>
    <row r="1" spans="1:2">
      <c r="A1" t="s">
        <v>483</v>
      </c>
      <c r="B1" t="s">
        <v>491</v>
      </c>
    </row>
    <row r="2" spans="1:2">
      <c r="A2" s="113"/>
      <c r="B2" s="8" t="str">
        <f>"TLLU6124978"&amp;AutoIncrement!$D$2</f>
        <v>TLLU6124978ZTs2</v>
      </c>
    </row>
    <row r="3" spans="1:2">
      <c r="A3" s="1"/>
      <c r="B3" s="8" t="str">
        <f>"C-20130614001"&amp;AutoIncrement!$D$2</f>
        <v>C-20130614001ZTs2</v>
      </c>
    </row>
    <row r="4" spans="1:2">
      <c r="A4" s="1" t="str">
        <f>"B-NT-"&amp;AutoIncrement!$B$2&amp;"-"&amp;AutoIncrement!$A$2&amp;"-001"</f>
        <v>B-NT-ZT-21-001</v>
      </c>
      <c r="B4" s="8" t="s">
        <v>776</v>
      </c>
    </row>
    <row r="5" spans="1:2">
      <c r="A5" s="1" t="str">
        <f>"B-NT-"&amp;AutoIncrement!$B$2&amp;"-"&amp;AutoIncrement!$A$2&amp;"-001"</f>
        <v>B-NT-ZT-21-001</v>
      </c>
      <c r="B5" s="8"/>
    </row>
  </sheetData>
  <pageMargins bottom="0.75" footer="0.3" header="0.3" left="0.7" right="0.7" top="0.75"/>
</worksheet>
</file>

<file path=xl/worksheets/sheet1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B139-2414-4BCB-ACAB-0831CC54C9FF}">
  <dimension ref="A1:G5"/>
  <sheetViews>
    <sheetView workbookViewId="0">
      <selection activeCell="E2" sqref="E2:E5"/>
    </sheetView>
  </sheetViews>
  <sheetFormatPr defaultRowHeight="14.4"/>
  <cols>
    <col min="1" max="1" customWidth="true" width="21.33203125" collapsed="true"/>
    <col min="2" max="2" customWidth="true" width="21.77734375" collapsed="true"/>
    <col min="3" max="3" customWidth="true" width="23.77734375" collapsed="true"/>
    <col min="4" max="4" customWidth="true" width="21.33203125" collapsed="true"/>
    <col min="5" max="5" customWidth="true" width="26.33203125" collapsed="true"/>
  </cols>
  <sheetData>
    <row r="1" spans="1:6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</row>
    <row r="2" spans="1:6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TLLU6124978ZTs2</v>
      </c>
      <c r="E2" t="s">
        <v>563</v>
      </c>
      <c r="F2" s="184" t="s">
        <v>677</v>
      </c>
    </row>
    <row r="3" spans="1:6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C-20130614001ZTs2</v>
      </c>
      <c r="E3" t="s">
        <v>563</v>
      </c>
      <c r="F3" t="s">
        <v>677</v>
      </c>
    </row>
    <row r="4" spans="1:6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B-NT-ZT-21-001</v>
      </c>
      <c r="D4" s="8" t="s">
        <v>776</v>
      </c>
      <c r="E4" t="s">
        <v>563</v>
      </c>
      <c r="F4" t="s">
        <v>677</v>
      </c>
    </row>
    <row r="5" spans="1:6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B-NT-ZT-21-001</v>
      </c>
      <c r="D5" s="8"/>
      <c r="E5" t="s">
        <v>563</v>
      </c>
      <c r="F5" t="s">
        <v>677</v>
      </c>
    </row>
  </sheetData>
  <pageMargins bottom="0.75" footer="0.3" header="0.3" left="0.7" right="0.7" top="0.75"/>
</worksheet>
</file>

<file path=xl/worksheets/sheet1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AA5"/>
  <sheetViews>
    <sheetView workbookViewId="0">
      <selection activeCell="A3" sqref="A3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ht="14.4" r="2" spans="1:26">
      <c r="A2" t="s">
        <v>611</v>
      </c>
      <c r="B2" t="s">
        <v>609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</row>
    <row ht="14.4" r="3" spans="1:26">
      <c r="A3" t="s">
        <v>611</v>
      </c>
      <c r="B3"/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</row>
    <row ht="14.4" r="4" spans="1:26">
      <c r="A4"/>
      <c r="B4" t="s">
        <v>609</v>
      </c>
      <c r="C4" s="30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</row>
    <row ht="14.4" r="5" spans="1:26">
      <c r="A5"/>
      <c r="B5" t="s">
        <v>610</v>
      </c>
      <c r="C5" s="30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</row>
  </sheetData>
  <pageMargins bottom="0.75" footer="0.3" header="0.3" left="0.7" right="0.7" top="0.75"/>
</worksheet>
</file>

<file path=xl/worksheets/sheet1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863-4AC1-4703-9F80-C1C68F19B888}">
  <dimension ref="A1:AC5"/>
  <sheetViews>
    <sheetView workbookViewId="0">
      <selection sqref="A1:A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866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TLLU6124978ZTs2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'TC160'!$B$3</f>
        <v>cZ5L225-2311001</v>
      </c>
      <c r="C3" s="8" t="str">
        <f>"C-20130614001"&amp;AutoIncrement!$D$2</f>
        <v>C-20130614001ZTs2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B-NT-ZT-21-001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B-NT-ZT-21-001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bottom="0.75" footer="0.3" header="0.3" left="0.7" right="0.7" top="0.75"/>
</worksheet>
</file>

<file path=xl/worksheets/sheet1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ED2A-AADC-450C-84A2-5AD7E834C795}">
  <dimension ref="A1:AC5"/>
  <sheetViews>
    <sheetView workbookViewId="0">
      <selection activeCell="C26" sqref="C2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TLLU6124978ZTs2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'TC162'!$B$3</f>
        <v>sZ5L225-2311001</v>
      </c>
      <c r="C3" s="8" t="str">
        <f>"C-20130614001"&amp;AutoIncrement!$D$2</f>
        <v>C-20130614001ZTs2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B-NT-ZT-21-001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B-NT-ZT-21-001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bottom="0.75" footer="0.3" header="0.3" left="0.7" right="0.7" top="0.75"/>
</worksheet>
</file>

<file path=xl/worksheets/sheet1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B7"/>
  <sheetViews>
    <sheetView workbookViewId="0"/>
  </sheetViews>
  <sheetFormatPr defaultRowHeight="14.4"/>
  <cols>
    <col min="1" max="1" customWidth="true" width="25.44140625" collapsed="true"/>
  </cols>
  <sheetData>
    <row r="1" spans="1:1">
      <c r="A1" t="s">
        <v>792</v>
      </c>
    </row>
    <row r="2" spans="1:1">
      <c r="A2" t="str">
        <f>'TC049 autogen'!$A$2</f>
        <v>pZ525-2310003</v>
      </c>
    </row>
    <row r="3" spans="1:1">
      <c r="A3" t="str">
        <f>'TC049 autogen'!$A$3</f>
        <v>pZ525-2310001</v>
      </c>
    </row>
    <row r="4" spans="1:1">
      <c r="A4" t="str">
        <f>'TC049 autogen'!$A$4</f>
        <v>pZ525-2310002</v>
      </c>
    </row>
    <row r="5" spans="1:1">
      <c r="A5" t="str">
        <f>'TC073 AutoGen'!$A$2</f>
        <v>pZ525-2310005</v>
      </c>
    </row>
    <row r="6" spans="1:1">
      <c r="A6" t="str">
        <f>'TC073 AutoGen'!$A$3</f>
        <v>pZ525-2310004</v>
      </c>
    </row>
    <row r="7" spans="1:1">
      <c r="A7" t="str">
        <f>'TC078-BU AutoGen PO'!$Q$2</f>
        <v>pZ5s125-2310001</v>
      </c>
    </row>
  </sheetData>
  <pageMargins bottom="0.75" footer="0.3" header="0.3" left="0.7" right="0.7" top="0.75"/>
</worksheet>
</file>

<file path=xl/worksheets/sheet1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E4"/>
  <sheetViews>
    <sheetView workbookViewId="0">
      <selection activeCell="B11" sqref="B11"/>
    </sheetView>
  </sheetViews>
  <sheetFormatPr defaultRowHeight="14.4"/>
  <cols>
    <col min="2" max="2" customWidth="true" width="22.0" collapsed="true"/>
    <col min="3" max="3" bestFit="true" customWidth="true" width="12.33203125" collapsed="true"/>
  </cols>
  <sheetData>
    <row r="1" spans="1:4">
      <c r="A1" t="s">
        <v>183</v>
      </c>
      <c r="B1" t="s">
        <v>712</v>
      </c>
      <c r="C1" t="s">
        <v>711</v>
      </c>
      <c r="D1" t="s">
        <v>793</v>
      </c>
    </row>
    <row r="2" spans="1:4">
      <c r="A2" t="s">
        <v>260</v>
      </c>
      <c r="B2" s="176">
        <v>31122320</v>
      </c>
      <c r="C2" t="s">
        <v>755</v>
      </c>
      <c r="D2" t="s">
        <v>755</v>
      </c>
    </row>
    <row r="3" spans="1:4">
      <c r="A3" t="s">
        <v>144</v>
      </c>
      <c r="B3" t="s">
        <v>755</v>
      </c>
      <c r="C3" s="176">
        <v>3226009468</v>
      </c>
      <c r="D3" t="s">
        <v>755</v>
      </c>
    </row>
    <row r="4" spans="1:4">
      <c r="A4" t="s">
        <v>442</v>
      </c>
      <c r="B4" t="s">
        <v>755</v>
      </c>
      <c r="C4" s="176">
        <v>6603319</v>
      </c>
      <c r="D4" t="s">
        <v>755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S4"/>
  <sheetViews>
    <sheetView workbookViewId="0" zoomScale="90" zoomScaleNormal="90">
      <selection activeCell="C3" sqref="C3"/>
    </sheetView>
  </sheetViews>
  <sheetFormatPr defaultColWidth="8.88671875" defaultRowHeight="13.8"/>
  <cols>
    <col min="1" max="1" customWidth="true" style="1" width="5.77734375" collapsed="true"/>
    <col min="2" max="4" customWidth="true" style="1" width="30.77734375" collapsed="true"/>
    <col min="5" max="5" customWidth="true" style="1" width="48.109375" collapsed="true"/>
    <col min="6" max="18" customWidth="true" style="1" width="20.77734375" collapsed="true"/>
    <col min="19" max="16384" style="1" width="8.88671875" collapsed="true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 t="n">
        <f>'TC007-Contract Parts Info'!A2</f>
        <v>1.0</v>
      </c>
      <c r="B2" s="8" t="str">
        <f>AutoIncrement!B2&amp;"BU-PNATEST,20230605000000000000-1"</f>
        <v>ZTBU-PNATEST,20230605000000000000-1</v>
      </c>
      <c r="C2" s="8" t="str">
        <f>AutoIncrement!$B$2&amp;"SUP-PNATEST,20230605000000000000-1"</f>
        <v>ZTSUP-PNATEST,20230605000000000000-1</v>
      </c>
      <c r="D2" s="8" t="str">
        <f>AutoIncrement!$B$2&amp;"ATEST202306050000000000001"</f>
        <v>ZTATEST202306050000000000001</v>
      </c>
      <c r="E2" s="8" t="s">
        <v>518</v>
      </c>
      <c r="F2" s="8" t="s">
        <v>99</v>
      </c>
      <c r="G2" s="1" t="str">
        <f>'TC011-Setup Data'!A2</f>
        <v>ELASUP-ZTs1-021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 t="n">
        <f>'TC007-Contract Parts Info'!A3</f>
        <v>2.0</v>
      </c>
      <c r="B3" s="8" t="str">
        <f>AutoIncrement!B2&amp;"BU-PNATEST,20230605000000000000-2"</f>
        <v>ZTBU-PNATEST,20230605000000000000-2</v>
      </c>
      <c r="C3" s="8" t="str">
        <f>AutoIncrement!$B$2&amp;"SUP-PNATEST,20230605000000000000-2"</f>
        <v>ZTSUP-PNATEST,20230605000000000000-2</v>
      </c>
      <c r="D3" s="8" t="str">
        <f>AutoIncrement!$B$2&amp;"ATEST202306050000000000002"</f>
        <v>ZTATEST202306050000000000002</v>
      </c>
      <c r="E3" s="8" t="s">
        <v>248</v>
      </c>
      <c r="F3" s="8" t="s">
        <v>99</v>
      </c>
      <c r="G3" s="1" t="str">
        <f>'TC011-Setup Data'!A2</f>
        <v>ELASUP-ZTs1-021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 t="n">
        <f>'TC007-Contract Parts Info'!A4</f>
        <v>3.0</v>
      </c>
      <c r="B4" s="8" t="str">
        <f>AutoIncrement!B2&amp;"pna-1219AS-1"</f>
        <v>ZTpna-1219AS-1</v>
      </c>
      <c r="C4" s="8" t="str">
        <f>AutoIncrement!$B$2&amp;"pna-1219AS-1"</f>
        <v>ZTpna-1219AS-1</v>
      </c>
      <c r="D4" s="8" t="str">
        <f>AutoIncrement!$B$2&amp;"pna1219AS1"</f>
        <v>ZTpna1219AS1</v>
      </c>
      <c r="E4" s="8" t="s">
        <v>249</v>
      </c>
      <c r="F4" s="8" t="s">
        <v>99</v>
      </c>
      <c r="G4" s="1" t="str">
        <f>'TC011-Setup Data'!A2</f>
        <v>ELASUP-ZTs1-021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allowBlank="1" showErrorMessage="1" sqref="I2:I3" type="list" xr:uid="{4CAC3F80-93EB-4B4E-B90B-262BE3E76FF1}">
      <formula1>UOM_CODE</formula1>
    </dataValidation>
    <dataValidation allowBlank="1" showErrorMessage="1" sqref="P2:P4" type="list" xr:uid="{A5FCD6EA-6F4B-4D90-A8B2-49F9F49F91E6}">
      <formula1>CURRENCY_CODE</formula1>
    </dataValidation>
  </dataValidations>
  <pageMargins bottom="0.75" footer="0.3" header="0.3" left="0.7" right="0.7" top="0.75"/>
</worksheet>
</file>

<file path=xl/worksheets/sheet1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G3"/>
  <sheetViews>
    <sheetView workbookViewId="0">
      <selection activeCell="C10" sqref="C10"/>
    </sheetView>
  </sheetViews>
  <sheetFormatPr defaultRowHeight="14.4"/>
  <cols>
    <col min="1" max="2" customWidth="true" width="14.109375" collapsed="true"/>
    <col min="3" max="3" customWidth="true" width="14.0" collapsed="true"/>
    <col min="4" max="4" customWidth="true" width="18.5546875" collapsed="true"/>
    <col min="5" max="5" customWidth="true" width="16.77734375" collapsed="true"/>
  </cols>
  <sheetData>
    <row r="1" spans="1:6">
      <c r="A1" t="s">
        <v>794</v>
      </c>
      <c r="B1" t="s">
        <v>799</v>
      </c>
      <c r="C1" t="s">
        <v>795</v>
      </c>
      <c r="D1" t="s">
        <v>796</v>
      </c>
      <c r="E1" t="s">
        <v>797</v>
      </c>
      <c r="F1" t="s">
        <v>798</v>
      </c>
    </row>
    <row r="2" spans="1:6">
      <c r="A2" t="str">
        <f>'TC172-Seller GI Invoice'!$A$2</f>
        <v>PNA2311003</v>
      </c>
      <c r="B2" t="s">
        <v>190</v>
      </c>
      <c r="C2" s="176">
        <v>1600</v>
      </c>
      <c r="D2" s="176">
        <v>1600</v>
      </c>
      <c r="E2">
        <v>100</v>
      </c>
      <c r="F2">
        <v>1</v>
      </c>
    </row>
    <row r="3" spans="1:6">
      <c r="A3" t="str">
        <f>'TC172-Seller GI Invoice'!$A$3</f>
        <v>PNA2311004</v>
      </c>
      <c r="B3" t="s">
        <v>190</v>
      </c>
      <c r="C3" s="176">
        <v>1400</v>
      </c>
      <c r="D3" s="176">
        <v>1400</v>
      </c>
      <c r="E3">
        <v>100</v>
      </c>
      <c r="F3">
        <v>1</v>
      </c>
    </row>
  </sheetData>
  <pageMargins bottom="0.75" footer="0.3" header="0.3" left="0.7" right="0.7" top="0.75"/>
</worksheet>
</file>

<file path=xl/worksheets/sheet1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C5"/>
  <sheetViews>
    <sheetView workbookViewId="0">
      <selection activeCell="B3" sqref="B3"/>
    </sheetView>
  </sheetViews>
  <sheetFormatPr defaultRowHeight="14.4"/>
  <cols>
    <col min="1" max="1" customWidth="true" width="11.6640625" collapsed="true"/>
    <col min="2" max="2" customWidth="true" width="32.33203125" collapsed="true"/>
  </cols>
  <sheetData>
    <row r="1" spans="1:2">
      <c r="A1" t="s">
        <v>708</v>
      </c>
      <c r="B1" t="s">
        <v>129</v>
      </c>
    </row>
    <row r="2" spans="1:2">
      <c r="A2" t="s">
        <v>709</v>
      </c>
      <c r="B2" t="str">
        <f>'TC007-Setup Data'!B2</f>
        <v>PNABU-L3-ZT-021</v>
      </c>
    </row>
    <row r="3" spans="1:2">
      <c r="A3" t="s">
        <v>710</v>
      </c>
      <c r="B3" t="str">
        <f>'TC021-Setup Data'!A2</f>
        <v>PNABU-L2-ZT-021</v>
      </c>
    </row>
    <row r="4" spans="1:2">
      <c r="A4" t="s">
        <v>711</v>
      </c>
      <c r="B4" t="str">
        <f>'TC011-Setup Data'!A2</f>
        <v>ELASUP-ZTs1-021</v>
      </c>
    </row>
    <row r="5" spans="1:2">
      <c r="A5" t="s">
        <v>712</v>
      </c>
      <c r="B5" t="str">
        <f>'TC012-Setup Data'!A2</f>
        <v>JPYAZ-ZTs2-021</v>
      </c>
    </row>
  </sheetData>
  <pageMargins bottom="0.75" footer="0.3" header="0.3" left="0.7" right="0.7" top="0.75"/>
</worksheet>
</file>

<file path=xl/worksheets/sheet1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R1"/>
  <sheetViews>
    <sheetView workbookViewId="0">
      <selection activeCell="C20" sqref="C20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</cols>
  <sheetData>
    <row customFormat="1" customHeight="1" ht="65.25" r="1" s="179" spans="1:17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77" t="s">
        <v>656</v>
      </c>
      <c r="G1" s="177" t="s">
        <v>657</v>
      </c>
      <c r="H1" s="177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bottom="0.75" footer="0.3" header="0.3" left="0.7" right="0.7" top="0.75"/>
</worksheet>
</file>

<file path=xl/worksheets/sheet1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R1"/>
  <sheetViews>
    <sheetView workbookViewId="0">
      <selection activeCell="F2" sqref="F2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</cols>
  <sheetData>
    <row customFormat="1" customHeight="1" ht="65.25" r="1" s="179" spans="1:17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80" t="s">
        <v>656</v>
      </c>
      <c r="G1" s="180" t="s">
        <v>657</v>
      </c>
      <c r="H1" s="181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bottom="0.75" footer="0.3" header="0.3" left="0.7" right="0.7" top="0.75"/>
</worksheet>
</file>

<file path=xl/worksheets/sheet1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L5"/>
  <sheetViews>
    <sheetView workbookViewId="0">
      <selection activeCell="D15" sqref="D15"/>
    </sheetView>
  </sheetViews>
  <sheetFormatPr defaultRowHeight="14.4"/>
  <cols>
    <col min="2" max="2" customWidth="true" width="29.109375" collapsed="true"/>
    <col min="3" max="3" customWidth="true" width="36.109375" collapsed="true"/>
    <col min="4" max="4" customWidth="true" width="32.21875" collapsed="true"/>
    <col min="5" max="5" customWidth="true" width="33.33203125" collapsed="true"/>
    <col min="6" max="6" customWidth="true" width="20.77734375" collapsed="true"/>
    <col min="7" max="7" customWidth="true" width="20.21875" collapsed="true"/>
    <col min="8" max="8" customWidth="true" width="20.0" collapsed="true"/>
    <col min="9" max="9" customWidth="true" width="16.6640625" collapsed="true"/>
    <col min="10" max="10" customWidth="true" width="17.88671875" collapsed="true"/>
    <col min="11" max="11" customWidth="true" width="18.77734375" collapsed="true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"Bs2-"&amp;AutoIncrement!$B$2&amp;"-"&amp;AutoIncrement!$A$2&amp;"-001"</f>
        <v>Bs2-ZT-21-001</v>
      </c>
      <c r="D2" s="8" t="s">
        <v>565</v>
      </c>
      <c r="E2" t="s">
        <v>548</v>
      </c>
      <c r="F2" s="184" t="s">
        <v>677</v>
      </c>
      <c r="G2" s="186" t="n">
        <f ca="1" ref="G2:G5" si="0" t="shared">TODAY()</f>
        <v>45253.0</v>
      </c>
      <c r="H2" t="str">
        <f>'TC126-Setup'!$A$2</f>
        <v>BL-1</v>
      </c>
      <c r="I2" s="186" t="n">
        <f ca="1" ref="I2:I5" si="1" t="shared">TODAY()</f>
        <v>45253.0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">
        <v>569</v>
      </c>
      <c r="E3" t="s">
        <v>548</v>
      </c>
      <c r="F3" t="s">
        <v>677</v>
      </c>
      <c r="G3" s="186" t="n">
        <f ca="1">TODAY()</f>
        <v>45253.0</v>
      </c>
      <c r="H3" t="str">
        <f>'TC126-Setup'!$A$2</f>
        <v>BL-1</v>
      </c>
      <c r="I3" s="186" t="n">
        <f ca="1">TODAY()</f>
        <v>45253.0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">
        <v>543</v>
      </c>
      <c r="E4" t="s">
        <v>548</v>
      </c>
      <c r="F4" t="s">
        <v>677</v>
      </c>
      <c r="G4" s="186" t="n">
        <f ca="1" si="0" t="shared"/>
        <v>45253.0</v>
      </c>
      <c r="H4" t="str">
        <f>'TC126-Setup'!$A$2</f>
        <v>BL-1</v>
      </c>
      <c r="I4" s="186" t="n">
        <f ca="1" si="1" t="shared"/>
        <v>45253.0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o-JP-YAZ-SUP-231026002</v>
      </c>
      <c r="C5" s="1"/>
      <c r="D5" s="8" t="s">
        <v>529</v>
      </c>
      <c r="E5" t="s">
        <v>765</v>
      </c>
      <c r="F5" t="s">
        <v>240</v>
      </c>
      <c r="G5" s="186" t="n">
        <f ca="1" si="0" t="shared"/>
        <v>45253.0</v>
      </c>
      <c r="H5" t="str">
        <f>'TC126-Setup'!$A$2</f>
        <v>BL-1</v>
      </c>
      <c r="I5" s="186" t="n">
        <f ca="1" si="1" t="shared"/>
        <v>45253.0</v>
      </c>
      <c r="J5" t="str">
        <f>'TC126-Setup'!$B$2</f>
        <v>Vessel-1</v>
      </c>
      <c r="K5" t="str">
        <f>'TC126-Setup'!$C$2</f>
        <v>v-1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M6"/>
  <sheetViews>
    <sheetView topLeftCell="B1" workbookViewId="0" zoomScale="90" zoomScaleNormal="90">
      <selection activeCell="D8" sqref="D8"/>
    </sheetView>
  </sheetViews>
  <sheetFormatPr defaultColWidth="8.88671875" defaultRowHeight="13.8"/>
  <cols>
    <col min="1" max="1" customWidth="true" style="1" width="5.77734375" collapsed="true"/>
    <col min="2" max="12" customWidth="true" style="1" width="20.77734375" collapsed="true"/>
    <col min="13" max="16384" style="1" width="8.88671875" collapsed="true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ZTpna1219AS1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ZTpna18001404835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ZTpna18007703930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ZTpna45050040130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ZTpnaNSL2BLACK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allowBlank="1" showErrorMessage="1" sqref="L2:L6" type="list" xr:uid="{90F0C2FF-2C08-4679-9B8A-B7C3ACC3CA5D}">
      <formula1>activeFlagListArr</formula1>
    </dataValidation>
    <dataValidation allowBlank="1" showErrorMessage="1" sqref="K2:K6" type="list" xr:uid="{55E058B5-32A3-410A-9391-4AE66ED751AD}">
      <formula1>partsTypeArr</formula1>
    </dataValidation>
    <dataValidation allowBlank="1" showErrorMessage="1" sqref="J2:J6" type="list" xr:uid="{FC667BE4-A489-48F0-B4E5-1E1C51F90A91}">
      <formula1>rolledPartsUomArr</formula1>
    </dataValidation>
    <dataValidation allowBlank="1" showErrorMessage="1" sqref="I2:I6" type="list" xr:uid="{C343B240-B63E-406A-B363-CA051B7D429C}">
      <formula1>rolledPartsFlagArr</formula1>
    </dataValidation>
    <dataValidation allowBlank="1" showErrorMessage="1" sqref="G2:G6" type="list" xr:uid="{15078B40-3694-428A-98BA-006BE65D33F2}">
      <formula1>findAllUomArr</formula1>
    </dataValidation>
  </dataValidations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B2"/>
  <sheetViews>
    <sheetView workbookViewId="0" zoomScale="90" zoomScaleNormal="90">
      <selection activeCell="A2" sqref="A2"/>
    </sheetView>
  </sheetViews>
  <sheetFormatPr defaultColWidth="8.88671875" defaultRowHeight="13.8"/>
  <cols>
    <col min="1" max="1" customWidth="true" style="1" width="25.77734375" collapsed="true"/>
    <col min="2" max="16384" style="1" width="8.88671875" collapsed="true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ELASUP-ZTs1-021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P2"/>
  <sheetViews>
    <sheetView topLeftCell="E1" workbookViewId="0" zoomScale="90" zoomScaleNormal="90">
      <selection activeCell="N11" sqref="N11"/>
    </sheetView>
  </sheetViews>
  <sheetFormatPr defaultColWidth="8.88671875" defaultRowHeight="13.8"/>
  <cols>
    <col min="1" max="1" customWidth="true" style="1" width="5.77734375" collapsed="true"/>
    <col min="2" max="15" customWidth="true" style="1" width="20.77734375" collapsed="true"/>
    <col min="16" max="16384" style="1" width="8.88671875" collapsed="true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1" t="s">
        <v>164</v>
      </c>
    </row>
    <row ht="14.4" r="2" spans="1:15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ZTs121</v>
      </c>
      <c r="G2" s="1" t="str">
        <f>"CD-"&amp;F2&amp;"-"&amp;AutoIncrement!A2</f>
        <v>CD-ZTs121-21</v>
      </c>
      <c r="H2" s="1" t="str">
        <f>'TC10.2'!C2&amp;"("&amp;'TC10.2'!D2&amp;")"</f>
        <v>ELA 60 DAYS 21(60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ELASUP-PNDC-21(ELASUP-PNDC-21)</v>
      </c>
      <c r="M2" s="1" t="str">
        <f>"RD-"&amp;F2&amp;"-"&amp;AutoIncrement!A2</f>
        <v>RD-ZTs121-21</v>
      </c>
      <c r="N2" s="1" t="s">
        <v>148</v>
      </c>
      <c r="O2" t="s">
        <v>879</v>
      </c>
    </row>
  </sheetData>
  <pageMargins bottom="0.75" footer="0.3" header="0.3" left="0.7" right="0.7" top="0.75"/>
  <pageSetup orientation="portrait"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Y2"/>
  <sheetViews>
    <sheetView topLeftCell="N1" workbookViewId="0" zoomScale="90" zoomScaleNormal="90">
      <selection activeCell="A2" sqref="A2"/>
    </sheetView>
  </sheetViews>
  <sheetFormatPr defaultColWidth="8.88671875" defaultRowHeight="13.8"/>
  <cols>
    <col min="1" max="1" customWidth="true" style="1" width="15.6640625" collapsed="true"/>
    <col min="2" max="24" customWidth="true" style="1" width="20.77734375" collapsed="true"/>
    <col min="25" max="16384" style="1" width="8.88671875" collapsed="true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YAZSUP-PNDC-ZT</v>
      </c>
      <c r="B2" s="32" t="str">
        <f>A2</f>
        <v>YAZSUP-PNDC-ZT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display="ETDWeekDay (click here to set ETD days)" location="RANGE!A1" ref="O1" xr:uid="{538531F2-D852-4CDD-8261-73143680A5AC}"/>
    <hyperlink display="Shipping Frequency Weeks (Click here to add week)" location="RANGE!A1" ref="X1" xr:uid="{0E998B3B-A421-478C-B638-A480DBE803BC}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P2"/>
  <sheetViews>
    <sheetView topLeftCell="E1" workbookViewId="0" zoomScale="90" zoomScaleNormal="90">
      <selection activeCell="K36" sqref="K36"/>
    </sheetView>
  </sheetViews>
  <sheetFormatPr defaultColWidth="8.88671875" defaultRowHeight="13.8"/>
  <cols>
    <col min="1" max="15" customWidth="true" style="1" width="20.77734375" collapsed="true"/>
    <col min="16" max="16384" style="1" width="8.88671875" collapsed="true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I2"/>
  <sheetViews>
    <sheetView workbookViewId="0" zoomScale="90" zoomScaleNormal="90">
      <selection activeCell="E2" sqref="E2"/>
    </sheetView>
  </sheetViews>
  <sheetFormatPr defaultColWidth="8.88671875" defaultRowHeight="13.8"/>
  <cols>
    <col min="1" max="1" customWidth="true" style="1" width="5.77734375" collapsed="true"/>
    <col min="2" max="8" customWidth="true" style="1" width="20.77734375" collapsed="true"/>
    <col min="9" max="16384" style="1" width="8.88671875" collapsed="true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ZT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bottom="0.75" footer="0.3" header="0.3" left="0.7" right="0.7" top="0.75"/>
  <pageSetup orientation="portrait"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S5"/>
  <sheetViews>
    <sheetView workbookViewId="0" zoomScale="90" zoomScaleNormal="90">
      <selection activeCell="D4" sqref="D4"/>
    </sheetView>
  </sheetViews>
  <sheetFormatPr defaultColWidth="8.88671875" defaultRowHeight="13.8"/>
  <cols>
    <col min="1" max="1" customWidth="true" style="1" width="5.6640625" collapsed="true"/>
    <col min="2" max="18" customWidth="true" style="1" width="20.77734375" collapsed="true"/>
    <col min="19" max="16384" style="1" width="8.88671875" collapsed="true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 t="n">
        <f>'TC007-Contract Parts Info'!A2</f>
        <v>1.0</v>
      </c>
      <c r="B2" s="8" t="str">
        <f>AutoIncrement!B2&amp;"pna-18001404835"</f>
        <v>ZTpna-18001404835</v>
      </c>
      <c r="C2" s="8" t="str">
        <f>AutoIncrement!B2&amp;"pna-18001404835"</f>
        <v>ZTpna-18001404835</v>
      </c>
      <c r="D2" s="8" t="str">
        <f>AutoIncrement!$B$2&amp;"pna18001404835"</f>
        <v>ZTpna18001404835</v>
      </c>
      <c r="E2" s="8" t="s">
        <v>259</v>
      </c>
      <c r="F2" s="8" t="s">
        <v>99</v>
      </c>
      <c r="G2" s="1" t="str">
        <f>'TC012-Setup Data'!A2</f>
        <v>JPYAZ-ZTs2-021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 t="n">
        <f>'TC007-Contract Parts Info'!A3</f>
        <v>2.0</v>
      </c>
      <c r="B3" s="8" t="str">
        <f>AutoIncrement!B2&amp;"pna-18007703930"</f>
        <v>ZTpna-18007703930</v>
      </c>
      <c r="C3" s="8" t="str">
        <f>AutoIncrement!B2&amp;"pna-18007703930"</f>
        <v>ZTpna-18007703930</v>
      </c>
      <c r="D3" s="8" t="str">
        <f>AutoIncrement!$B$2&amp;"pna18007703930"</f>
        <v>ZTpna18007703930</v>
      </c>
      <c r="E3" s="8" t="s">
        <v>261</v>
      </c>
      <c r="F3" s="8" t="s">
        <v>99</v>
      </c>
      <c r="G3" s="1" t="str">
        <f>'TC012-Setup Data'!A2</f>
        <v>JPYAZ-ZTs2-021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 t="n">
        <f>'TC007-Contract Parts Info'!A4</f>
        <v>3.0</v>
      </c>
      <c r="B4" s="8" t="str">
        <f>AutoIncrement!B2&amp;"pna-45050040130"</f>
        <v>ZTpna-45050040130</v>
      </c>
      <c r="C4" s="8" t="str">
        <f>AutoIncrement!B2&amp;"pna-45050040130"</f>
        <v>ZTpna-45050040130</v>
      </c>
      <c r="D4" s="8" t="str">
        <f>AutoIncrement!$B$2&amp;"pna45050040130"</f>
        <v>ZTpna45050040130</v>
      </c>
      <c r="E4" s="8" t="s">
        <v>262</v>
      </c>
      <c r="F4" s="8" t="s">
        <v>99</v>
      </c>
      <c r="G4" s="1" t="str">
        <f>'TC012-Setup Data'!A2</f>
        <v>JPYAZ-ZTs2-021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 t="n">
        <f>'TC007-Contract Parts Info'!A5</f>
        <v>4.0</v>
      </c>
      <c r="B5" s="8" t="str">
        <f>AutoIncrement!B2&amp;"pna-NSL-2BLACK"</f>
        <v>ZTpna-NSL-2BLACK</v>
      </c>
      <c r="C5" s="8" t="str">
        <f>AutoIncrement!B2&amp;"pna-NSL-2BLACK"</f>
        <v>ZTpna-NSL-2BLACK</v>
      </c>
      <c r="D5" s="8" t="str">
        <f>AutoIncrement!$B$2&amp;"pnaNSL2BLACK"</f>
        <v>ZTpnaNSL2BLACK</v>
      </c>
      <c r="E5" s="8" t="s">
        <v>263</v>
      </c>
      <c r="F5" s="8" t="s">
        <v>99</v>
      </c>
      <c r="G5" s="1" t="str">
        <f>'TC012-Setup Data'!A2</f>
        <v>JPYAZ-ZTs2-021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allowBlank="1" showErrorMessage="1" sqref="I5" type="list" xr:uid="{B4CCBCB6-9B47-4B60-8712-62278BA2BC79}">
      <formula1>UOM_CODE</formula1>
    </dataValidation>
    <dataValidation allowBlank="1" showErrorMessage="1" sqref="P2:P5" type="list" xr:uid="{9FE5CBCF-5D0C-4D86-9A0A-4CCEED1438B2}">
      <formula1>CURRENCY_CODE</formula1>
    </dataValidation>
  </dataValidations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U2"/>
  <sheetViews>
    <sheetView topLeftCell="J1" workbookViewId="0" zoomScale="90" zoomScaleNormal="90">
      <selection activeCell="S15" sqref="S15"/>
    </sheetView>
  </sheetViews>
  <sheetFormatPr defaultColWidth="8.88671875" defaultRowHeight="13.8"/>
  <cols>
    <col min="1" max="1" customWidth="true" style="1" width="5.77734375" collapsed="true"/>
    <col min="2" max="20" customWidth="true" style="1" width="20.77734375" collapsed="true"/>
    <col min="21" max="16384" style="1" width="8.88671875" collapsed="true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3" t="s">
        <v>164</v>
      </c>
    </row>
    <row ht="14.4" r="2" spans="1:20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21s221</v>
      </c>
      <c r="G2" s="1" t="str">
        <f>"CD-"&amp;F2&amp;"-"&amp;AutoIncrement!A2</f>
        <v>CD-21s221-21</v>
      </c>
      <c r="H2" s="1" t="str">
        <f>'TC11.2'!C2&amp;"("&amp;'TC11.2'!D2&amp;")"</f>
        <v>YAZ 60 DAYS ZT(60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YAZSUP-PNDC-ZT(YAZSUP-PNDC-ZT)</v>
      </c>
      <c r="M2" s="1" t="str">
        <f>"RD-"&amp;AutoIncrement!D2&amp;"-"&amp;AutoIncrement!A2</f>
        <v>RD-ZTs2-21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879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B2"/>
  <sheetViews>
    <sheetView workbookViewId="0" zoomScale="90" zoomScaleNormal="90"/>
  </sheetViews>
  <sheetFormatPr defaultColWidth="8.88671875" defaultRowHeight="13.8"/>
  <cols>
    <col min="1" max="1" customWidth="true" style="1" width="25.6640625" collapsed="true"/>
    <col min="2" max="16384" style="1" width="8.88671875" collapsed="true"/>
  </cols>
  <sheetData>
    <row r="1" spans="1:1">
      <c r="A1" s="1" t="s">
        <v>129</v>
      </c>
    </row>
    <row r="2" spans="1:1">
      <c r="A2" s="1" t="str">
        <f>"JPYAZ-"&amp;AutoIncrement!D2&amp;"-0"&amp;AutoIncrement!A2</f>
        <v>JPYAZ-ZTs2-021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W4"/>
  <sheetViews>
    <sheetView workbookViewId="0" zoomScale="70" zoomScaleNormal="70">
      <selection activeCell="F16" sqref="F16"/>
    </sheetView>
  </sheetViews>
  <sheetFormatPr defaultRowHeight="13.8"/>
  <cols>
    <col min="1" max="1" customWidth="true" style="1" width="50.77734375" collapsed="true"/>
    <col min="2" max="3" customWidth="true" style="1" width="30.77734375" collapsed="true"/>
    <col min="4" max="4" customWidth="true" style="1" width="70.44140625" collapsed="true"/>
    <col min="5" max="5" customWidth="true" style="1" width="30.77734375" collapsed="true"/>
    <col min="6" max="22" customWidth="true" style="1" width="20.77734375" collapsed="true"/>
    <col min="23" max="16384" style="1" width="8.88671875" collapsed="true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ht="27.6" r="2" spans="1:22">
      <c r="A2" s="8" t="str">
        <f>'TC011'!B2</f>
        <v>ZTBU-PNATEST,20230605000000000000-1</v>
      </c>
      <c r="B2" s="8" t="str">
        <f>'TC011'!D2</f>
        <v>ZTATEST202306050000000000001</v>
      </c>
      <c r="C2" s="8" t="str">
        <f>'TC011'!C2</f>
        <v>ZTSUP-PNATEST,20230605000000000000-1</v>
      </c>
      <c r="D2" s="8" t="str">
        <f>'TC011'!B2</f>
        <v>ZTBU-PNATEST,20230605000000000000-1</v>
      </c>
      <c r="E2" s="40" t="s">
        <v>715</v>
      </c>
      <c r="F2" s="8" t="s">
        <v>4</v>
      </c>
      <c r="G2" s="41">
        <v>1.0009999999999999</v>
      </c>
      <c r="H2" s="36" t="str">
        <f ca="1">TEXT(DATE(YEAR(TODAY()), MONTH(TODAY()), DAY(TODAY())), "mmm d, yyyy")</f>
        <v>十一月 23,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ht="27.6" r="3" spans="1:22">
      <c r="A3" s="8" t="str">
        <f>'TC011'!B3</f>
        <v>ZTBU-PNATEST,20230605000000000000-2</v>
      </c>
      <c r="B3" s="8" t="str">
        <f>'TC011'!D3</f>
        <v>ZTATEST202306050000000000002</v>
      </c>
      <c r="C3" s="8" t="str">
        <f>'TC011'!C3</f>
        <v>ZTSUP-PNATEST,20230605000000000000-2</v>
      </c>
      <c r="D3" s="8" t="str">
        <f>'TC011'!B3</f>
        <v>ZTBU-PNATEST,20230605000000000000-2</v>
      </c>
      <c r="E3" s="40" t="s">
        <v>716</v>
      </c>
      <c r="F3" s="8" t="s">
        <v>4</v>
      </c>
      <c r="G3" s="41">
        <v>1.0009999999999999</v>
      </c>
      <c r="H3" s="36" t="str">
        <f ca="1" ref="H3:H4" si="0" t="shared">TEXT(DATE(YEAR(TODAY()), MONTH(TODAY()), DAY(TODAY())), "mmm d, yyyy")</f>
        <v>十一月 23,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ZTpna-1219AS-1</v>
      </c>
      <c r="B4" s="8" t="str">
        <f>'TC011'!D4</f>
        <v>ZTpna1219AS1</v>
      </c>
      <c r="C4" s="8" t="str">
        <f>'TC011'!C4</f>
        <v>ZTpna-1219AS-1</v>
      </c>
      <c r="D4" s="8" t="str">
        <f>'TC011'!B4</f>
        <v>ZTpna-1219AS-1</v>
      </c>
      <c r="E4" s="40" t="s">
        <v>43</v>
      </c>
      <c r="F4" s="8" t="s">
        <v>4</v>
      </c>
      <c r="G4" s="41">
        <v>1.0009999999999999</v>
      </c>
      <c r="H4" s="36" t="str">
        <f ca="1" si="0" t="shared"/>
        <v>十一月 23,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W5"/>
  <sheetViews>
    <sheetView workbookViewId="0" zoomScale="70" zoomScaleNormal="70">
      <selection activeCell="E2" sqref="E2"/>
    </sheetView>
  </sheetViews>
  <sheetFormatPr defaultRowHeight="13.8"/>
  <cols>
    <col min="1" max="5" customWidth="true" style="1" width="30.77734375" collapsed="true"/>
    <col min="6" max="22" customWidth="true" style="1" width="20.77734375" collapsed="true"/>
    <col min="23" max="16384" style="1" width="8.88671875" collapsed="true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ZTpna-18001404835</v>
      </c>
      <c r="B2" s="8" t="str">
        <f>'TC012'!D2</f>
        <v>ZTpna18001404835</v>
      </c>
      <c r="C2" s="8" t="str">
        <f>'TC012'!C2</f>
        <v>ZTpna-18001404835</v>
      </c>
      <c r="D2" s="8" t="str">
        <f>'TC012'!B2</f>
        <v>ZTpna-18001404835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十一月 23,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ZTpna-18007703930</v>
      </c>
      <c r="B3" s="8" t="str">
        <f>'TC012'!D3</f>
        <v>ZTpna18007703930</v>
      </c>
      <c r="C3" s="8" t="str">
        <f>'TC012'!C3</f>
        <v>ZTpna-18007703930</v>
      </c>
      <c r="D3" s="8" t="str">
        <f>'TC012'!B3</f>
        <v>ZTpna-18007703930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ca="1" ref="H3:H5" si="0" t="shared">TEXT(DATE(YEAR(TODAY()), MONTH(TODAY()), DAY(TODAY())), "mmm d, yyyy")</f>
        <v>十一月 23,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ZTpna-45050040130</v>
      </c>
      <c r="B4" s="8" t="str">
        <f>'TC012'!D4</f>
        <v>ZTpna45050040130</v>
      </c>
      <c r="C4" s="8" t="str">
        <f>'TC012'!C4</f>
        <v>ZTpna-45050040130</v>
      </c>
      <c r="D4" s="8" t="str">
        <f>'TC012'!B4</f>
        <v>ZTpna-45050040130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ca="1" si="0" t="shared"/>
        <v>十一月 23,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ZTpna-NSL-2BLACK</v>
      </c>
      <c r="B5" s="8" t="str">
        <f>'TC012'!D5</f>
        <v>ZTpnaNSL2BLACK</v>
      </c>
      <c r="C5" s="8" t="str">
        <f>'TC012'!C5</f>
        <v>ZTpna-NSL-2BLACK</v>
      </c>
      <c r="D5" s="8" t="str">
        <f>'TC012'!B5</f>
        <v>ZTpna-NSL-2BLACK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ca="1" si="0" t="shared"/>
        <v>十一月 23,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L6"/>
  <sheetViews>
    <sheetView workbookViewId="0" zoomScale="90" zoomScaleNormal="90">
      <selection activeCell="D3" sqref="D3:D6"/>
    </sheetView>
  </sheetViews>
  <sheetFormatPr defaultColWidth="8.88671875" defaultRowHeight="13.8"/>
  <cols>
    <col min="1" max="1" customWidth="true" style="1" width="5.77734375" collapsed="true"/>
    <col min="2" max="4" customWidth="true" style="1" width="20.77734375" collapsed="true"/>
    <col min="5" max="5" customWidth="true" style="1" width="63.44140625" collapsed="true"/>
    <col min="6" max="11" customWidth="true" style="1" width="20.77734375" collapsed="true"/>
    <col min="12" max="16384" style="1" width="8.88671875" collapsed="true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ZTpna-1219AS-1</v>
      </c>
      <c r="D2" s="10" t="str">
        <f>AutoIncrement!$B$2&amp;"pna1219AS1"</f>
        <v>ZTpna1219AS1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ZTpna-18001404835</v>
      </c>
      <c r="D3" s="10" t="str">
        <f>AutoIncrement!$B$2&amp;"pna18001404835"</f>
        <v>ZTpna18001404835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ZTpna-18007703930</v>
      </c>
      <c r="D4" s="10" t="str">
        <f>AutoIncrement!$B$2&amp;"pna18007703930"</f>
        <v>ZTpna18007703930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ZTpna-45050040130</v>
      </c>
      <c r="D5" s="10" t="str">
        <f>AutoIncrement!$B$2&amp;"pna45050040130"</f>
        <v>ZTpna45050040130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ZTpna-NSL-2BLACK</v>
      </c>
      <c r="D6" s="10" t="str">
        <f>AutoIncrement!$B$2&amp;"pnaNSL2BLACK"</f>
        <v>ZTpnaNSL2BLACK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count="3" disablePrompts="1">
    <dataValidation allowBlank="1" showErrorMessage="1" sqref="K2:K6" type="list" xr:uid="{7A570286-E27F-4F23-A3BE-57A393E5A324}">
      <formula1>activeFlagStrArr</formula1>
    </dataValidation>
    <dataValidation allowBlank="1" showErrorMessage="1" sqref="I2:I6" type="list" xr:uid="{5ECB259D-E693-437C-988E-9C82E5D82788}">
      <formula1>rolledPartsUomArr</formula1>
    </dataValidation>
    <dataValidation allowBlank="1" showErrorMessage="1" sqref="J2:J6" type="list" xr:uid="{4F17AFBA-647F-4CA0-BA74-DFF288EDC6FF}">
      <formula1>pairedPartsFlagStrArr</formula1>
    </dataValidation>
  </dataValidations>
  <pageMargins bottom="0.75" footer="0.3" header="0.3" left="0.7" right="0.7" top="0.75"/>
  <pageSetup orientation="portrait" r:id="rId1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Z2"/>
  <sheetViews>
    <sheetView workbookViewId="0" zoomScale="85" zoomScaleNormal="85">
      <selection activeCell="D27" sqref="D27"/>
    </sheetView>
  </sheetViews>
  <sheetFormatPr defaultRowHeight="14.4"/>
  <cols>
    <col min="1" max="15" customWidth="true" width="20.77734375" collapsed="true"/>
    <col min="16" max="16" customWidth="true" width="43.44140625" collapsed="true"/>
    <col min="17" max="25" customWidth="true" width="20.77734375" collapsed="true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ELASUP-ZTs1-021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ZTs121</v>
      </c>
      <c r="O2" t="str">
        <f>'TC011-Received Req Info (SUP1)'!G2</f>
        <v>CD-ZTs121-21</v>
      </c>
      <c r="P2" t="str">
        <f>'TC10.2'!C2&amp;"("&amp;'TC10.2'!D2&amp;")"</f>
        <v>ELA 60 DAYS 21(60 DAYS BY INV DATE)</v>
      </c>
      <c r="R2" t="s">
        <v>144</v>
      </c>
      <c r="S2" t="s">
        <v>167</v>
      </c>
      <c r="T2" t="s">
        <v>98</v>
      </c>
      <c r="V2" s="39" t="str">
        <f>'TC010.1'!A2</f>
        <v>ELASUP-PNDC-21</v>
      </c>
      <c r="W2" t="s">
        <v>148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W4"/>
  <sheetViews>
    <sheetView workbookViewId="0" zoomScale="70" zoomScaleNormal="70">
      <selection activeCell="C3" sqref="C3"/>
    </sheetView>
  </sheetViews>
  <sheetFormatPr defaultRowHeight="13.8"/>
  <cols>
    <col min="1" max="1" customWidth="true" style="1" width="50.77734375" collapsed="true"/>
    <col min="2" max="3" customWidth="true" style="1" width="30.77734375" collapsed="true"/>
    <col min="4" max="4" customWidth="true" style="1" width="70.44140625" collapsed="true"/>
    <col min="5" max="5" customWidth="true" style="1" width="30.77734375" collapsed="true"/>
    <col min="6" max="22" customWidth="true" style="1" width="20.77734375" collapsed="true"/>
    <col min="23" max="16384" style="1" width="8.88671875" collapsed="true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ht="27.6" r="2" spans="1:22">
      <c r="A2" s="8" t="str">
        <f>'TC011'!$C2</f>
        <v>ZTSUP-PNATEST,20230605000000000000-1</v>
      </c>
      <c r="B2" s="8" t="str">
        <f>'TC011'!D2</f>
        <v>ZTATEST202306050000000000001</v>
      </c>
      <c r="C2" s="8" t="str">
        <f>'TC011'!C2</f>
        <v>ZTSUP-PNATEST,20230605000000000000-1</v>
      </c>
      <c r="D2" s="8" t="str">
        <f>'TC011'!B2</f>
        <v>ZTBU-PNATEST,20230605000000000000-1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十一月 23,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ht="27.6" r="3" spans="1:22">
      <c r="A3" s="8" t="str">
        <f>'TC011'!$C3</f>
        <v>ZTSUP-PNATEST,20230605000000000000-2</v>
      </c>
      <c r="B3" s="8" t="str">
        <f>'TC011'!D3</f>
        <v>ZTATEST202306050000000000002</v>
      </c>
      <c r="C3" s="8" t="str">
        <f>'TC011'!C3</f>
        <v>ZTSUP-PNATEST,20230605000000000000-2</v>
      </c>
      <c r="D3" s="8" t="str">
        <f>'TC011'!B3</f>
        <v>ZTBU-PNATEST,20230605000000000000-2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ca="1" ref="H3:H4" si="0" t="shared">TEXT(DATE(YEAR(TODAY()), MONTH(TODAY()), DAY(TODAY())), "mmm d, yyyy")</f>
        <v>十一月 23,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ZTpna-1219AS-1</v>
      </c>
      <c r="B4" s="8" t="str">
        <f>'TC011'!D4</f>
        <v>ZTpna1219AS1</v>
      </c>
      <c r="C4" s="8" t="str">
        <f>'TC011'!C4</f>
        <v>ZTpna-1219AS-1</v>
      </c>
      <c r="D4" s="8" t="str">
        <f>'TC011'!B4</f>
        <v>ZTpna-1219AS-1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ca="1" si="0" t="shared"/>
        <v>十一月 23,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E2"/>
  <sheetViews>
    <sheetView workbookViewId="0" zoomScale="85" zoomScaleNormal="85">
      <selection activeCell="A2" sqref="A2"/>
    </sheetView>
  </sheetViews>
  <sheetFormatPr defaultRowHeight="14.4"/>
  <cols>
    <col min="1" max="15" customWidth="true" width="20.77734375" collapsed="true"/>
    <col min="16" max="16" customWidth="true" width="35.6640625" collapsed="true"/>
    <col min="17" max="17" customWidth="true" width="28.33203125" collapsed="true"/>
    <col min="18" max="30" customWidth="true" width="20.77734375" collapsed="true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JPYAZ-ZTs2-021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21s221</v>
      </c>
      <c r="O2" t="str">
        <f>'TC012-Received Req Info (SUP2)'!G2</f>
        <v>CD-21s221-21</v>
      </c>
      <c r="P2" t="str">
        <f>'TC11.2'!C2&amp;"("&amp;'TC11.2'!D2&amp;")"</f>
        <v>YAZ 60 DAYS ZT(60 DAYS BY INV DATE)</v>
      </c>
      <c r="Q2" t="str">
        <f>'TC11.2'!C2&amp;"("&amp;'TC11.2'!D2&amp;")"</f>
        <v>YAZ 60 DAYS ZT(60 DAYS BY INV DATE)</v>
      </c>
      <c r="R2" t="s">
        <v>260</v>
      </c>
      <c r="S2" t="s">
        <v>167</v>
      </c>
      <c r="T2" t="s">
        <v>98</v>
      </c>
      <c r="V2" s="39" t="str">
        <f>'TC011.1'!A2</f>
        <v>YAZSUP-PNDC-ZT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W5"/>
  <sheetViews>
    <sheetView workbookViewId="0" zoomScale="70" zoomScaleNormal="70">
      <selection activeCell="E32" sqref="E32"/>
    </sheetView>
  </sheetViews>
  <sheetFormatPr defaultRowHeight="13.8"/>
  <cols>
    <col min="1" max="5" customWidth="true" style="1" width="30.77734375" collapsed="true"/>
    <col min="6" max="22" customWidth="true" style="1" width="20.77734375" collapsed="true"/>
    <col min="23" max="16384" style="1" width="8.88671875" collapsed="true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ZTpna-18001404835</v>
      </c>
      <c r="B2" s="8" t="str">
        <f>'TC012'!D2</f>
        <v>ZTpna18001404835</v>
      </c>
      <c r="C2" s="8" t="str">
        <f>'TC012'!C2</f>
        <v>ZTpna-18001404835</v>
      </c>
      <c r="D2" s="8" t="str">
        <f>'TC012'!B2</f>
        <v>ZTpna-18001404835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十一月 23,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ZTpna-18007703930</v>
      </c>
      <c r="B3" s="8" t="str">
        <f>'TC012'!D3</f>
        <v>ZTpna18007703930</v>
      </c>
      <c r="C3" s="8" t="str">
        <f>'TC012'!C3</f>
        <v>ZTpna-18007703930</v>
      </c>
      <c r="D3" s="8" t="str">
        <f>'TC012'!B3</f>
        <v>ZTpna-18007703930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ca="1" ref="H3:H5" si="0" t="shared">TEXT(DATE(YEAR(TODAY()), MONTH(TODAY()), DAY(TODAY())), "mmm d, yyyy")</f>
        <v>十一月 23,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ZTpna-45050040130</v>
      </c>
      <c r="B4" s="8" t="str">
        <f>'TC012'!D4</f>
        <v>ZTpna45050040130</v>
      </c>
      <c r="C4" s="8" t="str">
        <f>'TC012'!C4</f>
        <v>ZTpna-45050040130</v>
      </c>
      <c r="D4" s="8" t="str">
        <f>'TC012'!B4</f>
        <v>ZTpna-45050040130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ca="1" si="0" t="shared"/>
        <v>十一月 23,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ZTpna-NSL-2BLACK</v>
      </c>
      <c r="B5" s="8" t="str">
        <f>'TC012'!D5</f>
        <v>ZTpnaNSL2BLACK</v>
      </c>
      <c r="C5" s="8" t="str">
        <f>'TC012'!C5</f>
        <v>ZTpna-NSL-2BLACK</v>
      </c>
      <c r="D5" s="8" t="str">
        <f>'TC012'!B5</f>
        <v>ZTpna-NSL-2BLACK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ca="1" si="0" t="shared"/>
        <v>十一月 23,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K8"/>
  <sheetViews>
    <sheetView workbookViewId="0" zoomScale="80" zoomScaleNormal="80">
      <selection activeCell="A3" sqref="A3"/>
    </sheetView>
  </sheetViews>
  <sheetFormatPr defaultRowHeight="13.8"/>
  <cols>
    <col min="1" max="5" customWidth="true" style="1" width="30.77734375" collapsed="true"/>
    <col min="6" max="10" customWidth="true" style="1" width="20.77734375" collapsed="true"/>
    <col min="11" max="16384" style="1" width="8.88671875" collapsed="true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ht="14.4" r="2" spans="1:10">
      <c r="A2" t="s">
        <v>873</v>
      </c>
      <c r="B2" s="30" t="s">
        <v>99</v>
      </c>
      <c r="C2" s="30" t="s">
        <v>291</v>
      </c>
      <c r="D2" s="10" t="str">
        <f>'TC007-Contract Parts Info'!D2</f>
        <v>ZTATEST202306050000000000001</v>
      </c>
      <c r="E2" s="10" t="str">
        <f>'TC007-Contract Parts Info'!B2</f>
        <v>ZTCUS-PNATEST,20230605000000000000-1</v>
      </c>
      <c r="F2" s="10" t="s">
        <v>190</v>
      </c>
      <c r="G2" s="10" t="str">
        <f>'TC007-Setup Data'!B2</f>
        <v>PNABU-L3-ZT-021</v>
      </c>
      <c r="H2" s="30" t="s">
        <v>167</v>
      </c>
      <c r="I2" s="30" t="s">
        <v>98</v>
      </c>
      <c r="J2" s="10" t="str">
        <f>'TC004'!$A$2</f>
        <v>PNDC-PNCUS-ZT</v>
      </c>
    </row>
    <row r="3" spans="1:10">
      <c r="A3" s="30"/>
      <c r="B3" s="30"/>
      <c r="C3" s="30"/>
      <c r="D3" s="10" t="str">
        <f>'TC007-Contract Parts Info'!D3</f>
        <v>ZTATEST202306050000000000002</v>
      </c>
      <c r="E3" s="10" t="str">
        <f>'TC007-Contract Parts Info'!B3</f>
        <v>ZTCUS-PNATEST,20230605000000000000-2</v>
      </c>
      <c r="F3" s="10" t="s">
        <v>190</v>
      </c>
      <c r="G3" s="10" t="str">
        <f>'TC007-Setup Data'!B2</f>
        <v>PNABU-L3-ZT-021</v>
      </c>
      <c r="H3" s="30" t="s">
        <v>167</v>
      </c>
      <c r="I3" s="30" t="s">
        <v>98</v>
      </c>
      <c r="J3" s="10" t="str">
        <f>'TC004'!$A$2</f>
        <v>PNDC-PNCUS-ZT</v>
      </c>
    </row>
    <row r="4" spans="1:10">
      <c r="A4" s="30"/>
      <c r="B4" s="30"/>
      <c r="C4" s="30"/>
      <c r="D4" s="10" t="str">
        <f>'TC007-Contract Parts Info'!D4</f>
        <v>ZTpna1219AS1</v>
      </c>
      <c r="E4" s="10" t="str">
        <f>'TC007-Contract Parts Info'!B4</f>
        <v>ZTpna-1219AS-1</v>
      </c>
      <c r="F4" s="10" t="s">
        <v>190</v>
      </c>
      <c r="G4" s="10" t="str">
        <f>'TC007-Setup Data'!B2</f>
        <v>PNABU-L3-ZT-021</v>
      </c>
      <c r="H4" s="30" t="s">
        <v>167</v>
      </c>
      <c r="I4" s="30" t="s">
        <v>98</v>
      </c>
      <c r="J4" s="10" t="str">
        <f>'TC004'!$A$2</f>
        <v>PNDC-PNCUS-ZT</v>
      </c>
    </row>
    <row r="5" spans="1:10">
      <c r="D5" s="10" t="str">
        <f>'TC007-Contract Parts Info'!D5</f>
        <v>ZTpna18001404835</v>
      </c>
      <c r="E5" s="10" t="str">
        <f>'TC007-Contract Parts Info'!B5</f>
        <v>ZTpna-18001404835</v>
      </c>
      <c r="F5" s="10" t="s">
        <v>190</v>
      </c>
      <c r="G5" s="10" t="str">
        <f>'TC007-Setup Data'!B2</f>
        <v>PNABU-L3-ZT-021</v>
      </c>
      <c r="H5" s="30" t="s">
        <v>167</v>
      </c>
      <c r="I5" s="30" t="s">
        <v>98</v>
      </c>
      <c r="J5" s="10" t="str">
        <f>'TC004'!$A$2</f>
        <v>PNDC-PNCUS-ZT</v>
      </c>
    </row>
    <row r="6" spans="1:10">
      <c r="D6" s="10" t="str">
        <f>'TC007-Contract Parts Info'!D6</f>
        <v>ZTpna18007703930</v>
      </c>
      <c r="E6" s="10" t="str">
        <f>'TC007-Contract Parts Info'!B6</f>
        <v>ZTpna-18007703930</v>
      </c>
      <c r="F6" s="10" t="s">
        <v>190</v>
      </c>
      <c r="G6" s="10" t="str">
        <f>'TC007-Setup Data'!B2</f>
        <v>PNABU-L3-ZT-021</v>
      </c>
      <c r="H6" s="30" t="s">
        <v>167</v>
      </c>
      <c r="I6" s="30" t="s">
        <v>98</v>
      </c>
      <c r="J6" s="10" t="str">
        <f>'TC004'!$A$2</f>
        <v>PNDC-PNCUS-ZT</v>
      </c>
    </row>
    <row r="7" spans="1:10">
      <c r="D7" s="10" t="str">
        <f>'TC007-Contract Parts Info'!D7</f>
        <v>ZTpna45050040130</v>
      </c>
      <c r="E7" s="10" t="str">
        <f>'TC007-Contract Parts Info'!B7</f>
        <v>ZTpna-45050040130</v>
      </c>
      <c r="F7" s="10" t="s">
        <v>190</v>
      </c>
      <c r="G7" s="10" t="str">
        <f>'TC007-Setup Data'!B2</f>
        <v>PNABU-L3-ZT-021</v>
      </c>
      <c r="H7" s="30" t="s">
        <v>167</v>
      </c>
      <c r="I7" s="30" t="s">
        <v>98</v>
      </c>
      <c r="J7" s="10" t="str">
        <f>'TC004'!$A$2</f>
        <v>PNDC-PNCUS-ZT</v>
      </c>
    </row>
    <row r="8" spans="1:10">
      <c r="D8" s="10" t="str">
        <f>'TC007-Contract Parts Info'!D8</f>
        <v>ZTpnaNSL2BLACK</v>
      </c>
      <c r="E8" s="10" t="str">
        <f>'TC007-Contract Parts Info'!B8</f>
        <v>ZTpna-NSL-2BLACK</v>
      </c>
      <c r="F8" s="10" t="s">
        <v>190</v>
      </c>
      <c r="G8" s="10" t="str">
        <f>'TC007-Setup Data'!B2</f>
        <v>PNABU-L3-ZT-021</v>
      </c>
      <c r="H8" s="30" t="s">
        <v>167</v>
      </c>
      <c r="I8" s="30" t="s">
        <v>98</v>
      </c>
      <c r="J8" s="10" t="str">
        <f>'TC004'!$A$2</f>
        <v>PNDC-PNCUS-ZT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P8"/>
  <sheetViews>
    <sheetView workbookViewId="0" zoomScale="70" zoomScaleNormal="70">
      <selection activeCell="A2" sqref="A2"/>
    </sheetView>
  </sheetViews>
  <sheetFormatPr defaultRowHeight="13.8"/>
  <cols>
    <col min="1" max="5" customWidth="true" style="1" width="30.77734375" collapsed="true"/>
    <col min="6" max="15" customWidth="true" style="1" width="20.77734375" collapsed="true"/>
    <col min="16" max="16384" style="1" width="8.88671875" collapsed="true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CR-MY-PNA-CUS-2311005</v>
      </c>
      <c r="B2" s="30" t="s">
        <v>99</v>
      </c>
      <c r="C2" s="30" t="s">
        <v>291</v>
      </c>
      <c r="D2" s="10" t="str">
        <f>'TC007-Contract Parts Info'!D2</f>
        <v>ZTATEST202306050000000000001</v>
      </c>
      <c r="E2" s="42" t="str">
        <f>'TC007-Contract Parts Info'!C2</f>
        <v>ZTBU-PNATEST,20230605000000000000-1</v>
      </c>
      <c r="F2" s="10" t="s">
        <v>99</v>
      </c>
      <c r="G2" s="10" t="str">
        <f>'TC007-Setup Data'!B2</f>
        <v>PNABU-L3-ZT-021</v>
      </c>
      <c r="H2" s="30" t="s">
        <v>167</v>
      </c>
      <c r="I2" s="30" t="s">
        <v>99</v>
      </c>
      <c r="J2" s="10" t="str">
        <f>'TC004'!$A$2</f>
        <v>PNDC-PNCUS-ZT</v>
      </c>
      <c r="K2" s="43" t="s">
        <v>145</v>
      </c>
      <c r="L2" s="44" t="str">
        <f>'TC011-Setup Data'!A2</f>
        <v>ELASUP-ZTs1-021</v>
      </c>
      <c r="M2" s="30" t="s">
        <v>167</v>
      </c>
      <c r="N2" s="43" t="s">
        <v>145</v>
      </c>
      <c r="O2" s="10" t="str">
        <f>'TC010.1'!$A$2</f>
        <v>ELASUP-PNDC-21</v>
      </c>
    </row>
    <row r="3" spans="1:15">
      <c r="A3" s="30"/>
      <c r="B3" s="30"/>
      <c r="C3" s="30"/>
      <c r="D3" s="10" t="str">
        <f>'TC007-Contract Parts Info'!D3</f>
        <v>ZTATEST202306050000000000002</v>
      </c>
      <c r="E3" s="42" t="str">
        <f>'TC007-Contract Parts Info'!C3</f>
        <v>ZTBU-PNATEST,20230605000000000000-2</v>
      </c>
      <c r="F3" s="10" t="s">
        <v>99</v>
      </c>
      <c r="G3" s="10" t="str">
        <f>'TC007-Setup Data'!B2</f>
        <v>PNABU-L3-ZT-021</v>
      </c>
      <c r="H3" s="30" t="s">
        <v>167</v>
      </c>
      <c r="I3" s="30" t="s">
        <v>99</v>
      </c>
      <c r="J3" s="10" t="str">
        <f>'TC004'!$A$2</f>
        <v>PNDC-PNCUS-ZT</v>
      </c>
      <c r="K3" s="43" t="s">
        <v>145</v>
      </c>
      <c r="L3" s="44" t="str">
        <f>'TC011-Setup Data'!A2</f>
        <v>ELASUP-ZTs1-021</v>
      </c>
      <c r="M3" s="30" t="s">
        <v>167</v>
      </c>
      <c r="N3" s="43" t="s">
        <v>145</v>
      </c>
      <c r="O3" s="10" t="str">
        <f>'TC010.1'!$A$2</f>
        <v>ELASUP-PNDC-21</v>
      </c>
    </row>
    <row r="4" spans="1:15">
      <c r="A4" s="30"/>
      <c r="B4" s="30"/>
      <c r="C4" s="30"/>
      <c r="D4" s="10" t="str">
        <f>'TC007-Contract Parts Info'!D4</f>
        <v>ZTpna1219AS1</v>
      </c>
      <c r="E4" s="42" t="str">
        <f>'TC007-Contract Parts Info'!C4</f>
        <v>ZTpna-1219AS-1</v>
      </c>
      <c r="F4" s="10" t="s">
        <v>99</v>
      </c>
      <c r="G4" s="10" t="str">
        <f>'TC007-Setup Data'!B2</f>
        <v>PNABU-L3-ZT-021</v>
      </c>
      <c r="H4" s="30" t="s">
        <v>167</v>
      </c>
      <c r="I4" s="30" t="s">
        <v>99</v>
      </c>
      <c r="J4" s="10" t="str">
        <f>'TC004'!$A$2</f>
        <v>PNDC-PNCUS-ZT</v>
      </c>
      <c r="K4" s="43" t="s">
        <v>145</v>
      </c>
      <c r="L4" s="44" t="str">
        <f>'TC011-Setup Data'!A2</f>
        <v>ELASUP-ZTs1-021</v>
      </c>
      <c r="M4" s="30" t="s">
        <v>167</v>
      </c>
      <c r="N4" s="43" t="s">
        <v>145</v>
      </c>
      <c r="O4" s="10" t="str">
        <f>'TC010.1'!$A$2</f>
        <v>ELASUP-PNDC-21</v>
      </c>
    </row>
    <row r="5" spans="1:15">
      <c r="D5" s="10" t="str">
        <f>'TC007-Contract Parts Info'!D5</f>
        <v>ZTpna18001404835</v>
      </c>
      <c r="E5" s="42" t="str">
        <f>'TC007-Contract Parts Info'!C5</f>
        <v>ZTpna-18001404835</v>
      </c>
      <c r="F5" s="10" t="s">
        <v>99</v>
      </c>
      <c r="G5" s="10" t="str">
        <f>'TC007-Setup Data'!B2</f>
        <v>PNABU-L3-ZT-021</v>
      </c>
      <c r="H5" s="30" t="s">
        <v>167</v>
      </c>
      <c r="I5" s="30" t="s">
        <v>99</v>
      </c>
      <c r="J5" s="10" t="str">
        <f>'TC004'!$A$2</f>
        <v>PNDC-PNCUS-ZT</v>
      </c>
      <c r="K5" s="43" t="s">
        <v>150</v>
      </c>
      <c r="L5" s="44" t="str">
        <f>'TC012-Setup Data'!A2</f>
        <v>JPYAZ-ZTs2-021</v>
      </c>
      <c r="M5" s="30" t="s">
        <v>167</v>
      </c>
      <c r="N5" s="43" t="s">
        <v>150</v>
      </c>
      <c r="O5" s="10" t="str">
        <f>'TC011.1'!$A$2</f>
        <v>YAZSUP-PNDC-ZT</v>
      </c>
    </row>
    <row r="6" spans="1:15">
      <c r="D6" s="10" t="str">
        <f>'TC007-Contract Parts Info'!D6</f>
        <v>ZTpna18007703930</v>
      </c>
      <c r="E6" s="42" t="str">
        <f>'TC007-Contract Parts Info'!C6</f>
        <v>ZTpna-18007703930</v>
      </c>
      <c r="F6" s="10" t="s">
        <v>99</v>
      </c>
      <c r="G6" s="10" t="str">
        <f>'TC007-Setup Data'!B2</f>
        <v>PNABU-L3-ZT-021</v>
      </c>
      <c r="H6" s="30" t="s">
        <v>167</v>
      </c>
      <c r="I6" s="30" t="s">
        <v>99</v>
      </c>
      <c r="J6" s="10" t="str">
        <f>'TC004'!$A$2</f>
        <v>PNDC-PNCUS-ZT</v>
      </c>
      <c r="K6" s="43" t="s">
        <v>150</v>
      </c>
      <c r="L6" s="44" t="str">
        <f>'TC012-Setup Data'!A2</f>
        <v>JPYAZ-ZTs2-021</v>
      </c>
      <c r="M6" s="30" t="s">
        <v>167</v>
      </c>
      <c r="N6" s="43" t="s">
        <v>150</v>
      </c>
      <c r="O6" s="10" t="str">
        <f>'TC011.1'!$A$2</f>
        <v>YAZSUP-PNDC-ZT</v>
      </c>
    </row>
    <row r="7" spans="1:15">
      <c r="D7" s="10" t="str">
        <f>'TC007-Contract Parts Info'!D7</f>
        <v>ZTpna45050040130</v>
      </c>
      <c r="E7" s="42" t="str">
        <f>'TC007-Contract Parts Info'!C7</f>
        <v>ZTpna-45050040130</v>
      </c>
      <c r="F7" s="10" t="s">
        <v>99</v>
      </c>
      <c r="G7" s="10" t="str">
        <f>'TC007-Setup Data'!B2</f>
        <v>PNABU-L3-ZT-021</v>
      </c>
      <c r="H7" s="30" t="s">
        <v>167</v>
      </c>
      <c r="I7" s="30" t="s">
        <v>99</v>
      </c>
      <c r="J7" s="10" t="str">
        <f>'TC004'!$A$2</f>
        <v>PNDC-PNCUS-ZT</v>
      </c>
      <c r="K7" s="43" t="s">
        <v>150</v>
      </c>
      <c r="L7" s="44" t="str">
        <f>'TC012-Setup Data'!A2</f>
        <v>JPYAZ-ZTs2-021</v>
      </c>
      <c r="M7" s="30" t="s">
        <v>167</v>
      </c>
      <c r="N7" s="43" t="s">
        <v>150</v>
      </c>
      <c r="O7" s="10" t="str">
        <f>'TC011.1'!$A$2</f>
        <v>YAZSUP-PNDC-ZT</v>
      </c>
    </row>
    <row r="8" spans="1:15">
      <c r="D8" s="10" t="str">
        <f>'TC007-Contract Parts Info'!D8</f>
        <v>ZTpnaNSL2BLACK</v>
      </c>
      <c r="E8" s="42" t="str">
        <f>'TC007-Contract Parts Info'!C8</f>
        <v>ZTpna-NSL-2BLACK</v>
      </c>
      <c r="F8" s="10" t="s">
        <v>99</v>
      </c>
      <c r="G8" s="10" t="str">
        <f>'TC007-Setup Data'!B2</f>
        <v>PNABU-L3-ZT-021</v>
      </c>
      <c r="H8" s="30" t="s">
        <v>167</v>
      </c>
      <c r="I8" s="30" t="s">
        <v>99</v>
      </c>
      <c r="J8" s="10" t="str">
        <f>'TC004'!$A$2</f>
        <v>PNDC-PNCUS-ZT</v>
      </c>
      <c r="K8" s="43" t="s">
        <v>150</v>
      </c>
      <c r="L8" s="44" t="str">
        <f>'TC012-Setup Data'!A2</f>
        <v>JPYAZ-ZTs2-021</v>
      </c>
      <c r="M8" s="30" t="s">
        <v>167</v>
      </c>
      <c r="N8" s="43" t="s">
        <v>150</v>
      </c>
      <c r="O8" s="10" t="str">
        <f>'TC011.1'!$A$2</f>
        <v>YAZSUP-PNDC-ZT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K4"/>
  <sheetViews>
    <sheetView workbookViewId="0" zoomScale="85" zoomScaleNormal="85">
      <selection activeCell="J4" sqref="J4"/>
    </sheetView>
  </sheetViews>
  <sheetFormatPr defaultRowHeight="13.8"/>
  <cols>
    <col min="1" max="5" customWidth="true" style="1" width="30.77734375" collapsed="true"/>
    <col min="6" max="10" customWidth="true" style="1" width="20.77734375" collapsed="true"/>
    <col min="11" max="16384" style="1" width="8.88671875" collapsed="true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CR-MY-PNA-CUS-2311005</v>
      </c>
      <c r="B2" s="30" t="s">
        <v>99</v>
      </c>
      <c r="C2" s="30" t="s">
        <v>291</v>
      </c>
      <c r="D2" s="10" t="str">
        <f>'TC011'!D2</f>
        <v>ZTATEST202306050000000000001</v>
      </c>
      <c r="E2" s="45" t="str">
        <f>'TC011'!C2</f>
        <v>ZTSUP-PNATEST,20230605000000000000-1</v>
      </c>
      <c r="F2" s="10" t="s">
        <v>190</v>
      </c>
      <c r="G2" s="10" t="str">
        <f>'TC011-Setup Data'!A2</f>
        <v>ELASUP-ZTs1-021</v>
      </c>
      <c r="H2" s="30" t="s">
        <v>167</v>
      </c>
      <c r="I2" s="30" t="s">
        <v>98</v>
      </c>
      <c r="J2" s="10" t="str">
        <f>'TC010.1'!$A$2</f>
        <v>ELASUP-PNDC-21</v>
      </c>
    </row>
    <row r="3" spans="1:10">
      <c r="A3" s="30"/>
      <c r="B3" s="30"/>
      <c r="C3" s="30"/>
      <c r="D3" s="10" t="str">
        <f>'TC011'!D3</f>
        <v>ZTATEST202306050000000000002</v>
      </c>
      <c r="E3" s="45" t="str">
        <f>'TC011'!C3</f>
        <v>ZTSUP-PNATEST,20230605000000000000-2</v>
      </c>
      <c r="F3" s="10" t="s">
        <v>190</v>
      </c>
      <c r="G3" s="10" t="str">
        <f>'TC011-Setup Data'!A2</f>
        <v>ELASUP-ZTs1-021</v>
      </c>
      <c r="H3" s="30" t="s">
        <v>167</v>
      </c>
      <c r="I3" s="30" t="s">
        <v>98</v>
      </c>
      <c r="J3" s="10" t="str">
        <f>'TC010.1'!$A$2</f>
        <v>ELASUP-PNDC-21</v>
      </c>
    </row>
    <row r="4" spans="1:10">
      <c r="A4" s="30"/>
      <c r="B4" s="30"/>
      <c r="C4" s="30"/>
      <c r="D4" s="10" t="str">
        <f>'TC011'!D4</f>
        <v>ZTpna1219AS1</v>
      </c>
      <c r="E4" s="45" t="str">
        <f>'TC011'!C4</f>
        <v>ZTpna-1219AS-1</v>
      </c>
      <c r="F4" s="10" t="s">
        <v>190</v>
      </c>
      <c r="G4" s="10" t="str">
        <f>'TC011-Setup Data'!A2</f>
        <v>ELASUP-ZTs1-021</v>
      </c>
      <c r="H4" s="30" t="s">
        <v>167</v>
      </c>
      <c r="I4" s="30" t="s">
        <v>98</v>
      </c>
      <c r="J4" s="10" t="str">
        <f>'TC010.1'!$A$2</f>
        <v>ELASUP-PNDC-21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K5"/>
  <sheetViews>
    <sheetView topLeftCell="C1" workbookViewId="0">
      <selection activeCell="G3" sqref="G3"/>
    </sheetView>
  </sheetViews>
  <sheetFormatPr defaultRowHeight="13.8"/>
  <cols>
    <col min="1" max="5" customWidth="true" style="1" width="30.77734375" collapsed="true"/>
    <col min="6" max="10" customWidth="true" style="1" width="20.77734375" collapsed="true"/>
    <col min="11" max="16384" style="1" width="8.88671875" collapsed="true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CR-MY-PNA-CUS-2311005</v>
      </c>
      <c r="B2" s="30" t="s">
        <v>99</v>
      </c>
      <c r="C2" s="30" t="s">
        <v>291</v>
      </c>
      <c r="D2" s="10" t="str">
        <f>'TC012'!D2</f>
        <v>ZTpna18001404835</v>
      </c>
      <c r="E2" s="10" t="str">
        <f>'TC012'!C2</f>
        <v>ZTpna-18001404835</v>
      </c>
      <c r="F2" s="10" t="s">
        <v>190</v>
      </c>
      <c r="G2" s="10" t="str">
        <f>'TC012-Setup Data'!A2</f>
        <v>JPYAZ-ZTs2-021</v>
      </c>
      <c r="H2" s="30" t="s">
        <v>167</v>
      </c>
      <c r="I2" s="30" t="s">
        <v>98</v>
      </c>
      <c r="J2" s="10" t="str">
        <f>'TC011.1'!$A$2</f>
        <v>YAZSUP-PNDC-ZT</v>
      </c>
    </row>
    <row r="3" spans="1:10">
      <c r="D3" s="10" t="str">
        <f>'TC012'!D3</f>
        <v>ZTpna18007703930</v>
      </c>
      <c r="E3" s="10" t="str">
        <f>'TC012'!C3</f>
        <v>ZTpna-18007703930</v>
      </c>
      <c r="F3" s="10" t="s">
        <v>190</v>
      </c>
      <c r="G3" s="10" t="str">
        <f>'TC012-Setup Data'!A2</f>
        <v>JPYAZ-ZTs2-021</v>
      </c>
      <c r="H3" s="30" t="s">
        <v>167</v>
      </c>
      <c r="I3" s="30" t="s">
        <v>98</v>
      </c>
      <c r="J3" s="10" t="str">
        <f>'TC011.1'!$A$2</f>
        <v>YAZSUP-PNDC-ZT</v>
      </c>
    </row>
    <row r="4" spans="1:10">
      <c r="D4" s="10" t="str">
        <f>'TC012'!D4</f>
        <v>ZTpna45050040130</v>
      </c>
      <c r="E4" s="10" t="str">
        <f>'TC012'!C4</f>
        <v>ZTpna-45050040130</v>
      </c>
      <c r="F4" s="10" t="s">
        <v>190</v>
      </c>
      <c r="G4" s="10" t="str">
        <f>'TC012-Setup Data'!A2</f>
        <v>JPYAZ-ZTs2-021</v>
      </c>
      <c r="H4" s="30" t="s">
        <v>167</v>
      </c>
      <c r="I4" s="30" t="s">
        <v>98</v>
      </c>
      <c r="J4" s="10" t="str">
        <f>'TC011.1'!$A$2</f>
        <v>YAZSUP-PNDC-ZT</v>
      </c>
    </row>
    <row r="5" spans="1:10">
      <c r="D5" s="10" t="str">
        <f>'TC012'!D5</f>
        <v>ZTpnaNSL2BLACK</v>
      </c>
      <c r="E5" s="10" t="str">
        <f>'TC012'!C5</f>
        <v>ZTpna-NSL-2BLACK</v>
      </c>
      <c r="F5" s="10" t="s">
        <v>190</v>
      </c>
      <c r="G5" s="10" t="str">
        <f>'TC012-Setup Data'!A2</f>
        <v>JPYAZ-ZTs2-021</v>
      </c>
      <c r="H5" s="30" t="s">
        <v>167</v>
      </c>
      <c r="I5" s="30" t="s">
        <v>98</v>
      </c>
      <c r="J5" s="10" t="str">
        <f>'TC011.1'!$A$2</f>
        <v>YAZSUP-PNDC-ZT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N4"/>
  <sheetViews>
    <sheetView workbookViewId="0" zoomScale="90" zoomScaleNormal="90">
      <selection activeCell="B2" sqref="B2"/>
    </sheetView>
  </sheetViews>
  <sheetFormatPr defaultColWidth="8.88671875" defaultRowHeight="13.8"/>
  <cols>
    <col min="1" max="1" customWidth="true" style="1" width="5.6640625" collapsed="true"/>
    <col min="2" max="13" customWidth="true" style="1" width="20.77734375" collapsed="true"/>
    <col min="14" max="16384" style="1" width="8.88671875" collapsed="true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customFormat="1" ht="27.6" r="2" s="46" spans="1:13">
      <c r="A2" s="46">
        <v>1</v>
      </c>
      <c r="B2" s="11" t="str">
        <f>AutoIncrement!$B$2&amp;"82151-BZD90"</f>
        <v>ZT82151-BZD90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ht="27.6" r="3" spans="1:13">
      <c r="A3" s="1">
        <v>2</v>
      </c>
      <c r="B3" s="11" t="str">
        <f>AutoIncrement!$B$2&amp;"82151-BZE00"</f>
        <v>ZT82151-BZE00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ht="27.6" r="4" spans="1:13">
      <c r="A4" s="1">
        <v>3</v>
      </c>
      <c r="B4" s="11" t="str">
        <f>AutoIncrement!$B$2&amp;"82151-BZK50"</f>
        <v>ZT82151-BZK50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allowBlank="1" showErrorMessage="1" sqref="H2:H4" type="list" xr:uid="{89E8A954-5102-4E6A-88FA-B36A0064E506}">
      <formula1>PAIRED_FLAG</formula1>
    </dataValidation>
    <dataValidation allowBlank="1" showErrorMessage="1" sqref="G2:G4" type="list" xr:uid="{908115B6-CD2C-4366-A85B-40216025689A}">
      <formula1>UOM_CODE</formula1>
    </dataValidation>
  </dataValidations>
  <pageMargins bottom="0.75" footer="0.3" header="0.3" left="0.7" right="0.7" top="0.75"/>
  <pageSetup orientation="portrait" r:id="rId1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C2"/>
  <sheetViews>
    <sheetView workbookViewId="0" zoomScale="90" zoomScaleNormal="90">
      <selection activeCell="A2" sqref="A2"/>
    </sheetView>
  </sheetViews>
  <sheetFormatPr defaultColWidth="8.88671875" defaultRowHeight="13.8"/>
  <cols>
    <col min="1" max="1" customWidth="true" style="1" width="20.6640625" collapsed="true"/>
    <col min="2" max="2" customWidth="true" style="1" width="25.77734375" collapsed="true"/>
    <col min="3" max="16384" style="1" width="8.88671875" collapsed="true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ZT-21-Request L2 Parts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I2"/>
  <sheetViews>
    <sheetView workbookViewId="0" zoomScale="90" zoomScaleNormal="90">
      <selection activeCell="E2" sqref="E2"/>
    </sheetView>
  </sheetViews>
  <sheetFormatPr defaultColWidth="8.88671875" defaultRowHeight="13.8"/>
  <cols>
    <col min="1" max="1" customWidth="true" style="8" width="5.77734375" collapsed="true"/>
    <col min="2" max="8" customWidth="true" style="8" width="20.77734375" collapsed="true"/>
    <col min="9" max="16384" style="8" width="8.88671875" collapsed="true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DAYS-ZT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C2"/>
  <sheetViews>
    <sheetView workbookViewId="0" zoomScale="90" zoomScaleNormal="90">
      <selection activeCell="B1" sqref="B1"/>
    </sheetView>
  </sheetViews>
  <sheetFormatPr defaultColWidth="8.88671875" defaultRowHeight="13.8"/>
  <cols>
    <col min="1" max="1" customWidth="true" style="1" width="5.6640625" collapsed="true"/>
    <col min="2" max="2" customWidth="true" style="1" width="25.77734375" collapsed="true"/>
    <col min="3" max="16384" style="1" width="8.88671875" collapsed="true"/>
  </cols>
  <sheetData>
    <row r="1" spans="1:2">
      <c r="A1" s="1" t="s">
        <v>34</v>
      </c>
      <c r="B1" s="211" t="s">
        <v>125</v>
      </c>
    </row>
    <row ht="14.4" r="2" spans="1:2">
      <c r="A2" s="1">
        <v>1</v>
      </c>
      <c r="B2" t="s">
        <v>882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O4"/>
  <sheetViews>
    <sheetView workbookViewId="0" zoomScale="90" zoomScaleNormal="90">
      <selection activeCell="C1" sqref="C1"/>
    </sheetView>
  </sheetViews>
  <sheetFormatPr defaultColWidth="8.88671875" defaultRowHeight="13.8"/>
  <cols>
    <col min="1" max="1" customWidth="true" style="10" width="5.77734375" collapsed="true"/>
    <col min="2" max="14" customWidth="true" style="10" width="20.77734375" collapsed="true"/>
    <col min="15" max="16384" style="10" width="8.88671875" collapsed="true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ht="27.6" r="2" spans="1:14">
      <c r="A2" s="10">
        <v>1</v>
      </c>
      <c r="B2" s="8" t="str">
        <f>AutoIncrement!B2&amp;"82151-BZD90"</f>
        <v>ZT82151-BZD90</v>
      </c>
      <c r="C2" s="8" t="str">
        <f>AutoIncrement!$B$2&amp;"82151BZD90"</f>
        <v>ZT82151BZD90</v>
      </c>
      <c r="D2" s="9" t="s">
        <v>298</v>
      </c>
      <c r="E2" s="49" t="str">
        <f>'TC021-Setup Data'!A2</f>
        <v>PNABU-L2-ZT-021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ht="27.6" r="3" spans="1:14">
      <c r="A3" s="10">
        <v>2</v>
      </c>
      <c r="B3" s="8" t="str">
        <f>AutoIncrement!B2&amp;"82151-BZE00"</f>
        <v>ZT82151-BZE00</v>
      </c>
      <c r="C3" s="8" t="str">
        <f>AutoIncrement!$B$2&amp;"82151BZE00"</f>
        <v>ZT82151BZE00</v>
      </c>
      <c r="D3" s="9" t="s">
        <v>298</v>
      </c>
      <c r="E3" s="49" t="str">
        <f>'TC021-Setup Data'!A2</f>
        <v>PNABU-L2-ZT-021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ht="27.6" r="4" spans="1:14">
      <c r="A4" s="10">
        <v>3</v>
      </c>
      <c r="B4" s="8" t="str">
        <f>AutoIncrement!B2&amp;"82151-BZK50"</f>
        <v>ZT82151-BZK50</v>
      </c>
      <c r="C4" s="8" t="str">
        <f>AutoIncrement!B2&amp;"82151BZK50"</f>
        <v>ZT82151BZK50</v>
      </c>
      <c r="D4" s="9" t="s">
        <v>303</v>
      </c>
      <c r="E4" s="49" t="str">
        <f>'TC021-Setup Data'!A2</f>
        <v>PNABU-L2-ZT-021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count="2" disablePrompts="1">
    <dataValidation allowBlank="1" showErrorMessage="1" sqref="M2:M4" type="list" xr:uid="{52D7B498-3313-41C8-A60D-B51F64B6C1BB}">
      <formula1>CURRENCY_CODE</formula1>
    </dataValidation>
    <dataValidation allowBlank="1" showErrorMessage="1" sqref="F2:G4" type="list" xr:uid="{B1480A5C-6FDC-4C1B-A4F8-AC586CBEE3DD}">
      <formula1>REPACKING_TYPE</formula1>
    </dataValidation>
  </dataValidations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P2"/>
  <sheetViews>
    <sheetView topLeftCell="D1" workbookViewId="0" zoomScale="90" zoomScaleNormal="90">
      <selection activeCell="H1" sqref="H1"/>
    </sheetView>
  </sheetViews>
  <sheetFormatPr defaultColWidth="8.88671875" defaultRowHeight="13.8"/>
  <cols>
    <col min="1" max="1" customWidth="true" style="1" width="5.6640625" collapsed="true"/>
    <col min="2" max="7" customWidth="true" style="1" width="20.77734375" collapsed="true"/>
    <col min="8" max="8" customWidth="true" style="1" width="41.0" collapsed="true"/>
    <col min="9" max="15" customWidth="true" style="1" width="20.77734375" collapsed="true"/>
    <col min="16" max="16384" style="1" width="8.88671875" collapsed="true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3" t="s">
        <v>164</v>
      </c>
    </row>
    <row ht="14.4" r="2" spans="1:15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ZTL221</v>
      </c>
      <c r="G2" s="1" t="str">
        <f>"CD-01-"&amp;F2&amp;"-"&amp;AutoIncrement!A2</f>
        <v>CD-01-ZTL221-21</v>
      </c>
      <c r="H2" s="1" t="str">
        <f>'TC007-Received Req Info'!H2</f>
        <v>FN 60 DAYS-ZT(60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PNDC-PNCUS-ZT(PNDC-PNCUS-ZT)</v>
      </c>
      <c r="M2" s="1" t="str">
        <f>"RD-01-"&amp;F2&amp;""</f>
        <v>RD-01-ZTL221</v>
      </c>
      <c r="N2" s="1" t="s">
        <v>148</v>
      </c>
      <c r="O2" t="s">
        <v>883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C2"/>
  <sheetViews>
    <sheetView workbookViewId="0" zoomScale="90" zoomScaleNormal="90">
      <selection activeCell="A2" sqref="A2"/>
    </sheetView>
  </sheetViews>
  <sheetFormatPr defaultColWidth="8.88671875" defaultRowHeight="13.8"/>
  <cols>
    <col min="1" max="1" bestFit="true" customWidth="true" style="1" width="30.0" collapsed="true"/>
    <col min="2" max="2" customWidth="true" style="1" width="20.77734375" collapsed="true"/>
    <col min="3" max="16384" style="1" width="8.88671875" collapsed="true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PNABU-L2-ZT-021</v>
      </c>
      <c r="B2" s="1" t="str">
        <f>AutoIncrement!B2&amp;"L2"&amp;AutoIncrement!A2</f>
        <v>ZTL221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P4"/>
  <sheetViews>
    <sheetView topLeftCell="C1" workbookViewId="0" zoomScale="70" zoomScaleNormal="70">
      <selection activeCell="J2" sqref="J2:J4"/>
    </sheetView>
  </sheetViews>
  <sheetFormatPr defaultRowHeight="13.8"/>
  <cols>
    <col min="1" max="5" customWidth="true" style="1" width="25.77734375" collapsed="true"/>
    <col min="6" max="15" customWidth="true" style="1" width="20.77734375" collapsed="true"/>
    <col min="16" max="16384" style="1" width="8.88671875" collapsed="true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CR-MY-PNA-CUS-2311006</v>
      </c>
      <c r="B2" s="30" t="s">
        <v>99</v>
      </c>
      <c r="C2" s="30" t="s">
        <v>291</v>
      </c>
      <c r="D2" s="8" t="str">
        <f>'TC021-Contrct Part Info L2 (BU)'!C2</f>
        <v>ZT82151BZD90</v>
      </c>
      <c r="E2" s="8" t="str">
        <f>'TC021-Contrct Part Info L2 (BU)'!B2</f>
        <v>ZT82151-BZD90</v>
      </c>
      <c r="F2" s="3" t="s">
        <v>99</v>
      </c>
      <c r="G2" s="10" t="str">
        <f>'TC021-Setup Data'!A2</f>
        <v>PNABU-L2-ZT-021</v>
      </c>
      <c r="H2" s="30" t="s">
        <v>167</v>
      </c>
      <c r="I2" s="30" t="s">
        <v>99</v>
      </c>
      <c r="J2" s="10" t="str">
        <f>'TC004'!$A$2</f>
        <v>PNDC-PNCUS-ZT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ZT82151BZE00</v>
      </c>
      <c r="E3" s="8" t="str">
        <f>'TC021-Contrct Part Info L2 (BU)'!B3</f>
        <v>ZT82151-BZE00</v>
      </c>
      <c r="F3" s="3" t="s">
        <v>99</v>
      </c>
      <c r="G3" s="10" t="str">
        <f>'TC021-Setup Data'!A2</f>
        <v>PNABU-L2-ZT-021</v>
      </c>
      <c r="H3" s="30" t="s">
        <v>167</v>
      </c>
      <c r="I3" s="30" t="s">
        <v>99</v>
      </c>
      <c r="J3" s="10" t="str">
        <f>'TC004'!$A$2</f>
        <v>PNDC-PNCUS-ZT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ZT82151BZK50</v>
      </c>
      <c r="E4" s="8" t="str">
        <f>'TC021-Contrct Part Info L2 (BU)'!B4</f>
        <v>ZT82151-BZK50</v>
      </c>
      <c r="F4" s="3" t="s">
        <v>99</v>
      </c>
      <c r="G4" s="10" t="str">
        <f>'TC021-Setup Data'!A2</f>
        <v>PNABU-L2-ZT-021</v>
      </c>
      <c r="H4" s="30" t="s">
        <v>167</v>
      </c>
      <c r="I4" s="30" t="s">
        <v>99</v>
      </c>
      <c r="J4" s="10" t="str">
        <f>'TC004'!$A$2</f>
        <v>PNDC-PNCUS-ZT</v>
      </c>
      <c r="K4" s="43"/>
      <c r="L4" s="44"/>
      <c r="M4" s="30"/>
      <c r="N4" s="43"/>
      <c r="O4" s="3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L11"/>
  <sheetViews>
    <sheetView workbookViewId="0" zoomScale="90" zoomScaleNormal="90">
      <selection activeCell="B6" sqref="B6"/>
    </sheetView>
  </sheetViews>
  <sheetFormatPr defaultColWidth="8.88671875" defaultRowHeight="13.8"/>
  <cols>
    <col min="1" max="1" customWidth="true" style="1" width="10.77734375" collapsed="true"/>
    <col min="2" max="2" customWidth="true" style="1" width="30.77734375" collapsed="true"/>
    <col min="3" max="11" customWidth="true" style="1" width="20.77734375" collapsed="true"/>
    <col min="12" max="16384" style="1" width="8.88671875" collapsed="true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ZT82151BZD90</v>
      </c>
    </row>
    <row r="3" spans="1:11">
      <c r="B3" s="1" t="str">
        <f>AutoIncrement!B2&amp;"82151BZE00"</f>
        <v>ZT82151BZE00</v>
      </c>
    </row>
    <row r="4" spans="1:11">
      <c r="B4" s="1" t="str">
        <f>AutoIncrement!B2&amp;"82151BZK50"</f>
        <v>ZT82151BZK50</v>
      </c>
    </row>
    <row r="5" spans="1:11">
      <c r="A5" s="15" t="s">
        <v>317</v>
      </c>
      <c r="B5" s="1" t="str">
        <f>AutoIncrement!B2&amp;"pna1219AS1"</f>
        <v>ZTpna1219AS1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ZTpna18001404835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ZTpna18007703930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ZTpna45050040130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ZTpnaNSL2BLACK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ZTATEST202306050000000000001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ZTATEST202306050000000000002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allowBlank="1" sqref="F5:F11 C5:C11" type="list" xr:uid="{9BD83762-6A90-415C-9A0E-888C10A1502A}">
      <formula1>"Y,N"</formula1>
    </dataValidation>
    <dataValidation allowBlank="1" sqref="G5:G11" type="list" xr:uid="{EF74E68B-9912-4DD2-B7A0-6609D381401F}">
      <formula1>"By Usage Rundown,By Average Usage of Two Month"</formula1>
    </dataValidation>
  </dataValidations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E3"/>
  <sheetViews>
    <sheetView workbookViewId="0" zoomScale="90" zoomScaleNormal="90">
      <selection activeCell="G11" sqref="G11"/>
    </sheetView>
  </sheetViews>
  <sheetFormatPr defaultColWidth="8.88671875" defaultRowHeight="13.8"/>
  <cols>
    <col min="1" max="1" customWidth="true" style="1" width="5.77734375" collapsed="true"/>
    <col min="2" max="2" customWidth="true" style="1" width="15.77734375" collapsed="true"/>
    <col min="3" max="3" customWidth="true" style="1" width="25.77734375" collapsed="true"/>
    <col min="4" max="4" bestFit="true" customWidth="true" style="1" width="11.0" collapsed="true"/>
    <col min="5" max="16384" style="1" width="8.88671875" collapsed="true"/>
  </cols>
  <sheetData>
    <row r="1" spans="1:4">
      <c r="A1" s="14" t="s">
        <v>34</v>
      </c>
      <c r="B1" s="14" t="s">
        <v>321</v>
      </c>
      <c r="C1" s="14" t="s">
        <v>129</v>
      </c>
      <c r="D1" s="1" t="s">
        <v>583</v>
      </c>
    </row>
    <row r="2" spans="1:4">
      <c r="A2" s="1">
        <v>1</v>
      </c>
      <c r="B2" s="14" t="s">
        <v>322</v>
      </c>
      <c r="C2" s="46" t="str">
        <f>'TC007-Setup Data'!B2</f>
        <v>PNABU-L3-ZT-021</v>
      </c>
      <c r="D2" s="189" t="n">
        <f ca="1">TODAY()</f>
        <v>45253.0</v>
      </c>
    </row>
    <row r="3" spans="1:4">
      <c r="A3" s="1">
        <v>2</v>
      </c>
      <c r="B3" s="14" t="s">
        <v>323</v>
      </c>
      <c r="C3" s="46" t="str">
        <f>'TC021-Setup Data'!A2</f>
        <v>PNABU-L2-ZT-021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I8"/>
  <sheetViews>
    <sheetView workbookViewId="0">
      <selection activeCell="H2" sqref="H2:H8"/>
    </sheetView>
  </sheetViews>
  <sheetFormatPr defaultRowHeight="14.4"/>
  <cols>
    <col min="1" max="1" customWidth="true" width="41.6640625" collapsed="true"/>
    <col min="2" max="2" customWidth="true" width="20.88671875" collapsed="true"/>
    <col min="3" max="3" customWidth="true" width="24.6640625" collapsed="true"/>
    <col min="4" max="4" customWidth="true" width="20.6640625" collapsed="true"/>
    <col min="5" max="5" customWidth="true" width="21.44140625" collapsed="true"/>
    <col min="6" max="6" customWidth="true" width="28.0" collapsed="true"/>
    <col min="7" max="7" customWidth="true" width="16.77734375" collapsed="true"/>
    <col min="8" max="8" customWidth="true" width="20.6640625" collapsed="true"/>
    <col min="9" max="9" customWidth="true" width="11.0" collapsed="true"/>
    <col min="10" max="10" customWidth="true" width="22.5546875" collapsed="true"/>
  </cols>
  <sheetData>
    <row r="1" spans="1:8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s="10" t="str">
        <f>'TC007-Contract Parts Info'!D8</f>
        <v>ZTpnaNSL2BLACK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s="10" t="str">
        <f>'TC007-Contract Parts Info'!D7</f>
        <v>ZTpna45050040130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s="10" t="str">
        <f>'TC007-Contract Parts Info'!D6</f>
        <v>ZTpna18007703930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  <row r="5" spans="1:8">
      <c r="A5" s="10" t="str">
        <f>'TC007-Contract Parts Info'!D5</f>
        <v>ZTpna18001404835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754</v>
      </c>
    </row>
    <row r="6" spans="1:8">
      <c r="A6" s="10" t="str">
        <f>'TC007-Contract Parts Info'!D4</f>
        <v>ZTpna1219AS1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754</v>
      </c>
    </row>
    <row r="7" spans="1:8">
      <c r="A7" s="10" t="str">
        <f>'TC007-Contract Parts Info'!D3</f>
        <v>ZTATEST202306050000000000002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754</v>
      </c>
    </row>
    <row r="8" spans="1:8">
      <c r="A8" s="10" t="str">
        <f>'TC007-Contract Parts Info'!D2</f>
        <v>ZTATEST202306050000000000001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I4"/>
  <sheetViews>
    <sheetView workbookViewId="0"/>
  </sheetViews>
  <sheetFormatPr defaultRowHeight="14.4"/>
  <cols>
    <col min="1" max="1" customWidth="true" width="46.77734375" collapsed="true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ZT82151BZK50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t="str">
        <f>'TC021-Contrct Part Info L2 (BU)'!C3</f>
        <v>ZT82151BZE00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t="str">
        <f>'TC021-Contrct Part Info L2 (BU)'!C2</f>
        <v>ZT82151BZD90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B15"/>
  <sheetViews>
    <sheetView workbookViewId="0">
      <selection activeCell="E11" sqref="E11"/>
    </sheetView>
  </sheetViews>
  <sheetFormatPr defaultRowHeight="14.4"/>
  <cols>
    <col min="1" max="1" customWidth="true" width="25.6640625" collapsed="true"/>
  </cols>
  <sheetData>
    <row r="1" spans="1:1">
      <c r="A1" t="s">
        <v>330</v>
      </c>
    </row>
    <row r="2" spans="1:1">
      <c r="A2" s="188" t="s">
        <v>333</v>
      </c>
    </row>
    <row r="3" spans="1:1">
      <c r="A3" s="188" t="s">
        <v>334</v>
      </c>
    </row>
    <row r="4" spans="1:1">
      <c r="A4" s="188" t="s">
        <v>335</v>
      </c>
    </row>
    <row r="5" spans="1:1">
      <c r="A5" s="188" t="s">
        <v>682</v>
      </c>
    </row>
    <row r="6" spans="1:1">
      <c r="A6" s="188" t="s">
        <v>683</v>
      </c>
    </row>
    <row r="7" spans="1:1">
      <c r="A7" s="188" t="s">
        <v>684</v>
      </c>
    </row>
    <row r="8" spans="1:1">
      <c r="A8" s="188" t="s">
        <v>685</v>
      </c>
    </row>
    <row r="9" spans="1:1">
      <c r="A9" s="188" t="s">
        <v>686</v>
      </c>
    </row>
    <row r="10" spans="1:1">
      <c r="A10" s="188" t="s">
        <v>687</v>
      </c>
    </row>
    <row r="11" spans="1:1">
      <c r="A11" s="188" t="s">
        <v>688</v>
      </c>
    </row>
    <row r="12" spans="1:1">
      <c r="A12" s="188" t="s">
        <v>689</v>
      </c>
    </row>
    <row r="13" spans="1:1">
      <c r="A13" s="188" t="s">
        <v>690</v>
      </c>
    </row>
    <row r="14" spans="1:1">
      <c r="A14" s="188" t="s">
        <v>691</v>
      </c>
    </row>
    <row r="15" spans="1:1">
      <c r="A15" s="188" t="s">
        <v>692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U2"/>
  <sheetViews>
    <sheetView topLeftCell="I1" workbookViewId="0" zoomScale="90" zoomScaleNormal="90">
      <selection activeCell="S1" sqref="S1"/>
    </sheetView>
  </sheetViews>
  <sheetFormatPr defaultColWidth="8.88671875" defaultRowHeight="13.8"/>
  <cols>
    <col min="1" max="20" customWidth="true" style="1" width="20.77734375" collapsed="true"/>
    <col min="21" max="16384" style="1" width="8.88671875" collapsed="true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678</v>
      </c>
      <c r="S1" s="12" t="s">
        <v>680</v>
      </c>
      <c r="T1" s="13" t="s">
        <v>94</v>
      </c>
    </row>
    <row customFormat="1" r="2" s="15" spans="1:20">
      <c r="A2" s="12" t="str">
        <f>"PNDC-PNCUS-"&amp;AutoIncrement!B2</f>
        <v>PNDC-PNCUS-ZT</v>
      </c>
      <c r="B2" s="12" t="str">
        <f>A2</f>
        <v>PNDC-PNCUS-ZT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679</v>
      </c>
      <c r="S2" s="12" t="s">
        <v>681</v>
      </c>
      <c r="T2" s="12" t="s">
        <v>101</v>
      </c>
    </row>
  </sheetData>
  <hyperlinks>
    <hyperlink display="ETDWeekDay (click here to set ETD days)" location="RANGE!A1" ref="O1" xr:uid="{90EFC15E-D80A-4C56-A90A-1A3A538E8F86}"/>
    <hyperlink display="Shipping Frequency Weeks (Click here to add week)" location="RANGE!A1" ref="T1" xr:uid="{6995156F-5F65-4F25-9E33-1392CF5DC503}"/>
  </hyperlinks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D4"/>
  <sheetViews>
    <sheetView workbookViewId="0" zoomScaleNormal="100">
      <selection activeCell="K12" sqref="K12"/>
    </sheetView>
  </sheetViews>
  <sheetFormatPr defaultRowHeight="13.8"/>
  <cols>
    <col min="1" max="3" customWidth="true" style="1" width="25.77734375" collapsed="true"/>
    <col min="4" max="16384" style="1" width="8.88671875" collapsed="true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ZT82151-BZD90</v>
      </c>
      <c r="B2" s="1" t="s">
        <v>327</v>
      </c>
      <c r="C2" s="1" t="s">
        <v>4</v>
      </c>
    </row>
    <row r="3" spans="1:3">
      <c r="A3" s="1" t="str">
        <f>'TC20-Req Add New Part (L2)'!B3</f>
        <v>ZT82151-BZE00</v>
      </c>
      <c r="B3" s="1" t="s">
        <v>327</v>
      </c>
      <c r="C3" s="1" t="s">
        <v>4</v>
      </c>
    </row>
    <row r="4" spans="1:3">
      <c r="A4" s="1" t="str">
        <f>'TC20-Req Add New Part (L2)'!B4</f>
        <v>ZT82151-BZK50</v>
      </c>
      <c r="B4" s="1" t="s">
        <v>328</v>
      </c>
      <c r="C4" s="1" t="s">
        <v>4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D4"/>
  <sheetViews>
    <sheetView workbookViewId="0">
      <selection activeCell="L25" sqref="L25"/>
    </sheetView>
  </sheetViews>
  <sheetFormatPr defaultRowHeight="14.4"/>
  <cols>
    <col min="1" max="1" customWidth="true" width="29.109375" collapsed="true"/>
    <col min="2" max="2" customWidth="true" width="28.6640625" collapsed="true"/>
    <col min="3" max="3" customWidth="true" width="19.44140625" collapsed="true"/>
  </cols>
  <sheetData>
    <row customHeight="1" ht="19.8" r="1" spans="1:3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F5"/>
  <sheetViews>
    <sheetView workbookViewId="0">
      <selection activeCell="B5" sqref="B5"/>
    </sheetView>
  </sheetViews>
  <sheetFormatPr defaultRowHeight="14.4"/>
  <cols>
    <col min="1" max="1" customWidth="true" width="24.21875" collapsed="true"/>
    <col min="2" max="2" customWidth="true" width="20.88671875" collapsed="true"/>
    <col min="3" max="3" customWidth="true" width="22.6640625" collapsed="true"/>
    <col min="4" max="4" customWidth="true" width="20.21875" collapsed="true"/>
    <col min="5" max="5" customWidth="true" width="20.77734375" collapsed="true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ZT82151-BZD90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ZT82151-BZE00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ZT82151-BZD90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ZT82151-BZK50</v>
      </c>
      <c r="C5" s="55" t="s">
        <v>328</v>
      </c>
      <c r="D5" s="55" t="s">
        <v>4</v>
      </c>
      <c r="E5" s="56">
        <v>1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I22"/>
  <sheetViews>
    <sheetView workbookViewId="0" zoomScale="80" zoomScaleNormal="80">
      <selection activeCell="D4" sqref="D4"/>
    </sheetView>
  </sheetViews>
  <sheetFormatPr defaultRowHeight="14.4"/>
  <cols>
    <col min="1" max="1" customWidth="true" width="31.21875" collapsed="true"/>
    <col min="2" max="2" customWidth="true" width="21.33203125" collapsed="true"/>
    <col min="3" max="3" customWidth="true" width="23.6640625" collapsed="true"/>
    <col min="4" max="4" customWidth="true" width="47.33203125" collapsed="true"/>
    <col min="5" max="5" customWidth="true" width="27.33203125" collapsed="true"/>
    <col min="6" max="6" customWidth="true" width="25.21875" collapsed="true"/>
    <col min="7" max="7" customWidth="true" width="40.33203125" collapsed="true"/>
    <col min="8" max="8" customWidth="true" width="16.44140625" collapsed="true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ZT82151-BZD90</v>
      </c>
      <c r="B2" s="55" t="s">
        <v>327</v>
      </c>
      <c r="C2" s="55" t="s">
        <v>4</v>
      </c>
      <c r="D2" s="60" t="str">
        <f>'TC007-Contract Parts Info'!D2</f>
        <v>ZTATEST202306050000000000001</v>
      </c>
      <c r="E2" s="61" t="s">
        <v>99</v>
      </c>
      <c r="F2" s="60" t="str">
        <f>'TC007-Setup Data'!B2</f>
        <v>PNABU-L3-ZT-021</v>
      </c>
      <c r="G2" s="60" t="str">
        <f>'TC007-Contract Parts Info'!B2</f>
        <v>ZTCUS-PNATEST,20230605000000000000-1</v>
      </c>
      <c r="H2" s="56">
        <v>10</v>
      </c>
    </row>
    <row r="3" spans="1:8">
      <c r="A3" s="57" t="str">
        <f>'TC027-materialFieldLvl2'!A3</f>
        <v>ZT82151-BZE00</v>
      </c>
      <c r="B3" s="55" t="s">
        <v>327</v>
      </c>
      <c r="C3" s="55" t="s">
        <v>4</v>
      </c>
      <c r="D3" s="60" t="str">
        <f>'TC007-Contract Parts Info'!D2</f>
        <v>ZTATEST202306050000000000001</v>
      </c>
      <c r="E3" s="61" t="s">
        <v>99</v>
      </c>
      <c r="F3" s="60" t="str">
        <f>'TC007-Setup Data'!B2</f>
        <v>PNABU-L3-ZT-021</v>
      </c>
      <c r="G3" s="60" t="str">
        <f>'TC007-Contract Parts Info'!B2</f>
        <v>ZTCUS-PNATEST,20230605000000000000-1</v>
      </c>
      <c r="H3" s="56">
        <v>6</v>
      </c>
    </row>
    <row r="4" spans="1:8">
      <c r="A4" s="57" t="str">
        <f>'TC027-materialFieldLvl2'!A4</f>
        <v>ZT82151-BZK50</v>
      </c>
      <c r="B4" s="55" t="s">
        <v>328</v>
      </c>
      <c r="C4" s="55" t="s">
        <v>4</v>
      </c>
      <c r="D4" s="60" t="str">
        <f>'TC007-Contract Parts Info'!D2</f>
        <v>ZTATEST202306050000000000001</v>
      </c>
      <c r="E4" s="61" t="s">
        <v>99</v>
      </c>
      <c r="F4" s="60" t="str">
        <f>'TC007-Setup Data'!B2</f>
        <v>PNABU-L3-ZT-021</v>
      </c>
      <c r="G4" s="60" t="str">
        <f>'TC007-Contract Parts Info'!B2</f>
        <v>ZTCUS-PNATEST,20230605000000000000-1</v>
      </c>
      <c r="H4" s="56">
        <v>10</v>
      </c>
    </row>
    <row r="5" spans="1:8">
      <c r="A5" s="57" t="str">
        <f>'TC027-materialFieldLvl2'!A2</f>
        <v>ZT82151-BZD90</v>
      </c>
      <c r="B5" s="55" t="s">
        <v>327</v>
      </c>
      <c r="C5" s="55" t="s">
        <v>4</v>
      </c>
      <c r="D5" s="60" t="str">
        <f>'TC007-Contract Parts Info'!D3</f>
        <v>ZTATEST202306050000000000002</v>
      </c>
      <c r="E5" s="61" t="s">
        <v>99</v>
      </c>
      <c r="F5" s="60" t="str">
        <f>'TC007-Setup Data'!B2</f>
        <v>PNABU-L3-ZT-021</v>
      </c>
      <c r="G5" s="60" t="str">
        <f>'TC007-Contract Parts Info'!B3</f>
        <v>ZTCUS-PNATEST,20230605000000000000-2</v>
      </c>
      <c r="H5" s="56">
        <v>0</v>
      </c>
    </row>
    <row r="6" spans="1:8">
      <c r="A6" s="57" t="str">
        <f>'TC027-materialFieldLvl2'!A3</f>
        <v>ZT82151-BZE00</v>
      </c>
      <c r="B6" s="55" t="s">
        <v>327</v>
      </c>
      <c r="C6" s="55" t="s">
        <v>4</v>
      </c>
      <c r="D6" s="60" t="str">
        <f>'TC007-Contract Parts Info'!D3</f>
        <v>ZTATEST202306050000000000002</v>
      </c>
      <c r="E6" s="61" t="s">
        <v>99</v>
      </c>
      <c r="F6" s="60" t="str">
        <f>'TC007-Setup Data'!B2</f>
        <v>PNABU-L3-ZT-021</v>
      </c>
      <c r="G6" s="60" t="str">
        <f>'TC007-Contract Parts Info'!B3</f>
        <v>ZTCUS-PNATEST,20230605000000000000-2</v>
      </c>
      <c r="H6" s="56">
        <v>6</v>
      </c>
    </row>
    <row r="7" spans="1:8">
      <c r="A7" s="57" t="str">
        <f>'TC027-materialFieldLvl2'!A4</f>
        <v>ZT82151-BZK50</v>
      </c>
      <c r="B7" s="55" t="s">
        <v>328</v>
      </c>
      <c r="C7" s="55" t="s">
        <v>4</v>
      </c>
      <c r="D7" s="60" t="str">
        <f>'TC007-Contract Parts Info'!D3</f>
        <v>ZTATEST202306050000000000002</v>
      </c>
      <c r="E7" s="61" t="s">
        <v>99</v>
      </c>
      <c r="F7" s="60" t="str">
        <f>'TC007-Setup Data'!B2</f>
        <v>PNABU-L3-ZT-021</v>
      </c>
      <c r="G7" s="60" t="str">
        <f>'TC007-Contract Parts Info'!B3</f>
        <v>ZTCUS-PNATEST,20230605000000000000-2</v>
      </c>
      <c r="H7" s="56">
        <v>20</v>
      </c>
    </row>
    <row r="8" spans="1:8">
      <c r="A8" s="57" t="str">
        <f>'TC027-materialFieldLvl2'!A2</f>
        <v>ZT82151-BZD90</v>
      </c>
      <c r="B8" s="55" t="s">
        <v>327</v>
      </c>
      <c r="C8" s="55" t="s">
        <v>4</v>
      </c>
      <c r="D8" s="60" t="str">
        <f>'TC007-Contract Parts Info'!D4</f>
        <v>ZTpna1219AS1</v>
      </c>
      <c r="E8" s="61" t="s">
        <v>99</v>
      </c>
      <c r="F8" s="60" t="str">
        <f>'TC007-Setup Data'!B2</f>
        <v>PNABU-L3-ZT-021</v>
      </c>
      <c r="G8" s="60" t="str">
        <f>'TC007-Contract Parts Info'!B4</f>
        <v>ZTpna-1219AS-1</v>
      </c>
      <c r="H8" s="56">
        <v>0</v>
      </c>
    </row>
    <row r="9" spans="1:8">
      <c r="A9" s="57" t="str">
        <f>'TC027-materialFieldLvl2'!A3</f>
        <v>ZT82151-BZE00</v>
      </c>
      <c r="B9" s="55" t="s">
        <v>327</v>
      </c>
      <c r="C9" s="55" t="s">
        <v>4</v>
      </c>
      <c r="D9" s="60" t="str">
        <f>'TC007-Contract Parts Info'!D4</f>
        <v>ZTpna1219AS1</v>
      </c>
      <c r="E9" s="61" t="s">
        <v>99</v>
      </c>
      <c r="F9" s="60" t="str">
        <f>'TC007-Setup Data'!B2</f>
        <v>PNABU-L3-ZT-021</v>
      </c>
      <c r="G9" s="60" t="str">
        <f>'TC007-Contract Parts Info'!B4</f>
        <v>ZTpna-1219AS-1</v>
      </c>
      <c r="H9" s="56">
        <v>1</v>
      </c>
    </row>
    <row r="10" spans="1:8">
      <c r="A10" s="57" t="str">
        <f>'TC027-materialFieldLvl2'!A4</f>
        <v>ZT82151-BZK50</v>
      </c>
      <c r="B10" s="55" t="s">
        <v>328</v>
      </c>
      <c r="C10" s="55" t="s">
        <v>4</v>
      </c>
      <c r="D10" s="60" t="str">
        <f>'TC007-Contract Parts Info'!D4</f>
        <v>ZTpna1219AS1</v>
      </c>
      <c r="E10" s="61" t="s">
        <v>99</v>
      </c>
      <c r="F10" s="60" t="str">
        <f>'TC007-Setup Data'!B2</f>
        <v>PNABU-L3-ZT-021</v>
      </c>
      <c r="G10" s="60" t="str">
        <f>'TC007-Contract Parts Info'!B4</f>
        <v>ZTpna-1219AS-1</v>
      </c>
      <c r="H10" s="56">
        <v>1</v>
      </c>
    </row>
    <row r="11" spans="1:8">
      <c r="A11" s="57" t="str">
        <f>'TC027-materialFieldLvl2'!A2</f>
        <v>ZT82151-BZD90</v>
      </c>
      <c r="B11" s="55" t="s">
        <v>327</v>
      </c>
      <c r="C11" s="55" t="s">
        <v>4</v>
      </c>
      <c r="D11" s="60" t="str">
        <f>'TC007-Contract Parts Info'!D5</f>
        <v>ZTpna18001404835</v>
      </c>
      <c r="E11" s="61" t="s">
        <v>99</v>
      </c>
      <c r="F11" s="60" t="str">
        <f>'TC007-Setup Data'!B2</f>
        <v>PNABU-L3-ZT-021</v>
      </c>
      <c r="G11" s="60" t="str">
        <f>'TC007-Contract Parts Info'!B5</f>
        <v>ZTpna-18001404835</v>
      </c>
      <c r="H11" s="56">
        <v>0.64800000000000002</v>
      </c>
    </row>
    <row r="12" spans="1:8">
      <c r="A12" s="57" t="str">
        <f>'TC027-materialFieldLvl2'!A3</f>
        <v>ZT82151-BZE00</v>
      </c>
      <c r="B12" s="55" t="s">
        <v>327</v>
      </c>
      <c r="C12" s="55" t="s">
        <v>4</v>
      </c>
      <c r="D12" s="60" t="str">
        <f>'TC007-Contract Parts Info'!D5</f>
        <v>ZTpna18001404835</v>
      </c>
      <c r="E12" s="61" t="s">
        <v>99</v>
      </c>
      <c r="F12" s="60" t="str">
        <f>'TC007-Setup Data'!B2</f>
        <v>PNABU-L3-ZT-021</v>
      </c>
      <c r="G12" s="60" t="str">
        <f>'TC007-Contract Parts Info'!B5</f>
        <v>ZTpna-18001404835</v>
      </c>
      <c r="H12" s="56">
        <v>2</v>
      </c>
    </row>
    <row r="13" spans="1:8">
      <c r="A13" s="57" t="str">
        <f>'TC027-materialFieldLvl2'!A4</f>
        <v>ZT82151-BZK50</v>
      </c>
      <c r="B13" s="55" t="s">
        <v>328</v>
      </c>
      <c r="C13" s="55" t="s">
        <v>4</v>
      </c>
      <c r="D13" s="60" t="str">
        <f>'TC007-Contract Parts Info'!D5</f>
        <v>ZTpna18001404835</v>
      </c>
      <c r="E13" s="61" t="s">
        <v>99</v>
      </c>
      <c r="F13" s="60" t="str">
        <f>'TC007-Setup Data'!B2</f>
        <v>PNABU-L3-ZT-021</v>
      </c>
      <c r="G13" s="60" t="str">
        <f>'TC007-Contract Parts Info'!B5</f>
        <v>ZTpna-18001404835</v>
      </c>
      <c r="H13" s="56">
        <v>2</v>
      </c>
    </row>
    <row r="14" spans="1:8">
      <c r="A14" s="57" t="str">
        <f>'TC027-materialFieldLvl2'!A2</f>
        <v>ZT82151-BZD90</v>
      </c>
      <c r="B14" s="55" t="s">
        <v>327</v>
      </c>
      <c r="C14" s="55" t="s">
        <v>4</v>
      </c>
      <c r="D14" s="60" t="str">
        <f>'TC007-Contract Parts Info'!D6</f>
        <v>ZTpna18007703930</v>
      </c>
      <c r="E14" s="61" t="s">
        <v>99</v>
      </c>
      <c r="F14" s="60" t="str">
        <f>'TC007-Setup Data'!B2</f>
        <v>PNABU-L3-ZT-021</v>
      </c>
      <c r="G14" s="60" t="str">
        <f>'TC007-Contract Parts Info'!B6</f>
        <v>ZTpna-18007703930</v>
      </c>
      <c r="H14" s="56">
        <v>1.5329999999999999</v>
      </c>
    </row>
    <row r="15" spans="1:8">
      <c r="A15" s="57" t="str">
        <f>'TC027-materialFieldLvl2'!A3</f>
        <v>ZT82151-BZE00</v>
      </c>
      <c r="B15" s="55" t="s">
        <v>327</v>
      </c>
      <c r="C15" s="55" t="s">
        <v>4</v>
      </c>
      <c r="D15" s="60" t="str">
        <f>'TC007-Contract Parts Info'!D6</f>
        <v>ZTpna18007703930</v>
      </c>
      <c r="E15" s="61" t="s">
        <v>99</v>
      </c>
      <c r="F15" s="60" t="str">
        <f>'TC007-Setup Data'!B2</f>
        <v>PNABU-L3-ZT-021</v>
      </c>
      <c r="G15" s="60" t="str">
        <f>'TC007-Contract Parts Info'!B6</f>
        <v>ZTpna-18007703930</v>
      </c>
      <c r="H15" s="56">
        <v>3</v>
      </c>
    </row>
    <row r="16" spans="1:8">
      <c r="A16" s="57" t="str">
        <f>'TC027-materialFieldLvl2'!A4</f>
        <v>ZT82151-BZK50</v>
      </c>
      <c r="B16" s="55" t="s">
        <v>328</v>
      </c>
      <c r="C16" s="55" t="s">
        <v>4</v>
      </c>
      <c r="D16" s="60" t="str">
        <f>'TC007-Contract Parts Info'!D6</f>
        <v>ZTpna18007703930</v>
      </c>
      <c r="E16" s="61" t="s">
        <v>99</v>
      </c>
      <c r="F16" s="60" t="str">
        <f>'TC007-Setup Data'!B2</f>
        <v>PNABU-L3-ZT-021</v>
      </c>
      <c r="G16" s="60" t="str">
        <f>'TC007-Contract Parts Info'!B6</f>
        <v>ZTpna-18007703930</v>
      </c>
      <c r="H16" s="56">
        <v>3</v>
      </c>
    </row>
    <row r="17" spans="1:8">
      <c r="A17" s="57" t="str">
        <f>'TC027-materialFieldLvl2'!A2</f>
        <v>ZT82151-BZD90</v>
      </c>
      <c r="B17" s="55" t="s">
        <v>327</v>
      </c>
      <c r="C17" s="55" t="s">
        <v>4</v>
      </c>
      <c r="D17" s="60" t="str">
        <f>'TC007-Contract Parts Info'!D7</f>
        <v>ZTpna45050040130</v>
      </c>
      <c r="E17" s="61" t="s">
        <v>99</v>
      </c>
      <c r="F17" s="60" t="str">
        <f>'TC007-Setup Data'!B2</f>
        <v>PNABU-L3-ZT-021</v>
      </c>
      <c r="G17" s="60" t="str">
        <f>'TC007-Contract Parts Info'!B7</f>
        <v>ZTpna-45050040130</v>
      </c>
      <c r="H17" s="56">
        <v>1</v>
      </c>
    </row>
    <row r="18" spans="1:8">
      <c r="A18" s="57" t="str">
        <f>'TC027-materialFieldLvl2'!A3</f>
        <v>ZT82151-BZE00</v>
      </c>
      <c r="B18" s="55" t="s">
        <v>327</v>
      </c>
      <c r="C18" s="55" t="s">
        <v>4</v>
      </c>
      <c r="D18" s="60" t="str">
        <f>'TC007-Contract Parts Info'!D7</f>
        <v>ZTpna45050040130</v>
      </c>
      <c r="E18" s="61" t="s">
        <v>99</v>
      </c>
      <c r="F18" s="60" t="str">
        <f>'TC007-Setup Data'!B2</f>
        <v>PNABU-L3-ZT-021</v>
      </c>
      <c r="G18" s="60" t="str">
        <f>'TC007-Contract Parts Info'!B7</f>
        <v>ZTpna-45050040130</v>
      </c>
      <c r="H18" s="56">
        <v>4</v>
      </c>
    </row>
    <row r="19" spans="1:8">
      <c r="A19" s="57" t="str">
        <f>'TC027-materialFieldLvl2'!A4</f>
        <v>ZT82151-BZK50</v>
      </c>
      <c r="B19" s="55" t="s">
        <v>328</v>
      </c>
      <c r="C19" s="55" t="s">
        <v>4</v>
      </c>
      <c r="D19" s="60" t="str">
        <f>'TC007-Contract Parts Info'!D7</f>
        <v>ZTpna45050040130</v>
      </c>
      <c r="E19" s="61" t="s">
        <v>99</v>
      </c>
      <c r="F19" s="60" t="str">
        <f>'TC007-Setup Data'!B2</f>
        <v>PNABU-L3-ZT-021</v>
      </c>
      <c r="G19" s="60" t="str">
        <f>'TC007-Contract Parts Info'!B7</f>
        <v>ZTpna-45050040130</v>
      </c>
      <c r="H19" s="56">
        <v>4</v>
      </c>
    </row>
    <row r="20" spans="1:8">
      <c r="A20" s="57" t="str">
        <f>'TC027-materialFieldLvl2'!A2</f>
        <v>ZT82151-BZD90</v>
      </c>
      <c r="B20" s="55" t="s">
        <v>327</v>
      </c>
      <c r="C20" s="55" t="s">
        <v>4</v>
      </c>
      <c r="D20" s="60" t="str">
        <f>'TC007-Contract Parts Info'!D8</f>
        <v>ZTpnaNSL2BLACK</v>
      </c>
      <c r="E20" s="61" t="s">
        <v>99</v>
      </c>
      <c r="F20" s="60" t="str">
        <f>'TC007-Setup Data'!B2</f>
        <v>PNABU-L3-ZT-021</v>
      </c>
      <c r="G20" s="60" t="str">
        <f>'TC007-Contract Parts Info'!B8</f>
        <v>ZTpna-NSL-2BLACK</v>
      </c>
      <c r="H20" s="56">
        <v>2</v>
      </c>
    </row>
    <row r="21" spans="1:8">
      <c r="A21" s="57" t="str">
        <f>'TC027-materialFieldLvl2'!A3</f>
        <v>ZT82151-BZE00</v>
      </c>
      <c r="B21" s="55" t="s">
        <v>327</v>
      </c>
      <c r="C21" s="55" t="s">
        <v>4</v>
      </c>
      <c r="D21" s="60" t="str">
        <f>'TC007-Contract Parts Info'!D8</f>
        <v>ZTpnaNSL2BLACK</v>
      </c>
      <c r="E21" s="61" t="s">
        <v>99</v>
      </c>
      <c r="F21" s="60" t="str">
        <f>'TC007-Setup Data'!B2</f>
        <v>PNABU-L3-ZT-021</v>
      </c>
      <c r="G21" s="60" t="str">
        <f>'TC007-Contract Parts Info'!B8</f>
        <v>ZTpna-NSL-2BLACK</v>
      </c>
      <c r="H21" s="56">
        <v>5</v>
      </c>
    </row>
    <row r="22" spans="1:8">
      <c r="A22" s="57" t="str">
        <f>'TC027-materialFieldLvl2'!A4</f>
        <v>ZT82151-BZK50</v>
      </c>
      <c r="B22" s="55" t="s">
        <v>328</v>
      </c>
      <c r="C22" s="55" t="s">
        <v>4</v>
      </c>
      <c r="D22" s="60" t="str">
        <f>'TC007-Contract Parts Info'!D8</f>
        <v>ZTpnaNSL2BLACK</v>
      </c>
      <c r="E22" s="61" t="s">
        <v>99</v>
      </c>
      <c r="F22" s="60" t="str">
        <f>'TC007-Setup Data'!B2</f>
        <v>PNABU-L3-ZT-021</v>
      </c>
      <c r="G22" s="60" t="str">
        <f>'TC007-Contract Parts Info'!B8</f>
        <v>ZTpna-NSL-2BLACK</v>
      </c>
      <c r="H22" s="56">
        <v>6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H4"/>
  <sheetViews>
    <sheetView topLeftCell="A4" workbookViewId="0">
      <selection activeCell="L25" sqref="L25"/>
    </sheetView>
  </sheetViews>
  <sheetFormatPr defaultRowHeight="14.4"/>
  <cols>
    <col min="1" max="1" customWidth="true" width="24.0" collapsed="true"/>
    <col min="2" max="2" customWidth="true" width="13.6640625" collapsed="true"/>
    <col min="3" max="3" customWidth="true" width="13.21875" collapsed="true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ZT82151-BZD90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ZT82151-BZE00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ZT82151-BZK50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C2"/>
  <sheetViews>
    <sheetView workbookViewId="0"/>
  </sheetViews>
  <sheetFormatPr defaultRowHeight="14.4"/>
  <cols>
    <col min="1" max="1" customWidth="true" width="30.77734375" collapsed="true"/>
    <col min="2" max="2" customWidth="true" width="20.77734375" collapsed="true"/>
  </cols>
  <sheetData>
    <row r="1" spans="1:2">
      <c r="A1" s="209" t="s">
        <v>349</v>
      </c>
      <c r="B1" t="s">
        <v>350</v>
      </c>
    </row>
    <row r="2" spans="1:2">
      <c r="A2" t="s">
        <v>884</v>
      </c>
      <c r="B2" t="str">
        <f>"PR-"&amp;AutoIncrement!B2&amp;"-"&amp;AutoIncrement!A2</f>
        <v>PR-ZT-21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H8"/>
  <sheetViews>
    <sheetView workbookViewId="0">
      <selection activeCell="A8" sqref="A8"/>
    </sheetView>
  </sheetViews>
  <sheetFormatPr defaultRowHeight="14.4"/>
  <cols>
    <col min="1" max="1" customWidth="true" width="33.33203125" collapsed="true"/>
    <col min="2" max="2" customWidth="true" width="19.33203125" collapsed="true"/>
    <col min="3" max="3" customWidth="true" width="21.5546875" collapsed="true"/>
    <col min="4" max="4" customWidth="true" width="20.109375" collapsed="true"/>
    <col min="5" max="5" customWidth="true" width="18.0" collapsed="true"/>
    <col min="6" max="6" customWidth="true" width="18.21875" collapsed="true"/>
    <col min="7" max="7" customWidth="true" width="19.44140625" collapsed="true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ZTATEST202306050000000000001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ZTATEST202306050000000000002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ZTpna1219AS1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ZTpna18001404835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ZTpna18007703930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ZTpna45050040130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ZTpnaNSL2BLACK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B11"/>
  <sheetViews>
    <sheetView workbookViewId="0">
      <selection activeCell="F26" sqref="F26:G26"/>
    </sheetView>
  </sheetViews>
  <sheetFormatPr defaultRowHeight="14.4"/>
  <cols>
    <col min="1" max="1" customWidth="true" width="31.109375" collapsed="true"/>
  </cols>
  <sheetData>
    <row r="1" spans="1:1">
      <c r="A1" t="s">
        <v>32</v>
      </c>
    </row>
    <row r="2" spans="1:1">
      <c r="A2" s="10" t="str">
        <f>'TC007-Contract Parts Info'!D8</f>
        <v>ZTpnaNSL2BLACK</v>
      </c>
    </row>
    <row r="3" spans="1:1">
      <c r="A3" s="10" t="str">
        <f>'TC007-Contract Parts Info'!D7</f>
        <v>ZTpna45050040130</v>
      </c>
    </row>
    <row r="4" spans="1:1">
      <c r="A4" s="10" t="str">
        <f>'TC007-Contract Parts Info'!D6</f>
        <v>ZTpna18007703930</v>
      </c>
    </row>
    <row r="5" spans="1:1">
      <c r="A5" s="10" t="str">
        <f>'TC007-Contract Parts Info'!D5</f>
        <v>ZTpna18001404835</v>
      </c>
    </row>
    <row r="6" spans="1:1">
      <c r="A6" s="10" t="str">
        <f>'TC007-Contract Parts Info'!D4</f>
        <v>ZTpna1219AS1</v>
      </c>
    </row>
    <row r="7" spans="1:1">
      <c r="A7" s="10" t="str">
        <f>'TC007-Contract Parts Info'!D3</f>
        <v>ZTATEST202306050000000000002</v>
      </c>
    </row>
    <row r="8" spans="1:1">
      <c r="A8" s="10" t="str">
        <f>'TC007-Contract Parts Info'!D2</f>
        <v>ZTATEST202306050000000000001</v>
      </c>
    </row>
    <row r="9" spans="1:1">
      <c r="A9" t="str">
        <f>'TC021-Contrct Part Info L2 (BU)'!C4</f>
        <v>ZT82151BZK50</v>
      </c>
    </row>
    <row r="10" spans="1:1">
      <c r="A10" t="str">
        <f>'TC021-Contrct Part Info L2 (BU)'!C3</f>
        <v>ZT82151BZE00</v>
      </c>
    </row>
    <row r="11" spans="1:1">
      <c r="A11" t="str">
        <f>'TC021-Contrct Part Info L2 (BU)'!C2</f>
        <v>ZT82151BZD90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dimension ref="A1:U8"/>
  <sheetViews>
    <sheetView topLeftCell="E1" workbookViewId="0">
      <selection activeCell="I2" sqref="I2:AF8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ZTpnaNSL2BLACK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  <c r="I2">
        <v>0</v>
      </c>
      <c r="J2">
        <v>3684</v>
      </c>
      <c r="K2">
        <v>0</v>
      </c>
      <c r="L2">
        <v>0</v>
      </c>
      <c r="M2">
        <v>0</v>
      </c>
      <c r="N2">
        <v>4912</v>
      </c>
      <c r="O2">
        <v>0</v>
      </c>
      <c r="P2">
        <v>0</v>
      </c>
    </row>
    <row r="3" spans="1:20">
      <c r="A3" s="10" t="str">
        <f>'TC007-Contract Parts Info'!D7</f>
        <v>ZTpna45050040130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  <c r="I3">
        <v>0</v>
      </c>
      <c r="J3">
        <v>2809.9079999999999</v>
      </c>
      <c r="K3">
        <v>0</v>
      </c>
      <c r="L3">
        <v>0</v>
      </c>
      <c r="M3">
        <v>0</v>
      </c>
      <c r="N3">
        <v>3744</v>
      </c>
      <c r="O3">
        <v>0</v>
      </c>
      <c r="P3">
        <v>0</v>
      </c>
    </row>
    <row r="4" spans="1:20">
      <c r="A4" s="10" t="str">
        <f>'TC007-Contract Parts Info'!D6</f>
        <v>ZTpna18007703930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  <c r="I4">
        <v>0</v>
      </c>
      <c r="J4">
        <v>2113.8310000000001</v>
      </c>
      <c r="K4">
        <v>0</v>
      </c>
      <c r="L4">
        <v>0</v>
      </c>
      <c r="M4">
        <v>0</v>
      </c>
      <c r="N4">
        <v>2816</v>
      </c>
      <c r="O4">
        <v>0</v>
      </c>
      <c r="P4">
        <v>0</v>
      </c>
    </row>
    <row r="5" spans="1:20">
      <c r="A5" s="10" t="str">
        <f>'TC007-Contract Parts Info'!D5</f>
        <v>ZTpna18001404835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  <c r="I5">
        <v>0</v>
      </c>
      <c r="J5">
        <v>1406.854</v>
      </c>
      <c r="K5">
        <v>0</v>
      </c>
      <c r="L5">
        <v>0</v>
      </c>
      <c r="M5">
        <v>0</v>
      </c>
      <c r="N5">
        <v>1872</v>
      </c>
      <c r="O5">
        <v>0</v>
      </c>
      <c r="P5">
        <v>0</v>
      </c>
    </row>
    <row r="6" spans="1:20">
      <c r="A6" s="10" t="str">
        <f>'TC007-Contract Parts Info'!D4</f>
        <v>ZTpna1219AS1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  <c r="I6">
        <v>0</v>
      </c>
      <c r="J6">
        <v>699</v>
      </c>
      <c r="K6">
        <v>0</v>
      </c>
      <c r="L6">
        <v>0</v>
      </c>
      <c r="M6">
        <v>0</v>
      </c>
      <c r="N6">
        <v>932</v>
      </c>
      <c r="O6">
        <v>0</v>
      </c>
      <c r="P6">
        <v>0</v>
      </c>
    </row>
    <row r="7" spans="1:20">
      <c r="A7" s="10" t="str">
        <f>'TC007-Contract Parts Info'!D3</f>
        <v>ZTATEST202306050000000000002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  <c r="I7">
        <v>0</v>
      </c>
      <c r="J7">
        <v>6535.3620000000001</v>
      </c>
      <c r="K7">
        <v>0</v>
      </c>
      <c r="L7">
        <v>0</v>
      </c>
      <c r="M7">
        <v>0</v>
      </c>
      <c r="N7">
        <v>8712</v>
      </c>
      <c r="O7">
        <v>0</v>
      </c>
      <c r="P7">
        <v>0</v>
      </c>
    </row>
    <row r="8" spans="1:20">
      <c r="A8" s="10" t="str">
        <f>'TC007-Contract Parts Info'!D2</f>
        <v>ZTATEST202306050000000000001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  <c r="I8">
        <v>0</v>
      </c>
      <c r="J8">
        <v>4953</v>
      </c>
      <c r="K8">
        <v>0</v>
      </c>
      <c r="L8">
        <v>0</v>
      </c>
      <c r="M8">
        <v>0</v>
      </c>
      <c r="N8">
        <v>6602.3620000000001</v>
      </c>
      <c r="O8">
        <v>0</v>
      </c>
      <c r="P8">
        <v>0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J4"/>
  <sheetViews>
    <sheetView workbookViewId="0">
      <selection activeCell="I6" sqref="I6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ZT82151BZK50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  <c r="I2" s="240">
        <v>0</v>
      </c>
    </row>
    <row r="3" spans="1:9">
      <c r="A3" t="str">
        <f>'TC021-Contrct Part Info L2 (BU)'!C3</f>
        <v>ZT82151BZE00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  <c r="I3" s="240">
        <v>0</v>
      </c>
    </row>
    <row r="4" spans="1:9">
      <c r="A4" t="str">
        <f>'TC021-Contrct Part Info L2 (BU)'!C2</f>
        <v>ZT82151BZD90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  <c r="I4" s="240">
        <v>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R8"/>
  <sheetViews>
    <sheetView topLeftCell="E1" workbookViewId="0" zoomScale="90" zoomScaleNormal="90">
      <selection activeCell="C5" sqref="C5:C8"/>
    </sheetView>
  </sheetViews>
  <sheetFormatPr defaultColWidth="8.88671875" defaultRowHeight="13.8"/>
  <cols>
    <col min="1" max="1" customWidth="true" style="14" width="5.77734375" collapsed="true"/>
    <col min="2" max="2" customWidth="true" style="18" width="38.21875" collapsed="true"/>
    <col min="3" max="3" customWidth="true" style="18" width="36.33203125" collapsed="true"/>
    <col min="4" max="4" customWidth="true" style="18" width="30.77734375" collapsed="true"/>
    <col min="5" max="5" customWidth="true" style="18" width="62.88671875" collapsed="true"/>
    <col min="6" max="9" customWidth="true" style="18" width="15.77734375" collapsed="true"/>
    <col min="10" max="10" customWidth="true" style="18" width="30.77734375" collapsed="true"/>
    <col min="11" max="17" customWidth="true" style="18" width="15.77734375" collapsed="true"/>
    <col min="18" max="16384" style="18" width="8.88671875" collapsed="true"/>
  </cols>
  <sheetData>
    <row customFormat="1" r="1" s="8" spans="1:17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customFormat="1" r="2" s="8" spans="1:17">
      <c r="A2" s="14">
        <v>1</v>
      </c>
      <c r="B2" s="10" t="str">
        <f>AutoIncrement!B2&amp;"CUS-PNATEST,20230605000000000000-1"</f>
        <v>ZTCUS-PNATEST,20230605000000000000-1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ZTCUS-PNATEST,20230605000000000000-2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customFormat="1" r="3" s="8" spans="1:17">
      <c r="A3" s="14">
        <v>2</v>
      </c>
      <c r="B3" s="10" t="str">
        <f>AutoIncrement!B2&amp;"CUS-PNATEST,20230605000000000000-2"</f>
        <v>ZTCUS-PNATEST,20230605000000000000-2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ZTCUS-PNATEST,20230605000000000000-1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customFormat="1" r="4" s="8" spans="1:17">
      <c r="A4" s="14">
        <v>3</v>
      </c>
      <c r="B4" s="10" t="str">
        <f>AutoIncrement!B2&amp;"pna-1219AS-1"</f>
        <v>ZTpna-1219AS-1</v>
      </c>
      <c r="C4" s="10" t="str">
        <f>'TC002'!D2</f>
        <v>ZTpna1219AS1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customFormat="1" r="5" s="8" spans="1:17">
      <c r="A5" s="14">
        <v>4</v>
      </c>
      <c r="B5" s="10" t="str">
        <f>AutoIncrement!B2&amp;"pna-18001404835"</f>
        <v>ZTpna-18001404835</v>
      </c>
      <c r="C5" s="10" t="str">
        <f>'TC002'!D3</f>
        <v>ZTpna18001404835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customFormat="1" r="6" s="8" spans="1:17">
      <c r="A6" s="14">
        <v>5</v>
      </c>
      <c r="B6" s="10" t="str">
        <f>AutoIncrement!B2&amp;"pna-18007703930"</f>
        <v>ZTpna-18007703930</v>
      </c>
      <c r="C6" s="10" t="str">
        <f>'TC002'!D4</f>
        <v>ZTpna18007703930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customFormat="1" r="7" s="8" spans="1:17">
      <c r="A7" s="14">
        <v>6</v>
      </c>
      <c r="B7" s="10" t="str">
        <f>AutoIncrement!B2&amp;"pna-45050040130"</f>
        <v>ZTpna-45050040130</v>
      </c>
      <c r="C7" s="10" t="str">
        <f>'TC002'!D5</f>
        <v>ZTpna45050040130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customFormat="1" r="8" s="8" spans="1:17">
      <c r="A8" s="14">
        <v>7</v>
      </c>
      <c r="B8" s="10" t="str">
        <f>AutoIncrement!B2&amp;"pna-NSL-2BLACK"</f>
        <v>ZTpna-NSL-2BLACK</v>
      </c>
      <c r="C8" s="10" t="str">
        <f>'TC002'!D6</f>
        <v>ZTpnaNSL2BLACK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allowBlank="1" showErrorMessage="1" sqref="I2:I8" type="list" xr:uid="{1B889253-39AA-43A3-80C2-856F79E18A33}">
      <formula1>PAIRED_FLAG</formula1>
    </dataValidation>
    <dataValidation allowBlank="1" showErrorMessage="1" sqref="K2:K8" type="list" xr:uid="{8D98662B-F30E-4367-8C32-C64F4EF709FB}">
      <formula1>PAIRED_ORDER_FLAG</formula1>
    </dataValidation>
    <dataValidation allowBlank="1" showErrorMessage="1" sqref="H2:H8" type="list" xr:uid="{5BF82AF3-4389-413B-AC8B-326A2048ECE1}">
      <formula1>UOM_CODE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M2"/>
  <sheetViews>
    <sheetView workbookViewId="0">
      <selection activeCell="D2" sqref="D2"/>
    </sheetView>
  </sheetViews>
  <sheetFormatPr defaultColWidth="8.88671875" defaultRowHeight="13.8"/>
  <cols>
    <col min="1" max="1" customWidth="true" style="1" width="5.77734375" collapsed="true"/>
    <col min="2" max="12" customWidth="true" style="1" width="20.77734375" collapsed="true"/>
    <col min="13" max="16384" style="1" width="8.88671875" collapsed="true"/>
  </cols>
  <sheetData>
    <row customFormat="1" r="1" s="18" spans="1:12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customFormat="1" r="2" s="18" spans="1:12">
      <c r="A2" s="18">
        <v>1</v>
      </c>
      <c r="B2" s="18" t="s">
        <v>245</v>
      </c>
      <c r="D2" s="18" t="str">
        <f>AutoIncrement!B2&amp;"-"&amp;AutoIncrement!A2&amp;"-OCGN"</f>
        <v>ZT-21-OCGN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allowBlank="1" sqref="L2" type="list" xr:uid="{5897A404-8596-4007-9A0B-0CA759B183FE}">
      <formula1>"Active,Inactive"</formula1>
    </dataValidation>
    <dataValidation allowBlank="1" sqref="I2" type="list" xr:uid="{FF2354A7-0311-492D-9FE3-13818B37ED12}">
      <formula1>"Weekly,Monthly"</formula1>
    </dataValidation>
    <dataValidation allowBlank="1" sqref="H2" type="list" xr:uid="{78CE28F5-DCB2-4B83-BE11-F98944538054}">
      <formula1>"By Usage of Next Range,By Max Usage of all Next Ranages"</formula1>
    </dataValidation>
  </dataValidations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sheetPr>
    <tabColor rgb="FFFFFF00"/>
  </sheetPr>
  <dimension ref="A1:T8"/>
  <sheetViews>
    <sheetView topLeftCell="G1" workbookViewId="0" zoomScale="90" zoomScaleNormal="90">
      <selection activeCell="O8" sqref="O2:O8"/>
    </sheetView>
  </sheetViews>
  <sheetFormatPr defaultColWidth="8.88671875" defaultRowHeight="13.8"/>
  <cols>
    <col min="1" max="1" customWidth="true" style="1" width="5.77734375" collapsed="true"/>
    <col min="2" max="2" customWidth="true" style="1" width="30.77734375" collapsed="true"/>
    <col min="3" max="5" customWidth="true" style="1" width="15.77734375" collapsed="true"/>
    <col min="6" max="6" customWidth="true" style="76" width="15.77734375" collapsed="true"/>
    <col min="7" max="7" customWidth="true" style="1" width="15.77734375" collapsed="true"/>
    <col min="8" max="8" customWidth="true" style="1" width="30.77734375" collapsed="true"/>
    <col min="9" max="12" customWidth="true" style="1" width="15.77734375" collapsed="true"/>
    <col min="13" max="13" customWidth="true" style="1" width="30.77734375" collapsed="true"/>
    <col min="14" max="17" customWidth="true" style="1" width="15.77734375" collapsed="true"/>
    <col min="18" max="19" customWidth="true" style="2" width="15.77734375" collapsed="true"/>
    <col min="20" max="16384" style="1" width="8.88671875" collapsed="true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19" t="s">
        <v>374</v>
      </c>
      <c r="S1" s="219" t="s">
        <v>375</v>
      </c>
    </row>
    <row r="2" spans="1:19">
      <c r="A2" s="15">
        <v>1</v>
      </c>
      <c r="B2" s="1" t="str">
        <f>'TC024'!$B10</f>
        <v>ZTATEST202306050000000000001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ZT-21-OCGN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ZTATEST202306050000000000002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ZT-21-OCGN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ZTpna1219AS1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ZT-21-OCGN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ZTpna18001404835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ZT-21-OCGN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ZTpna18007703930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ZT-21-OCGN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ZTpna45050040130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ZT-21-OCGN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ZTpnaNSL2BLACK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ZT-21-OCGN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J2"/>
  <sheetViews>
    <sheetView workbookViewId="0" zoomScale="90" zoomScaleNormal="90">
      <selection activeCell="I1" sqref="I1:I1048576"/>
    </sheetView>
  </sheetViews>
  <sheetFormatPr defaultColWidth="8.88671875" defaultRowHeight="13.8"/>
  <cols>
    <col min="1" max="1" customWidth="true" style="1" width="5.77734375" collapsed="true"/>
    <col min="2" max="2" customWidth="true" style="1" width="25.77734375" collapsed="true"/>
    <col min="3" max="3" customWidth="true" style="77" width="25.77734375" collapsed="true"/>
    <col min="4" max="4" customWidth="true" style="189" width="25.77734375" collapsed="true"/>
    <col min="5" max="7" customWidth="true" style="2" width="25.77734375" collapsed="true"/>
    <col min="8" max="9" customWidth="true" style="1" width="25.77734375" collapsed="true"/>
    <col min="10" max="16384" style="1" width="8.88671875" collapsed="true"/>
  </cols>
  <sheetData>
    <row r="1" spans="1:9">
      <c r="A1" s="1" t="s">
        <v>34</v>
      </c>
      <c r="B1" s="1" t="s">
        <v>385</v>
      </c>
      <c r="C1" s="77" t="s">
        <v>386</v>
      </c>
      <c r="D1" s="189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3" t="s">
        <v>389</v>
      </c>
    </row>
    <row ht="14.4" r="2" spans="1:9">
      <c r="A2" s="1">
        <v>1</v>
      </c>
      <c r="B2" s="1" t="str">
        <f>'TC031-Create Order Calc Group'!D2</f>
        <v>ZT-21-OCGN</v>
      </c>
      <c r="C2" s="77">
        <v>45180</v>
      </c>
      <c r="D2" s="189" t="n">
        <f ca="1">TODAY()</f>
        <v>45253.0</v>
      </c>
      <c r="E2" s="1">
        <v>21</v>
      </c>
      <c r="F2" t="s">
        <v>693</v>
      </c>
      <c r="G2" s="1">
        <v>2023</v>
      </c>
      <c r="H2" s="1" t="str">
        <f>'TC027-AutoGen'!A2</f>
        <v>Bom-ver202311231421363868</v>
      </c>
      <c r="I2" t="s">
        <v>885</v>
      </c>
    </row>
  </sheetData>
  <pageMargins bottom="0.75" footer="0.3" header="0.3" left="0.7" right="0.7" top="0.75"/>
  <pageSetup orientation="portrait" r:id="rId1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G8"/>
  <sheetViews>
    <sheetView workbookViewId="0">
      <selection activeCell="C12" sqref="C12"/>
    </sheetView>
  </sheetViews>
  <sheetFormatPr defaultRowHeight="14.4"/>
  <cols>
    <col min="1" max="2" customWidth="true" width="30.77734375" collapsed="true"/>
    <col min="4" max="4" customWidth="true" width="12.21875" collapsed="true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ZTATEST202306050000000000001</v>
      </c>
      <c r="B2" s="190">
        <v>140000000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ZTATEST202306050000000000002</v>
      </c>
      <c r="B3" s="190">
        <v>140000000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ZTpna1219AS1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ZTpna18001404835</v>
      </c>
      <c r="B5" s="190">
        <v>49000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ZTpna18007703930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ZTpna45050040130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ZTpnaNSL2BLACK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honeticPr fontId="25" type="noConversion"/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dimension ref="A1:G3"/>
  <sheetViews>
    <sheetView workbookViewId="0">
      <selection activeCell="E3" sqref="E3"/>
    </sheetView>
  </sheetViews>
  <sheetFormatPr defaultRowHeight="14.4"/>
  <cols>
    <col min="1" max="3" customWidth="true" width="36.6640625" collapsed="true"/>
    <col min="4" max="4" customWidth="true" width="37.21875" collapsed="true"/>
    <col min="5" max="5" customWidth="true" width="18.6640625" collapsed="true"/>
    <col min="6" max="6" customWidth="true" width="23.6640625" collapsed="true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ZTpna1219AS1</v>
      </c>
      <c r="B2" s="80" t="s">
        <v>99</v>
      </c>
      <c r="C2" s="81" t="str">
        <f>'TC007-Setup Data'!B2</f>
        <v>PNABU-L3-ZT-021</v>
      </c>
      <c r="D2" t="str">
        <f>'TC007-Contract Parts Info'!B4</f>
        <v>ZTpna-1219AS-1</v>
      </c>
      <c r="E2" s="82" t="str">
        <f ca="1">TEXT(DATE(YEAR(TODAY()), MONTH(TODAY()), DAY(TODAY()-1)), "dd MMM yyyy")</f>
        <v>22 十一月 2023</v>
      </c>
      <c r="F2" s="83">
        <v>-10</v>
      </c>
    </row>
    <row r="3" spans="1:6">
      <c r="A3" t="str">
        <f>'TC007-Contract Parts Info'!D2</f>
        <v>ZTATEST202306050000000000001</v>
      </c>
      <c r="B3" s="80" t="s">
        <v>99</v>
      </c>
      <c r="C3" s="81" t="str">
        <f>'TC007-Setup Data'!B2</f>
        <v>PNABU-L3-ZT-021</v>
      </c>
      <c r="D3" t="str">
        <f>'TC007-Contract Parts Info'!B2</f>
        <v>ZTCUS-PNATEST,20230605000000000000-1</v>
      </c>
      <c r="E3" s="82" t="str">
        <f ca="1">TEXT(DATE(YEAR(TODAY()), MONTH(TODAY()), DAY(TODAY()-2)), "dd MMM yyyy")</f>
        <v>21 十一月 2023</v>
      </c>
      <c r="F3" s="83">
        <v>-100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dimension ref="A1:D4"/>
  <sheetViews>
    <sheetView workbookViewId="0">
      <selection activeCell="B4" sqref="B4"/>
    </sheetView>
  </sheetViews>
  <sheetFormatPr defaultRowHeight="14.4"/>
  <cols>
    <col min="1" max="2" customWidth="true" width="25.77734375" collapsed="true"/>
    <col min="3" max="3" customWidth="true" width="15.77734375" collapsed="true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ZT82151BZD90</v>
      </c>
      <c r="B2" s="87" t="str">
        <f ca="1">TEXT(DATE(YEAR(TODAY()), MONTH(TODAY()), DAY(TODAY())), "dd MMM yyyy")</f>
        <v>23 十一月 2023</v>
      </c>
      <c r="C2" s="88">
        <v>100</v>
      </c>
    </row>
    <row r="3" spans="1:3">
      <c r="A3" s="86" t="str">
        <f>'TC021-Contrct Part Info L2 (BU)'!C3</f>
        <v>ZT82151BZE00</v>
      </c>
      <c r="B3" s="87" t="str">
        <f ca="1">TEXT(DATE(YEAR(TODAY()), MONTH(TODAY()), DAY(TODAY())), "dd MMM yyyy")</f>
        <v>23 十一月 2023</v>
      </c>
      <c r="C3" s="88">
        <v>100</v>
      </c>
    </row>
    <row r="4" spans="1:3">
      <c r="A4" s="86" t="str">
        <f>'TC021-Contrct Part Info L2 (BU)'!C4</f>
        <v>ZT82151BZK50</v>
      </c>
      <c r="B4" s="87" t="str">
        <f ca="1">TEXT(DATE(YEAR(TODAY()), MONTH(TODAY()), DAY(TODAY())), "dd MMM yyyy")</f>
        <v>23 十一月 2023</v>
      </c>
      <c r="C4" s="88">
        <v>100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dimension ref="A1:U8"/>
  <sheetViews>
    <sheetView topLeftCell="E1" workbookViewId="0">
      <selection activeCell="I2" sqref="I2:AF8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ZTpnaNSL2BLACK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ZTpna45050040130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ZTpna18007703930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ZTpna18001404835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ZTpna1219AS1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ZTATEST202306050000000000002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ZTATEST202306050000000000001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J4"/>
  <sheetViews>
    <sheetView workbookViewId="0">
      <selection activeCell="D27" sqref="D27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  <col min="9" max="9" customWidth="true" width="13.0" collapsed="true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ZT82151BZK50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  <c r="I2" s="214">
        <v>100</v>
      </c>
    </row>
    <row r="3" spans="1:9">
      <c r="A3" t="str">
        <f>'TC021-Contrct Part Info L2 (BU)'!C3</f>
        <v>ZT82151BZE00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  <c r="I3" s="214">
        <v>100</v>
      </c>
    </row>
    <row r="4" spans="1:9">
      <c r="A4" t="str">
        <f>'TC021-Contrct Part Info L2 (BU)'!C2</f>
        <v>ZT82151BZD90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  <c r="I4" s="214">
        <v>100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G8"/>
  <sheetViews>
    <sheetView workbookViewId="0">
      <selection activeCell="D14" sqref="D14"/>
    </sheetView>
  </sheetViews>
  <sheetFormatPr defaultRowHeight="14.4"/>
  <cols>
    <col min="1" max="2" customWidth="true" width="30.77734375" collapsed="true"/>
    <col min="4" max="4" customWidth="true" width="12.21875" collapsed="true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ZTATEST202306050000000000001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ZTATEST202306050000000000002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ZTpna1219AS1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ZTpna18001404835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ZTpna18007703930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ZTpna45050040130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ZTpnaNSL2BLACK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J2"/>
  <sheetViews>
    <sheetView workbookViewId="0">
      <selection activeCell="H2" sqref="H2"/>
    </sheetView>
  </sheetViews>
  <sheetFormatPr defaultRowHeight="13.8"/>
  <cols>
    <col min="1" max="9" customWidth="true" style="1" width="20.77734375" collapsed="true"/>
    <col min="10" max="16384" style="1" width="8.88671875" collapsed="true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ht="14.4" r="2" spans="1:9">
      <c r="A2" s="137" t="str">
        <f>'TC002'!$D$2</f>
        <v>ZTpna1219AS1</v>
      </c>
      <c r="B2" s="92" t="s">
        <v>99</v>
      </c>
      <c r="C2" s="81" t="str">
        <f>'TC007-Setup Data'!B2</f>
        <v>PNABU-L3-ZT-021</v>
      </c>
      <c r="D2" s="137" t="str">
        <f>'TC002'!$C$2</f>
        <v>ZTpna-1219AS-1</v>
      </c>
      <c r="E2" s="92"/>
      <c r="F2" s="92" t="s">
        <v>96</v>
      </c>
      <c r="G2" s="92" t="s">
        <v>145</v>
      </c>
      <c r="H2" s="82" t="str">
        <f ca="1">TEXT(DATE(YEAR(TODAY()), MONTH(TODAY()), DAY(TODAY()-2)), "dd MMM yyyy")</f>
        <v>21 十一月 2023</v>
      </c>
      <c r="I2" s="93">
        <v>66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B2"/>
  <sheetViews>
    <sheetView workbookViewId="0" zoomScale="90" zoomScaleNormal="90">
      <selection activeCell="J3" sqref="J3"/>
    </sheetView>
  </sheetViews>
  <sheetFormatPr defaultColWidth="8.88671875" defaultRowHeight="13.8"/>
  <cols>
    <col min="1" max="1" customWidth="true" style="1" width="20.77734375" collapsed="true"/>
    <col min="2" max="16384" style="1" width="8.88671875" collapsed="true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ZT-21-Request L3 Parts</v>
      </c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dimension ref="A1:U8"/>
  <sheetViews>
    <sheetView topLeftCell="E1" workbookViewId="0">
      <selection activeCell="I2" sqref="I2:AF8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ZTpnaNSL2BLACK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ZTpna45050040130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ZTpna18007703930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ZTpna18001404835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ZTpna1219AS1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ZTATEST202306050000000000002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ZTATEST202306050000000000001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I4"/>
  <sheetViews>
    <sheetView workbookViewId="0">
      <selection activeCell="I23" sqref="I23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ZT82151BZK50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ZT82151BZE00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ZT82151BZD90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G8"/>
  <sheetViews>
    <sheetView workbookViewId="0">
      <selection activeCell="C14" sqref="C14"/>
    </sheetView>
  </sheetViews>
  <sheetFormatPr defaultRowHeight="14.4"/>
  <cols>
    <col min="1" max="2" customWidth="true" width="30.77734375" collapsed="true"/>
    <col min="4" max="4" customWidth="true" width="12.21875" collapsed="true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ZTATEST202306050000000000001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ZTATEST202306050000000000002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ZTpna1219AS1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ZTpna18001404835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ZTpna18007703930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ZTpna45050040130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ZTpnaNSL2BLACK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H8"/>
  <sheetViews>
    <sheetView workbookViewId="0">
      <selection activeCell="B2" sqref="B2"/>
    </sheetView>
  </sheetViews>
  <sheetFormatPr defaultRowHeight="13.8"/>
  <cols>
    <col min="1" max="1" customWidth="true" style="1" width="39.6640625" collapsed="true"/>
    <col min="2" max="2" customWidth="true" style="1" width="20.77734375" collapsed="true"/>
    <col min="3" max="3" customWidth="true" style="1" width="30.77734375" collapsed="true"/>
    <col min="4" max="7" customWidth="true" style="1" width="20.77734375" collapsed="true"/>
    <col min="8" max="16384" style="1" width="8.88671875" collapsed="true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PNABU-L3-ZT-021</v>
      </c>
      <c r="B2" s="1" t="str">
        <f>'TC034-Create Order Calculation'!I2</f>
        <v>MY-PNA-CUS-2311-002</v>
      </c>
      <c r="C2" s="94" t="str">
        <f>'TC007-Contract Parts Info'!D2</f>
        <v>ZTATEST202306050000000000001</v>
      </c>
      <c r="D2" s="191">
        <v>140085460</v>
      </c>
      <c r="E2" s="191">
        <v>140085460</v>
      </c>
      <c r="F2" s="192"/>
      <c r="G2" s="192"/>
    </row>
    <row r="3" spans="1:7">
      <c r="C3" s="94" t="str">
        <f>'TC007-Contract Parts Info'!D3</f>
        <v>ZTATEST202306050000000000002</v>
      </c>
      <c r="D3" s="191">
        <v>140085460</v>
      </c>
      <c r="E3" s="191">
        <v>140085460</v>
      </c>
      <c r="F3" s="192"/>
      <c r="G3" s="192"/>
    </row>
    <row r="4" spans="1:7">
      <c r="C4" s="94" t="str">
        <f>'TC007-Contract Parts Info'!D4</f>
        <v>ZTpna1219AS1</v>
      </c>
      <c r="D4" s="191">
        <v>44000</v>
      </c>
      <c r="E4" s="193"/>
      <c r="F4" s="193">
        <v>44000</v>
      </c>
      <c r="G4" s="193"/>
    </row>
    <row r="5" spans="1:7">
      <c r="C5" s="94" t="str">
        <f>'TC007-Contract Parts Info'!D5</f>
        <v>ZTpna18001404835</v>
      </c>
      <c r="D5" s="191">
        <v>49500</v>
      </c>
      <c r="E5" s="193"/>
      <c r="F5" s="193"/>
      <c r="G5" s="193">
        <v>49500</v>
      </c>
    </row>
    <row r="6" spans="1:7">
      <c r="C6" s="94" t="str">
        <f>'TC007-Contract Parts Info'!D6</f>
        <v>ZTpna18007703930</v>
      </c>
      <c r="D6" s="191">
        <v>75000</v>
      </c>
      <c r="E6" s="193">
        <v>75000</v>
      </c>
      <c r="F6" s="193"/>
      <c r="G6" s="193"/>
    </row>
    <row r="7" spans="1:7">
      <c r="C7" s="94" t="str">
        <f>'TC007-Contract Parts Info'!D7</f>
        <v>ZTpna45050040130</v>
      </c>
      <c r="D7" s="191">
        <v>102000</v>
      </c>
      <c r="E7" s="193"/>
      <c r="F7" s="193"/>
      <c r="G7" s="193">
        <v>102000</v>
      </c>
    </row>
    <row r="8" spans="1:7">
      <c r="C8" s="94" t="str">
        <f>'TC007-Contract Parts Info'!D8</f>
        <v>ZTpnaNSL2BLACK</v>
      </c>
      <c r="D8" s="191">
        <v>140</v>
      </c>
      <c r="E8" s="193">
        <v>140</v>
      </c>
      <c r="F8" s="193"/>
      <c r="G8" s="193"/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customWidth="true" width="19.21875" collapsed="true"/>
    <col min="2" max="2" customWidth="true" width="26.77734375" collapsed="true"/>
    <col min="3" max="3" customWidth="true" width="15.44140625" collapsed="true"/>
  </cols>
  <sheetData>
    <row r="1" spans="1:2">
      <c r="A1" s="197" t="s">
        <v>705</v>
      </c>
      <c r="B1" t="s">
        <v>129</v>
      </c>
    </row>
    <row r="2" spans="1:2">
      <c r="A2" t="s">
        <v>801</v>
      </c>
      <c r="B2" t="str">
        <f>'TC011-Setup Data'!A2</f>
        <v>ELASUP-ZTs1-021</v>
      </c>
    </row>
    <row r="3" spans="1:2">
      <c r="A3" t="s">
        <v>802</v>
      </c>
      <c r="B3" t="str">
        <f>'TC012-Setup Data'!A2</f>
        <v>JPYAZ-ZTs2-021</v>
      </c>
    </row>
    <row r="4" spans="1:2">
      <c r="A4" t="s">
        <v>803</v>
      </c>
      <c r="B4" t="str">
        <f>'TC012-Setup Data'!A2</f>
        <v>JPYAZ-ZTs2-021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K4"/>
  <sheetViews>
    <sheetView workbookViewId="0">
      <selection activeCell="H2" sqref="H2"/>
    </sheetView>
  </sheetViews>
  <sheetFormatPr defaultRowHeight="14.4"/>
  <cols>
    <col min="1" max="1" customWidth="true" width="7.88671875" collapsed="true"/>
    <col min="2" max="3" customWidth="true" width="24.0" collapsed="true"/>
    <col min="4" max="4" customWidth="true" width="12.33203125" collapsed="true"/>
    <col min="5" max="5" customWidth="true" width="11.0" collapsed="true"/>
    <col min="6" max="6" customWidth="true" width="21.44140625" collapsed="true"/>
    <col min="7" max="8" customWidth="true" width="19.6640625" collapsed="true"/>
    <col min="9" max="9" customWidth="true" width="19.0" collapsed="true"/>
    <col min="10" max="10" customWidth="true" width="17.77734375" collapsed="true"/>
  </cols>
  <sheetData>
    <row r="1" spans="1:10">
      <c r="A1" t="s">
        <v>34</v>
      </c>
      <c r="B1" t="s">
        <v>407</v>
      </c>
      <c r="C1" t="s">
        <v>129</v>
      </c>
      <c r="D1" t="s">
        <v>702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703</v>
      </c>
    </row>
    <row ht="15" r="2" spans="1:10" thickBot="1">
      <c r="A2">
        <v>1</v>
      </c>
      <c r="B2" t="str">
        <f>'TC049 autogen'!A2</f>
        <v>pZ525-2310003</v>
      </c>
      <c r="C2" t="str">
        <f>'TC011-Setup Data'!A2</f>
        <v>ELASUP-ZTs1-021</v>
      </c>
      <c r="D2" s="196" t="s">
        <v>704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198" t="n">
        <f ca="1">TODAY()</f>
        <v>45253.0</v>
      </c>
    </row>
    <row ht="15" r="3" spans="1:10" thickBot="1">
      <c r="A3">
        <v>2</v>
      </c>
      <c r="B3" t="str">
        <f>'TC049 autogen'!A3</f>
        <v>pZ525-2310001</v>
      </c>
      <c r="C3" t="str">
        <f>'TC012-Setup Data'!A2</f>
        <v>JPYAZ-ZTs2-021</v>
      </c>
      <c r="D3" s="196" t="s">
        <v>704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198" t="n">
        <f ca="1" ref="J3:J4" si="0" t="shared">TODAY()</f>
        <v>45253.0</v>
      </c>
    </row>
    <row ht="15" r="4" spans="1:10" thickBot="1">
      <c r="A4">
        <v>3</v>
      </c>
      <c r="B4" t="str">
        <f>'TC049 autogen'!A4</f>
        <v>pZ525-2310002</v>
      </c>
      <c r="C4" t="str">
        <f>'TC012-Setup Data'!A2</f>
        <v>JPYAZ-ZTs2-021</v>
      </c>
      <c r="D4" s="196" t="s">
        <v>704</v>
      </c>
      <c r="E4" s="196" t="s">
        <v>428</v>
      </c>
      <c r="F4" s="196" t="s">
        <v>166</v>
      </c>
      <c r="G4" s="196" t="s">
        <v>255</v>
      </c>
      <c r="H4" s="196" t="s">
        <v>150</v>
      </c>
      <c r="I4" s="196" t="s">
        <v>98</v>
      </c>
      <c r="J4" s="198" t="n">
        <f ca="1" si="0" t="shared"/>
        <v>45253.0</v>
      </c>
    </row>
  </sheetData>
  <phoneticPr fontId="25" type="noConversion"/>
  <pageMargins bottom="0.75" footer="0.3" header="0.3" left="0.7" right="0.7" top="0.75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C2"/>
  <sheetViews>
    <sheetView workbookViewId="0">
      <selection activeCell="B8" sqref="B8"/>
    </sheetView>
  </sheetViews>
  <sheetFormatPr defaultRowHeight="14.4"/>
  <cols>
    <col min="1" max="1" customWidth="true" width="19.21875" collapsed="true"/>
    <col min="2" max="2" customWidth="true" width="25.88671875" collapsed="true"/>
  </cols>
  <sheetData>
    <row r="1" spans="1:2">
      <c r="A1" s="197" t="s">
        <v>508</v>
      </c>
      <c r="B1" t="s">
        <v>129</v>
      </c>
    </row>
    <row r="2" spans="1:2">
      <c r="A2" t="s">
        <v>804</v>
      </c>
      <c r="B2" t="str">
        <f>'TC011-Setup Data'!A2</f>
        <v>ELASUP-ZTs1-021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C4"/>
  <sheetViews>
    <sheetView workbookViewId="0">
      <selection activeCell="A2" sqref="A2"/>
    </sheetView>
  </sheetViews>
  <sheetFormatPr defaultRowHeight="14.4"/>
  <cols>
    <col min="1" max="1" customWidth="true" width="38.77734375" collapsed="true"/>
    <col min="2" max="2" customWidth="true" width="32.33203125" collapsed="true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ZTATEST202306050000000000001</v>
      </c>
      <c r="B2" s="100">
        <v>2.0019999999999998</v>
      </c>
    </row>
    <row r="3" spans="1:2">
      <c r="A3" s="99" t="str">
        <f>'TC051'!F3</f>
        <v>ZTATEST202306050000000000002</v>
      </c>
      <c r="B3" s="100">
        <v>1.0009999999999999</v>
      </c>
    </row>
    <row r="4" spans="1:2">
      <c r="A4" s="99" t="str">
        <f>'TC051'!F4</f>
        <v>ZTpna1219AS1</v>
      </c>
      <c r="B4" s="100">
        <v>1.0009999999999999</v>
      </c>
    </row>
  </sheetData>
  <pageMargins bottom="0.75" footer="0.3" header="0.3" left="0.7" right="0.7" top="0.75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Z4"/>
  <sheetViews>
    <sheetView workbookViewId="0">
      <selection activeCell="B13" sqref="B13"/>
    </sheetView>
  </sheetViews>
  <sheetFormatPr defaultRowHeight="14.4"/>
  <cols>
    <col min="1" max="1" customWidth="true" width="30.77734375" collapsed="true"/>
    <col min="2" max="5" customWidth="true" width="15.77734375" collapsed="true"/>
    <col min="6" max="7" customWidth="true" width="30.77734375" collapsed="true"/>
    <col min="8" max="25" customWidth="true" width="15.77734375" collapsed="true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customHeight="1" ht="15.75" r="2" spans="1:25">
      <c r="A2" s="102" t="str">
        <f>'TC011-Setup Data'!A2</f>
        <v>ELASUP-ZTs1-021</v>
      </c>
      <c r="B2" s="101" t="s">
        <v>428</v>
      </c>
      <c r="C2" s="101"/>
      <c r="D2" s="101"/>
      <c r="E2" s="101"/>
      <c r="F2" s="102" t="str">
        <f>'TC011'!D2</f>
        <v>ZTATEST202306050000000000001</v>
      </c>
      <c r="G2" s="102" t="str">
        <f>'TC011'!C2</f>
        <v>ZTSUP-PNATEST,20230605000000000000-1</v>
      </c>
      <c r="H2" s="101"/>
      <c r="I2" s="101" t="str">
        <f>'TC050-Sup1 SO List'!A2</f>
        <v>sZ5s125-2310001</v>
      </c>
      <c r="J2" s="102" t="s">
        <v>99</v>
      </c>
      <c r="K2" s="101">
        <v>10</v>
      </c>
      <c r="L2" s="101">
        <v>20</v>
      </c>
      <c r="M2" s="103">
        <v>140085460</v>
      </c>
      <c r="N2" s="102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3">
        <v>140085460</v>
      </c>
      <c r="U2" s="101" t="s">
        <v>429</v>
      </c>
      <c r="V2" s="101">
        <v>0</v>
      </c>
      <c r="W2" s="101" t="s">
        <v>429</v>
      </c>
      <c r="X2" s="103">
        <v>140085460</v>
      </c>
      <c r="Y2" s="101">
        <v>0</v>
      </c>
    </row>
    <row ht="43.2" r="3" spans="1:25">
      <c r="A3" s="101" t="str">
        <f>'TC012-Setup Data'!A2</f>
        <v>JPYAZ-ZTs2-021</v>
      </c>
      <c r="B3" s="101"/>
      <c r="C3" s="101"/>
      <c r="D3" s="101"/>
      <c r="E3" s="101"/>
      <c r="F3" s="102" t="str">
        <f>'TC011'!D3</f>
        <v>ZTATEST202306050000000000002</v>
      </c>
      <c r="G3" s="102" t="str">
        <f>'TC011'!C3</f>
        <v>ZTSUP-PNATEST,20230605000000000000-2</v>
      </c>
      <c r="H3" s="101"/>
      <c r="I3" s="101" t="str">
        <f>'TC050-Sup1 SO List'!A2</f>
        <v>sZ5s125-2310001</v>
      </c>
      <c r="J3" s="102" t="s">
        <v>99</v>
      </c>
      <c r="K3" s="101">
        <v>10</v>
      </c>
      <c r="L3" s="101">
        <v>20</v>
      </c>
      <c r="M3" s="103">
        <v>140085460</v>
      </c>
      <c r="N3" s="102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3">
        <v>140085460</v>
      </c>
      <c r="U3" s="101" t="s">
        <v>429</v>
      </c>
      <c r="V3" s="101">
        <v>0</v>
      </c>
      <c r="W3" s="101" t="s">
        <v>429</v>
      </c>
      <c r="X3" s="103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2" t="str">
        <f>'TC011'!D4</f>
        <v>ZTpna1219AS1</v>
      </c>
      <c r="G4" s="102" t="str">
        <f>'TC011'!C4</f>
        <v>ZTpna-1219AS-1</v>
      </c>
      <c r="H4" s="101"/>
      <c r="I4" s="101" t="str">
        <f>'TC050-Sup1 SO List'!A2</f>
        <v>sZ5s125-2310001</v>
      </c>
      <c r="J4" s="102" t="s">
        <v>99</v>
      </c>
      <c r="K4" s="104">
        <v>22000</v>
      </c>
      <c r="L4" s="104">
        <v>22000</v>
      </c>
      <c r="M4" s="104">
        <v>44000</v>
      </c>
      <c r="N4" s="102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4">
        <v>44000</v>
      </c>
      <c r="W4" s="101" t="s">
        <v>429</v>
      </c>
      <c r="X4" s="101">
        <v>0</v>
      </c>
      <c r="Y4" s="104">
        <v>44000</v>
      </c>
    </row>
  </sheetData>
  <pageMargins bottom="0.75" footer="0.3" header="0.3" left="0.7" right="0.7" top="0.75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U8"/>
  <sheetViews>
    <sheetView topLeftCell="V1" workbookViewId="0">
      <selection activeCell="AG1" sqref="AG1:FW1048576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ZTpnaNSL2BLACK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ZTpna45050040130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ZTpna18007703930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ZTpna18001404835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ZTpna1219AS1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ZTATEST202306050000000000002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ZTATEST202306050000000000001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C2"/>
  <sheetViews>
    <sheetView workbookViewId="0" zoomScale="90" zoomScaleNormal="90">
      <selection activeCell="F8" sqref="F8"/>
    </sheetView>
  </sheetViews>
  <sheetFormatPr defaultColWidth="8.88671875" defaultRowHeight="13.8"/>
  <cols>
    <col min="1" max="1" customWidth="true" style="1" width="5.77734375" collapsed="true"/>
    <col min="2" max="2" customWidth="true" style="1" width="25.77734375" collapsed="true"/>
    <col min="3" max="16384" style="1" width="8.88671875" collapsed="true"/>
  </cols>
  <sheetData>
    <row r="1" spans="1:2">
      <c r="A1" s="1" t="s">
        <v>34</v>
      </c>
      <c r="B1" s="123" t="s">
        <v>125</v>
      </c>
    </row>
    <row ht="14.4" r="2" spans="1:2">
      <c r="A2" s="1">
        <v>1</v>
      </c>
      <c r="B2" t="s">
        <v>878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AK4"/>
  <sheetViews>
    <sheetView workbookViewId="0">
      <selection activeCell="H2" sqref="H2:H4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  <col min="9" max="9" customWidth="true" width="13.0" collapsed="true"/>
    <col min="10" max="10" customWidth="true" width="15.21875" collapsed="true"/>
    <col min="11" max="11" customWidth="true" width="13.21875" collapsed="true"/>
    <col min="12" max="12" customWidth="true" width="20.33203125" collapsed="true"/>
    <col min="13" max="13" customWidth="true" width="12.0" collapsed="true"/>
    <col min="15" max="15" customWidth="true" width="15.0" collapsed="true"/>
    <col min="16" max="16" customWidth="true" width="16.109375" collapsed="true"/>
    <col min="20" max="20" customWidth="true" width="21.109375" collapsed="true"/>
    <col min="21" max="21" customWidth="true" width="20.21875" collapsed="true"/>
    <col min="23" max="23" customWidth="true" width="21.5546875" collapsed="true"/>
    <col min="28" max="28" customWidth="true" width="27.44140625" collapsed="true"/>
    <col min="32" max="32" customWidth="true" width="16.6640625" collapsed="true"/>
    <col min="33" max="33" customWidth="true" width="15.109375" collapsed="true"/>
    <col min="34" max="34" customWidth="true" width="25.33203125" collapsed="true"/>
    <col min="35" max="35" customWidth="true" width="16.33203125" collapsed="true"/>
    <col min="36" max="36" customWidth="true" width="20.5546875" collapsed="true"/>
  </cols>
  <sheetData>
    <row r="1" spans="1:36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  <c r="J1" t="s">
        <v>725</v>
      </c>
      <c r="K1" t="s">
        <v>726</v>
      </c>
      <c r="L1" t="s">
        <v>727</v>
      </c>
      <c r="M1" t="s">
        <v>728</v>
      </c>
      <c r="N1" t="s">
        <v>729</v>
      </c>
      <c r="O1" t="s">
        <v>730</v>
      </c>
      <c r="P1" t="s">
        <v>731</v>
      </c>
      <c r="Q1" t="s">
        <v>732</v>
      </c>
      <c r="R1" t="s">
        <v>733</v>
      </c>
      <c r="S1" t="s">
        <v>734</v>
      </c>
      <c r="T1" t="s">
        <v>735</v>
      </c>
      <c r="U1" t="s">
        <v>736</v>
      </c>
      <c r="V1" t="s">
        <v>737</v>
      </c>
      <c r="W1" t="s">
        <v>738</v>
      </c>
      <c r="X1" t="s">
        <v>739</v>
      </c>
      <c r="Y1" t="s">
        <v>740</v>
      </c>
      <c r="Z1" t="s">
        <v>741</v>
      </c>
      <c r="AA1" t="s">
        <v>742</v>
      </c>
      <c r="AB1" t="s">
        <v>743</v>
      </c>
      <c r="AC1" t="s">
        <v>744</v>
      </c>
      <c r="AD1" t="s">
        <v>745</v>
      </c>
      <c r="AE1" t="s">
        <v>746</v>
      </c>
      <c r="AF1" t="s">
        <v>747</v>
      </c>
      <c r="AG1" t="s">
        <v>748</v>
      </c>
      <c r="AH1" t="s">
        <v>749</v>
      </c>
      <c r="AI1" t="s">
        <v>750</v>
      </c>
      <c r="AJ1" t="s">
        <v>751</v>
      </c>
    </row>
    <row r="2" spans="1:36">
      <c r="A2" s="10" t="str">
        <f>'TC007-Contract Parts Info'!D4</f>
        <v>ZTpna1219AS1</v>
      </c>
      <c r="B2" s="214">
        <v>100</v>
      </c>
      <c r="C2" s="214">
        <v>0</v>
      </c>
      <c r="D2" s="214">
        <v>0</v>
      </c>
      <c r="E2" s="214">
        <v>0</v>
      </c>
      <c r="F2" s="214" t="n">
        <f ref="F2:F4" si="0" t="shared">B2-C2+D2-E2</f>
        <v>100.0</v>
      </c>
      <c r="G2" s="217" t="s">
        <v>754</v>
      </c>
      <c r="I2" s="218">
        <v>0</v>
      </c>
      <c r="J2" s="214">
        <v>1104</v>
      </c>
      <c r="K2" s="214">
        <v>-1104</v>
      </c>
      <c r="L2" s="216">
        <v>0</v>
      </c>
      <c r="M2" s="218">
        <v>0</v>
      </c>
      <c r="N2" s="214">
        <v>1104</v>
      </c>
      <c r="O2" s="214">
        <v>-2208</v>
      </c>
      <c r="P2" s="216">
        <v>0</v>
      </c>
      <c r="Q2" s="218">
        <v>0</v>
      </c>
      <c r="R2" s="214">
        <v>1020</v>
      </c>
      <c r="S2" s="214">
        <v>-3228</v>
      </c>
      <c r="T2" s="216">
        <v>0</v>
      </c>
      <c r="U2" s="218">
        <v>0</v>
      </c>
      <c r="V2" s="214">
        <v>936</v>
      </c>
      <c r="W2" s="214">
        <v>-4164</v>
      </c>
      <c r="X2" s="216">
        <v>0</v>
      </c>
      <c r="Y2" s="218">
        <v>0</v>
      </c>
      <c r="Z2" s="214">
        <v>935</v>
      </c>
      <c r="AA2" s="214">
        <v>-5099</v>
      </c>
      <c r="AB2" s="216">
        <v>0</v>
      </c>
      <c r="AC2" s="214">
        <v>0</v>
      </c>
      <c r="AD2" s="214">
        <v>932</v>
      </c>
      <c r="AE2" s="214">
        <v>-6031</v>
      </c>
      <c r="AF2" s="216">
        <v>0</v>
      </c>
      <c r="AG2" s="218">
        <v>0</v>
      </c>
      <c r="AH2" s="214">
        <v>932</v>
      </c>
      <c r="AI2" s="214">
        <v>-6963</v>
      </c>
      <c r="AJ2" s="216">
        <v>0</v>
      </c>
    </row>
    <row r="3" spans="1:36">
      <c r="A3" s="10" t="str">
        <f>'TC007-Contract Parts Info'!D3</f>
        <v>ZTATEST202306050000000000002</v>
      </c>
      <c r="B3" s="214">
        <v>100</v>
      </c>
      <c r="C3" s="214">
        <v>0</v>
      </c>
      <c r="D3" s="214">
        <v>0</v>
      </c>
      <c r="E3" s="214">
        <v>0</v>
      </c>
      <c r="F3" s="214" t="n">
        <f si="0" t="shared"/>
        <v>100.0</v>
      </c>
      <c r="G3" s="217" t="s">
        <v>754</v>
      </c>
      <c r="I3" s="218">
        <v>0</v>
      </c>
      <c r="J3" s="215">
        <v>9743.82</v>
      </c>
      <c r="K3" s="215">
        <v>-9743.82</v>
      </c>
      <c r="L3" s="216">
        <v>0</v>
      </c>
      <c r="M3" s="218">
        <v>0</v>
      </c>
      <c r="N3" s="215">
        <v>9740</v>
      </c>
      <c r="O3" s="215">
        <v>-19483.82</v>
      </c>
      <c r="P3" s="216">
        <v>0</v>
      </c>
      <c r="Q3" s="218">
        <v>0</v>
      </c>
      <c r="R3" s="215">
        <v>9228</v>
      </c>
      <c r="S3" s="215">
        <v>-28711.82</v>
      </c>
      <c r="T3" s="216">
        <v>0</v>
      </c>
      <c r="U3" s="218">
        <v>0</v>
      </c>
      <c r="V3" s="215">
        <v>8716</v>
      </c>
      <c r="W3" s="215">
        <v>-37427.82</v>
      </c>
      <c r="X3" s="216">
        <v>0</v>
      </c>
      <c r="Y3" s="218">
        <v>0</v>
      </c>
      <c r="Z3" s="215">
        <v>8716</v>
      </c>
      <c r="AA3" s="215">
        <v>-46143.82</v>
      </c>
      <c r="AB3" s="216">
        <v>0</v>
      </c>
      <c r="AC3" s="218">
        <v>0</v>
      </c>
      <c r="AD3" s="215">
        <v>8714.36</v>
      </c>
      <c r="AE3" s="215">
        <v>-54858.18</v>
      </c>
      <c r="AF3" s="216">
        <v>0</v>
      </c>
      <c r="AG3" s="218">
        <v>0</v>
      </c>
      <c r="AH3" s="215">
        <v>8712</v>
      </c>
      <c r="AI3" s="215">
        <v>-63570.18</v>
      </c>
      <c r="AJ3" s="216">
        <v>0</v>
      </c>
    </row>
    <row r="4" spans="1:36">
      <c r="A4" s="10" t="str">
        <f>'TC007-Contract Parts Info'!D2</f>
        <v>ZTATEST202306050000000000001</v>
      </c>
      <c r="B4" s="214">
        <v>100</v>
      </c>
      <c r="C4" s="214">
        <v>0</v>
      </c>
      <c r="D4" s="214">
        <v>0</v>
      </c>
      <c r="E4" s="214">
        <v>0</v>
      </c>
      <c r="F4" s="214" t="n">
        <f si="0" t="shared"/>
        <v>100.0</v>
      </c>
      <c r="G4" s="217" t="s">
        <v>754</v>
      </c>
      <c r="I4" s="218">
        <v>0</v>
      </c>
      <c r="J4" s="215">
        <v>7632</v>
      </c>
      <c r="K4" s="215">
        <v>-7632</v>
      </c>
      <c r="L4" s="216">
        <v>0</v>
      </c>
      <c r="M4" s="218">
        <v>0</v>
      </c>
      <c r="N4" s="215">
        <v>7631.82</v>
      </c>
      <c r="O4" s="215">
        <v>-15263.82</v>
      </c>
      <c r="P4" s="216">
        <v>0</v>
      </c>
      <c r="Q4" s="218">
        <v>0</v>
      </c>
      <c r="R4" s="215">
        <v>7116</v>
      </c>
      <c r="S4" s="215">
        <v>-22379.82</v>
      </c>
      <c r="T4" s="216">
        <v>0</v>
      </c>
      <c r="U4" s="218">
        <v>0</v>
      </c>
      <c r="V4" s="215">
        <v>6604</v>
      </c>
      <c r="W4" s="215">
        <v>-28983.82</v>
      </c>
      <c r="X4" s="216">
        <v>0</v>
      </c>
      <c r="Y4" s="218">
        <v>0</v>
      </c>
      <c r="Z4" s="215">
        <v>6604</v>
      </c>
      <c r="AA4" s="215">
        <v>-35587.82</v>
      </c>
      <c r="AB4" s="216">
        <v>0</v>
      </c>
      <c r="AC4" s="218">
        <v>0</v>
      </c>
      <c r="AD4" s="215">
        <v>6604</v>
      </c>
      <c r="AE4" s="215">
        <v>-42191.82</v>
      </c>
      <c r="AF4" s="216">
        <v>0</v>
      </c>
      <c r="AG4" s="218">
        <v>0</v>
      </c>
      <c r="AH4" s="215">
        <v>6602.36</v>
      </c>
      <c r="AI4" s="215">
        <v>-48794.18</v>
      </c>
      <c r="AJ4" s="216">
        <v>0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H4"/>
  <sheetViews>
    <sheetView workbookViewId="0">
      <selection activeCell="A2" sqref="A2"/>
    </sheetView>
  </sheetViews>
  <sheetFormatPr defaultRowHeight="14.4"/>
  <cols>
    <col min="1" max="1" customWidth="true" width="31.77734375" collapsed="true"/>
    <col min="2" max="2" customWidth="true" width="35.44140625" collapsed="true"/>
    <col min="3" max="4" bestFit="true" customWidth="true" width="10.44140625" collapsed="true"/>
    <col min="5" max="7" bestFit="true" customWidth="true" width="9.0" collapsed="true"/>
  </cols>
  <sheetData>
    <row ht="26.4" r="1" spans="1:7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"S10TC58 "&amp;AutoIncrement!B2</f>
        <v>S10TC58 ZT</v>
      </c>
      <c r="B2" s="99" t="str">
        <f>'TC051'!F2</f>
        <v>ZTATEST202306050000000000001</v>
      </c>
      <c r="C2" s="141">
        <v>20</v>
      </c>
      <c r="D2" s="141">
        <v>5</v>
      </c>
      <c r="E2" s="141">
        <v>1.1100000000000001</v>
      </c>
      <c r="F2" s="141">
        <v>1.1100000000000001</v>
      </c>
      <c r="G2" s="141">
        <v>1.1100000000000001</v>
      </c>
    </row>
    <row r="3" spans="1:7">
      <c r="B3" s="99" t="str">
        <f>'TC051'!F3</f>
        <v>ZTATEST202306050000000000002</v>
      </c>
      <c r="C3" s="141">
        <v>40</v>
      </c>
      <c r="D3" s="141">
        <v>10</v>
      </c>
      <c r="E3" s="141">
        <v>2.11</v>
      </c>
      <c r="F3" s="141">
        <v>2.11</v>
      </c>
      <c r="G3" s="141">
        <v>2.11</v>
      </c>
    </row>
    <row r="4" spans="1:7">
      <c r="B4" s="99" t="str">
        <f>'TC051'!F4</f>
        <v>ZTpna1219AS1</v>
      </c>
      <c r="C4" s="141">
        <v>44000</v>
      </c>
      <c r="D4" s="141">
        <v>44000</v>
      </c>
      <c r="E4" s="141">
        <v>1</v>
      </c>
      <c r="F4" s="141">
        <v>1</v>
      </c>
      <c r="G4" s="141">
        <v>1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B2"/>
  <sheetViews>
    <sheetView workbookViewId="0"/>
  </sheetViews>
  <sheetFormatPr defaultRowHeight="14.4"/>
  <cols>
    <col min="1" max="1" customWidth="true" width="21.5546875" collapsed="true"/>
  </cols>
  <sheetData>
    <row r="1" spans="1:1">
      <c r="A1" s="197" t="s">
        <v>125</v>
      </c>
    </row>
    <row r="2" spans="1:1">
      <c r="A2" t="s">
        <v>805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H4"/>
  <sheetViews>
    <sheetView workbookViewId="0">
      <selection activeCell="A3" sqref="A3"/>
    </sheetView>
  </sheetViews>
  <sheetFormatPr defaultRowHeight="14.4"/>
  <cols>
    <col min="1" max="1" customWidth="true" width="31.77734375" collapsed="true"/>
    <col min="2" max="2" customWidth="true" width="49.109375" collapsed="true"/>
    <col min="3" max="3" customWidth="true" width="20.0" collapsed="true"/>
    <col min="4" max="4" bestFit="true" customWidth="true" width="10.44140625" collapsed="true"/>
  </cols>
  <sheetData>
    <row ht="26.4" r="1" spans="1:7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'TC59 AutoGen'!A2</f>
        <v>R-MY-PNA-BU-2310067</v>
      </c>
      <c r="B2" s="99" t="str">
        <f>'TC051'!F2</f>
        <v>ZTATEST202306050000000000001</v>
      </c>
      <c r="C2" s="142" t="n">
        <f>TC058n59!C2</f>
        <v>20.0</v>
      </c>
      <c r="D2" s="142" t="n">
        <f>TC058n59!D2</f>
        <v>5.0</v>
      </c>
      <c r="E2" s="141" t="n">
        <f>TC058n59!E2</f>
        <v>1.11</v>
      </c>
      <c r="F2" s="141" t="n">
        <f>TC058n59!F2</f>
        <v>1.11</v>
      </c>
      <c r="G2" s="141" t="n">
        <f>TC058n59!G2</f>
        <v>1.11</v>
      </c>
    </row>
    <row r="3" spans="1:7">
      <c r="A3" t="str">
        <f>TC058n59!A2</f>
        <v>S10TC58 ZT</v>
      </c>
      <c r="B3" s="99" t="str">
        <f>'TC051'!F3</f>
        <v>ZTATEST202306050000000000002</v>
      </c>
      <c r="C3" s="142" t="n">
        <f>TC058n59!C3</f>
        <v>40.0</v>
      </c>
      <c r="D3" s="142" t="n">
        <f>TC058n59!D3</f>
        <v>10.0</v>
      </c>
      <c r="E3" s="141" t="n">
        <f>TC058n59!E3</f>
        <v>2.11</v>
      </c>
      <c r="F3" s="141" t="n">
        <f>TC058n59!F3</f>
        <v>2.11</v>
      </c>
      <c r="G3" s="141" t="n">
        <f>TC058n59!G3</f>
        <v>2.11</v>
      </c>
    </row>
    <row r="4" spans="1:7">
      <c r="B4" s="99" t="str">
        <f>'TC051'!F4</f>
        <v>ZTpna1219AS1</v>
      </c>
      <c r="C4" s="142" t="n">
        <f>TC058n59!C4</f>
        <v>44000.0</v>
      </c>
      <c r="D4" s="142" t="n">
        <f>TC058n59!D4</f>
        <v>44000.0</v>
      </c>
      <c r="E4" s="143" t="n">
        <f>TC058n59!E4</f>
        <v>1.0</v>
      </c>
      <c r="F4" s="143" t="n">
        <f>TC058n59!F4</f>
        <v>1.0</v>
      </c>
      <c r="G4" s="143" t="n">
        <f>TC058n59!G4</f>
        <v>1.0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F4"/>
  <sheetViews>
    <sheetView workbookViewId="0">
      <selection activeCell="E1" sqref="E1"/>
    </sheetView>
  </sheetViews>
  <sheetFormatPr defaultRowHeight="14.4"/>
  <cols>
    <col min="1" max="1" customWidth="true" width="33.21875" collapsed="true"/>
    <col min="2" max="2" customWidth="true" width="49.109375" collapsed="true"/>
    <col min="3" max="3" customWidth="true" width="20.0" collapsed="true"/>
    <col min="4" max="4" bestFit="true" customWidth="true" width="10.44140625" collapsed="true"/>
    <col min="5" max="5" customWidth="true" width="21.5546875" collapsed="true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"S10TC61 "&amp;AutoIncrement!B2</f>
        <v>S10TC61 ZT</v>
      </c>
      <c r="B2" s="99" t="str">
        <f>'TC051'!F2</f>
        <v>ZTATEST202306050000000000001</v>
      </c>
      <c r="C2" s="146">
        <v>1</v>
      </c>
      <c r="D2" s="145" t="s">
        <v>144</v>
      </c>
      <c r="E2" t="s">
        <v>806</v>
      </c>
    </row>
    <row r="3" spans="1:5">
      <c r="B3" s="99" t="str">
        <f>'TC051'!F3</f>
        <v>ZTATEST202306050000000000002</v>
      </c>
      <c r="C3" s="144">
        <v>10.000999999999999</v>
      </c>
      <c r="D3" s="145" t="s">
        <v>144</v>
      </c>
    </row>
    <row r="4" spans="1:5">
      <c r="B4" s="99" t="str">
        <f>'TC051'!F4</f>
        <v>ZTpna1219AS1</v>
      </c>
      <c r="C4" s="144">
        <v>2.0019999999999998</v>
      </c>
      <c r="D4" s="145" t="s">
        <v>144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F2"/>
  <sheetViews>
    <sheetView workbookViewId="0">
      <selection activeCell="C1" sqref="C1:D1"/>
    </sheetView>
  </sheetViews>
  <sheetFormatPr defaultRowHeight="14.4"/>
  <cols>
    <col min="1" max="1" customWidth="true" width="17.44140625" collapsed="true"/>
    <col min="2" max="2" customWidth="true" width="49.109375" collapsed="true"/>
    <col min="3" max="3" customWidth="true" width="20.0" collapsed="true"/>
    <col min="4" max="4" bestFit="true" customWidth="true" width="10.44140625" collapsed="true"/>
    <col min="5" max="5" customWidth="true" width="17.5546875" collapsed="true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"S10TC63 "&amp;AutoIncrement!B2</f>
        <v>S10TC63 ZT</v>
      </c>
      <c r="B2" s="194" t="str">
        <f>'TC001'!C3</f>
        <v>ZTpna18001404835</v>
      </c>
      <c r="C2" s="147">
        <v>1.23</v>
      </c>
      <c r="D2" s="145" t="s">
        <v>144</v>
      </c>
      <c r="E2" t="s">
        <v>807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D2"/>
  <sheetViews>
    <sheetView workbookViewId="0">
      <selection activeCell="C1" sqref="C1"/>
    </sheetView>
  </sheetViews>
  <sheetFormatPr defaultRowHeight="14.4"/>
  <cols>
    <col min="1" max="1" customWidth="true" width="17.44140625" collapsed="true"/>
    <col min="2" max="2" customWidth="true" width="49.109375" collapsed="true"/>
    <col min="3" max="3" customWidth="true" width="13.33203125" collapsed="true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"S10TC65 "&amp;AutoIncrement!B2</f>
        <v>S10TC65 ZT</v>
      </c>
      <c r="B2" s="194" t="str">
        <f>'TC001'!C3</f>
        <v>ZTpna18001404835</v>
      </c>
      <c r="C2" t="s">
        <v>808</v>
      </c>
    </row>
  </sheetData>
  <pageMargins bottom="0.75" footer="0.3" header="0.3" left="0.7" right="0.7" top="0.75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D2"/>
  <sheetViews>
    <sheetView workbookViewId="0">
      <selection activeCell="C1" sqref="C1"/>
    </sheetView>
  </sheetViews>
  <sheetFormatPr defaultRowHeight="14.4"/>
  <cols>
    <col min="1" max="1" customWidth="true" width="17.44140625" collapsed="true"/>
    <col min="2" max="2" customWidth="true" width="49.109375" collapsed="true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"S10TC67 "&amp;AutoIncrement!B2</f>
        <v>S10TC67 ZT</v>
      </c>
      <c r="B2" s="194" t="str">
        <f>'TC001'!C3</f>
        <v>ZTpna18001404835</v>
      </c>
      <c r="C2" t="s">
        <v>809</v>
      </c>
    </row>
  </sheetData>
  <pageMargins bottom="0.75" footer="0.3" header="0.3" left="0.7" right="0.7" top="0.75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I8"/>
  <sheetViews>
    <sheetView workbookViewId="0">
      <selection activeCell="A6" sqref="A6"/>
    </sheetView>
  </sheetViews>
  <sheetFormatPr defaultRowHeight="14.4"/>
  <cols>
    <col min="1" max="1" customWidth="true" width="35.21875" collapsed="true"/>
    <col min="2" max="2" customWidth="true" width="34.77734375" collapsed="true"/>
    <col min="3" max="3" customWidth="true" width="30.33203125" collapsed="true"/>
    <col min="4" max="4" customWidth="true" width="27.77734375" collapsed="true"/>
    <col min="5" max="5" customWidth="true" width="23.109375" collapsed="true"/>
  </cols>
  <sheetData>
    <row r="1" spans="1:8">
      <c r="A1" s="148" t="s">
        <v>339</v>
      </c>
      <c r="B1" s="148" t="s">
        <v>614</v>
      </c>
      <c r="C1" s="149" t="s">
        <v>10</v>
      </c>
      <c r="D1" s="150" t="s">
        <v>615</v>
      </c>
      <c r="E1" s="150" t="s">
        <v>616</v>
      </c>
      <c r="F1" s="150" t="s">
        <v>617</v>
      </c>
      <c r="G1" s="150" t="s">
        <v>618</v>
      </c>
      <c r="H1" s="150" t="s">
        <v>619</v>
      </c>
    </row>
    <row r="2" spans="1:8">
      <c r="A2" t="str">
        <f>'TC033-Up Stock Mngmt Calc Set'!B2</f>
        <v>ZTATEST202306050000000000001</v>
      </c>
      <c r="B2" s="153" t="str">
        <f>'TC007-Setup Data'!B$2</f>
        <v>PNABU-L3-ZT-021</v>
      </c>
      <c r="C2" s="151" t="s">
        <v>317</v>
      </c>
      <c r="D2" s="152">
        <v>1532</v>
      </c>
      <c r="E2" s="152">
        <v>2200</v>
      </c>
      <c r="F2" s="152">
        <v>2200</v>
      </c>
      <c r="G2" s="152">
        <v>2200</v>
      </c>
      <c r="H2" s="152">
        <v>2200</v>
      </c>
    </row>
    <row r="3" spans="1:8">
      <c r="A3" t="str">
        <f>'TC033-Up Stock Mngmt Calc Set'!B3</f>
        <v>ZTATEST202306050000000000002</v>
      </c>
      <c r="B3" s="153" t="str">
        <f>'TC007-Setup Data'!B$2</f>
        <v>PNABU-L3-ZT-021</v>
      </c>
      <c r="C3" s="151" t="s">
        <v>317</v>
      </c>
      <c r="D3" s="152">
        <v>2304</v>
      </c>
      <c r="E3" s="152">
        <v>3200</v>
      </c>
      <c r="F3" s="152">
        <v>3200</v>
      </c>
      <c r="G3" s="152">
        <v>3200</v>
      </c>
      <c r="H3" s="152">
        <v>3200</v>
      </c>
    </row>
    <row r="4" spans="1:8">
      <c r="A4" t="str">
        <f>'TC033-Up Stock Mngmt Calc Set'!B4</f>
        <v>ZTpna1219AS1</v>
      </c>
      <c r="B4" s="153" t="str">
        <f>'TC007-Setup Data'!B$2</f>
        <v>PNABU-L3-ZT-021</v>
      </c>
      <c r="C4" s="151" t="s">
        <v>317</v>
      </c>
      <c r="D4" s="152">
        <v>764</v>
      </c>
      <c r="E4" s="152">
        <v>1200</v>
      </c>
      <c r="F4" s="152">
        <v>1200</v>
      </c>
      <c r="G4" s="152">
        <v>1200</v>
      </c>
      <c r="H4" s="152">
        <v>1200</v>
      </c>
    </row>
    <row r="5" spans="1:8">
      <c r="A5" t="str">
        <f>'TC033-Up Stock Mngmt Calc Set'!B5</f>
        <v>ZTpna18001404835</v>
      </c>
      <c r="B5" s="153" t="str">
        <f>'TC007-Setup Data'!B$2</f>
        <v>PNABU-L3-ZT-021</v>
      </c>
      <c r="C5" s="151" t="s">
        <v>317</v>
      </c>
      <c r="D5" s="152">
        <v>4020</v>
      </c>
      <c r="E5" s="152">
        <v>5000</v>
      </c>
      <c r="F5" s="152">
        <v>5000</v>
      </c>
      <c r="G5" s="152">
        <v>5000</v>
      </c>
      <c r="H5" s="152">
        <v>5000</v>
      </c>
    </row>
    <row r="6" spans="1:8">
      <c r="A6" t="str">
        <f>'TC033-Up Stock Mngmt Calc Set'!B6</f>
        <v>ZTpna18007703930</v>
      </c>
      <c r="B6" s="153" t="str">
        <f>'TC007-Setup Data'!B$2</f>
        <v>PNABU-L3-ZT-021</v>
      </c>
      <c r="C6" s="151" t="s">
        <v>317</v>
      </c>
      <c r="D6" s="152">
        <v>3064</v>
      </c>
      <c r="E6" s="152">
        <v>4200</v>
      </c>
      <c r="F6" s="152">
        <v>4200</v>
      </c>
      <c r="G6" s="152">
        <v>4200</v>
      </c>
      <c r="H6" s="152">
        <v>4200</v>
      </c>
    </row>
    <row r="7" spans="1:8">
      <c r="A7" t="str">
        <f>'TC033-Up Stock Mngmt Calc Set'!B7</f>
        <v>ZTpna45050040130</v>
      </c>
      <c r="B7" s="153" t="str">
        <f>'TC007-Setup Data'!B$2</f>
        <v>PNABU-L3-ZT-021</v>
      </c>
      <c r="C7" s="151" t="s">
        <v>317</v>
      </c>
      <c r="D7" s="152">
        <v>5400</v>
      </c>
      <c r="E7" s="152">
        <v>5500</v>
      </c>
      <c r="F7" s="152">
        <v>5500</v>
      </c>
      <c r="G7" s="152">
        <v>5500</v>
      </c>
      <c r="H7" s="152">
        <v>5500</v>
      </c>
    </row>
    <row customHeight="1" ht="13.8" r="8" spans="1:8">
      <c r="A8" t="str">
        <f>'TC033-Up Stock Mngmt Calc Set'!B8</f>
        <v>ZTpnaNSL2BLACK</v>
      </c>
      <c r="B8" s="153" t="str">
        <f>'TC007-Setup Data'!B$2</f>
        <v>PNABU-L3-ZT-021</v>
      </c>
      <c r="C8" s="151" t="s">
        <v>317</v>
      </c>
      <c r="D8" s="152">
        <v>7128</v>
      </c>
      <c r="E8" s="152">
        <v>9750</v>
      </c>
      <c r="F8" s="152">
        <v>9750</v>
      </c>
      <c r="G8" s="152">
        <v>9750</v>
      </c>
      <c r="H8" s="152">
        <v>9750</v>
      </c>
    </row>
  </sheetData>
  <pageMargins bottom="0.75" footer="0.3" header="0.3" left="0.7" right="0.7" top="0.75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B2"/>
  <sheetViews>
    <sheetView workbookViewId="0">
      <selection activeCell="A23" sqref="A23"/>
    </sheetView>
  </sheetViews>
  <sheetFormatPr defaultRowHeight="14.4"/>
  <cols>
    <col min="1" max="1" customWidth="true" width="34.5546875" collapsed="true"/>
  </cols>
  <sheetData>
    <row r="1" spans="1:1">
      <c r="A1" t="s">
        <v>434</v>
      </c>
    </row>
    <row r="2" spans="1:1">
      <c r="A2" t="str">
        <f>'TC034-Create Order Calculation'!I2&amp;"-#1"</f>
        <v>MY-PNA-CUS-2311-002-#1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Y8"/>
  <sheetViews>
    <sheetView workbookViewId="0" zoomScale="90" zoomScaleNormal="90">
      <selection activeCell="C4" sqref="C4:C8"/>
    </sheetView>
  </sheetViews>
  <sheetFormatPr defaultColWidth="8.88671875" defaultRowHeight="13.8"/>
  <cols>
    <col min="1" max="1" customWidth="true" style="14" width="5.77734375" collapsed="true"/>
    <col min="2" max="5" customWidth="true" style="18" width="30.77734375" collapsed="true"/>
    <col min="6" max="24" customWidth="true" style="18" width="20.77734375" collapsed="true"/>
    <col min="25" max="16384" style="18" width="8.88671875" collapsed="true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ZTCUS-PNATEST,20230605000000000000-1</v>
      </c>
      <c r="C2" s="8" t="str">
        <f>AutoIncrement!$B$2&amp;"BU-PNATEST,20230605000000000000-1"</f>
        <v>ZTBU-PNATEST,20230605000000000000-1</v>
      </c>
      <c r="D2" s="8" t="str">
        <f>AutoIncrement!$B$2&amp;"ATEST202306050000000000001"</f>
        <v>ZTATEST202306050000000000001</v>
      </c>
      <c r="E2" s="8" t="s">
        <v>142</v>
      </c>
      <c r="F2" s="19" t="s">
        <v>99</v>
      </c>
      <c r="G2" s="18" t="str">
        <f>'TC007-Setup Data'!$B$2</f>
        <v>PNABU-L3-ZT-021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ZTCUS-PNATEST,20230605000000000000-2</v>
      </c>
      <c r="C3" s="8" t="str">
        <f>AutoIncrement!$B$2&amp;"BU-PNATEST,20230605000000000000-2"</f>
        <v>ZTBU-PNATEST,20230605000000000000-2</v>
      </c>
      <c r="D3" s="8" t="str">
        <f>AutoIncrement!$B$2&amp;"ATEST202306050000000000002"</f>
        <v>ZTATEST202306050000000000002</v>
      </c>
      <c r="E3" s="8" t="s">
        <v>147</v>
      </c>
      <c r="F3" s="19" t="s">
        <v>99</v>
      </c>
      <c r="G3" s="18" t="str">
        <f>'TC007-Setup Data'!$B$2</f>
        <v>PNABU-L3-ZT-021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ZTpna-1219AS-1</v>
      </c>
      <c r="C4" s="8" t="str">
        <f>AutoIncrement!$B$2&amp;"pna-1219AS-1"</f>
        <v>ZTpna-1219AS-1</v>
      </c>
      <c r="D4" s="8" t="str">
        <f>'TC005-Req to Parts Master'!C4</f>
        <v>ZTpna1219AS1</v>
      </c>
      <c r="E4" s="9" t="s">
        <v>43</v>
      </c>
      <c r="F4" s="19" t="s">
        <v>99</v>
      </c>
      <c r="G4" s="18" t="str">
        <f>'TC007-Setup Data'!$B$2</f>
        <v>PNABU-L3-ZT-021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ZTpna-18001404835</v>
      </c>
      <c r="C5" s="8" t="str">
        <f>AutoIncrement!$B$2&amp;"pna-18001404835"</f>
        <v>ZTpna-18001404835</v>
      </c>
      <c r="D5" s="8" t="str">
        <f>'TC005-Req to Parts Master'!C5</f>
        <v>ZTpna18001404835</v>
      </c>
      <c r="E5" s="9" t="s">
        <v>48</v>
      </c>
      <c r="F5" s="19" t="s">
        <v>99</v>
      </c>
      <c r="G5" s="18" t="str">
        <f>'TC007-Setup Data'!$B$2</f>
        <v>PNABU-L3-ZT-021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ZTpna-18007703930</v>
      </c>
      <c r="C6" s="8" t="str">
        <f>AutoIncrement!$B$2&amp;"pna-18007703930"</f>
        <v>ZTpna-18007703930</v>
      </c>
      <c r="D6" s="8" t="str">
        <f>'TC005-Req to Parts Master'!C6</f>
        <v>ZTpna18007703930</v>
      </c>
      <c r="E6" s="9" t="s">
        <v>52</v>
      </c>
      <c r="F6" s="19" t="s">
        <v>99</v>
      </c>
      <c r="G6" s="18" t="str">
        <f>'TC007-Setup Data'!$B$2</f>
        <v>PNABU-L3-ZT-021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ZTpna-45050040130</v>
      </c>
      <c r="C7" s="8" t="str">
        <f>AutoIncrement!$B$2&amp;"pna-45050040130"</f>
        <v>ZTpna-45050040130</v>
      </c>
      <c r="D7" s="8" t="str">
        <f>'TC005-Req to Parts Master'!C7</f>
        <v>ZTpna45050040130</v>
      </c>
      <c r="E7" s="9" t="s">
        <v>56</v>
      </c>
      <c r="F7" s="19" t="s">
        <v>99</v>
      </c>
      <c r="G7" s="18" t="str">
        <f>'TC007-Setup Data'!$B$2</f>
        <v>PNABU-L3-ZT-021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customHeight="1" ht="13.95" r="8" spans="1:24">
      <c r="A8" s="14">
        <v>7</v>
      </c>
      <c r="B8" s="8" t="str">
        <f>AutoIncrement!B2&amp;"pna-NSL-2BLACK"</f>
        <v>ZTpna-NSL-2BLACK</v>
      </c>
      <c r="C8" s="8" t="str">
        <f>AutoIncrement!$B$2&amp;"pna-NSL-2BLACK"</f>
        <v>ZTpna-NSL-2BLACK</v>
      </c>
      <c r="D8" s="8" t="str">
        <f>'TC005-Req to Parts Master'!C8</f>
        <v>ZTpnaNSL2BLACK</v>
      </c>
      <c r="E8" s="9" t="s">
        <v>60</v>
      </c>
      <c r="F8" s="19" t="s">
        <v>99</v>
      </c>
      <c r="G8" s="18" t="str">
        <f>'TC007-Setup Data'!$B$2</f>
        <v>PNABU-L3-ZT-021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allowBlank="1" showErrorMessage="1" sqref="T2:T8" type="list" xr:uid="{5FAC599B-39B5-4650-9FF7-7D49078A10EB}">
      <formula1>CURRENCY_CODE</formula1>
    </dataValidation>
    <dataValidation allowBlank="1" showErrorMessage="1" sqref="H2:H8" type="list" xr:uid="{3DDAD967-7EBD-44C1-B04E-E451834DB179}">
      <formula1>REPACKING_TYPE</formula1>
    </dataValidation>
  </dataValidations>
  <pageMargins bottom="0.75" footer="0.3" header="0.3" left="0.7" right="0.7" top="0.75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F7"/>
  <sheetViews>
    <sheetView workbookViewId="0" zoomScale="130" zoomScaleNormal="130">
      <selection activeCell="D7" sqref="D7"/>
    </sheetView>
  </sheetViews>
  <sheetFormatPr defaultColWidth="8.88671875" defaultRowHeight="13.8"/>
  <cols>
    <col min="1" max="1" customWidth="true" style="1" width="30.77734375" collapsed="true"/>
    <col min="2" max="5" customWidth="true" style="1" width="20.77734375" collapsed="true"/>
    <col min="6" max="16384" style="1" width="8.88671875" collapsed="true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5" t="str">
        <f>AutoIncrement!B2&amp;"ATEST202306050000000000001"</f>
        <v>ZTATEST202306050000000000001</v>
      </c>
      <c r="B2" s="106">
        <v>200</v>
      </c>
      <c r="C2" s="107">
        <v>0</v>
      </c>
      <c r="D2" s="107">
        <v>200</v>
      </c>
      <c r="E2" s="107">
        <v>0</v>
      </c>
    </row>
    <row r="3" spans="1:5">
      <c r="A3" s="105" t="str">
        <f>AutoIncrement!B2&amp;"ATEST202306050000000000002"</f>
        <v>ZTATEST202306050000000000002</v>
      </c>
      <c r="B3" s="106">
        <v>200</v>
      </c>
      <c r="C3" s="107">
        <v>200</v>
      </c>
      <c r="D3" s="107">
        <v>0</v>
      </c>
      <c r="E3" s="107">
        <v>0</v>
      </c>
    </row>
    <row r="4" spans="1:5">
      <c r="A4" s="105" t="str">
        <f>AutoIncrement!B2&amp;"pna1219AS1"</f>
        <v>ZTpna1219AS1</v>
      </c>
      <c r="B4" s="106">
        <v>44000</v>
      </c>
      <c r="C4" s="107">
        <v>0</v>
      </c>
      <c r="D4" s="107">
        <v>0</v>
      </c>
      <c r="E4" s="106">
        <v>44000</v>
      </c>
    </row>
    <row r="5" spans="1:5">
      <c r="A5" s="105" t="str">
        <f>AutoIncrement!B2&amp;"pna18007703930"</f>
        <v>ZTpna18007703930</v>
      </c>
      <c r="B5" s="107">
        <v>1500</v>
      </c>
      <c r="C5" s="107">
        <v>0</v>
      </c>
      <c r="D5" s="107">
        <v>0</v>
      </c>
      <c r="E5" s="107">
        <v>1500</v>
      </c>
    </row>
    <row r="6" spans="1:5">
      <c r="A6" s="105" t="str">
        <f>AutoIncrement!B2&amp;"pna45050040130"</f>
        <v>ZTpna45050040130</v>
      </c>
      <c r="B6" s="106">
        <v>6000</v>
      </c>
      <c r="C6" s="107">
        <v>0</v>
      </c>
      <c r="D6" s="107">
        <v>0</v>
      </c>
      <c r="E6" s="107">
        <v>6000</v>
      </c>
    </row>
    <row r="7" spans="1:5">
      <c r="A7" s="105" t="str">
        <f>AutoIncrement!B2&amp;"pnaNSL2BLACK"</f>
        <v>ZTpnaNSL2BLACK</v>
      </c>
      <c r="B7" s="106">
        <v>200</v>
      </c>
      <c r="C7" s="107">
        <v>0</v>
      </c>
      <c r="D7" s="107">
        <v>0</v>
      </c>
      <c r="E7" s="107">
        <v>200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dimension ref="A1:D3"/>
  <sheetViews>
    <sheetView workbookViewId="0" zoomScale="90" zoomScaleNormal="90">
      <selection activeCell="A3" sqref="A3"/>
    </sheetView>
  </sheetViews>
  <sheetFormatPr defaultColWidth="8.88671875" defaultRowHeight="13.8"/>
  <cols>
    <col min="1" max="3" customWidth="true" style="1" width="20.77734375" collapsed="true"/>
    <col min="4" max="16384" style="1" width="8.88671875" collapsed="true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23 十一月 2023</v>
      </c>
      <c r="B2" s="1" t="str">
        <f ca="1">TEXT(DATE(YEAR(TODAY()), MONTH(TODAY()), DAY(TODAY()+1)), "dd MMM yyyy")</f>
        <v>24 十一月 2023</v>
      </c>
      <c r="C2" s="1" t="str">
        <f ca="1">TEXT(DATE(YEAR(TODAY()), MONTH(TODAY()), DAY(TODAY())), "dd MMM yyyy")</f>
        <v>23 十一月 2023</v>
      </c>
    </row>
    <row r="3" spans="1:3">
      <c r="A3" s="1" t="str">
        <f ca="1">TEXT(DATE(YEAR(TODAY()), MONTH(TODAY()), DAY(TODAY())+15), "dd MMM yyyy")</f>
        <v>08 十二月 2023</v>
      </c>
      <c r="B3" s="1" t="str">
        <f ca="1">TEXT(DATE(YEAR(TODAY()), MONTH(TODAY()), DAY(TODAY())+16), "dd MMM yyyy")</f>
        <v>09 十二月 2023</v>
      </c>
      <c r="C3" s="1" t="str">
        <f ca="1">TEXT(DATE(YEAR(TODAY()), MONTH(TODAY()), DAY(TODAY())+31), "dd MMM yyyy")</f>
        <v>24 十二月 2023</v>
      </c>
    </row>
  </sheetData>
  <pageMargins bottom="0.75" footer="0.3" header="0.3" left="0.7" right="0.7" top="0.75"/>
  <pageSetup orientation="portrait" r:id="rId1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B2"/>
  <sheetViews>
    <sheetView workbookViewId="0" zoomScale="90" zoomScaleNormal="90">
      <selection activeCell="A3" sqref="A3"/>
    </sheetView>
  </sheetViews>
  <sheetFormatPr defaultColWidth="8.88671875" defaultRowHeight="13.8"/>
  <cols>
    <col min="1" max="1" customWidth="true" style="1" width="27.0" collapsed="true"/>
    <col min="2" max="16384" style="1" width="8.88671875" collapsed="true"/>
  </cols>
  <sheetData>
    <row r="1" spans="1:1">
      <c r="A1" s="123" t="s">
        <v>435</v>
      </c>
    </row>
    <row ht="14.4" r="2" spans="1:1">
      <c r="A2" t="s">
        <v>810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C3"/>
  <sheetViews>
    <sheetView workbookViewId="0">
      <selection activeCell="A3" sqref="A3"/>
    </sheetView>
  </sheetViews>
  <sheetFormatPr defaultRowHeight="14.4"/>
  <cols>
    <col min="1" max="1" customWidth="true" width="18.6640625" collapsed="true"/>
    <col min="2" max="2" customWidth="true" width="29.21875" collapsed="true"/>
  </cols>
  <sheetData>
    <row r="1" spans="1:2">
      <c r="A1" s="197" t="s">
        <v>620</v>
      </c>
      <c r="B1" t="s">
        <v>129</v>
      </c>
    </row>
    <row r="2" spans="1:2">
      <c r="A2" t="s">
        <v>811</v>
      </c>
      <c r="B2" t="str">
        <f>'TC011-Setup Data'!A2</f>
        <v>ELASUP-ZTs1-021</v>
      </c>
    </row>
    <row r="3" spans="1:2">
      <c r="A3" t="s">
        <v>812</v>
      </c>
      <c r="B3" t="str">
        <f>'TC012-Setup Data'!A2</f>
        <v>JPYAZ-ZTs2-021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K3"/>
  <sheetViews>
    <sheetView workbookViewId="0">
      <selection activeCell="C4" sqref="C4"/>
    </sheetView>
  </sheetViews>
  <sheetFormatPr defaultRowHeight="14.4"/>
  <cols>
    <col min="2" max="3" customWidth="true" width="24.44140625" collapsed="true"/>
    <col min="4" max="4" customWidth="true" width="19.33203125" collapsed="true"/>
    <col min="5" max="5" customWidth="true" width="20.5546875" collapsed="true"/>
    <col min="6" max="6" customWidth="true" width="13.0" collapsed="true"/>
    <col min="8" max="8" customWidth="true" width="20.6640625" collapsed="true"/>
    <col min="9" max="9" customWidth="true" width="19.109375" collapsed="true"/>
    <col min="10" max="10" customWidth="true" style="186" width="23.88671875" collapsed="true"/>
  </cols>
  <sheetData>
    <row ht="15" r="1" spans="1:10" thickBot="1">
      <c r="A1" s="201" t="s">
        <v>34</v>
      </c>
      <c r="B1" s="205" t="s">
        <v>407</v>
      </c>
      <c r="C1" s="202" t="s">
        <v>129</v>
      </c>
      <c r="D1" s="202" t="s">
        <v>702</v>
      </c>
      <c r="E1" s="202" t="s">
        <v>283</v>
      </c>
      <c r="F1" s="202" t="s">
        <v>152</v>
      </c>
      <c r="G1" s="202" t="s">
        <v>74</v>
      </c>
      <c r="H1" s="202" t="s">
        <v>509</v>
      </c>
      <c r="I1" s="202" t="s">
        <v>487</v>
      </c>
      <c r="J1" s="206" t="s">
        <v>703</v>
      </c>
    </row>
    <row ht="15" r="2" spans="1:10" thickBot="1">
      <c r="A2" s="203">
        <v>1</v>
      </c>
      <c r="B2" s="204" t="str">
        <f>'TC073 AutoGen'!A2</f>
        <v>pZ525-2310005</v>
      </c>
      <c r="C2" t="str">
        <f>'TC011-Setup Data'!A2</f>
        <v>ELASUP-ZTs1-021</v>
      </c>
      <c r="D2" s="196" t="s">
        <v>15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207" t="n">
        <f ca="1">TODAY()</f>
        <v>45253.0</v>
      </c>
    </row>
    <row ht="15" r="3" spans="1:10" thickBot="1">
      <c r="A3" s="203">
        <v>2</v>
      </c>
      <c r="B3" s="204" t="str">
        <f>'TC073 AutoGen'!A3</f>
        <v>pZ525-2310004</v>
      </c>
      <c r="C3" t="str">
        <f>'TC012-Setup Data'!A2</f>
        <v>JPYAZ-ZTs2-021</v>
      </c>
      <c r="D3" s="196" t="s">
        <v>15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207" t="n">
        <f ca="1">TODAY()</f>
        <v>45253.0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D4"/>
  <sheetViews>
    <sheetView workbookViewId="0">
      <selection activeCell="A4" sqref="A4"/>
    </sheetView>
  </sheetViews>
  <sheetFormatPr defaultRowHeight="14.4"/>
  <cols>
    <col min="1" max="1" customWidth="true" width="38.77734375" collapsed="true"/>
    <col min="2" max="2" customWidth="true" width="32.33203125" collapsed="true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ZTATEST202306050000000000001</v>
      </c>
      <c r="B2" s="167">
        <v>2.0019999999999998</v>
      </c>
      <c r="C2" s="210" t="s">
        <v>707</v>
      </c>
    </row>
    <row r="3" spans="1:3">
      <c r="A3" s="99" t="str">
        <f>'TC051'!$F3</f>
        <v>ZTATEST202306050000000000002</v>
      </c>
      <c r="B3" s="167">
        <v>2</v>
      </c>
      <c r="C3" s="210" t="s">
        <v>707</v>
      </c>
    </row>
    <row r="4" spans="1:3">
      <c r="A4" s="99" t="str">
        <f>'TC051'!$F4</f>
        <v>ZTpna1219AS1</v>
      </c>
      <c r="B4" s="167">
        <v>10.000999999999999</v>
      </c>
      <c r="C4" s="210" t="s">
        <v>707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E2"/>
  <sheetViews>
    <sheetView workbookViewId="0">
      <selection activeCell="C2" sqref="C2"/>
    </sheetView>
  </sheetViews>
  <sheetFormatPr defaultRowHeight="14.4"/>
  <cols>
    <col min="2" max="2" customWidth="true" width="34.44140625" collapsed="true"/>
    <col min="3" max="3" customWidth="true" width="17.5546875" collapsed="true"/>
    <col min="4" max="4" customWidth="true" width="19.0" collapsed="true"/>
  </cols>
  <sheetData>
    <row r="1" spans="1:4">
      <c r="A1" s="184" t="s">
        <v>34</v>
      </c>
      <c r="B1" s="184" t="s">
        <v>407</v>
      </c>
      <c r="C1" s="209" t="s">
        <v>706</v>
      </c>
      <c r="D1" t="s">
        <v>766</v>
      </c>
    </row>
    <row customHeight="1" ht="16.8" r="2" spans="1:4">
      <c r="A2" s="184">
        <v>1</v>
      </c>
      <c r="B2" s="208" t="str">
        <f>'TC011-Setup Data'!A2</f>
        <v>ELASUP-ZTs1-021</v>
      </c>
      <c r="C2" t="s">
        <v>813</v>
      </c>
      <c r="D2" t="s">
        <v>34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D2"/>
  <sheetViews>
    <sheetView workbookViewId="0">
      <selection activeCell="B24" sqref="B24"/>
    </sheetView>
  </sheetViews>
  <sheetFormatPr defaultRowHeight="14.4"/>
  <cols>
    <col min="2" max="2" customWidth="true" width="38.33203125" collapsed="true"/>
    <col min="3" max="3" customWidth="true" width="30.0" collapsed="true"/>
  </cols>
  <sheetData>
    <row r="1" spans="1:3">
      <c r="A1" s="184" t="s">
        <v>34</v>
      </c>
      <c r="B1" s="184" t="s">
        <v>407</v>
      </c>
      <c r="C1" s="209" t="s">
        <v>706</v>
      </c>
    </row>
    <row r="2" spans="1:3">
      <c r="A2" s="184">
        <v>1</v>
      </c>
      <c r="B2" s="208" t="str">
        <f>'TC012-Setup Data'!A2</f>
        <v>JPYAZ-ZTs2-021</v>
      </c>
      <c r="C2" t="s">
        <v>814</v>
      </c>
    </row>
  </sheetData>
  <pageMargins bottom="0.75" footer="0.3" header="0.3" left="0.7" right="0.7" top="0.75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V2"/>
  <sheetViews>
    <sheetView topLeftCell="F1" workbookViewId="0">
      <selection activeCell="K3" sqref="K3"/>
    </sheetView>
  </sheetViews>
  <sheetFormatPr defaultRowHeight="14.4"/>
  <cols>
    <col min="1" max="1" customWidth="true" width="17.109375" collapsed="true"/>
    <col min="3" max="3" customWidth="true" width="28.0" collapsed="true"/>
    <col min="4" max="4" customWidth="true" width="31.44140625" collapsed="true"/>
    <col min="5" max="5" customWidth="true" width="29.6640625" collapsed="true"/>
    <col min="6" max="6" customWidth="true" width="23.44140625" collapsed="true"/>
    <col min="7" max="7" customWidth="true" width="27.0" collapsed="true"/>
    <col min="10" max="10" customWidth="true" width="21.88671875" collapsed="true"/>
    <col min="11" max="11" customWidth="true" width="16.88671875" collapsed="true"/>
    <col min="12" max="12" customWidth="true" width="19.21875" collapsed="true"/>
    <col min="13" max="13" customWidth="true" width="14.33203125" collapsed="true"/>
  </cols>
  <sheetData>
    <row ht="52.8" r="1" spans="1:21">
      <c r="A1" s="154" t="s">
        <v>33</v>
      </c>
      <c r="B1" s="155" t="s">
        <v>621</v>
      </c>
      <c r="C1" s="156" t="s">
        <v>339</v>
      </c>
      <c r="D1" s="156" t="s">
        <v>622</v>
      </c>
      <c r="E1" s="157" t="s">
        <v>623</v>
      </c>
      <c r="F1" s="157" t="s">
        <v>624</v>
      </c>
      <c r="G1" s="157" t="s">
        <v>625</v>
      </c>
      <c r="H1" s="158" t="s">
        <v>436</v>
      </c>
      <c r="I1" s="158" t="s">
        <v>626</v>
      </c>
      <c r="J1" s="159" t="s">
        <v>627</v>
      </c>
      <c r="K1" s="159" t="s">
        <v>628</v>
      </c>
      <c r="L1" s="159" t="s">
        <v>403</v>
      </c>
      <c r="M1" s="158" t="s">
        <v>629</v>
      </c>
      <c r="N1" s="158" t="s">
        <v>137</v>
      </c>
      <c r="O1" s="160" t="s">
        <v>630</v>
      </c>
      <c r="P1" s="160" t="s">
        <v>631</v>
      </c>
      <c r="Q1" s="160" t="s">
        <v>632</v>
      </c>
      <c r="R1" s="160" t="s">
        <v>633</v>
      </c>
      <c r="S1" s="160" t="s">
        <v>634</v>
      </c>
      <c r="T1" s="160" t="s">
        <v>635</v>
      </c>
      <c r="U1" s="160" t="s">
        <v>636</v>
      </c>
    </row>
    <row customHeight="1" ht="17.399999999999999" r="2" spans="1:21">
      <c r="A2" s="161" t="s">
        <v>245</v>
      </c>
      <c r="B2" s="161"/>
      <c r="C2" s="162" t="str">
        <f>'TC005-Req to Parts Master'!C4</f>
        <v>ZTpna1219AS1</v>
      </c>
      <c r="D2" s="162" t="str">
        <f>'TC011-Setup Data'!A2</f>
        <v>ELASUP-ZTs1-021</v>
      </c>
      <c r="E2" s="163" t="s">
        <v>145</v>
      </c>
      <c r="F2" s="162" t="str">
        <f>'TC005-Req to Parts Master'!B4</f>
        <v>ZTpna-1219AS-1</v>
      </c>
      <c r="G2" s="162" t="str">
        <f>'TC005-Req to Parts Master'!B4</f>
        <v>ZTpna-1219AS-1</v>
      </c>
      <c r="H2" s="164"/>
      <c r="I2" s="164"/>
      <c r="J2" s="165" t="n">
        <f ca="1">TODAY()</f>
        <v>45253.0</v>
      </c>
      <c r="K2" s="165" t="n">
        <f ca="1">TODAY()+20</f>
        <v>45273.0</v>
      </c>
      <c r="L2" s="166">
        <v>22000</v>
      </c>
      <c r="M2" s="167">
        <v>20.001000000000001</v>
      </c>
      <c r="N2" s="168" t="s">
        <v>442</v>
      </c>
      <c r="O2" s="146">
        <v>22000</v>
      </c>
      <c r="P2" s="146">
        <v>22000</v>
      </c>
      <c r="Q2" s="164" t="s">
        <v>20</v>
      </c>
      <c r="R2" s="164" t="s">
        <v>20</v>
      </c>
      <c r="S2" s="147">
        <v>1</v>
      </c>
      <c r="T2" s="169">
        <v>4</v>
      </c>
      <c r="U2" s="169">
        <v>1</v>
      </c>
    </row>
  </sheetData>
  <pageMargins bottom="0.75" footer="0.3" header="0.3" left="0.7" right="0.7" top="0.75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R2"/>
  <sheetViews>
    <sheetView topLeftCell="H1" workbookViewId="0">
      <selection activeCell="Q2" sqref="Q2"/>
    </sheetView>
  </sheetViews>
  <sheetFormatPr defaultColWidth="8.88671875" defaultRowHeight="13.8"/>
  <cols>
    <col min="1" max="16" customWidth="true" style="1" width="20.77734375" collapsed="true"/>
    <col min="17" max="17" customWidth="true" style="1" width="16.0" collapsed="true"/>
    <col min="18" max="16384" style="1" width="8.88671875" collapsed="true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1" t="s">
        <v>713</v>
      </c>
    </row>
    <row ht="14.4" r="2" spans="1:17">
      <c r="A2" s="1" t="str">
        <f>AutoIncrement!B2&amp;"pna1219AS1"</f>
        <v>ZTpna1219AS1</v>
      </c>
      <c r="B2" s="46" t="str">
        <f>AutoIncrement!B2&amp;"pna-1219AS-1"</f>
        <v>ZTpna-1219AS-1</v>
      </c>
      <c r="E2" s="1" t="s">
        <v>145</v>
      </c>
      <c r="F2" s="1" t="s">
        <v>145</v>
      </c>
      <c r="G2" s="50">
        <v>44000</v>
      </c>
      <c r="H2" s="110">
        <v>44000</v>
      </c>
      <c r="I2" s="50">
        <v>22000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815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194</vt:i4>
      </vt:variant>
    </vt:vector>
  </HeadingPairs>
  <TitlesOfParts>
    <vt:vector baseType="lpstr" size="194"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TC138-L3</vt:lpstr>
      <vt:lpstr>TC138-L2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TC158-L3</vt:lpstr>
      <vt:lpstr>TC158-L2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TC168_SO</vt:lpstr>
      <vt:lpstr>TC169_CO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TC180</vt:lpstr>
      <vt:lpstr>TC181-Customer Cargo Tracking</vt:lpstr>
      <vt:lpstr>TC181_CO</vt:lpstr>
      <vt:lpstr>TC182_SO</vt:lpstr>
      <vt:lpstr>TC184</vt:lpstr>
      <vt:lpstr>TC185</vt:lpstr>
      <vt:lpstr>TC187</vt:lpstr>
      <vt:lpstr>ContractList</vt:lpstr>
      <vt:lpstr>TC105_ForecastContainer</vt:lpstr>
      <vt:lpstr>TC105_Forecast-Manual</vt:lpstr>
      <vt:lpstr>TC126 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2023-10-01T23:03:05Z</dcterms:created>
  <dc:creator>Muhammad Syazwan Rusdi</dc:creator>
  <cp:lastModifiedBy>Muhammad Syazwan Rusdi</cp:lastModifiedBy>
  <dcterms:modified xsi:type="dcterms:W3CDTF">2023-11-23T05:52:45Z</dcterms:modified>
</cp:coreProperties>
</file>