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924"/>
  <workbookPr/>
  <mc:AlternateContent>
    <mc:Choice Requires="x15">
      <x15ac:absPath xmlns:x15ac="http://schemas.microsoft.com/office/spreadsheetml/2010/11/ac" url="C:\Users\huawe\git\tb-ttap-brivge-v2-fatin\Excel Files\Scenario 12\"/>
    </mc:Choice>
  </mc:AlternateContent>
  <xr:revisionPtr documentId="13_ncr:1_{68D7FF68-57EE-4385-950D-4F06AAE2A89A}" revIDLastSave="0" xr10:uidLastSave="{00000000-0000-0000-0000-000000000000}" xr6:coauthVersionLast="47" xr6:coauthVersionMax="47"/>
  <bookViews>
    <workbookView activeTab="1" tabRatio="621" windowHeight="15840" windowWidth="29040" xWindow="28680" xr2:uid="{00000000-000D-0000-FFFF-FFFF00000000}" yWindow="-120"/>
  </bookViews>
  <sheets>
    <sheet name="Indicator" r:id="rId1" sheetId="82"/>
    <sheet name="AutoIncrement" r:id="rId2" sheetId="5"/>
    <sheet name="TC1" r:id="rId3" sheetId="71"/>
    <sheet name="TC2" r:id="rId4" sheetId="72"/>
    <sheet name="TC3" r:id="rId5" sheetId="1"/>
    <sheet name="TC3-Req to Parts Master" r:id="rId6" sheetId="73"/>
    <sheet name="TC3.1" r:id="rId7" sheetId="74"/>
    <sheet name="TC4-Contract Parts Info" r:id="rId8" sheetId="4"/>
    <sheet name="TC4" r:id="rId9" sheetId="3"/>
    <sheet name="TC5" r:id="rId10" sheetId="6"/>
    <sheet name="TC6" r:id="rId11" sheetId="7"/>
    <sheet name="TC6.1" r:id="rId12" sheetId="75"/>
    <sheet name="TC6.2" r:id="rId13" sheetId="9"/>
    <sheet name="TC6.2_ETAnWeek" r:id="rId14" sheetId="10"/>
    <sheet name="TC7-Contract Parts Info" r:id="rId15" sheetId="76"/>
    <sheet name="TC7" r:id="rId16" sheetId="11"/>
    <sheet name="TC8" r:id="rId17" sheetId="53"/>
    <sheet name="TC9" r:id="rId18" sheetId="12"/>
    <sheet name="TC10" r:id="rId19" sheetId="13"/>
    <sheet name="TC11-Order Regular" r:id="rId20" sheetId="15"/>
    <sheet name="TC11-Inbound Dates Regular" r:id="rId21" sheetId="16"/>
    <sheet name="TC11-Order Spot" r:id="rId22" sheetId="17"/>
    <sheet name="TC11-Inbound Dates Spot" r:id="rId23" sheetId="18"/>
    <sheet name="TC11-Customer CO" r:id="rId24" sheetId="25"/>
    <sheet name="TC11- Period Generator" r:id="rId25" sheetId="77"/>
    <sheet name="TC12" r:id="rId26" sheetId="54"/>
    <sheet name="TC14-BU SO" r:id="rId27" sheetId="19"/>
    <sheet name="TC15-BU PO" r:id="rId28" sheetId="20"/>
    <sheet name="TC16-Supplier SO" r:id="rId29" sheetId="21"/>
    <sheet name="TC17.1-Sup SO Delivery Plan" r:id="rId30" sheetId="78"/>
    <sheet name="TC17.1-Sup SODeliveryPlan(Date)" r:id="rId31" sheetId="79"/>
    <sheet name="TC17.2-Sup SO Delivery Plan" r:id="rId32" sheetId="80"/>
    <sheet name="TC17.2-Sup SODeliveryPlan(Date)" r:id="rId33" sheetId="81"/>
    <sheet name="TC18-Forecast Change" r:id="rId34" sheetId="26"/>
    <sheet name="TC20-BU Change Request" r:id="rId35" sheetId="28"/>
    <sheet name="TC19-Customer Change Request" r:id="rId36" sheetId="27"/>
    <sheet name="TC21-Supplier Approve Change " r:id="rId37" sheetId="29"/>
    <sheet name="TC22-Customer Forecast CO " r:id="rId38" sheetId="30"/>
    <sheet name="TC23-BU Forecast SO" r:id="rId39" sheetId="31"/>
    <sheet name="TC24-BU Forecast PO" r:id="rId40" sheetId="32"/>
    <sheet name="TC25-Customer Order Change" r:id="rId41" sheetId="33"/>
    <sheet name="TC25-Change Inbound Date" r:id="rId42" sheetId="34"/>
    <sheet name="TC25-Change Request No" r:id="rId43" sheetId="40"/>
    <sheet name="TC26-Customer AutoGen Change" r:id="rId44" sheetId="35"/>
    <sheet name="TC27-BU AutoGen Change" r:id="rId45" sheetId="38"/>
    <sheet name="TC28-Supplier Approve Change" r:id="rId46" sheetId="39"/>
    <sheet name="TC29-Customer Check CO" r:id="rId47" sheetId="43"/>
    <sheet name="TC30-BU Check SO" r:id="rId48" sheetId="44"/>
    <sheet name="TC31-BU Check PO" r:id="rId49" sheetId="45"/>
    <sheet name="TC32-Supplier Check SO" r:id="rId50" sheetId="46"/>
    <sheet name="TC33-New Outbound Date" r:id="rId51" sheetId="55"/>
    <sheet name="TC33-New Firm Qty" r:id="rId52" sheetId="70"/>
    <sheet name="TC33-Change Request No" r:id="rId53" sheetId="56"/>
    <sheet name="TC34" r:id="rId54" sheetId="67"/>
    <sheet name="TC35" r:id="rId55" sheetId="68"/>
    <sheet name="TC36" r:id="rId56" sheetId="57"/>
    <sheet name="TC44-Supplier Outbound -Regular" r:id="rId57" sheetId="47"/>
    <sheet name="TC44-Supplier Outbound -Spot" r:id="rId58" sheetId="49"/>
    <sheet name="TC44-Outbound No" r:id="rId59" sheetId="50"/>
    <sheet name="TC45-Supplier SellerGI Invoice" r:id="rId60" sheetId="52"/>
    <sheet name="TC50.1-Customer Cargo -Regular" r:id="rId61" sheetId="59"/>
    <sheet name="TC50.2-Customer Cargo -Spot" r:id="rId62" sheetId="60"/>
    <sheet name="TC53-Shipping Detail" r:id="rId63" sheetId="62"/>
    <sheet name="TC61-BU SellerGI Invoice" r:id="rId64" sheetId="64"/>
    <sheet name="TC68-DC Inbound" r:id="rId65" sheetId="65"/>
  </sheets>
  <externalReferences>
    <externalReference r:id="rId66"/>
  </externalReferences>
  <definedNames>
    <definedName localSheetId="5" name="activeFlagListArr">#REF!</definedName>
    <definedName name="activeFlagListArr">[1]activeFlagListArr!$A$1:$A$2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>#REF!</definedName>
    <definedName localSheetId="5" name="findAllUomArr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localSheetId="5" name="partsTypeArr">#REF!</definedName>
    <definedName name="partsTypeArr">[1]partsTypeArr!$A$1:$A$4</definedName>
    <definedName name="REPACKING_TYPE">#REF!</definedName>
    <definedName localSheetId="5" name="rolledPartsFlagArr">#REF!</definedName>
    <definedName name="rolledPartsFlagArr">[1]rolledPartsFlagArr!$A$1:$A$2</definedName>
    <definedName localSheetId="5" name="rolledPartsUomArr">#REF!</definedName>
    <definedName name="rolledPartsUomArr">[1]rolledPartsUomArr!$A$1:$A$41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57" l="1" r="K3"/>
  <c i="57" r="K4"/>
  <c i="57" r="K5"/>
  <c i="57" r="K6"/>
  <c i="57" r="K7"/>
  <c i="57" r="K2"/>
  <c i="68" r="K3"/>
  <c i="68" r="K4"/>
  <c i="68" r="K5"/>
  <c i="68" r="K6"/>
  <c i="68" r="K7"/>
  <c i="68" r="K2"/>
  <c i="67" r="J2"/>
  <c i="57" r="J3"/>
  <c i="57" r="J4"/>
  <c i="57" r="J5"/>
  <c i="57" r="J6"/>
  <c i="57" r="J7"/>
  <c i="57" r="J2"/>
  <c i="68" r="J3"/>
  <c i="68" r="J4"/>
  <c i="68" r="J5"/>
  <c i="68" r="J6"/>
  <c i="68" r="J7"/>
  <c i="68" r="J2"/>
  <c i="67" r="I2"/>
  <c i="67" r="J3"/>
  <c i="67" r="J4"/>
  <c i="67" r="J5"/>
  <c i="67" r="J6"/>
  <c i="67" r="J7"/>
  <c i="67" r="I3"/>
  <c i="67" r="I4"/>
  <c i="67" r="I5"/>
  <c i="67" r="I6"/>
  <c i="67" r="I7"/>
  <c i="43" r="N2"/>
  <c i="43" r="P3"/>
  <c i="43" r="P4"/>
  <c i="43" r="P5"/>
  <c i="43" r="P7"/>
  <c i="43" r="R2"/>
  <c i="43" r="P2"/>
  <c i="43" r="N3"/>
  <c i="43" r="N4"/>
  <c i="43" r="N5"/>
  <c i="43" r="N6"/>
  <c i="46" r="H3"/>
  <c i="46" r="H4"/>
  <c i="46" r="H5"/>
  <c i="46" r="H6"/>
  <c i="46" r="H7"/>
  <c i="46" r="H2"/>
  <c i="45" r="I3"/>
  <c i="45" r="I4"/>
  <c i="45" r="I5"/>
  <c i="45" r="I6"/>
  <c i="45" r="I7"/>
  <c i="45" r="I2"/>
  <c i="44" r="H3"/>
  <c i="44" r="H4"/>
  <c i="44" r="H5"/>
  <c i="44" r="H6"/>
  <c i="44" r="H7"/>
  <c i="44" r="H2"/>
  <c i="43" r="H3"/>
  <c i="43" r="H4"/>
  <c i="43" r="H5"/>
  <c i="43" r="H6"/>
  <c i="43" r="H7"/>
  <c i="43" r="H2"/>
  <c i="39" r="Q6"/>
  <c i="39" r="P5"/>
  <c i="39" r="Q4"/>
  <c i="39" r="P4"/>
  <c i="39" r="Q3"/>
  <c i="39" r="P3"/>
  <c i="39" r="Q2"/>
  <c i="39" r="R2"/>
  <c i="39" r="P2"/>
  <c i="35" r="Q2"/>
  <c i="39" r="N5"/>
  <c i="39" r="O5"/>
  <c i="39" r="N6"/>
  <c i="39" r="O4"/>
  <c i="39" r="O3"/>
  <c i="39" r="N3"/>
  <c i="39" r="O2"/>
  <c i="39" r="N2"/>
  <c i="38" r="O2"/>
  <c i="38" r="R6"/>
  <c i="38" r="O6"/>
  <c i="38" r="Q5"/>
  <c i="38" r="P5"/>
  <c i="38" r="O5"/>
  <c i="38" r="R4"/>
  <c i="38" r="Q4"/>
  <c i="38" r="P4"/>
  <c i="38" r="R3"/>
  <c i="38" r="Q3"/>
  <c i="38" r="P3"/>
  <c i="38" r="O3"/>
  <c i="38" r="S2"/>
  <c i="38" r="R2"/>
  <c i="38" r="Q2"/>
  <c i="38" r="P2"/>
  <c i="35" r="O5"/>
  <c i="35" r="P5"/>
  <c i="35" r="O6"/>
  <c i="35" r="P4"/>
  <c i="35" r="P3"/>
  <c i="35" r="O3"/>
  <c i="35" r="P2"/>
  <c i="35" r="O2"/>
  <c i="35" r="R6"/>
  <c i="35" r="Q5"/>
  <c i="35" r="R4"/>
  <c i="35" r="Q4"/>
  <c i="35" r="R3"/>
  <c i="35" r="Q3"/>
  <c i="35" r="R2"/>
  <c i="35" r="S2"/>
  <c i="39" r="B5"/>
  <c i="39" r="B6"/>
  <c i="39" r="B4"/>
  <c i="39" r="B3"/>
  <c i="39" r="B2"/>
  <c i="39" r="A6"/>
  <c i="39" r="A5"/>
  <c i="39" r="A4"/>
  <c i="39" r="A3"/>
  <c i="39" r="A2"/>
  <c i="39" r="J5"/>
  <c i="39" r="J6"/>
  <c i="39" r="J4"/>
  <c i="39" r="J3"/>
  <c i="39" r="J2"/>
  <c i="38" r="K2"/>
  <c i="39" r="I5"/>
  <c i="39" r="I6"/>
  <c i="39" r="I4"/>
  <c i="39" r="I3"/>
  <c i="39" r="I2"/>
  <c i="38" r="J2"/>
  <c i="38" r="B5"/>
  <c i="38" r="B6"/>
  <c i="38" r="B4"/>
  <c i="38" r="B3"/>
  <c i="38" r="B2"/>
  <c i="38" r="K6"/>
  <c i="38" r="J6"/>
  <c i="38" r="K5"/>
  <c i="38" r="J5"/>
  <c i="38" r="K4"/>
  <c i="38" r="J4"/>
  <c i="38" r="K3"/>
  <c i="38" r="J3"/>
  <c i="35" r="K5"/>
  <c i="35" r="K6"/>
  <c i="35" r="K4"/>
  <c i="35" r="K3"/>
  <c i="35" r="K2"/>
  <c i="35" r="J5"/>
  <c i="35" r="J6"/>
  <c i="35" r="J4"/>
  <c i="35" r="J3"/>
  <c i="35" r="J2"/>
  <c i="35" r="B5"/>
  <c i="35" r="B6"/>
  <c i="35" r="B4"/>
  <c i="35" r="B3"/>
  <c i="35" r="B2"/>
  <c i="35" r="A5"/>
  <c i="35" r="A6"/>
  <c i="35" r="A4"/>
  <c i="35" r="A3"/>
  <c i="35" r="A2"/>
  <c i="33" r="B3"/>
  <c i="33" r="B4"/>
  <c i="33" r="B5"/>
  <c i="33" r="B6"/>
  <c i="33" r="B7"/>
  <c i="33" r="B2"/>
  <c i="32" r="B7"/>
  <c i="32" r="B6"/>
  <c i="32" r="B5"/>
  <c i="32" r="B4"/>
  <c i="32" r="B3"/>
  <c i="32" r="B2"/>
  <c i="32" r="A7"/>
  <c i="32" r="A6"/>
  <c i="32" r="A5"/>
  <c i="32" r="A4"/>
  <c i="32" r="A3"/>
  <c i="32" r="A2"/>
  <c i="32" r="H3"/>
  <c i="32" r="H4"/>
  <c i="32" r="H5"/>
  <c i="32" r="H6"/>
  <c i="32" r="H7"/>
  <c i="32" r="H2"/>
  <c i="31" r="H3"/>
  <c i="31" r="H4"/>
  <c i="31" r="H5"/>
  <c i="31" r="H6"/>
  <c i="31" r="H7"/>
  <c i="31" r="H2"/>
  <c i="30" r="H3"/>
  <c i="30" r="H4"/>
  <c i="30" r="H5"/>
  <c i="30" r="H6"/>
  <c i="30" r="H7"/>
  <c i="30" r="H2"/>
  <c i="30" r="A2"/>
  <c i="29" r="K3"/>
  <c i="29" r="K2"/>
  <c i="27" r="L3"/>
  <c i="27" r="L2"/>
  <c i="27" r="A2"/>
  <c i="31" r="B3"/>
  <c i="31" r="B4"/>
  <c i="31" r="B5"/>
  <c i="31" r="B6"/>
  <c i="31" r="B7"/>
  <c i="31" r="B2"/>
  <c i="31" r="A3"/>
  <c i="31" r="A4"/>
  <c i="31" r="A5"/>
  <c i="31" r="A6"/>
  <c i="31" r="A7"/>
  <c i="31" r="A2"/>
  <c i="30" r="B3"/>
  <c i="30" r="B4"/>
  <c i="30" r="B5"/>
  <c i="30" r="B6"/>
  <c i="30" r="B7"/>
  <c i="30" r="B2"/>
  <c i="30" r="A3"/>
  <c i="30" r="A4"/>
  <c i="30" r="A5"/>
  <c i="30" r="A6"/>
  <c i="30" r="A7"/>
  <c i="29" r="B3"/>
  <c i="29" r="B2"/>
  <c i="29" r="A3"/>
  <c i="29" r="A2"/>
  <c i="27" r="B3"/>
  <c i="27" r="B2"/>
  <c i="27" r="A3"/>
  <c i="28" r="B3"/>
  <c i="28" r="B2"/>
  <c i="26" r="B3"/>
  <c i="26" r="B4"/>
  <c i="26" r="B5"/>
  <c i="26" r="B6"/>
  <c i="26" r="B7"/>
  <c i="26" r="B2"/>
  <c i="53" r="G7"/>
  <c i="53" r="G6"/>
  <c i="53" r="G5"/>
  <c i="53" r="G4"/>
  <c i="53" r="G3"/>
  <c i="53" r="G2"/>
  <c i="10" l="1" r="A2"/>
  <c i="9" r="B2"/>
  <c i="7" r="B3"/>
  <c i="7" r="B4"/>
  <c i="7" r="B5"/>
  <c i="7" r="B6"/>
  <c i="7" r="B7"/>
  <c i="7" r="B2"/>
  <c i="7" r="A3"/>
  <c i="7" r="A4"/>
  <c i="7" r="A5"/>
  <c i="7" r="A6"/>
  <c i="7" r="A7"/>
  <c i="7" r="A2"/>
  <c i="4" r="C3"/>
  <c i="4" r="C4"/>
  <c i="4" r="C5"/>
  <c i="4" r="C2"/>
  <c i="73" r="C3"/>
  <c i="73" r="C4"/>
  <c i="73" r="C5"/>
  <c i="73" r="C2"/>
  <c i="73" r="B3"/>
  <c i="73" r="B4"/>
  <c i="73" r="B5"/>
  <c i="73" r="B2"/>
  <c i="72" r="C5"/>
  <c i="72" r="C4"/>
  <c i="72" r="C3"/>
  <c i="72" r="C2"/>
  <c i="65" l="1" r="B15"/>
  <c i="65" r="B14"/>
  <c i="65" r="B13"/>
  <c i="65" r="B12"/>
  <c i="65" r="B11"/>
  <c i="65" r="B10"/>
  <c i="65" r="B9"/>
  <c i="65" r="B8"/>
  <c i="65" r="B7"/>
  <c i="65" r="B6"/>
  <c i="65" r="B5"/>
  <c i="65" r="B4"/>
  <c i="65" r="B3"/>
  <c i="65" r="B2"/>
  <c i="47" r="A3"/>
  <c i="50" r="B2" s="1"/>
  <c i="60" r="B6"/>
  <c i="60" r="B4"/>
  <c i="60" r="B3"/>
  <c i="60" r="B2"/>
  <c i="59" r="B5"/>
  <c i="59" r="B4"/>
  <c i="59" r="B3"/>
  <c i="52" r="B2"/>
  <c i="49" r="C9"/>
  <c i="50" r="B5" s="1"/>
  <c i="49" r="C8"/>
  <c i="49" r="C7"/>
  <c i="49" r="C6"/>
  <c i="50" r="B4" s="1"/>
  <c i="49" r="C5"/>
  <c i="49" r="C4"/>
  <c i="49" r="C3"/>
  <c i="49" r="C2"/>
  <c i="50" r="B3" s="1"/>
  <c i="47" r="A8"/>
  <c i="47" r="A7"/>
  <c i="47" r="A6"/>
  <c i="47" r="A5"/>
  <c i="47" r="A4"/>
  <c i="11" r="M2"/>
  <c i="11" r="N2"/>
  <c i="11" r="J2"/>
  <c i="3" r="J2"/>
  <c i="49" r="AI9"/>
  <c i="49" r="AI8"/>
  <c i="49" r="AI3"/>
  <c i="49" r="AI2"/>
  <c i="49" r="AI5"/>
  <c i="49" r="AI6"/>
  <c i="49" r="AI7"/>
  <c i="49" r="AI4"/>
  <c i="49" r="AH9"/>
  <c i="49" r="AH3"/>
  <c i="49" r="AH8"/>
  <c i="49" r="AH7"/>
  <c i="49" r="AH6"/>
  <c i="49" r="AH5"/>
  <c i="49" r="AH4"/>
  <c i="49" r="AH2"/>
  <c i="77" r="A2"/>
  <c i="40" r="A2"/>
  <c i="26" r="D2"/>
  <c i="12" r="A2"/>
  <c i="34" r="A2"/>
  <c i="64" r="B2"/>
  <c i="55" r="D2"/>
  <c i="55" r="C2"/>
  <c i="55" r="B2"/>
  <c i="55" r="A2"/>
  <c i="65" l="1" r="C15"/>
  <c i="65" r="C14"/>
  <c i="65" r="C13"/>
  <c i="65" r="C12"/>
  <c i="65" r="C11"/>
  <c i="65" r="C10"/>
  <c i="65" r="C9"/>
  <c i="65" r="C8"/>
  <c i="65" r="C7"/>
  <c i="65" r="C6"/>
  <c i="65" r="C5"/>
  <c i="65" r="C4"/>
  <c i="65" r="C3"/>
  <c i="65" r="C2"/>
  <c i="64" r="B5"/>
  <c i="64" r="B4"/>
  <c i="64" r="B3"/>
  <c i="62" r="B9"/>
  <c i="62" r="B8"/>
  <c i="62" r="B7"/>
  <c i="62" r="B6"/>
  <c i="62" r="B5"/>
  <c i="62" r="B4"/>
  <c i="62" r="B3"/>
  <c i="49" r="E9"/>
  <c i="60" r="A5" s="1"/>
  <c i="49" r="E8"/>
  <c i="49" r="E7"/>
  <c i="60" r="A4" s="1"/>
  <c i="49" r="E6"/>
  <c i="60" r="A2" s="1"/>
  <c i="47" r="C8"/>
  <c i="47" r="C7"/>
  <c i="47" r="C6"/>
  <c i="47" r="C5"/>
  <c i="47" r="C4"/>
  <c i="47" r="C3"/>
  <c i="59" r="A2" s="1"/>
  <c i="53" r="A3"/>
  <c i="53" r="A4"/>
  <c i="53" r="A5"/>
  <c i="53" r="A6"/>
  <c i="53" r="A7"/>
  <c i="53" r="A2"/>
  <c i="52" r="B5"/>
  <c i="52" r="B4"/>
  <c i="52" r="B3"/>
  <c i="49" r="M2"/>
  <c i="49" r="M3"/>
  <c i="49" r="M4"/>
  <c i="49" r="M5"/>
  <c i="49" r="M6"/>
  <c i="49" r="M7"/>
  <c i="49" r="M8"/>
  <c i="49" r="M9"/>
  <c i="49" r="AA9"/>
  <c i="49" r="AA8"/>
  <c i="49" r="AA5"/>
  <c i="49" r="AA4"/>
  <c i="49" r="AA3"/>
  <c i="49" r="AA2"/>
  <c i="49" r="V9"/>
  <c i="49" r="V8"/>
  <c i="49" r="V7"/>
  <c i="49" r="V6"/>
  <c i="49" r="V5"/>
  <c i="49" r="V3"/>
  <c i="49" r="V4"/>
  <c i="49" r="V2"/>
  <c i="47" r="S8"/>
  <c i="47" r="S7"/>
  <c i="47" r="S4"/>
  <c i="47" r="S3"/>
  <c i="47" r="N8"/>
  <c i="47" r="N7"/>
  <c i="47" r="N6"/>
  <c i="47" r="N5"/>
  <c i="47" r="N4"/>
  <c i="49" r="N9"/>
  <c i="49" r="N8"/>
  <c i="49" r="D9"/>
  <c i="49" r="D8"/>
  <c i="49" r="D7"/>
  <c i="49" r="D6"/>
  <c i="49" r="D5"/>
  <c i="49" r="D4"/>
  <c i="49" r="D3"/>
  <c i="49" r="N7"/>
  <c i="49" r="N6"/>
  <c i="49" r="N5"/>
  <c i="49" r="N4"/>
  <c i="49" r="N3"/>
  <c i="49" r="N2"/>
  <c i="49" r="D2"/>
  <c i="47" r="B8"/>
  <c i="47" r="B7"/>
  <c i="47" r="B6"/>
  <c i="47" r="B5"/>
  <c i="47" r="B4"/>
  <c i="47" r="B3"/>
  <c i="47" r="E3"/>
  <c i="47" r="F8"/>
  <c i="47" r="F7"/>
  <c i="47" r="F6"/>
  <c i="47" r="F5"/>
  <c i="47" r="F4"/>
  <c i="47" r="F3"/>
  <c i="47" r="N3"/>
  <c i="47" r="E8"/>
  <c i="47" r="E7"/>
  <c i="47" r="E6"/>
  <c i="47" r="E5"/>
  <c i="47" r="E4"/>
  <c i="62" l="1" r="A3"/>
  <c i="62" r="A2"/>
  <c i="62" r="A8"/>
  <c i="62" r="A9"/>
  <c i="62" r="A4"/>
  <c i="62" r="A5"/>
  <c i="62" r="A10"/>
  <c i="59" r="A5"/>
  <c i="59" r="A4"/>
  <c i="59" r="A3"/>
  <c i="34" r="C2"/>
  <c i="34" r="B2"/>
  <c i="5" l="1" r="C2"/>
  <c i="25" r="B2"/>
  <c i="25" r="C2"/>
  <c i="19" r="B2"/>
  <c i="30" r="D2" s="1"/>
  <c i="19" r="C2"/>
  <c i="56" l="1" r="A2"/>
  <c i="13" r="A2"/>
  <c i="45" r="D6"/>
  <c i="45" r="D7"/>
  <c i="45" r="D4"/>
  <c i="45" r="D5"/>
  <c i="45" r="D2"/>
  <c i="45" r="D3"/>
  <c i="44" r="D6"/>
  <c i="44" r="D7"/>
  <c i="44" r="D4"/>
  <c i="44" r="D5"/>
  <c i="44" r="D2"/>
  <c i="44" r="D3"/>
  <c i="43" r="D6"/>
  <c i="43" r="D7"/>
  <c i="43" r="D4"/>
  <c i="43" r="D5"/>
  <c i="43" r="D2"/>
  <c i="43" r="D3"/>
  <c i="32" r="D6"/>
  <c i="32" r="D7"/>
  <c i="32" r="D4"/>
  <c i="32" r="D5"/>
  <c i="32" r="D2"/>
  <c i="32" r="D3"/>
  <c i="31" r="D6"/>
  <c i="31" r="D7"/>
  <c i="31" r="D4"/>
  <c i="31" r="D5"/>
  <c i="31" r="D2"/>
  <c i="31" r="D3"/>
  <c i="30" r="D6"/>
  <c i="30" r="D7"/>
  <c i="30" r="D4"/>
  <c i="30" r="D5"/>
  <c i="30" r="D3"/>
  <c i="18" r="B2"/>
  <c i="16" r="C2"/>
  <c i="16" r="B2"/>
  <c i="7" l="1" r="E2"/>
  <c i="3" r="H2"/>
  <c i="1" r="B2" s="1"/>
  <c i="9" r="O2"/>
  <c i="11" l="1" r="H2"/>
  <c i="11" r="C2" s="1"/>
  <c i="21" r="C2"/>
  <c i="49" r="AF9" s="1"/>
  <c i="21" r="B2"/>
  <c i="20" r="C2"/>
  <c i="20" r="B2"/>
  <c i="3" r="N2"/>
  <c i="11" r="S2" s="1"/>
  <c i="3" r="I2"/>
  <c i="10" r="O2"/>
  <c i="9" r="X2" s="1"/>
  <c i="76" l="1" r="D7"/>
  <c i="76" r="D6"/>
  <c i="76" r="D5"/>
  <c i="76" r="D4"/>
  <c i="76" r="D3"/>
  <c i="76" r="D2"/>
  <c i="13" r="D2"/>
  <c i="53" r="D7"/>
  <c i="53" r="D6"/>
  <c i="53" r="D5"/>
  <c i="53" r="D4"/>
  <c i="53" r="D3"/>
  <c i="53" r="D2"/>
  <c i="49" r="AF7"/>
  <c i="49" r="AF8"/>
  <c i="49" r="AF5"/>
  <c i="49" r="AF6"/>
  <c i="49" r="AF3"/>
  <c i="49" r="AF4"/>
  <c i="49" r="AF2"/>
  <c i="46" r="D6"/>
  <c i="46" r="D7"/>
  <c i="46" r="D4"/>
  <c i="46" r="D5"/>
  <c i="46" r="D2"/>
  <c i="46" r="D3"/>
  <c i="11" r="I2"/>
  <c i="7" r="E7"/>
  <c i="7" r="E6"/>
  <c i="7" r="E5"/>
  <c i="7" r="E4"/>
  <c i="7" r="E3"/>
  <c i="3" r="C2"/>
  <c i="4" l="1" r="E7"/>
  <c i="4" r="E6"/>
  <c i="4" r="E5"/>
  <c i="4" r="E4"/>
  <c i="4" r="E2"/>
  <c i="4" r="E3"/>
  <c i="6" r="B2"/>
  <c i="7" r="D2"/>
  <c i="54" r="B2"/>
  <c i="12" r="D2"/>
  <c i="7" r="D5"/>
  <c i="7" r="D7"/>
  <c i="7" r="D6"/>
  <c i="7" r="D3"/>
  <c i="7" r="D4"/>
</calcChain>
</file>

<file path=xl/sharedStrings.xml><?xml version="1.0" encoding="utf-8"?>
<sst xmlns="http://schemas.openxmlformats.org/spreadsheetml/2006/main" count="1805" uniqueCount="517">
  <si>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</si>
  <si>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</si>
  <si>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</si>
  <si>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</si>
  <si>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</si>
  <si>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</si>
  <si>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</si>
  <si>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</si>
  <si>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</si>
  <si>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</si>
  <si>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</si>
  <si>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</si>
  <si>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</si>
  <si>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</si>
  <si>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</si>
  <si>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</si>
  <si>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</si>
  <si>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</si>
  <si>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</si>
  <si>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</si>
  <si>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</si>
  <si>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</si>
  <si>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</si>
  <si>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</si>
  <si>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</si>
  <si>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</si>
  <si>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</si>
  <si>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</si>
  <si>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</si>
  <si>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</si>
  <si>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</si>
  <si>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</si>
  <si>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</si>
  <si>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</si>
  <si>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</si>
  <si>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</si>
  <si>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</si>
  <si>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</si>
  <si>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</si>
  <si>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</si>
  <si>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</si>
  <si>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</si>
  <si>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</si>
  <si>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</si>
  <si>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</si>
  <si>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</si>
  <si>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</si>
  <si>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</si>
  <si>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</si>
  <si>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</si>
  <si>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</si>
  <si>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</si>
  <si>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</si>
  <si>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</si>
  <si>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</si>
  <si>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</si>
  <si>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</si>
  <si>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</si>
  <si>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</si>
  <si>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</si>
  <si>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</si>
  <si>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</si>
  <si>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</si>
  <si>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</si>
  <si>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</si>
  <si>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</si>
  <si>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</si>
  <si>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</si>
  <si>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</si>
  <si>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</si>
  <si>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</si>
  <si>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</si>
  <si>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</si>
  <si>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</si>
  <si>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</si>
  <si>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</si>
  <si>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</si>
  <si>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</si>
  <si>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</si>
  <si>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</si>
  <si>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</si>
  <si>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</si>
  <si>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</si>
  <si>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</si>
  <si>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</si>
  <si>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</si>
  <si>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</si>
  <si>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</si>
  <si>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</si>
  <si>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</si>
  <si>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</si>
  <si>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</si>
  <si>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</si>
  <si>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</si>
  <si>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</si>
  <si>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</si>
  <si>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</si>
  <si>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</si>
  <si>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</si>
  <si>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</si>
  <si>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</si>
  <si>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</si>
  <si>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</si>
  <si>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</si>
  <si>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</si>
  <si>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</si>
  <si>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</si>
  <si>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</si>
  <si>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</si>
  <si>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</si>
  <si>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</si>
  <si>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</si>
  <si>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</si>
  <si>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</si>
  <si>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</si>
  <si>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</si>
  <si>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</si>
  <si>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</si>
  <si>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</si>
  <si>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</si>
  <si>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</si>
  <si>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</si>
  <si>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</si>
  <si>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</si>
  <si>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</si>
  <si>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</si>
  <si>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</si>
  <si>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</si>
  <si>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Part no</t>
  </si>
  <si>
    <t>Back no</t>
  </si>
  <si>
    <t>Purchase order no</t>
  </si>
  <si>
    <t>Customer code</t>
  </si>
  <si>
    <t>SPQ</t>
  </si>
  <si>
    <t>Order lot</t>
  </si>
  <si>
    <t>Status</t>
  </si>
  <si>
    <t>Delivered qty</t>
  </si>
  <si>
    <t>InTransit qty</t>
  </si>
  <si>
    <t>Receiver inbounded qty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</si>
  <si>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</si>
  <si>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</si>
  <si>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</si>
  <si>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</si>
  <si>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</si>
  <si>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</si>
  <si>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</si>
  <si>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4" type="noConversion"/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</si>
  <si>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</si>
  <si>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</si>
  <si>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</si>
  <si>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</si>
  <si>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</si>
  <si>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</si>
  <si>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</si>
  <si>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</si>
  <si>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</si>
  <si>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</si>
  <si>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</si>
  <si>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</si>
  <si>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</si>
  <si>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</si>
  <si>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</si>
  <si>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</si>
  <si>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</si>
  <si>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</si>
  <si>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</si>
  <si>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</si>
  <si>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</si>
  <si>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</si>
  <si>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</si>
  <si>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</si>
  <si>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</si>
  <si>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</si>
  <si>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</si>
  <si>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</si>
  <si>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</si>
  <si>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</si>
  <si>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</si>
  <si>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</si>
  <si>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</si>
  <si>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</si>
  <si>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</si>
  <si>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</si>
  <si>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</si>
  <si>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</si>
  <si>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</si>
  <si>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</si>
  <si>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</si>
  <si>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</si>
  <si>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</si>
  <si>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</si>
  <si>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</si>
  <si>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</si>
  <si>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</si>
  <si>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</si>
  <si>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</si>
  <si>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</si>
  <si>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</si>
  <si>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</si>
  <si>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</si>
  <si>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</si>
  <si>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</si>
  <si>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</si>
  <si>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</si>
  <si>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</si>
  <si>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</si>
  <si>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</si>
  <si>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</si>
  <si>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</si>
  <si>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</si>
  <si>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</si>
  <si>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</si>
  <si>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</si>
  <si>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</si>
  <si>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</si>
  <si>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</si>
  <si>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</si>
  <si>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</si>
  <si>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</si>
  <si>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</si>
  <si>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</si>
  <si>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4" type="noConversion"/>
  </si>
  <si>
    <t>C-230506001-001</t>
    <phoneticPr fontId="4" type="noConversion"/>
  </si>
  <si>
    <t>CARTONBOX1</t>
    <phoneticPr fontId="4" type="noConversion"/>
  </si>
  <si>
    <t>CARTONBOX</t>
    <phoneticPr fontId="4" type="noConversion"/>
  </si>
  <si>
    <t>DRUM</t>
    <phoneticPr fontId="4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</si>
  <si>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</si>
  <si>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</si>
  <si>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</si>
  <si>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</si>
  <si>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</si>
  <si>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</si>
  <si>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</si>
  <si>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4" type="noConversion"/>
  </si>
  <si>
    <t>20FT</t>
    <phoneticPr fontId="4" type="noConversion"/>
  </si>
  <si>
    <t>Commodity Type-1</t>
    <phoneticPr fontId="4" type="noConversion"/>
  </si>
  <si>
    <t>S-230506001-001</t>
    <phoneticPr fontId="4" type="noConversion"/>
  </si>
  <si>
    <t>40FT</t>
    <phoneticPr fontId="4" type="noConversion"/>
  </si>
  <si>
    <t>Commodity Type-2</t>
    <phoneticPr fontId="4" type="noConversion"/>
  </si>
  <si>
    <t>S-230506001-002</t>
    <phoneticPr fontId="4" type="noConversion"/>
  </si>
  <si>
    <t>Inner Package Type-3</t>
    <phoneticPr fontId="4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</si>
  <si>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</si>
  <si>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</si>
  <si>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</si>
  <si>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</si>
  <si>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</si>
  <si>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</si>
  <si>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</si>
  <si>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</si>
  <si>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</si>
  <si>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</si>
  <si>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</si>
  <si>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</si>
  <si>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</si>
  <si>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</si>
  <si>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</si>
  <si>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</si>
  <si>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</si>
  <si>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</si>
  <si>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</si>
  <si>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</si>
  <si>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</si>
  <si>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</si>
  <si>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</si>
  <si>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</si>
  <si>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</si>
  <si>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</si>
  <si>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</si>
  <si>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</si>
  <si>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</si>
  <si>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</si>
  <si>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</si>
  <si>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</si>
  <si>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</si>
  <si>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</si>
  <si>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</si>
  <si>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</si>
  <si>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</si>
  <si>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</si>
  <si>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</si>
  <si>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</si>
  <si>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</si>
  <si>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</si>
  <si>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</si>
  <si>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</si>
  <si>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</si>
  <si>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</si>
  <si>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</si>
  <si>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</si>
  <si>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</si>
  <si>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</si>
  <si>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</si>
  <si>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</si>
  <si>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</si>
  <si>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</si>
  <si>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</si>
  <si>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</si>
  <si>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</si>
  <si>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</si>
  <si>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</si>
  <si>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</si>
  <si>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</si>
  <si>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</si>
  <si>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</si>
  <si>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</si>
  <si>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</si>
  <si>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</si>
  <si>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</si>
  <si>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</si>
  <si>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</si>
  <si>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</si>
  <si>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</si>
  <si>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</si>
  <si>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</si>
  <si>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</si>
  <si>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</si>
  <si>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</si>
  <si>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</si>
  <si>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</si>
  <si>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</si>
  <si>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</si>
  <si>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</si>
  <si>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</si>
  <si>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</si>
  <si>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</si>
  <si>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</si>
  <si>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Inbound_plan_3</t>
  </si>
  <si>
    <t>Inbound_status_3</t>
  </si>
  <si>
    <t>Plan_OutIn_3</t>
  </si>
  <si>
    <t>Status_OutIn_3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</si>
  <si>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</si>
  <si>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</si>
  <si>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</si>
  <si>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</si>
  <si>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</si>
  <si>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</si>
  <si>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</si>
  <si>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</si>
  <si>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</si>
  <si>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</si>
  <si>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</si>
  <si>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</si>
  <si>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</si>
  <si>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</si>
  <si>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NEWMOD</t>
  </si>
  <si>
    <t>MOD</t>
  </si>
  <si>
    <t>DisplayPartsNo</t>
  </si>
  <si>
    <t>scenario12-20230504001</t>
    <phoneticPr fontId="8" type="noConversion"/>
  </si>
  <si>
    <t>scenario12-20230504002</t>
    <phoneticPr fontId="8" type="noConversion"/>
  </si>
  <si>
    <t>scenario12-20230504003</t>
    <phoneticPr fontId="8" type="noConversion"/>
  </si>
  <si>
    <t>scenario12-20230504004</t>
    <phoneticPr fontId="8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</si>
  <si>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</si>
  <si>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</si>
  <si>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</si>
  <si>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</si>
  <si>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</si>
  <si>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</si>
  <si>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</si>
  <si>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</si>
  <si>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</si>
  <si>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</si>
  <si>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</si>
  <si>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</si>
  <si>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</si>
  <si>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</si>
  <si>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</si>
  <si>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</si>
  <si>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</si>
  <si>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</si>
  <si>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</si>
  <si>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</si>
  <si>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</si>
  <si>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</si>
  <si>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</si>
  <si>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</si>
  <si>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</si>
  <si>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</si>
  <si>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</si>
  <si>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</si>
  <si>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</si>
  <si>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</si>
  <si>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</si>
  <si>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</si>
  <si>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</si>
  <si>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</si>
  <si>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</si>
  <si>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</si>
  <si>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</si>
  <si>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</si>
  <si>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</si>
  <si>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</si>
  <si>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</si>
  <si>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</si>
  <si>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</si>
  <si>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</si>
  <si>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</si>
  <si>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</si>
  <si>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</si>
  <si>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</si>
  <si>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</si>
  <si>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</si>
  <si>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</si>
  <si>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</si>
  <si>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</si>
  <si>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</si>
  <si>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</si>
  <si>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</si>
  <si>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</si>
  <si>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</si>
  <si>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</si>
  <si>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</si>
  <si>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</si>
  <si>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</si>
  <si>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</si>
  <si>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</si>
  <si>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</si>
  <si>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</si>
  <si>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</si>
  <si>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</si>
  <si>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</si>
  <si>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</si>
  <si>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</si>
  <si>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</si>
  <si>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</si>
  <si>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</si>
  <si>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</si>
  <si>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</si>
  <si>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</si>
  <si>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</si>
  <si>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</si>
  <si>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</si>
  <si>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</si>
  <si>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</si>
  <si>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</si>
  <si>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</si>
  <si>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</si>
  <si>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</si>
  <si>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</si>
  <si>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</si>
  <si>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</si>
  <si>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</si>
  <si>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</si>
  <si>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</si>
  <si>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IterationNo</t>
  </si>
  <si>
    <t>TN</t>
  </si>
  <si>
    <t>Auto Generate Weekly Period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</si>
  <si>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</si>
  <si>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</si>
  <si>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</si>
  <si>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</si>
  <si>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</si>
  <si>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</si>
  <si>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</si>
  <si>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</si>
  <si>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</si>
  <si>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</si>
  <si>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Nov 14, 2023</t>
  </si>
  <si>
    <t>11,16</t>
  </si>
  <si>
    <t>Nov 19, 2023</t>
  </si>
  <si>
    <t>Inbound_plan_5</t>
  </si>
  <si>
    <t>Inbound_status_5</t>
  </si>
  <si>
    <t>InboundNewDate_Qty5</t>
  </si>
  <si>
    <t>Old_outbound_5</t>
  </si>
  <si>
    <t>New_outbound_4</t>
  </si>
  <si>
    <t>Old_outbound_sup4</t>
  </si>
  <si>
    <t>Old_outbound_sup5</t>
  </si>
  <si>
    <t>inv1</t>
  </si>
  <si>
    <t>inv2</t>
  </si>
  <si>
    <t>combine: inv1 + inv2</t>
  </si>
  <si>
    <t>Please set Iteration and ShortCode1 as in "YELLOW" box only</t>
  </si>
  <si>
    <t>Color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</si>
  <si>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</si>
  <si>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</si>
  <si>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</si>
  <si>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</si>
  <si>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</si>
  <si>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</si>
  <si>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</si>
  <si>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</si>
  <si>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</si>
  <si>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Nov 20, 2023</t>
  </si>
  <si>
    <t>Plan_OutIn_4</t>
  </si>
  <si>
    <t>Status_OutIn_4</t>
  </si>
  <si>
    <t>Plan_OutIn_5</t>
  </si>
  <si>
    <t>Status_OutIn_5</t>
  </si>
  <si>
    <t>R-VN-TTVN-2311003</t>
  </si>
  <si>
    <t>CR-VN-TTVN-2311003</t>
  </si>
  <si>
    <t>R-SG-TTAP-2311006</t>
  </si>
  <si>
    <t>o-SG-BAFCO-231108001</t>
  </si>
  <si>
    <t>o-SG-BAFCO-231108002</t>
  </si>
  <si>
    <t>o-SG-BAFCO-231108003</t>
  </si>
  <si>
    <t>o-SG-BAFCO-231108004</t>
  </si>
  <si>
    <t>BAFCO2311006</t>
  </si>
  <si>
    <t>BAFCO2311007</t>
  </si>
  <si>
    <t>BAFCO2311008</t>
  </si>
  <si>
    <t>BAFCO2311009</t>
  </si>
  <si>
    <t>BAFCO2311010</t>
  </si>
  <si>
    <t>TTAP2311007</t>
  </si>
  <si>
    <t>TTAP2311008</t>
  </si>
  <si>
    <t>TTAP2311009</t>
  </si>
  <si>
    <t>TTAP2311010</t>
  </si>
  <si>
    <t>04</t>
  </si>
  <si>
    <t>R-VN-TTVN-2311004</t>
  </si>
  <si>
    <t>CR-VN-TTVN-2311004</t>
  </si>
  <si>
    <t>R-SG-TTAP-2311007</t>
  </si>
  <si>
    <t>o-SG-BAFCO-231108005</t>
  </si>
  <si>
    <t>o-SG-BAFCO-231108006</t>
  </si>
  <si>
    <t>o-SG-BAFCO-231108007</t>
  </si>
  <si>
    <t>o-SG-BAFCO-231108008</t>
  </si>
  <si>
    <t>BAFCO2311011</t>
  </si>
  <si>
    <t>BAFCO2311012</t>
  </si>
  <si>
    <t>BAFCO2311013</t>
  </si>
  <si>
    <t>BAFCO2311014</t>
  </si>
  <si>
    <t>BAFCO2311015</t>
  </si>
  <si>
    <t>TTAP2311011</t>
  </si>
  <si>
    <t>TTAP2311012</t>
  </si>
  <si>
    <t>TTAP2311013</t>
  </si>
  <si>
    <t>TTAP2311014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</si>
</sst>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_ "/>
    <numFmt numFmtId="165" formatCode="_-* #,##0_-;\-* #,##0_-;_-* &quot;-&quot;??_-;_-@_-"/>
    <numFmt numFmtId="166" formatCode="0.000_ "/>
    <numFmt numFmtId="167" formatCode="#,##0.000"/>
    <numFmt numFmtId="168" formatCode="0_ "/>
    <numFmt numFmtId="169" formatCode="0.00_ "/>
    <numFmt numFmtId="170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borderId="0" fillId="0" fontId="0" numFmtId="0"/>
    <xf borderId="0" fillId="0" fontId="4" numFmtId="0">
      <alignment vertical="center"/>
    </xf>
    <xf borderId="0" fillId="0" fontId="5" numFmtId="0"/>
    <xf applyAlignment="0" applyBorder="0" applyFill="0" applyFont="0" applyProtection="0" borderId="0" fillId="0" fontId="3" numFmtId="43"/>
    <xf borderId="0" fillId="0" fontId="5" numFmtId="0"/>
    <xf borderId="0" fillId="0" fontId="7" numFmtId="0"/>
    <xf borderId="0" fillId="0" fontId="7" numFmtId="0"/>
    <xf borderId="0" fillId="0" fontId="8" numFmtId="0"/>
    <xf borderId="0" fillId="0" fontId="8" numFmtId="0"/>
    <xf borderId="0" fillId="0" fontId="8" numFmtId="0"/>
    <xf borderId="0" fillId="0" fontId="7" numFmtId="0"/>
  </cellStyleXfs>
  <cellXfs count="93">
    <xf borderId="0" fillId="0" fontId="0" numFmtId="0" xfId="0"/>
    <xf applyAlignment="1" applyFont="1" borderId="0" fillId="0" fontId="2" numFmtId="0" xfId="0">
      <alignment horizontal="left" vertical="center"/>
    </xf>
    <xf applyFont="1" borderId="0" fillId="0" fontId="2" numFmtId="0" xfId="0"/>
    <xf applyAlignment="1" applyFont="1" borderId="0" fillId="0" fontId="2" numFmtId="0" xfId="0">
      <alignment horizontal="center" vertical="center"/>
    </xf>
    <xf applyAlignment="1" applyFont="1" borderId="0" fillId="0" fontId="2" numFmtId="0" xfId="0">
      <alignment vertical="center"/>
    </xf>
    <xf applyFont="1" borderId="0" fillId="0" fontId="11" numFmtId="0" xfId="0"/>
    <xf applyAlignment="1" applyFont="1" borderId="0" fillId="0" fontId="2" numFmtId="0" xfId="0">
      <alignment horizontal="center"/>
    </xf>
    <xf applyAlignment="1" applyFont="1" borderId="0" fillId="0" fontId="2" numFmtId="0" xfId="0">
      <alignment horizontal="left" vertical="top"/>
    </xf>
    <xf applyAlignment="1" applyFont="1" borderId="0" fillId="0" fontId="2" numFmtId="0" xfId="0">
      <alignment vertical="top"/>
    </xf>
    <xf applyAlignment="1" applyFont="1" borderId="0" fillId="0" fontId="2" numFmtId="0" xfId="0">
      <alignment wrapText="1"/>
    </xf>
    <xf applyAlignment="1" applyFont="1" borderId="0" fillId="0" fontId="2" numFmtId="0" xfId="0">
      <alignment horizontal="right" vertical="center"/>
    </xf>
    <xf applyAlignment="1" applyFont="1" borderId="0" fillId="0" fontId="2" numFmtId="0" xfId="0">
      <alignment vertical="top" wrapText="1"/>
    </xf>
    <xf applyBorder="1" applyFont="1" borderId="1" fillId="0" fontId="2" numFmtId="0" xfId="0"/>
    <xf applyAlignment="1" applyBorder="1" applyFont="1" applyNumberFormat="1" borderId="1" fillId="0" fontId="2" numFmtId="49" xfId="0">
      <alignment horizontal="left"/>
    </xf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>
      <alignment horizontal="left"/>
    </xf>
    <xf applyAlignment="1" applyBorder="1" applyFont="1" applyNumberFormat="1" borderId="1" fillId="0" fontId="9" numFmtId="3" xfId="0">
      <alignment horizontal="right" vertical="center"/>
    </xf>
    <xf applyAlignment="1" applyBorder="1" applyFont="1" applyNumberFormat="1" borderId="1" fillId="0" fontId="9" numFmtId="170" xfId="0">
      <alignment horizontal="right" vertical="center"/>
    </xf>
    <xf applyAlignment="1" applyBorder="1" applyFont="1" applyNumberFormat="1" borderId="1" fillId="0" fontId="9" numFmtId="4" xfId="0">
      <alignment horizontal="right" vertical="center"/>
    </xf>
    <xf applyAlignment="1" applyBorder="1" applyFont="1" borderId="1" fillId="0" fontId="2" numFmtId="0" xfId="0">
      <alignment horizontal="left" vertical="center"/>
    </xf>
    <xf applyBorder="1" borderId="1" fillId="0" fontId="0" numFmtId="0" xfId="0"/>
    <xf applyAlignment="1" applyBorder="1" applyFont="1" applyNumberFormat="1" borderId="1" fillId="0" fontId="2" numFmtId="49" xfId="0">
      <alignment horizontal="left" vertical="center"/>
    </xf>
    <xf applyAlignment="1" applyBorder="1" applyFont="1" borderId="1" fillId="0" fontId="2" numFmtId="0" xfId="0">
      <alignment wrapText="1"/>
    </xf>
    <xf applyBorder="1" applyFont="1" borderId="1" fillId="0" fontId="12" numFmtId="0" xfId="0"/>
    <xf applyBorder="1" applyFont="1" applyNumberFormat="1" borderId="1" fillId="0" fontId="2" numFmtId="49" xfId="0"/>
    <xf applyBorder="1" applyFont="1" applyNumberFormat="1" borderId="1" fillId="0" fontId="2" numFmtId="1" xfId="0"/>
    <xf applyBorder="1" applyFont="1" applyNumberFormat="1" applyProtection="1" borderId="1" fillId="0" fontId="2" numFmtId="164" xfId="1">
      <alignment vertical="center"/>
      <protection locked="0"/>
    </xf>
    <xf applyBorder="1" applyFont="1" applyNumberFormat="1" borderId="1" fillId="0" fontId="9" numFmtId="3" xfId="0"/>
    <xf applyAlignment="1" applyBorder="1" applyFont="1" borderId="1" fillId="0" fontId="2" numFmtId="0" xfId="0">
      <alignment horizontal="left" vertical="top"/>
    </xf>
    <xf applyAlignment="1" applyBorder="1" applyFont="1" applyNumberFormat="1" borderId="1" fillId="0" fontId="9" numFmtId="3" xfId="0">
      <alignment horizontal="left"/>
    </xf>
    <xf applyBorder="1" applyFont="1" applyNumberFormat="1" borderId="1" fillId="0" fontId="2" numFmtId="3" xfId="0"/>
    <xf applyAlignment="1" applyBorder="1" applyFont="1" applyNumberFormat="1" borderId="1" fillId="0" fontId="2" numFmtId="165" xfId="3"/>
    <xf applyAlignment="1" applyBorder="1" applyFont="1" applyNumberFormat="1" borderId="1" fillId="0" fontId="2" numFmtId="3" xfId="0">
      <alignment wrapText="1"/>
    </xf>
    <xf applyBorder="1" applyFont="1" applyNumberFormat="1" borderId="1" fillId="0" fontId="2" numFmtId="165" xfId="3"/>
    <xf applyBorder="1" applyFont="1" applyNumberFormat="1" borderId="1" fillId="0" fontId="2" numFmtId="1" xfId="3"/>
    <xf applyAlignment="1" applyBorder="1" applyFont="1" applyNumberFormat="1" borderId="1" fillId="0" fontId="2" numFmtId="1" xfId="0">
      <alignment vertical="top"/>
    </xf>
    <xf applyAlignment="1" applyBorder="1" applyFont="1" borderId="1" fillId="0" fontId="13" numFmtId="0" xfId="0">
      <alignment horizontal="left" vertical="top"/>
    </xf>
    <xf applyAlignment="1" applyBorder="1" applyFont="1" borderId="1" fillId="0" fontId="2" numFmtId="0" xfId="0">
      <alignment vertical="top"/>
    </xf>
    <xf applyAlignment="1" applyBorder="1" applyFont="1" applyNumberFormat="1" borderId="1" fillId="0" fontId="2" numFmtId="169" xfId="5">
      <alignment horizontal="right" vertical="center"/>
    </xf>
    <xf applyAlignment="1" applyBorder="1" applyFont="1" applyNumberFormat="1" borderId="1" fillId="0" fontId="2" numFmtId="49" xfId="0">
      <alignment horizontal="left" vertical="top"/>
    </xf>
    <xf applyAlignment="1" applyBorder="1" applyFont="1" applyNumberFormat="1" applyProtection="1" borderId="1" fillId="0" fontId="9" numFmtId="166" xfId="4">
      <alignment horizontal="right" vertical="top"/>
      <protection locked="0"/>
    </xf>
    <xf applyAlignment="1" applyBorder="1" applyFont="1" applyNumberFormat="1" applyProtection="1" borderId="1" fillId="0" fontId="9" numFmtId="168" xfId="4">
      <alignment horizontal="right" vertical="top"/>
      <protection locked="0"/>
    </xf>
    <xf applyAlignment="1" applyBorder="1" applyFont="1" applyNumberFormat="1" applyProtection="1" borderId="1" fillId="0" fontId="9" numFmtId="167" xfId="4">
      <alignment horizontal="left" vertical="top"/>
      <protection locked="0"/>
    </xf>
    <xf applyAlignment="1" applyBorder="1" applyFont="1" applyNumberFormat="1" borderId="1" fillId="0" fontId="2" numFmtId="169" xfId="0">
      <alignment horizontal="right" vertical="center"/>
    </xf>
    <xf applyAlignment="1" applyBorder="1" applyFont="1" applyNumberFormat="1" applyProtection="1" borderId="1" fillId="0" fontId="9" numFmtId="166" xfId="4">
      <alignment horizontal="right" vertical="center"/>
      <protection locked="0"/>
    </xf>
    <xf applyAlignment="1" applyBorder="1" applyFont="1" applyNumberFormat="1" applyProtection="1" borderId="1" fillId="0" fontId="9" numFmtId="167" xfId="4">
      <alignment horizontal="left" vertical="center"/>
      <protection locked="0"/>
    </xf>
    <xf applyAlignment="1" applyBorder="1" applyFont="1" applyNumberFormat="1" borderId="1" fillId="0" fontId="2" numFmtId="49" xfId="0">
      <alignment vertical="top"/>
    </xf>
    <xf applyAlignment="1" applyBorder="1" applyFont="1" applyNumberFormat="1" borderId="1" fillId="0" fontId="2" numFmtId="169" xfId="0">
      <alignment horizontal="right" vertical="top"/>
    </xf>
    <xf applyBorder="1" applyFont="1" borderId="1" fillId="0" fontId="13" numFmtId="0" xfId="0"/>
    <xf applyAlignment="1" applyBorder="1" applyFont="1" applyNumberFormat="1" borderId="1" fillId="0" fontId="2" numFmtId="49" xfId="0">
      <alignment wrapText="1"/>
    </xf>
    <xf applyAlignment="1" applyBorder="1" applyFont="1" applyNumberFormat="1" applyProtection="1" borderId="1" fillId="0" fontId="9" numFmtId="167" xfId="4">
      <alignment vertical="center"/>
      <protection locked="0"/>
    </xf>
    <xf applyBorder="1" applyFill="1" applyFont="1" borderId="1" fillId="2" fontId="2" numFmtId="0" xfId="0"/>
    <xf applyAlignment="1" applyBorder="1" applyFont="1" borderId="1" fillId="0" fontId="2" numFmtId="0" xfId="0">
      <alignment horizontal="left" wrapText="1"/>
    </xf>
    <xf applyBorder="1" applyFont="1" applyNumberFormat="1" borderId="1" fillId="0" fontId="13" numFmtId="49" xfId="0"/>
    <xf applyAlignment="1" applyBorder="1" applyFont="1" borderId="4" fillId="0" fontId="14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5" fillId="0" fontId="14" numFmtId="0" xfId="0">
      <alignment horizontal="center" vertical="center"/>
    </xf>
    <xf applyAlignment="1" applyBorder="1" applyFill="1" borderId="6" fillId="2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Border="1" borderId="8" fillId="0" fontId="0" numFmtId="0" xfId="0"/>
    <xf applyAlignment="1" applyBorder="1" applyFill="1" borderId="9" fillId="3" fontId="0" numFmtId="0" xfId="0">
      <alignment horizontal="center" vertical="center"/>
    </xf>
    <xf applyAlignment="1" applyBorder="1" borderId="10" fillId="0" fontId="0" numFmtId="0" xfId="0">
      <alignment horizontal="center" vertical="center"/>
    </xf>
    <xf applyBorder="1" borderId="11" fillId="0" fontId="0" numFmtId="0" xfId="0"/>
    <xf applyAlignment="1" applyBorder="1" applyFill="1" borderId="9" fillId="4" fontId="0" numFmtId="0" xfId="0">
      <alignment horizontal="center" vertical="center"/>
    </xf>
    <xf applyAlignment="1" applyBorder="1" borderId="13" fillId="0" fontId="0" numFmtId="0" xfId="0">
      <alignment horizontal="center" vertical="center"/>
    </xf>
    <xf applyBorder="1" borderId="14" fillId="0" fontId="0" numFmtId="0" xfId="0"/>
    <xf applyBorder="1" applyFont="1" borderId="2" fillId="0" fontId="2" numFmtId="0" xfId="0"/>
    <xf applyBorder="1" applyFill="1" applyFont="1" borderId="1" fillId="5" fontId="2" numFmtId="0" xfId="0"/>
    <xf applyBorder="1" applyFill="1" applyFont="1" borderId="2" fillId="5" fontId="2" numFmtId="0" xfId="0"/>
    <xf applyAlignment="1" applyBorder="1" applyFill="1" applyFont="1" borderId="1" fillId="2" fontId="2" numFmtId="0" xfId="0">
      <alignment horizontal="left" vertical="center"/>
    </xf>
    <xf applyBorder="1" applyFill="1" borderId="1" fillId="3" fontId="0" numFmtId="0" xfId="0"/>
    <xf applyBorder="1" applyFill="1" borderId="1" fillId="5" fontId="0" numFmtId="0" xfId="0"/>
    <xf applyBorder="1" applyFill="1" applyFont="1" borderId="1" fillId="5" fontId="1" numFmtId="0" xfId="0"/>
    <xf applyBorder="1" applyFill="1" applyFont="1" borderId="1" fillId="3" fontId="1" numFmtId="0" xfId="0"/>
    <xf applyAlignment="1" applyBorder="1" applyFill="1" applyFont="1" borderId="1" fillId="5" fontId="2" numFmtId="0" xfId="0">
      <alignment horizontal="left" vertical="top" wrapText="1"/>
    </xf>
    <xf applyAlignment="1" applyBorder="1" applyFill="1" applyFont="1" borderId="1" fillId="2" fontId="2" numFmtId="0" xfId="0">
      <alignment horizontal="left" vertical="top"/>
    </xf>
    <xf applyAlignment="1" applyBorder="1" applyFill="1" applyFont="1" borderId="1" fillId="2" fontId="2" numFmtId="0" xfId="0">
      <alignment horizontal="left" vertical="top" wrapText="1"/>
    </xf>
    <xf applyBorder="1" applyFill="1" applyFont="1" borderId="1" fillId="2" fontId="12" numFmtId="0" xfId="0"/>
    <xf applyBorder="1" applyFill="1" applyFont="1" borderId="1" fillId="3" fontId="9" numFmtId="0" xfId="0"/>
    <xf applyBorder="1" applyFill="1" applyFont="1" borderId="1" fillId="3" fontId="2" numFmtId="0" xfId="0"/>
    <xf applyAlignment="1" applyBorder="1" applyFill="1" applyFont="1" borderId="1" fillId="3" fontId="2" numFmtId="0" xfId="0">
      <alignment wrapText="1"/>
    </xf>
    <xf applyAlignment="1" applyBorder="1" applyFill="1" applyFont="1" borderId="1" fillId="5" fontId="2" numFmtId="0" xfId="0">
      <alignment vertical="top"/>
    </xf>
    <xf applyAlignment="1" applyBorder="1" applyFill="1" applyFont="1" borderId="1" fillId="2" fontId="2" numFmtId="0" xfId="0">
      <alignment vertical="top"/>
    </xf>
    <xf applyBorder="1" applyFill="1" applyFont="1" borderId="1" fillId="5" fontId="13" numFmtId="0" xfId="0"/>
    <xf applyBorder="1" applyFill="1" applyFont="1" borderId="1" fillId="2" fontId="13" numFmtId="0" xfId="0"/>
    <xf applyBorder="1" borderId="12" fillId="0" fontId="0" numFmtId="0" xfId="0"/>
    <xf applyAlignment="1" applyBorder="1" applyFont="1" borderId="1" fillId="0" fontId="10" numFmtId="0" xfId="0">
      <alignment horizontal="left"/>
    </xf>
    <xf applyBorder="1" applyFont="1" borderId="1" fillId="0" fontId="11" numFmtId="0" xfId="0"/>
    <xf applyAlignment="1" applyBorder="1" applyFill="1" applyFont="1" borderId="1" fillId="5" fontId="2" numFmtId="0" xfId="0">
      <alignment horizontal="left" vertical="center"/>
    </xf>
    <xf applyAlignment="1" applyBorder="1" applyFill="1" applyFont="1" borderId="1" fillId="5" fontId="2" numFmtId="0" xfId="0">
      <alignment horizontal="left" vertical="top"/>
    </xf>
    <xf applyFont="1" borderId="0" fillId="0" fontId="12" numFmtId="0" xfId="0"/>
    <xf applyFill="1" applyFont="1" borderId="0" fillId="5" fontId="12" numFmtId="0" xfId="0"/>
    <xf applyAlignment="1" applyBorder="1" applyFill="1" applyFont="1" borderId="1" fillId="5" fontId="2" numFmtId="0" xfId="0">
      <alignment wrapText="1"/>
    </xf>
  </cellXfs>
  <cellStyles count="11">
    <cellStyle builtinId="3" name="Comma" xfId="3"/>
    <cellStyle builtinId="0" name="Normal" xfId="0"/>
    <cellStyle name="Normal 13" xfId="6" xr:uid="{DAC2F1B6-5F0C-4911-9B5C-B5CAE8654FF7}"/>
    <cellStyle name="Normal 2" xfId="8" xr:uid="{05CD56BC-B259-455F-8B6E-D7A790BD14E2}"/>
    <cellStyle name="Normal 2 2" xfId="4" xr:uid="{0077DFB7-1F7C-4A43-8985-01F7EAF42D54}"/>
    <cellStyle name="Normal 2 2 2" xfId="7" xr:uid="{D3001AFC-E9BC-437B-9561-274EDEC0B5EC}"/>
    <cellStyle name="Normal 3" xfId="5" xr:uid="{18A370DC-2DA4-4843-81D2-A03F67F9F8A1}"/>
    <cellStyle name="Normal 6 2" xfId="2" xr:uid="{BAAA7FF1-FB45-45E3-98F7-2540607BBF71}"/>
    <cellStyle name="Normal 6 2 2" xfId="9" xr:uid="{D164D6BE-F1E4-4E09-9DCC-742EC6D5787E}"/>
    <cellStyle name="常规 2" xfId="1" xr:uid="{9007EC35-BB59-45F3-B047-482B139D4152}"/>
    <cellStyle name="常规 2 2" xfId="10" xr:uid="{A5C60366-A437-4C5C-871D-F407967867C8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externalLinks/externalLink1.xml" Type="http://schemas.openxmlformats.org/officeDocument/2006/relationships/externalLink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71" Target="../customXml/item1.xml" Type="http://schemas.openxmlformats.org/officeDocument/2006/relationships/customXml"/><Relationship Id="rId72" Target="../customXml/item2.xml" Type="http://schemas.openxmlformats.org/officeDocument/2006/relationships/customXml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Global%20Parts.20231010145051.xlsx" TargetMode="External" Type="http://schemas.openxmlformats.org/officeDocument/2006/relationships/externalLinkPath"/><Relationship Id="rId2" Target="file:///C:/Users/huawe/Downloads/Global%20Parts.20231010145051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094F-61F9-4F6B-BDA2-7BAD65AE22C0}">
  <sheetPr>
    <tabColor theme="7" tint="0.79998168889431442"/>
  </sheetPr>
  <dimension ref="B1:E6"/>
  <sheetViews>
    <sheetView workbookViewId="0">
      <selection activeCell="D40" sqref="D40"/>
    </sheetView>
  </sheetViews>
  <sheetFormatPr defaultRowHeight="14.4" x14ac:dyDescent="0.3"/>
  <cols>
    <col min="1" max="1" customWidth="true" width="3.33203125" collapsed="true"/>
    <col min="3" max="3" customWidth="true" width="22.44140625" collapsed="true"/>
    <col min="4" max="4" bestFit="true" customWidth="true" width="38.33203125" collapsed="true"/>
  </cols>
  <sheetData>
    <row ht="15" r="1" spans="2:4" thickBot="1" x14ac:dyDescent="0.35"/>
    <row ht="15" r="2" spans="2:4" thickBot="1" x14ac:dyDescent="0.35">
      <c r="B2" s="54" t="s">
        <v>469</v>
      </c>
      <c r="C2" s="55" t="s">
        <v>1</v>
      </c>
      <c r="D2" s="56" t="s">
        <v>470</v>
      </c>
    </row>
    <row r="3" spans="2:4" x14ac:dyDescent="0.3">
      <c r="B3" s="57"/>
      <c r="C3" s="58" t="s">
        <v>471</v>
      </c>
      <c r="D3" s="59" t="s">
        <v>472</v>
      </c>
    </row>
    <row r="4" spans="2:4" x14ac:dyDescent="0.3">
      <c r="B4" s="60"/>
      <c r="C4" s="61" t="s">
        <v>473</v>
      </c>
      <c r="D4" s="62" t="s">
        <v>474</v>
      </c>
    </row>
    <row r="5" spans="2:4" x14ac:dyDescent="0.3">
      <c r="B5" s="63"/>
      <c r="C5" s="61" t="s">
        <v>475</v>
      </c>
      <c r="D5" s="62" t="s">
        <v>476</v>
      </c>
    </row>
    <row ht="15" r="6" spans="2:4" thickBot="1" x14ac:dyDescent="0.35">
      <c r="B6" s="85"/>
      <c r="C6" s="64" t="s">
        <v>477</v>
      </c>
      <c r="D6" s="65" t="s">
        <v>478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C2"/>
  <sheetViews>
    <sheetView workbookViewId="0">
      <selection activeCell="M39" sqref="M39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12" t="s">
        <v>39</v>
      </c>
      <c r="B1" s="67" t="s">
        <v>2</v>
      </c>
    </row>
    <row r="2" spans="1:2" x14ac:dyDescent="0.3">
      <c r="A2" s="12">
        <v>1</v>
      </c>
      <c r="B2" s="12" t="str">
        <f>'TC4'!C2</f>
        <v>SGTTAP-VNTTVN-TN-04-004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G7"/>
  <sheetViews>
    <sheetView workbookViewId="0">
      <selection activeCell="C1" sqref="C1"/>
    </sheetView>
  </sheetViews>
  <sheetFormatPr defaultRowHeight="13.8" x14ac:dyDescent="0.3"/>
  <cols>
    <col min="1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6" customWidth="true" style="2" width="15.77734375" collapsed="true"/>
    <col min="7" max="16384" style="2" width="8.88671875" collapsed="true"/>
  </cols>
  <sheetData>
    <row customFormat="1" r="1" s="7" spans="1:6" x14ac:dyDescent="0.3">
      <c r="A1" s="89" t="s">
        <v>46</v>
      </c>
      <c r="B1" s="89" t="s">
        <v>47</v>
      </c>
      <c r="C1" s="75" t="s">
        <v>48</v>
      </c>
      <c r="D1" s="74" t="s">
        <v>49</v>
      </c>
      <c r="E1" s="76" t="s">
        <v>50</v>
      </c>
      <c r="F1" s="76" t="s">
        <v>51</v>
      </c>
    </row>
    <row r="2" spans="1:6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34</v>
      </c>
      <c r="D2" s="12" t="str">
        <f>'TC4'!C2</f>
        <v>SGTTAP-VNTTVN-TN-04-004</v>
      </c>
      <c r="E2" s="12" t="str">
        <f>'TC4'!L2</f>
        <v>Basis Order</v>
      </c>
      <c r="F2" s="12" t="s">
        <v>37</v>
      </c>
    </row>
    <row r="3" spans="1:6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34</v>
      </c>
      <c r="D3" s="12" t="str">
        <f>'TC4'!C2</f>
        <v>SGTTAP-VNTTVN-TN-04-004</v>
      </c>
      <c r="E3" s="12" t="str">
        <f>'TC4'!L2</f>
        <v>Basis Order</v>
      </c>
      <c r="F3" s="12" t="s">
        <v>37</v>
      </c>
    </row>
    <row r="4" spans="1:6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34</v>
      </c>
      <c r="D4" s="12" t="str">
        <f>'TC4'!C2</f>
        <v>SGTTAP-VNTTVN-TN-04-004</v>
      </c>
      <c r="E4" s="12" t="str">
        <f>'TC4'!L2</f>
        <v>Basis Order</v>
      </c>
      <c r="F4" s="12" t="s">
        <v>37</v>
      </c>
    </row>
    <row r="5" spans="1:6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34</v>
      </c>
      <c r="D5" s="12" t="str">
        <f>'TC4'!C2</f>
        <v>SGTTAP-VNTTVN-TN-04-004</v>
      </c>
      <c r="E5" s="12" t="str">
        <f>'TC4'!L2</f>
        <v>Basis Order</v>
      </c>
      <c r="F5" s="12" t="s">
        <v>37</v>
      </c>
    </row>
    <row r="6" spans="1:6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34</v>
      </c>
      <c r="D6" s="12" t="str">
        <f>'TC4'!C2</f>
        <v>SGTTAP-VNTTVN-TN-04-004</v>
      </c>
      <c r="E6" s="12" t="str">
        <f>'TC4'!L2</f>
        <v>Basis Order</v>
      </c>
      <c r="F6" s="12" t="s">
        <v>37</v>
      </c>
    </row>
    <row r="7" spans="1:6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34</v>
      </c>
      <c r="D7" s="12" t="str">
        <f>'TC4'!C2</f>
        <v>SGTTAP-VNTTVN-TN-04-004</v>
      </c>
      <c r="E7" s="12" t="str">
        <f>'TC4'!L2</f>
        <v>Basis Order</v>
      </c>
      <c r="F7" s="12" t="s">
        <v>37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H2"/>
  <sheetViews>
    <sheetView workbookViewId="0">
      <selection activeCell="C15" sqref="C15"/>
    </sheetView>
  </sheetViews>
  <sheetFormatPr defaultRowHeight="13.8" x14ac:dyDescent="0.3"/>
  <cols>
    <col min="1" max="2" customWidth="true" style="2" width="15.77734375" collapsed="true"/>
    <col min="3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Y2"/>
  <sheetViews>
    <sheetView workbookViewId="0" zoomScale="90" zoomScaleNormal="90">
      <selection activeCell="I31" sqref="I31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ht="14.4" r="1" spans="1:24" x14ac:dyDescent="0.3">
      <c r="A1" s="77" t="s">
        <v>52</v>
      </c>
      <c r="B1" s="77" t="s">
        <v>53</v>
      </c>
      <c r="C1" s="23" t="s">
        <v>54</v>
      </c>
      <c r="D1" s="23" t="s">
        <v>55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60</v>
      </c>
      <c r="J1" s="23" t="s">
        <v>61</v>
      </c>
      <c r="K1" s="23" t="s">
        <v>62</v>
      </c>
      <c r="L1" s="23" t="s">
        <v>63</v>
      </c>
      <c r="M1" s="23" t="s">
        <v>64</v>
      </c>
      <c r="N1" s="23" t="s">
        <v>65</v>
      </c>
      <c r="O1" t="s">
        <v>66</v>
      </c>
      <c r="P1" s="23" t="s">
        <v>67</v>
      </c>
      <c r="Q1" s="23" t="s">
        <v>68</v>
      </c>
      <c r="R1" s="23" t="s">
        <v>69</v>
      </c>
      <c r="S1" s="23" t="s">
        <v>70</v>
      </c>
      <c r="T1" s="23" t="s">
        <v>71</v>
      </c>
      <c r="U1" s="23" t="s">
        <v>72</v>
      </c>
      <c r="V1" s="23" t="s">
        <v>73</v>
      </c>
      <c r="W1" s="23" t="s">
        <v>74</v>
      </c>
      <c r="X1" t="s">
        <v>75</v>
      </c>
    </row>
    <row r="2" spans="1:24" x14ac:dyDescent="0.3">
      <c r="A2" s="23" t="s">
        <v>77</v>
      </c>
      <c r="B2" s="23" t="str">
        <f>A2</f>
        <v>SGBAFCO-VNAKIRA</v>
      </c>
      <c r="C2" s="23" t="s">
        <v>76</v>
      </c>
      <c r="D2" s="23" t="s">
        <v>78</v>
      </c>
      <c r="E2" s="23" t="s">
        <v>79</v>
      </c>
      <c r="F2" s="23" t="s">
        <v>80</v>
      </c>
      <c r="G2" s="23"/>
      <c r="H2" s="23"/>
      <c r="I2" s="23" t="s">
        <v>81</v>
      </c>
      <c r="J2" s="23" t="s">
        <v>37</v>
      </c>
      <c r="K2" s="23" t="s">
        <v>82</v>
      </c>
      <c r="L2" s="23" t="s">
        <v>83</v>
      </c>
      <c r="M2" s="23">
        <v>3</v>
      </c>
      <c r="N2" s="23">
        <v>2</v>
      </c>
      <c r="O2" s="23" t="str">
        <f>'TC6.2_ETAnWeek'!I2</f>
        <v>MON,WED,FRI,</v>
      </c>
      <c r="P2" s="23">
        <v>10</v>
      </c>
      <c r="Q2" s="23">
        <v>0</v>
      </c>
      <c r="R2" s="23">
        <v>1</v>
      </c>
      <c r="S2" s="23">
        <v>6</v>
      </c>
      <c r="T2" s="23">
        <v>2023</v>
      </c>
      <c r="U2" s="23">
        <v>31</v>
      </c>
      <c r="V2" s="23">
        <v>12</v>
      </c>
      <c r="W2" s="23">
        <v>2024</v>
      </c>
      <c r="X2" s="23" t="str">
        <f>'TC6.2_ETAnWeek'!O2</f>
        <v>2nd Week,4th Week,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P2"/>
  <sheetViews>
    <sheetView workbookViewId="0">
      <selection activeCell="F21" sqref="F21"/>
    </sheetView>
  </sheetViews>
  <sheetFormatPr defaultRowHeight="13.8" x14ac:dyDescent="0.3"/>
  <cols>
    <col min="1" max="1" customWidth="true" style="2" width="25.77734375" collapsed="true"/>
    <col min="2" max="15" customWidth="true" style="2" width="15.77734375" collapsed="true"/>
    <col min="16" max="16384" style="2" width="8.88671875" collapsed="true"/>
  </cols>
  <sheetData>
    <row r="1" spans="1:15" x14ac:dyDescent="0.3">
      <c r="A1" s="91" t="s">
        <v>84</v>
      </c>
      <c r="B1" s="90" t="s">
        <v>85</v>
      </c>
      <c r="C1" s="90" t="s">
        <v>86</v>
      </c>
      <c r="D1" s="90" t="s">
        <v>87</v>
      </c>
      <c r="E1" s="90" t="s">
        <v>88</v>
      </c>
      <c r="F1" s="90" t="s">
        <v>89</v>
      </c>
      <c r="G1" s="90" t="s">
        <v>90</v>
      </c>
      <c r="H1" s="90" t="s">
        <v>91</v>
      </c>
      <c r="I1" s="90" t="s">
        <v>92</v>
      </c>
      <c r="J1" s="90" t="s">
        <v>93</v>
      </c>
      <c r="K1" s="90" t="s">
        <v>94</v>
      </c>
      <c r="L1" s="90" t="s">
        <v>95</v>
      </c>
      <c r="M1" s="90" t="s">
        <v>96</v>
      </c>
      <c r="N1" s="90" t="s">
        <v>97</v>
      </c>
      <c r="O1" s="90" t="s">
        <v>98</v>
      </c>
    </row>
    <row r="2" spans="1:15" x14ac:dyDescent="0.3">
      <c r="A2" s="23" t="str">
        <f>'TC6.2'!I2</f>
        <v>SG-BAFCO</v>
      </c>
      <c r="B2" s="23" t="s">
        <v>99</v>
      </c>
      <c r="C2" s="23" t="s">
        <v>100</v>
      </c>
      <c r="D2" s="23" t="s">
        <v>99</v>
      </c>
      <c r="E2" s="23" t="s">
        <v>100</v>
      </c>
      <c r="F2" s="23" t="s">
        <v>99</v>
      </c>
      <c r="G2" s="23" t="s">
        <v>100</v>
      </c>
      <c r="H2" s="23" t="s">
        <v>99</v>
      </c>
      <c r="I2" s="23" t="s">
        <v>101</v>
      </c>
      <c r="J2" s="23" t="s">
        <v>99</v>
      </c>
      <c r="K2" s="23" t="s">
        <v>100</v>
      </c>
      <c r="L2" s="23" t="s">
        <v>99</v>
      </c>
      <c r="M2" s="23" t="s">
        <v>100</v>
      </c>
      <c r="N2" s="23" t="s">
        <v>99</v>
      </c>
      <c r="O2" s="23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J8"/>
  <sheetViews>
    <sheetView workbookViewId="0">
      <selection activeCell="E1" sqref="E1"/>
    </sheetView>
  </sheetViews>
  <sheetFormatPr defaultRowHeight="13.8" x14ac:dyDescent="0.3"/>
  <cols>
    <col min="1" max="1" customWidth="true" style="2" width="4.77734375" collapsed="true"/>
    <col min="2" max="4" customWidth="true" style="2" width="25.77734375" collapsed="true"/>
    <col min="5" max="11" customWidth="true" style="2" width="15.77734375" collapsed="true"/>
    <col min="12" max="16384" style="2" width="8.88671875" collapsed="true"/>
  </cols>
  <sheetData>
    <row r="1" spans="1:9" x14ac:dyDescent="0.3">
      <c r="A1" s="12" t="s">
        <v>0</v>
      </c>
      <c r="B1" s="51" t="s">
        <v>402</v>
      </c>
      <c r="C1" s="12" t="s">
        <v>409</v>
      </c>
      <c r="D1" s="67" t="s">
        <v>2</v>
      </c>
      <c r="E1" s="12" t="s">
        <v>418</v>
      </c>
      <c r="F1" s="12" t="s">
        <v>429</v>
      </c>
      <c r="G1" s="12" t="s">
        <v>10</v>
      </c>
      <c r="H1" s="12" t="s">
        <v>420</v>
      </c>
      <c r="I1" s="12" t="s">
        <v>430</v>
      </c>
    </row>
    <row r="2" spans="1:9" x14ac:dyDescent="0.3">
      <c r="A2" s="12">
        <v>1</v>
      </c>
      <c r="B2" s="19" t="s">
        <v>139</v>
      </c>
      <c r="C2" s="19" t="s">
        <v>423</v>
      </c>
      <c r="D2" s="12" t="str">
        <f>'TC7'!C2</f>
        <v>SGBAFCO-SGTTAP-TNs-04-004</v>
      </c>
      <c r="E2" s="12" t="s">
        <v>193</v>
      </c>
      <c r="F2" s="12">
        <v>1</v>
      </c>
      <c r="G2" s="12" t="s">
        <v>21</v>
      </c>
      <c r="H2" s="12">
        <v>2</v>
      </c>
      <c r="I2" s="12"/>
    </row>
    <row r="3" spans="1:9" x14ac:dyDescent="0.3">
      <c r="A3" s="12">
        <v>2</v>
      </c>
      <c r="B3" s="19" t="s">
        <v>140</v>
      </c>
      <c r="C3" s="19" t="s">
        <v>424</v>
      </c>
      <c r="D3" s="52" t="str">
        <f>'TC7'!C2</f>
        <v>SGBAFCO-SGTTAP-TNs-04-004</v>
      </c>
      <c r="E3" s="12" t="s">
        <v>194</v>
      </c>
      <c r="F3" s="12">
        <v>1</v>
      </c>
      <c r="G3" s="12" t="s">
        <v>21</v>
      </c>
      <c r="H3" s="12">
        <v>2</v>
      </c>
      <c r="I3" s="12"/>
    </row>
    <row r="4" spans="1:9" x14ac:dyDescent="0.3">
      <c r="A4" s="12">
        <v>3</v>
      </c>
      <c r="B4" s="19" t="s">
        <v>141</v>
      </c>
      <c r="C4" s="19" t="s">
        <v>425</v>
      </c>
      <c r="D4" s="52" t="str">
        <f>'TC7'!C2</f>
        <v>SGBAFCO-SGTTAP-TNs-04-004</v>
      </c>
      <c r="E4" s="12" t="s">
        <v>195</v>
      </c>
      <c r="F4" s="12">
        <v>1</v>
      </c>
      <c r="G4" s="12" t="s">
        <v>21</v>
      </c>
      <c r="H4" s="12">
        <v>2</v>
      </c>
      <c r="I4" s="12"/>
    </row>
    <row r="5" spans="1:9" x14ac:dyDescent="0.3">
      <c r="A5" s="12">
        <v>4</v>
      </c>
      <c r="B5" s="19" t="s">
        <v>142</v>
      </c>
      <c r="C5" s="19" t="s">
        <v>426</v>
      </c>
      <c r="D5" s="52" t="str">
        <f>'TC7'!C2</f>
        <v>SGBAFCO-SGTTAP-TNs-04-004</v>
      </c>
      <c r="E5" s="12" t="s">
        <v>270</v>
      </c>
      <c r="F5" s="12">
        <v>1</v>
      </c>
      <c r="G5" s="12" t="s">
        <v>21</v>
      </c>
      <c r="H5" s="12">
        <v>2</v>
      </c>
      <c r="I5" s="12"/>
    </row>
    <row r="6" spans="1:9" x14ac:dyDescent="0.3">
      <c r="A6" s="12">
        <v>5</v>
      </c>
      <c r="B6" s="19" t="s">
        <v>143</v>
      </c>
      <c r="C6" s="19" t="s">
        <v>427</v>
      </c>
      <c r="D6" s="52" t="str">
        <f>'TC7'!C2</f>
        <v>SGBAFCO-SGTTAP-TNs-04-004</v>
      </c>
      <c r="E6" s="12" t="s">
        <v>195</v>
      </c>
      <c r="F6" s="12">
        <v>1</v>
      </c>
      <c r="G6" s="12" t="s">
        <v>21</v>
      </c>
      <c r="H6" s="12">
        <v>2</v>
      </c>
      <c r="I6" s="12"/>
    </row>
    <row r="7" spans="1:9" x14ac:dyDescent="0.3">
      <c r="A7" s="12">
        <v>6</v>
      </c>
      <c r="B7" s="19" t="s">
        <v>144</v>
      </c>
      <c r="C7" s="19" t="s">
        <v>428</v>
      </c>
      <c r="D7" s="52" t="str">
        <f>'TC7'!C2</f>
        <v>SGBAFCO-SGTTAP-TNs-04-004</v>
      </c>
      <c r="E7" s="12" t="s">
        <v>195</v>
      </c>
      <c r="F7" s="12">
        <v>1</v>
      </c>
      <c r="G7" s="12" t="s">
        <v>21</v>
      </c>
      <c r="H7" s="12">
        <v>2</v>
      </c>
      <c r="I7" s="12"/>
    </row>
    <row r="8" spans="1:9" x14ac:dyDescent="0.3">
      <c r="B8" s="6"/>
      <c r="C8" s="6"/>
      <c r="D8" s="6"/>
      <c r="E8" s="6"/>
      <c r="F8" s="6"/>
      <c r="G8" s="6"/>
      <c r="H8" s="6"/>
      <c r="I8" s="6"/>
    </row>
  </sheetData>
  <pageMargins bottom="0.75" footer="0.3" header="0.3" left="0.7" right="0.7" top="0.75"/>
  <pageSetup orientation="portrait"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U2"/>
  <sheetViews>
    <sheetView workbookViewId="0">
      <selection activeCell="D1" sqref="D1"/>
    </sheetView>
  </sheetViews>
  <sheetFormatPr defaultRowHeight="13.8" x14ac:dyDescent="0.3"/>
  <cols>
    <col min="1" max="1" customWidth="true" style="2" width="4.77734375" collapsed="true"/>
    <col min="2" max="3" customWidth="true" style="2" width="25.77734375" collapsed="true"/>
    <col min="4" max="9" customWidth="true" style="2" width="15.77734375" collapsed="true"/>
    <col min="10" max="10" customWidth="true" style="2" width="25.77734375" collapsed="true"/>
    <col min="11" max="12" customWidth="true" style="2" width="15.77734375" collapsed="true"/>
    <col min="13" max="14" customWidth="true" style="2" width="25.77734375" collapsed="true"/>
    <col min="15" max="20" customWidth="true" style="2" width="15.77734375" collapsed="true"/>
    <col min="21" max="16384" style="2" width="8.88671875" collapsed="true"/>
  </cols>
  <sheetData>
    <row r="1" spans="1:20" x14ac:dyDescent="0.3">
      <c r="A1" s="12" t="s">
        <v>0</v>
      </c>
      <c r="B1" s="79" t="s">
        <v>102</v>
      </c>
      <c r="C1" s="67" t="s">
        <v>2</v>
      </c>
      <c r="D1" s="12" t="s">
        <v>103</v>
      </c>
      <c r="E1" s="12" t="s">
        <v>106</v>
      </c>
      <c r="F1" s="12" t="s">
        <v>104</v>
      </c>
      <c r="G1" s="12" t="s">
        <v>107</v>
      </c>
      <c r="H1" s="67" t="s">
        <v>7</v>
      </c>
      <c r="I1" s="67" t="s">
        <v>8</v>
      </c>
      <c r="J1" s="67" t="s">
        <v>9</v>
      </c>
      <c r="K1" s="12" t="s">
        <v>10</v>
      </c>
      <c r="L1" s="12" t="s">
        <v>11</v>
      </c>
      <c r="M1" s="67" t="s">
        <v>52</v>
      </c>
      <c r="N1" s="67" t="s">
        <v>105</v>
      </c>
      <c r="O1" s="12" t="s">
        <v>13</v>
      </c>
      <c r="P1" s="12" t="s">
        <v>14</v>
      </c>
      <c r="Q1" s="12" t="s">
        <v>15</v>
      </c>
      <c r="R1" s="12" t="s">
        <v>16</v>
      </c>
      <c r="S1" s="67" t="s">
        <v>12</v>
      </c>
      <c r="T1" s="78" t="s">
        <v>19</v>
      </c>
    </row>
    <row r="2" spans="1:20" x14ac:dyDescent="0.3">
      <c r="A2" s="12">
        <v>1</v>
      </c>
      <c r="B2" t="s">
        <v>503</v>
      </c>
      <c r="C2" s="12" t="str">
        <f>"SGBAFCO-SGTTAP-"&amp;'TC7'!H2&amp;"-0"&amp;AutoIncrement!A2</f>
        <v>SGBAFCO-SGTTAP-TNs-04-004</v>
      </c>
      <c r="D2" s="12" t="s">
        <v>37</v>
      </c>
      <c r="E2" s="12">
        <v>1</v>
      </c>
      <c r="F2" s="12">
        <v>3</v>
      </c>
      <c r="G2" s="12">
        <v>0</v>
      </c>
      <c r="H2" s="12" t="str">
        <f>AutoIncrement!C2&amp;"-"&amp;AutoIncrement!A2</f>
        <v>TNs-04</v>
      </c>
      <c r="I2" s="12" t="str">
        <f>"CD-"&amp;H2</f>
        <v>CD-TNs-04</v>
      </c>
      <c r="J2" s="12" t="str">
        <f>'TC6.1'!B2&amp;"("&amp;'TC6.1'!C2&amp;")"</f>
        <v>TT60BL(T/T REMITTANCE AT 60 DAYS FROM THE END OF B/L MONTH)</v>
      </c>
      <c r="K2" s="12" t="s">
        <v>21</v>
      </c>
      <c r="L2" s="12" t="s">
        <v>22</v>
      </c>
      <c r="M2" s="12" t="str">
        <f>'TC6.2'!A2&amp;"("&amp;'TC6.2'!B2&amp;")"</f>
        <v>SGBAFCO-VNAKIRA(SGBAFCO-VNAKIRA)</v>
      </c>
      <c r="N2" s="12" t="str">
        <f>'TC6.2'!A2</f>
        <v>SGBAFCO-VNAKIRA</v>
      </c>
      <c r="O2" s="12" t="s">
        <v>23</v>
      </c>
      <c r="P2" s="12" t="s">
        <v>33</v>
      </c>
      <c r="Q2" s="12" t="s">
        <v>34</v>
      </c>
      <c r="R2" s="12" t="s">
        <v>24</v>
      </c>
      <c r="S2" s="12" t="str">
        <f>'TC4'!N2</f>
        <v>RD-TN-04</v>
      </c>
      <c r="T2" t="s">
        <v>502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H7"/>
  <sheetViews>
    <sheetView workbookViewId="0">
      <selection activeCell="G21" sqref="G21"/>
    </sheetView>
  </sheetViews>
  <sheetFormatPr defaultRowHeight="13.8" x14ac:dyDescent="0.3"/>
  <cols>
    <col min="1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7" customWidth="true" style="2" width="15.77734375" collapsed="true"/>
    <col min="8" max="16384" style="2" width="8.88671875" collapsed="true"/>
  </cols>
  <sheetData>
    <row r="1" spans="1:7" x14ac:dyDescent="0.3">
      <c r="A1" s="67" t="s">
        <v>284</v>
      </c>
      <c r="B1" s="67" t="s">
        <v>285</v>
      </c>
      <c r="C1" s="51" t="s">
        <v>286</v>
      </c>
      <c r="D1" s="67" t="s">
        <v>287</v>
      </c>
      <c r="E1" s="51" t="s">
        <v>288</v>
      </c>
      <c r="F1" s="51" t="s">
        <v>289</v>
      </c>
      <c r="G1" s="67" t="s">
        <v>290</v>
      </c>
    </row>
    <row r="2" spans="1:7" x14ac:dyDescent="0.3">
      <c r="A2" s="24" t="str">
        <f>'TC4-Contract Parts Info'!C2</f>
        <v>scenario1220230504001</v>
      </c>
      <c r="B2" s="19" t="s">
        <v>139</v>
      </c>
      <c r="C2" s="24" t="s">
        <v>33</v>
      </c>
      <c r="D2" s="12" t="str">
        <f>'TC7'!C2</f>
        <v>SGBAFCO-SGTTAP-TNs-04-004</v>
      </c>
      <c r="E2" s="24" t="s">
        <v>22</v>
      </c>
      <c r="F2" s="24" t="s">
        <v>37</v>
      </c>
      <c r="G2" s="12" t="str">
        <f>'TC6.2'!A2</f>
        <v>SGBAFCO-VNAKIRA</v>
      </c>
    </row>
    <row r="3" spans="1:7" x14ac:dyDescent="0.3">
      <c r="A3" s="24" t="str">
        <f>'TC4-Contract Parts Info'!C3</f>
        <v>scenario1220230504002</v>
      </c>
      <c r="B3" s="19" t="s">
        <v>140</v>
      </c>
      <c r="C3" s="24" t="s">
        <v>33</v>
      </c>
      <c r="D3" s="12" t="str">
        <f>'TC7'!C2</f>
        <v>SGBAFCO-SGTTAP-TNs-04-004</v>
      </c>
      <c r="E3" s="24" t="s">
        <v>22</v>
      </c>
      <c r="F3" s="24" t="s">
        <v>37</v>
      </c>
      <c r="G3" s="12" t="str">
        <f>'TC6.2'!A2</f>
        <v>SGBAFCO-VNAKIRA</v>
      </c>
    </row>
    <row r="4" spans="1:7" x14ac:dyDescent="0.3">
      <c r="A4" s="24" t="str">
        <f>'TC4-Contract Parts Info'!C4</f>
        <v>scenario1220230504003</v>
      </c>
      <c r="B4" s="19" t="s">
        <v>141</v>
      </c>
      <c r="C4" s="24" t="s">
        <v>33</v>
      </c>
      <c r="D4" s="12" t="str">
        <f>'TC7'!C2</f>
        <v>SGBAFCO-SGTTAP-TNs-04-004</v>
      </c>
      <c r="E4" s="24" t="s">
        <v>22</v>
      </c>
      <c r="F4" s="24" t="s">
        <v>37</v>
      </c>
      <c r="G4" s="12" t="str">
        <f>'TC6.2'!A2</f>
        <v>SGBAFCO-VNAKIRA</v>
      </c>
    </row>
    <row r="5" spans="1:7" x14ac:dyDescent="0.3">
      <c r="A5" s="24" t="str">
        <f>'TC4-Contract Parts Info'!C5</f>
        <v>scenario1220230504004</v>
      </c>
      <c r="B5" s="19" t="s">
        <v>142</v>
      </c>
      <c r="C5" s="24" t="s">
        <v>33</v>
      </c>
      <c r="D5" s="12" t="str">
        <f>'TC7'!C2</f>
        <v>SGBAFCO-SGTTAP-TNs-04-004</v>
      </c>
      <c r="E5" s="24" t="s">
        <v>22</v>
      </c>
      <c r="F5" s="24" t="s">
        <v>37</v>
      </c>
      <c r="G5" s="12" t="str">
        <f>'TC6.2'!A2</f>
        <v>SGBAFCO-VNAKIRA</v>
      </c>
    </row>
    <row r="6" spans="1:7" x14ac:dyDescent="0.3">
      <c r="A6" s="24" t="str">
        <f>'TC4-Contract Parts Info'!C6</f>
        <v>scenario1220230504005</v>
      </c>
      <c r="B6" s="19" t="s">
        <v>143</v>
      </c>
      <c r="C6" s="24" t="s">
        <v>33</v>
      </c>
      <c r="D6" s="12" t="str">
        <f>'TC7'!C2</f>
        <v>SGBAFCO-SGTTAP-TNs-04-004</v>
      </c>
      <c r="E6" s="24" t="s">
        <v>22</v>
      </c>
      <c r="F6" s="24" t="s">
        <v>37</v>
      </c>
      <c r="G6" s="12" t="str">
        <f>'TC6.2'!A2</f>
        <v>SGBAFCO-VNAKIRA</v>
      </c>
    </row>
    <row r="7" spans="1:7" x14ac:dyDescent="0.3">
      <c r="A7" s="24" t="str">
        <f>'TC4-Contract Parts Info'!C7</f>
        <v>scenario1220230504006</v>
      </c>
      <c r="B7" s="19" t="s">
        <v>144</v>
      </c>
      <c r="C7" s="24" t="s">
        <v>33</v>
      </c>
      <c r="D7" s="12" t="str">
        <f>'TC7'!C2</f>
        <v>SGBAFCO-SGTTAP-TNs-04-004</v>
      </c>
      <c r="E7" s="24" t="s">
        <v>22</v>
      </c>
      <c r="F7" s="24" t="s">
        <v>37</v>
      </c>
      <c r="G7" s="12" t="str">
        <f>'TC6.2'!A2</f>
        <v>SGBAFCO-VNAKIRA</v>
      </c>
    </row>
  </sheetData>
  <pageMargins bottom="0.75" footer="0.3" header="0.3" left="0.7" right="0.7" top="0.75"/>
  <pageSetup orientation="portrait" r:id="rId1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E2"/>
  <sheetViews>
    <sheetView workbookViewId="0">
      <selection activeCell="B1" sqref="B1"/>
    </sheetView>
  </sheetViews>
  <sheetFormatPr defaultRowHeight="13.8" x14ac:dyDescent="0.3"/>
  <cols>
    <col min="1" max="3" customWidth="true" style="2" width="15.77734375" collapsed="true"/>
    <col min="4" max="4" customWidth="true" style="2" width="25.77734375" collapsed="true"/>
    <col min="5" max="16384" style="2" width="8.88671875" collapsed="true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"CS-"&amp;AutoIncrement!B2&amp;"-"&amp;AutoIncrement!A2</f>
        <v>CS-TN-04</v>
      </c>
      <c r="B2" s="12" t="s">
        <v>34</v>
      </c>
      <c r="C2" s="12" t="s">
        <v>111</v>
      </c>
      <c r="D2" s="12" t="str">
        <f>'TC4'!C2</f>
        <v>SGTTAP-VNTTVN-TN-04-004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E2"/>
  <sheetViews>
    <sheetView workbookViewId="0">
      <selection activeCell="D2" sqref="D2"/>
    </sheetView>
  </sheetViews>
  <sheetFormatPr defaultRowHeight="14.4" x14ac:dyDescent="0.3"/>
  <cols>
    <col min="1" max="3" customWidth="true" style="2" width="15.77734375" collapsed="true"/>
    <col min="4" max="4" customWidth="true" style="2" width="25.77734375" collapsed="true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"CS-"&amp;AutoIncrement!C2&amp;"-"&amp;AutoIncrement!A2</f>
        <v>CS-TNs-04</v>
      </c>
      <c r="B2" s="12" t="s">
        <v>34</v>
      </c>
      <c r="C2" s="12" t="s">
        <v>113</v>
      </c>
      <c r="D2" s="12" t="str">
        <f>'TC7'!C2</f>
        <v>SGBAFCO-SGTTAP-TNs-04-004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sheetPr>
    <tabColor rgb="FFFFFF00"/>
  </sheetPr>
  <dimension ref="A1:G4"/>
  <sheetViews>
    <sheetView tabSelected="1" workbookViewId="0">
      <selection activeCell="C14" sqref="C14"/>
    </sheetView>
  </sheetViews>
  <sheetFormatPr defaultRowHeight="13.8" x14ac:dyDescent="0.3"/>
  <cols>
    <col min="1" max="4" customWidth="true" style="2" width="15.77734375" collapsed="true"/>
    <col min="5" max="5" customWidth="true" style="2" width="39.0" collapsed="true"/>
    <col min="6" max="16384" style="2" width="8.88671875" collapsed="true"/>
  </cols>
  <sheetData>
    <row r="1" spans="1:6" x14ac:dyDescent="0.3">
      <c r="A1" s="51" t="s">
        <v>442</v>
      </c>
      <c r="B1" s="51" t="s">
        <v>115</v>
      </c>
      <c r="C1" s="68" t="s">
        <v>115</v>
      </c>
      <c r="D1" s="86" t="s">
        <v>468</v>
      </c>
      <c r="E1" s="87"/>
      <c r="F1" s="5"/>
    </row>
    <row r="2" spans="1:6" x14ac:dyDescent="0.3">
      <c r="A2" s="24" t="s">
        <v>500</v>
      </c>
      <c r="B2" s="12" t="s">
        <v>443</v>
      </c>
      <c r="C2" s="66" t="str">
        <f>B2&amp;"s"</f>
        <v>TNs</v>
      </c>
      <c r="D2" s="12" t="s">
        <v>115</v>
      </c>
      <c r="E2" s="12" t="s">
        <v>116</v>
      </c>
    </row>
    <row r="3" spans="1:6" x14ac:dyDescent="0.3">
      <c r="D3" s="12" t="s">
        <v>118</v>
      </c>
      <c r="E3" s="12" t="s">
        <v>117</v>
      </c>
    </row>
    <row r="4" spans="1:6" x14ac:dyDescent="0.3">
      <c r="D4" s="5"/>
      <c r="E4" s="5"/>
    </row>
  </sheetData>
  <pageMargins bottom="0.75" footer="0.3" header="0.3" left="0.7" right="0.7" top="0.75"/>
  <pageSetup orientation="portrait"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F7"/>
  <sheetViews>
    <sheetView workbookViewId="0">
      <selection activeCell="D4" sqref="D4"/>
    </sheetView>
  </sheetViews>
  <sheetFormatPr defaultRowHeight="13.8" x14ac:dyDescent="0.3"/>
  <cols>
    <col min="1" max="1" customWidth="true" style="2" width="5.77734375" collapsed="true"/>
    <col min="2" max="5" customWidth="true" style="2" width="15.77734375" collapsed="true"/>
    <col min="6" max="16384" style="2" width="8.88671875" collapsed="true"/>
  </cols>
  <sheetData>
    <row r="1" spans="1:5" x14ac:dyDescent="0.3">
      <c r="A1" s="25" t="s">
        <v>0</v>
      </c>
      <c r="B1" s="12" t="s">
        <v>20</v>
      </c>
      <c r="C1" s="12" t="s">
        <v>119</v>
      </c>
      <c r="D1" s="12" t="s">
        <v>120</v>
      </c>
      <c r="E1" s="12" t="s">
        <v>121</v>
      </c>
    </row>
    <row r="2" spans="1:5" x14ac:dyDescent="0.3">
      <c r="A2" s="25">
        <v>1</v>
      </c>
      <c r="B2" s="12">
        <v>1000</v>
      </c>
      <c r="C2" s="12">
        <v>1000</v>
      </c>
      <c r="D2" s="26">
        <v>500</v>
      </c>
      <c r="E2" s="26">
        <v>500</v>
      </c>
    </row>
    <row r="3" spans="1:5" x14ac:dyDescent="0.3">
      <c r="A3" s="25">
        <v>2</v>
      </c>
      <c r="B3" s="12">
        <v>1000</v>
      </c>
      <c r="C3" s="12">
        <v>1000</v>
      </c>
      <c r="D3" s="26">
        <v>500</v>
      </c>
      <c r="E3" s="26">
        <v>500</v>
      </c>
    </row>
    <row r="4" spans="1:5" x14ac:dyDescent="0.3">
      <c r="A4" s="25">
        <v>3</v>
      </c>
      <c r="B4" s="12">
        <v>1000</v>
      </c>
      <c r="C4" s="12">
        <v>1000</v>
      </c>
      <c r="D4" s="26">
        <v>500</v>
      </c>
      <c r="E4" s="26">
        <v>500</v>
      </c>
    </row>
    <row r="5" spans="1:5" x14ac:dyDescent="0.3">
      <c r="A5" s="25">
        <v>6</v>
      </c>
      <c r="B5" s="12">
        <v>1000</v>
      </c>
      <c r="C5" s="12">
        <v>1000</v>
      </c>
      <c r="D5" s="26">
        <v>0</v>
      </c>
      <c r="E5" s="12">
        <v>1000</v>
      </c>
    </row>
    <row r="6" spans="1:5" x14ac:dyDescent="0.3">
      <c r="A6" s="25">
        <v>4</v>
      </c>
      <c r="B6" s="12">
        <v>1000</v>
      </c>
      <c r="C6" s="12">
        <v>1000</v>
      </c>
      <c r="D6" s="26">
        <v>500</v>
      </c>
      <c r="E6" s="26">
        <v>500</v>
      </c>
    </row>
    <row r="7" spans="1:5" x14ac:dyDescent="0.3">
      <c r="A7" s="25">
        <v>5</v>
      </c>
      <c r="B7" s="12">
        <v>1000</v>
      </c>
      <c r="C7" s="12">
        <v>1000</v>
      </c>
      <c r="D7" s="12">
        <v>1000</v>
      </c>
      <c r="E7" s="26">
        <v>0</v>
      </c>
    </row>
  </sheetData>
  <pageMargins bottom="0.75" footer="0.3" header="0.3" left="0.7" right="0.7" top="0.75"/>
  <pageSetup orientation="portrait" r:id="rId1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D2"/>
  <sheetViews>
    <sheetView topLeftCell="B1" workbookViewId="0">
      <selection activeCell="K35" sqref="K35"/>
    </sheetView>
  </sheetViews>
  <sheetFormatPr defaultRowHeight="13.8" x14ac:dyDescent="0.3"/>
  <cols>
    <col min="1" max="1" style="2" width="8.88671875" collapsed="true"/>
    <col min="2" max="3" customWidth="true" style="2" width="15.77734375" collapsed="true"/>
    <col min="4" max="16384" style="2" width="8.88671875" collapsed="true"/>
  </cols>
  <sheetData>
    <row r="1" spans="1:3" x14ac:dyDescent="0.3">
      <c r="A1" s="2" t="s">
        <v>0</v>
      </c>
      <c r="B1" s="12" t="s">
        <v>122</v>
      </c>
      <c r="C1" s="12" t="s">
        <v>123</v>
      </c>
    </row>
    <row r="2" spans="1:3" x14ac:dyDescent="0.3">
      <c r="A2" s="2">
        <v>1</v>
      </c>
      <c r="B2" s="12" t="str">
        <f ca="1">TEXT(DATE(YEAR(TODAY()), MONTH(TODAY())+2, DAY(TODAY())), "dd MMM yyyy")</f>
        <v>08 Jan 2024</v>
      </c>
      <c r="C2" s="12" t="str">
        <f ca="1">TEXT(DATE(YEAR(TODAY()), MONTH(TODAY())+3, DAY(TODAY())), "dd MMM yyyy")</f>
        <v>08 Feb 2024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D7"/>
  <sheetViews>
    <sheetView workbookViewId="0">
      <selection activeCell="E4" sqref="E4"/>
    </sheetView>
  </sheetViews>
  <sheetFormatPr defaultRowHeight="13.8" x14ac:dyDescent="0.3"/>
  <cols>
    <col min="1" max="1" customWidth="true" style="2" width="5.77734375" collapsed="true"/>
    <col min="2" max="3" customWidth="true" style="2" width="15.77734375" collapsed="true"/>
    <col min="4" max="16384" style="2" width="8.88671875" collapsed="true"/>
  </cols>
  <sheetData>
    <row r="1" spans="1:3" x14ac:dyDescent="0.3">
      <c r="A1" s="25" t="s">
        <v>0</v>
      </c>
      <c r="B1" s="12" t="s">
        <v>20</v>
      </c>
      <c r="C1" s="12" t="s">
        <v>120</v>
      </c>
    </row>
    <row r="2" spans="1:3" x14ac:dyDescent="0.3">
      <c r="A2" s="25">
        <v>1</v>
      </c>
      <c r="B2" s="12">
        <v>100</v>
      </c>
      <c r="C2" s="12">
        <v>100</v>
      </c>
    </row>
    <row r="3" spans="1:3" x14ac:dyDescent="0.3">
      <c r="A3" s="25">
        <v>2</v>
      </c>
      <c r="B3" s="12">
        <v>100</v>
      </c>
      <c r="C3" s="12">
        <v>100</v>
      </c>
    </row>
    <row r="4" spans="1:3" x14ac:dyDescent="0.3">
      <c r="A4" s="25">
        <v>3</v>
      </c>
      <c r="B4" s="12">
        <v>100</v>
      </c>
      <c r="C4" s="12">
        <v>100</v>
      </c>
    </row>
    <row r="5" spans="1:3" x14ac:dyDescent="0.3">
      <c r="A5" s="25">
        <v>4</v>
      </c>
      <c r="B5" s="12">
        <v>100</v>
      </c>
      <c r="C5" s="12">
        <v>100</v>
      </c>
    </row>
    <row r="6" spans="1:3" x14ac:dyDescent="0.3">
      <c r="A6" s="25">
        <v>5</v>
      </c>
      <c r="B6" s="12">
        <v>100</v>
      </c>
      <c r="C6" s="12">
        <v>100</v>
      </c>
    </row>
    <row r="7" spans="1:3" x14ac:dyDescent="0.3">
      <c r="A7" s="25">
        <v>6</v>
      </c>
      <c r="B7" s="12">
        <v>100</v>
      </c>
      <c r="C7" s="12">
        <v>100</v>
      </c>
    </row>
  </sheetData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C2"/>
  <sheetViews>
    <sheetView topLeftCell="B1" workbookViewId="0">
      <selection activeCell="B1" sqref="B1"/>
    </sheetView>
  </sheetViews>
  <sheetFormatPr defaultRowHeight="14.4" x14ac:dyDescent="0.3"/>
  <cols>
    <col min="2" max="2" customWidth="true" style="2" width="15.77734375" collapsed="true"/>
  </cols>
  <sheetData>
    <row r="1" spans="1:2" x14ac:dyDescent="0.3">
      <c r="A1" t="s">
        <v>0</v>
      </c>
      <c r="B1" s="12" t="s">
        <v>122</v>
      </c>
    </row>
    <row r="2" spans="1:2" x14ac:dyDescent="0.3">
      <c r="A2">
        <v>1</v>
      </c>
      <c r="B2" s="12" t="str">
        <f ca="1">TEXT(DATE(YEAR(TODAY()), MONTH(TODAY())+2, DAY(TODAY())+10), "dd MMM yyyy")</f>
        <v>18 Jan 2024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D2"/>
  <sheetViews>
    <sheetView workbookViewId="0">
      <selection activeCell="I30" sqref="I30"/>
    </sheetView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146</v>
      </c>
      <c r="C1" s="79" t="s">
        <v>147</v>
      </c>
    </row>
    <row r="2" spans="1:3" x14ac:dyDescent="0.3">
      <c r="A2" s="12">
        <v>1</v>
      </c>
      <c r="B2" s="12" t="str">
        <f ca="1">"c" &amp; AutoIncrement!B2&amp;AutoIncrement!A2&amp;"-23"&amp;TEXT(TODAY(),"mm")&amp;"001"</f>
        <v>cTN04-2311001</v>
      </c>
      <c r="C2" s="12" t="str">
        <f ca="1">"c" &amp; AutoIncrement!B2&amp;AutoIncrement!A2&amp;"-23"&amp;TEXT(TODAY(),"mm")&amp;"002"</f>
        <v>cTN04-2311002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7E9-63FD-421B-ACB4-C15182195C24}">
  <dimension ref="A1:B2"/>
  <sheetViews>
    <sheetView workbookViewId="0"/>
  </sheetViews>
  <sheetFormatPr defaultRowHeight="13.8" x14ac:dyDescent="0.3"/>
  <cols>
    <col min="1" max="1" customWidth="true" style="2" width="30.77734375" collapsed="true"/>
    <col min="2" max="16384" style="2" width="8.88671875" collapsed="true"/>
  </cols>
  <sheetData>
    <row r="1" spans="1:1" x14ac:dyDescent="0.3">
      <c r="A1" s="79" t="s">
        <v>444</v>
      </c>
    </row>
    <row r="2" spans="1:1" x14ac:dyDescent="0.3">
      <c r="A2" s="12" t="str">
        <f ca="1">TEXT(TODAY() - WEEKDAY(TODAY(), 2) + 1, "[$-409]mmm d, yyyy") &amp; " ~ " &amp; TEXT(TODAY() - WEEKDAY(TODAY(), 2) + 7, "[$-409]mmm d, yyyy")</f>
        <v>Nov 6, 2023 ~ Nov 12, 2023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C2"/>
  <sheetViews>
    <sheetView workbookViewId="0"/>
  </sheetViews>
  <sheetFormatPr defaultRowHeight="13.8" x14ac:dyDescent="0.3"/>
  <cols>
    <col min="1" max="1" customWidth="true" style="2" width="5.77734375" collapsed="true"/>
    <col min="2" max="2" customWidth="true" style="2" width="30.77734375" collapsed="true"/>
    <col min="3" max="16384" style="2" width="8.88671875" collapsed="true"/>
  </cols>
  <sheetData>
    <row r="1" spans="1:2" x14ac:dyDescent="0.3">
      <c r="A1" s="12" t="s">
        <v>0</v>
      </c>
      <c r="B1" s="67" t="s">
        <v>2</v>
      </c>
    </row>
    <row r="2" spans="1:2" x14ac:dyDescent="0.3">
      <c r="A2" s="12">
        <v>1</v>
      </c>
      <c r="B2" s="12" t="str">
        <f>'TC4'!C2</f>
        <v>SGTTAP-VNTTVN-TN-04-004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AutoIncrement!B2&amp;AutoIncrement!A2&amp;"-23"&amp;TEXT(TODAY(),"mm")&amp;"001"</f>
        <v>sTN04-2311001</v>
      </c>
      <c r="C2" s="12" t="str">
        <f ca="1">"s" &amp; AutoIncrement!B2&amp;AutoIncrement!A2&amp;"-23"&amp;TEXT(TODAY(),"mm")&amp;"002"</f>
        <v>sTN04-2311002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126</v>
      </c>
      <c r="C1" s="79" t="s">
        <v>127</v>
      </c>
    </row>
    <row r="2" spans="1:3" x14ac:dyDescent="0.3">
      <c r="A2" s="12">
        <v>1</v>
      </c>
      <c r="B2" s="12" t="str">
        <f ca="1">"p" &amp; AutoIncrement!C2&amp;AutoIncrement!A2&amp;"-23"&amp;TEXT(TODAY(),"mm")&amp;"001"</f>
        <v>pTNs04-2311001</v>
      </c>
      <c r="C2" s="12" t="str">
        <f ca="1">"p" &amp; AutoIncrement!C2&amp;AutoIncrement!A2&amp;"-23"&amp;TEXT(TODAY(),"mm")&amp;"002"</f>
        <v>pTNs04-2311002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D2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0.77734375" collapsed="true"/>
    <col min="4" max="16384" style="2" width="8.88671875" collapsed="true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AutoIncrement!C2&amp;AutoIncrement!A2&amp;"-23"&amp;TEXT(TODAY(),"mm")&amp;"001"</f>
        <v>sTNs04-2311001</v>
      </c>
      <c r="C2" s="12" t="str">
        <f ca="1">"s" &amp; AutoIncrement!C2&amp;AutoIncrement!A2&amp;"-23"&amp;TEXT(TODAY(),"mm")&amp;"002"</f>
        <v>sTNs04-2311002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J5"/>
  <sheetViews>
    <sheetView workbookViewId="0" zoomScale="90" zoomScaleNormal="90">
      <selection activeCell="B1" sqref="B1"/>
    </sheetView>
  </sheetViews>
  <sheetFormatPr defaultRowHeight="13.8" x14ac:dyDescent="0.3"/>
  <cols>
    <col min="1" max="1" customWidth="true" style="2" width="15.77734375" collapsed="true"/>
    <col min="2" max="3" customWidth="true" style="2" width="25.77734375" collapsed="true"/>
    <col min="4" max="13" customWidth="true" style="2" width="15.77734375" collapsed="true"/>
    <col min="14" max="16384" style="2" width="8.88671875" collapsed="true"/>
  </cols>
  <sheetData>
    <row r="1" spans="1:9" x14ac:dyDescent="0.3">
      <c r="A1" s="12" t="s">
        <v>343</v>
      </c>
      <c r="B1" s="51" t="s">
        <v>25</v>
      </c>
      <c r="C1" s="12" t="s">
        <v>345</v>
      </c>
      <c r="D1" s="12" t="s">
        <v>269</v>
      </c>
      <c r="E1" s="12" t="s">
        <v>332</v>
      </c>
      <c r="F1" s="12" t="s">
        <v>357</v>
      </c>
      <c r="G1" s="12" t="s">
        <v>358</v>
      </c>
      <c r="H1" s="12" t="s">
        <v>359</v>
      </c>
      <c r="I1" s="12" t="s">
        <v>54</v>
      </c>
    </row>
    <row r="2" spans="1:9" x14ac:dyDescent="0.3">
      <c r="A2" s="12" t="s">
        <v>344</v>
      </c>
      <c r="B2" s="13" t="s">
        <v>191</v>
      </c>
      <c r="C2" s="13" t="s">
        <v>346</v>
      </c>
      <c r="D2" s="12" t="s">
        <v>193</v>
      </c>
      <c r="E2" s="12">
        <v>0.1</v>
      </c>
      <c r="F2" s="12" t="s">
        <v>350</v>
      </c>
      <c r="G2" s="12" t="s">
        <v>351</v>
      </c>
      <c r="H2" s="12" t="s">
        <v>352</v>
      </c>
      <c r="I2" s="12" t="s">
        <v>76</v>
      </c>
    </row>
    <row r="3" spans="1:9" x14ac:dyDescent="0.3">
      <c r="A3" s="12" t="s">
        <v>344</v>
      </c>
      <c r="B3" s="13" t="s">
        <v>27</v>
      </c>
      <c r="C3" s="13" t="s">
        <v>347</v>
      </c>
      <c r="D3" s="12" t="s">
        <v>194</v>
      </c>
      <c r="E3" s="12">
        <v>0.1</v>
      </c>
      <c r="F3" s="12" t="s">
        <v>353</v>
      </c>
      <c r="G3" s="12"/>
      <c r="H3" s="12" t="s">
        <v>354</v>
      </c>
      <c r="I3" s="12" t="s">
        <v>76</v>
      </c>
    </row>
    <row r="4" spans="1:9" x14ac:dyDescent="0.3">
      <c r="A4" s="12" t="s">
        <v>344</v>
      </c>
      <c r="B4" s="13" t="s">
        <v>28</v>
      </c>
      <c r="C4" s="13" t="s">
        <v>348</v>
      </c>
      <c r="D4" s="12" t="s">
        <v>195</v>
      </c>
      <c r="E4" s="12">
        <v>0.1</v>
      </c>
      <c r="F4" s="12" t="s">
        <v>353</v>
      </c>
      <c r="G4" s="12"/>
      <c r="H4" s="12" t="s">
        <v>355</v>
      </c>
      <c r="I4" s="12" t="s">
        <v>76</v>
      </c>
    </row>
    <row r="5" spans="1:9" x14ac:dyDescent="0.3">
      <c r="A5" s="12" t="s">
        <v>344</v>
      </c>
      <c r="B5" s="13" t="s">
        <v>29</v>
      </c>
      <c r="C5" s="13" t="s">
        <v>349</v>
      </c>
      <c r="D5" s="12" t="s">
        <v>270</v>
      </c>
      <c r="E5" s="12">
        <v>0.1</v>
      </c>
      <c r="F5" s="12" t="s">
        <v>353</v>
      </c>
      <c r="G5" s="12"/>
      <c r="H5" s="12" t="s">
        <v>356</v>
      </c>
      <c r="I5" s="12" t="s">
        <v>76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1C8-F416-4FB2-A3C3-2BAD30EA4977}">
  <dimension ref="A1:E7"/>
  <sheetViews>
    <sheetView workbookViewId="0">
      <selection activeCell="G27" sqref="G27"/>
    </sheetView>
  </sheetViews>
  <sheetFormatPr defaultRowHeight="13.8" x14ac:dyDescent="0.3"/>
  <cols>
    <col min="1" max="4" customWidth="true" style="2" width="20.77734375" collapsed="true"/>
    <col min="5" max="16384" style="2" width="8.88671875" collapsed="true"/>
  </cols>
  <sheetData>
    <row r="1" spans="1:4" x14ac:dyDescent="0.3">
      <c r="A1" s="12" t="s">
        <v>445</v>
      </c>
      <c r="B1" s="12" t="s">
        <v>446</v>
      </c>
      <c r="C1" s="12" t="s">
        <v>447</v>
      </c>
      <c r="D1" s="12" t="s">
        <v>448</v>
      </c>
    </row>
    <row r="2" spans="1:4" x14ac:dyDescent="0.3">
      <c r="A2" s="12">
        <v>500</v>
      </c>
      <c r="B2" s="27">
        <v>500</v>
      </c>
      <c r="C2" s="12" t="s">
        <v>456</v>
      </c>
      <c r="D2" s="12" t="s">
        <v>449</v>
      </c>
    </row>
    <row r="3" spans="1:4" x14ac:dyDescent="0.3">
      <c r="A3" s="27">
        <v>500</v>
      </c>
      <c r="B3" s="27">
        <v>500</v>
      </c>
      <c r="C3" s="12" t="s">
        <v>456</v>
      </c>
      <c r="D3" s="12" t="s">
        <v>450</v>
      </c>
    </row>
    <row r="4" spans="1:4" x14ac:dyDescent="0.3">
      <c r="A4" s="27">
        <v>500</v>
      </c>
      <c r="B4" s="27">
        <v>500</v>
      </c>
      <c r="C4" s="12" t="s">
        <v>456</v>
      </c>
      <c r="D4" s="12"/>
    </row>
    <row r="5" spans="1:4" x14ac:dyDescent="0.3">
      <c r="A5" s="12">
        <v>0</v>
      </c>
      <c r="B5" s="12">
        <v>1000</v>
      </c>
      <c r="C5" s="12" t="s">
        <v>456</v>
      </c>
      <c r="D5" s="12"/>
    </row>
    <row r="6" spans="1:4" x14ac:dyDescent="0.3">
      <c r="A6" s="12">
        <v>500</v>
      </c>
      <c r="B6" s="12">
        <v>500</v>
      </c>
      <c r="C6" s="12" t="s">
        <v>456</v>
      </c>
      <c r="D6" s="12"/>
    </row>
    <row r="7" spans="1:4" x14ac:dyDescent="0.3">
      <c r="A7" s="12">
        <v>1000</v>
      </c>
      <c r="B7" s="12">
        <v>0</v>
      </c>
      <c r="C7" s="12" t="s">
        <v>456</v>
      </c>
      <c r="D7" s="12"/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F5A-5783-4133-896F-5E82CA2762D3}">
  <dimension ref="A1:D7"/>
  <sheetViews>
    <sheetView workbookViewId="0">
      <selection activeCell="C1" sqref="C1"/>
    </sheetView>
  </sheetViews>
  <sheetFormatPr defaultRowHeight="13.8" x14ac:dyDescent="0.3"/>
  <cols>
    <col min="1" max="3" customWidth="true" style="2" width="20.77734375" collapsed="true"/>
    <col min="4" max="16384" style="2" width="8.88671875" collapsed="true"/>
  </cols>
  <sheetData>
    <row r="1" spans="1:3" x14ac:dyDescent="0.3">
      <c r="A1" s="79" t="s">
        <v>451</v>
      </c>
      <c r="B1" s="79" t="s">
        <v>452</v>
      </c>
      <c r="C1" s="12" t="s">
        <v>448</v>
      </c>
    </row>
    <row r="2" spans="1:3" x14ac:dyDescent="0.3">
      <c r="A2" t="s">
        <v>455</v>
      </c>
      <c r="B2" t="s">
        <v>457</v>
      </c>
      <c r="C2" s="12" t="s">
        <v>453</v>
      </c>
    </row>
    <row r="3" spans="1:3" x14ac:dyDescent="0.3">
      <c r="A3" t="s">
        <v>455</v>
      </c>
      <c r="B3" t="s">
        <v>457</v>
      </c>
      <c r="C3" s="12" t="s">
        <v>454</v>
      </c>
    </row>
    <row r="4" spans="1:3" x14ac:dyDescent="0.3">
      <c r="A4" t="s">
        <v>455</v>
      </c>
      <c r="B4" t="s">
        <v>457</v>
      </c>
      <c r="C4" s="12"/>
    </row>
    <row r="5" spans="1:3" x14ac:dyDescent="0.3">
      <c r="A5" t="s">
        <v>455</v>
      </c>
      <c r="B5" t="s">
        <v>457</v>
      </c>
      <c r="C5" s="12"/>
    </row>
    <row r="6" spans="1:3" x14ac:dyDescent="0.3">
      <c r="A6" t="s">
        <v>455</v>
      </c>
      <c r="B6" t="s">
        <v>457</v>
      </c>
      <c r="C6" s="12"/>
    </row>
    <row r="7" spans="1:3" x14ac:dyDescent="0.3">
      <c r="A7" t="s">
        <v>455</v>
      </c>
      <c r="B7" t="s">
        <v>457</v>
      </c>
      <c r="C7" s="12"/>
    </row>
  </sheetData>
  <phoneticPr fontId="6" type="noConversion"/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0D-873E-4EF1-A7F4-1304E8A4787B}">
  <dimension ref="A1:D7"/>
  <sheetViews>
    <sheetView workbookViewId="0">
      <selection sqref="A1:C1"/>
    </sheetView>
  </sheetViews>
  <sheetFormatPr defaultRowHeight="13.8" x14ac:dyDescent="0.3"/>
  <cols>
    <col min="1" max="3" customWidth="true" style="10" width="20.77734375" collapsed="true"/>
    <col min="4" max="16384" style="10" width="8.88671875" collapsed="true"/>
  </cols>
  <sheetData>
    <row r="1" spans="1:3" x14ac:dyDescent="0.3">
      <c r="A1" s="15" t="s">
        <v>445</v>
      </c>
      <c r="B1" s="15" t="s">
        <v>447</v>
      </c>
      <c r="C1" s="15" t="s">
        <v>448</v>
      </c>
    </row>
    <row r="2" spans="1:3" x14ac:dyDescent="0.3">
      <c r="A2" s="29">
        <v>100</v>
      </c>
      <c r="B2" s="15">
        <v>15</v>
      </c>
      <c r="C2" s="15" t="s">
        <v>449</v>
      </c>
    </row>
    <row r="3" spans="1:3" x14ac:dyDescent="0.3">
      <c r="A3" s="29">
        <v>100</v>
      </c>
      <c r="B3" s="15">
        <v>15</v>
      </c>
      <c r="C3" s="15" t="s">
        <v>450</v>
      </c>
    </row>
    <row r="4" spans="1:3" x14ac:dyDescent="0.3">
      <c r="A4" s="29">
        <v>100</v>
      </c>
      <c r="B4" s="15">
        <v>15</v>
      </c>
      <c r="C4" s="15"/>
    </row>
    <row r="5" spans="1:3" x14ac:dyDescent="0.3">
      <c r="A5" s="29">
        <v>100</v>
      </c>
      <c r="B5" s="15">
        <v>15</v>
      </c>
      <c r="C5" s="15"/>
    </row>
    <row r="6" spans="1:3" x14ac:dyDescent="0.3">
      <c r="A6" s="29">
        <v>100</v>
      </c>
      <c r="B6" s="15">
        <v>15</v>
      </c>
      <c r="C6" s="15"/>
    </row>
    <row r="7" spans="1:3" x14ac:dyDescent="0.3">
      <c r="A7" s="29">
        <v>100</v>
      </c>
      <c r="B7" s="15">
        <v>15</v>
      </c>
      <c r="C7" s="15"/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786D-476A-42DB-99D0-5D0B57E43076}">
  <dimension ref="A1:C7"/>
  <sheetViews>
    <sheetView workbookViewId="0">
      <selection sqref="A1:B1"/>
    </sheetView>
  </sheetViews>
  <sheetFormatPr defaultRowHeight="13.8" x14ac:dyDescent="0.3"/>
  <cols>
    <col min="1" max="2" customWidth="true" style="2" width="20.77734375" collapsed="true"/>
    <col min="3" max="16384" style="2" width="8.88671875" collapsed="true"/>
  </cols>
  <sheetData>
    <row r="1" spans="1:2" x14ac:dyDescent="0.3">
      <c r="A1" s="12" t="s">
        <v>451</v>
      </c>
      <c r="B1" s="12" t="s">
        <v>448</v>
      </c>
    </row>
    <row r="2" spans="1:2" x14ac:dyDescent="0.3">
      <c r="A2" t="s">
        <v>479</v>
      </c>
      <c r="B2" s="12" t="s">
        <v>453</v>
      </c>
    </row>
    <row r="3" spans="1:2" x14ac:dyDescent="0.3">
      <c r="A3" t="s">
        <v>479</v>
      </c>
      <c r="B3" s="12" t="s">
        <v>454</v>
      </c>
    </row>
    <row r="4" spans="1:2" x14ac:dyDescent="0.3">
      <c r="A4" t="s">
        <v>479</v>
      </c>
      <c r="B4" s="12"/>
    </row>
    <row r="5" spans="1:2" x14ac:dyDescent="0.3">
      <c r="A5" t="s">
        <v>479</v>
      </c>
      <c r="B5" s="12"/>
    </row>
    <row r="6" spans="1:2" x14ac:dyDescent="0.3">
      <c r="A6" t="s">
        <v>479</v>
      </c>
      <c r="B6" s="12"/>
    </row>
    <row r="7" spans="1:2" x14ac:dyDescent="0.3">
      <c r="A7" t="s">
        <v>479</v>
      </c>
      <c r="B7" s="12"/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E7"/>
  <sheetViews>
    <sheetView workbookViewId="0">
      <selection activeCell="D43" sqref="D43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16384" style="2" width="8.88671875" collapsed="true"/>
  </cols>
  <sheetData>
    <row r="1" spans="1:4" x14ac:dyDescent="0.3">
      <c r="A1" s="12" t="s">
        <v>0</v>
      </c>
      <c r="B1" s="67" t="s">
        <v>25</v>
      </c>
      <c r="C1" s="12" t="s">
        <v>148</v>
      </c>
      <c r="D1" s="80" t="s">
        <v>149</v>
      </c>
    </row>
    <row r="2" spans="1:4" x14ac:dyDescent="0.3">
      <c r="A2" s="12">
        <v>1</v>
      </c>
      <c r="B2" s="21" t="str">
        <f>'TC4-Contract Parts Info'!C2</f>
        <v>scenario1220230504001</v>
      </c>
      <c r="C2" s="30">
        <v>1000</v>
      </c>
      <c r="D2" s="22" t="str">
        <f ca="1">"rc"&amp;AutoIncrement!B2&amp;AutoIncrement!A2&amp;"-23"&amp;TEXT(TODAY(),"mm")&amp;"001-01"</f>
        <v>rcTN04-2311001-01</v>
      </c>
    </row>
    <row r="3" spans="1:4" x14ac:dyDescent="0.3">
      <c r="A3" s="12">
        <v>2</v>
      </c>
      <c r="B3" s="21" t="str">
        <f>'TC4-Contract Parts Info'!C3</f>
        <v>scenario1220230504002</v>
      </c>
      <c r="C3" s="30">
        <v>1000</v>
      </c>
    </row>
    <row r="4" spans="1:4" x14ac:dyDescent="0.3">
      <c r="A4" s="12">
        <v>3</v>
      </c>
      <c r="B4" s="21" t="str">
        <f>'TC4-Contract Parts Info'!C4</f>
        <v>scenario1220230504003</v>
      </c>
      <c r="C4" s="30">
        <v>1000</v>
      </c>
    </row>
    <row r="5" spans="1:4" x14ac:dyDescent="0.3">
      <c r="A5" s="12">
        <v>4</v>
      </c>
      <c r="B5" s="21" t="str">
        <f>'TC4-Contract Parts Info'!C5</f>
        <v>scenario1220230504004</v>
      </c>
      <c r="C5" s="30">
        <v>800</v>
      </c>
      <c r="D5" s="9"/>
    </row>
    <row r="6" spans="1:4" x14ac:dyDescent="0.3">
      <c r="A6" s="12">
        <v>5</v>
      </c>
      <c r="B6" s="21" t="str">
        <f>'TC4-Contract Parts Info'!C6</f>
        <v>scenario1220230504005</v>
      </c>
      <c r="C6" s="30">
        <v>800</v>
      </c>
    </row>
    <row r="7" spans="1:4" x14ac:dyDescent="0.3">
      <c r="A7" s="12">
        <v>6</v>
      </c>
      <c r="B7" s="21" t="str">
        <f>'TC4-Contract Parts Info'!C7</f>
        <v>scenario1220230504006</v>
      </c>
      <c r="C7" s="30">
        <v>1000</v>
      </c>
    </row>
  </sheetData>
  <pageMargins bottom="0.75" footer="0.3" header="0.3" left="0.7" right="0.7" top="0.75"/>
  <pageSetup orientation="portrait" r:id="rId1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M3"/>
  <sheetViews>
    <sheetView workbookViewId="0">
      <selection activeCell="C1" sqref="C1:K1"/>
    </sheetView>
  </sheetViews>
  <sheetFormatPr defaultRowHeight="13.8" x14ac:dyDescent="0.3"/>
  <cols>
    <col min="1" max="1" customWidth="true" style="2" width="15.77734375" collapsed="true"/>
    <col min="2" max="2" customWidth="true" style="2" width="25.77734375" collapsed="true"/>
    <col min="3" max="12" customWidth="true" style="2" width="15.77734375" collapsed="true"/>
    <col min="13" max="16384" style="2" width="8.88671875" collapsed="true"/>
  </cols>
  <sheetData>
    <row r="1" spans="1:12" x14ac:dyDescent="0.3">
      <c r="A1" s="92" t="s">
        <v>150</v>
      </c>
      <c r="B1" s="67" t="s">
        <v>155</v>
      </c>
      <c r="C1" s="51" t="s">
        <v>431</v>
      </c>
      <c r="D1" s="51" t="s">
        <v>432</v>
      </c>
      <c r="E1" s="51" t="s">
        <v>433</v>
      </c>
      <c r="F1" s="51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51" t="s">
        <v>438</v>
      </c>
    </row>
    <row r="2" spans="1:12" x14ac:dyDescent="0.3">
      <c r="A2" s="12"/>
      <c r="B2" s="12" t="str">
        <f>'TC4-Contract Parts Info'!B5</f>
        <v>SG-TTVP:20230504-004</v>
      </c>
      <c r="C2" s="12"/>
      <c r="D2" s="12" t="s">
        <v>81</v>
      </c>
      <c r="E2" s="12"/>
      <c r="F2" s="12"/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12">
        <v>800</v>
      </c>
    </row>
    <row r="3" spans="1:12" x14ac:dyDescent="0.3">
      <c r="A3" s="12"/>
      <c r="B3" s="12" t="str">
        <f>'TC4-Contract Parts Info'!B6</f>
        <v>SG-TTVP:20230504-005</v>
      </c>
      <c r="C3" s="12"/>
      <c r="D3" s="12" t="s">
        <v>81</v>
      </c>
      <c r="E3" s="12"/>
      <c r="F3" s="12"/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12">
        <v>800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M3"/>
  <sheetViews>
    <sheetView workbookViewId="0">
      <selection activeCell="C33" sqref="C33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12" customWidth="true" style="2" width="15.77734375" collapsed="true"/>
    <col min="13" max="16384" style="2" width="8.88671875" collapsed="true"/>
  </cols>
  <sheetData>
    <row r="1" spans="1:12" x14ac:dyDescent="0.3">
      <c r="A1" s="67" t="s">
        <v>150</v>
      </c>
      <c r="B1" s="67" t="s">
        <v>151</v>
      </c>
      <c r="C1" s="51" t="s">
        <v>431</v>
      </c>
      <c r="D1" s="51" t="s">
        <v>432</v>
      </c>
      <c r="E1" s="51" t="s">
        <v>433</v>
      </c>
      <c r="F1" s="67" t="s">
        <v>434</v>
      </c>
      <c r="G1" s="51" t="s">
        <v>269</v>
      </c>
      <c r="H1" s="51" t="s">
        <v>132</v>
      </c>
      <c r="I1" s="51" t="s">
        <v>435</v>
      </c>
      <c r="J1" s="51" t="s">
        <v>436</v>
      </c>
      <c r="K1" s="51" t="s">
        <v>437</v>
      </c>
      <c r="L1" s="67" t="s">
        <v>438</v>
      </c>
    </row>
    <row r="2" spans="1:12" x14ac:dyDescent="0.3">
      <c r="A2" s="24" t="str">
        <f>'TC4-Contract Parts Info'!C5</f>
        <v>scenario1220230504004</v>
      </c>
      <c r="B2" s="12" t="str">
        <f>'TC3-Req to Parts Master'!B5</f>
        <v>VN-TTVN-CUS:20230504-004</v>
      </c>
      <c r="C2" s="12" t="s">
        <v>167</v>
      </c>
      <c r="D2" s="12" t="s">
        <v>81</v>
      </c>
      <c r="E2" s="12"/>
      <c r="F2" s="12" t="s">
        <v>28</v>
      </c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30" t="n">
        <f>'TC18-Forecast Change'!C5</f>
        <v>800.0</v>
      </c>
    </row>
    <row r="3" spans="1:12" x14ac:dyDescent="0.3">
      <c r="A3" s="24" t="str">
        <f>'TC4-Contract Parts Info'!C6</f>
        <v>scenario1220230504005</v>
      </c>
      <c r="B3" s="12" t="str">
        <f>'TC3-Req to Parts Master'!B6</f>
        <v>VN-TTVN-CUS:20230504-005</v>
      </c>
      <c r="C3" s="12" t="s">
        <v>168</v>
      </c>
      <c r="D3" s="12" t="s">
        <v>81</v>
      </c>
      <c r="E3" s="12"/>
      <c r="F3" s="12" t="s">
        <v>268</v>
      </c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30" t="n">
        <f>'TC18-Forecast Change'!C6</f>
        <v>800.0</v>
      </c>
    </row>
  </sheetData>
  <phoneticPr fontId="6" type="noConversion"/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L3"/>
  <sheetViews>
    <sheetView workbookViewId="0">
      <selection activeCell="I32" sqref="I32"/>
    </sheetView>
  </sheetViews>
  <sheetFormatPr defaultRowHeight="13.8" x14ac:dyDescent="0.3"/>
  <cols>
    <col min="1" max="2" customWidth="true" style="2" width="25.77734375" collapsed="true"/>
    <col min="3" max="11" customWidth="true" style="2" width="15.77734375" collapsed="true"/>
    <col min="12" max="16384" style="2" width="8.88671875" collapsed="true"/>
  </cols>
  <sheetData>
    <row r="1" spans="1:11" x14ac:dyDescent="0.3">
      <c r="A1" s="92" t="s">
        <v>150</v>
      </c>
      <c r="B1" s="67" t="s">
        <v>155</v>
      </c>
      <c r="C1" s="51" t="s">
        <v>431</v>
      </c>
      <c r="D1" s="51" t="s">
        <v>433</v>
      </c>
      <c r="E1" s="51" t="s">
        <v>434</v>
      </c>
      <c r="F1" s="51" t="s">
        <v>269</v>
      </c>
      <c r="G1" s="51" t="s">
        <v>132</v>
      </c>
      <c r="H1" s="51" t="s">
        <v>435</v>
      </c>
      <c r="I1" s="51" t="s">
        <v>436</v>
      </c>
      <c r="J1" s="51" t="s">
        <v>437</v>
      </c>
      <c r="K1" s="67" t="s">
        <v>438</v>
      </c>
    </row>
    <row r="2" spans="1:11" x14ac:dyDescent="0.3">
      <c r="A2" s="24" t="str">
        <f>'TC4-Contract Parts Info'!C5</f>
        <v>scenario1220230504004</v>
      </c>
      <c r="B2" s="12" t="str">
        <f>'TC7-Contract Parts Info'!B5</f>
        <v>SG-BAFCO:20230504-004</v>
      </c>
      <c r="C2" s="12"/>
      <c r="D2" s="12"/>
      <c r="E2" s="12"/>
      <c r="F2" s="12" t="s">
        <v>270</v>
      </c>
      <c r="G2" s="12">
        <v>5</v>
      </c>
      <c r="H2" s="12">
        <v>10</v>
      </c>
      <c r="I2" s="31">
        <v>1000</v>
      </c>
      <c r="J2" s="31">
        <v>1000</v>
      </c>
      <c r="K2" s="30" t="n">
        <f>'TC18-Forecast Change'!C5</f>
        <v>800.0</v>
      </c>
    </row>
    <row r="3" spans="1:11" x14ac:dyDescent="0.3">
      <c r="A3" s="24" t="str">
        <f>'TC4-Contract Parts Info'!C6</f>
        <v>scenario1220230504005</v>
      </c>
      <c r="B3" s="12" t="str">
        <f>'TC7-Contract Parts Info'!B6</f>
        <v>SG-BAFCO:20230504-005</v>
      </c>
      <c r="C3" s="12"/>
      <c r="D3" s="12"/>
      <c r="E3" s="12"/>
      <c r="F3" s="12" t="s">
        <v>195</v>
      </c>
      <c r="G3" s="12">
        <v>10</v>
      </c>
      <c r="H3" s="12">
        <v>10</v>
      </c>
      <c r="I3" s="31">
        <v>1000</v>
      </c>
      <c r="J3" s="31">
        <v>1000</v>
      </c>
      <c r="K3" s="30" t="n">
        <f>'TC18-Forecast Change'!C6</f>
        <v>800.0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I7"/>
  <sheetViews>
    <sheetView workbookViewId="0">
      <selection activeCell="H2" sqref="H2"/>
    </sheetView>
  </sheetViews>
  <sheetFormatPr defaultRowHeight="13.8" x14ac:dyDescent="0.3"/>
  <cols>
    <col min="1" max="2" customWidth="true" style="2" width="25.77734375" collapsed="true"/>
    <col min="3" max="8" customWidth="true" style="2" width="15.77734375" collapsed="true"/>
    <col min="9" max="16384" style="2" width="8.88671875" collapsed="true"/>
  </cols>
  <sheetData>
    <row r="1" spans="1:8" x14ac:dyDescent="0.3">
      <c r="A1" s="67" t="s">
        <v>128</v>
      </c>
      <c r="B1" s="67" t="s">
        <v>439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2" t="str">
        <f>'TC3-Req to Parts Master'!B2</f>
        <v>VN-TTVN-CUS:20230504-001</v>
      </c>
      <c r="C2" s="22" t="s">
        <v>164</v>
      </c>
      <c r="D2" s="22" t="str">
        <f ca="1">'TC14-BU SO'!B2</f>
        <v>sTN04-2311001</v>
      </c>
      <c r="E2" s="12" t="s">
        <v>81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2" t="str">
        <f>'TC3-Req to Parts Master'!B3</f>
        <v>VN-TTVN-CUS:20230504-002</v>
      </c>
      <c r="C3" s="22" t="s">
        <v>165</v>
      </c>
      <c r="D3" s="22" t="str">
        <f ca="1">'TC14-BU SO'!B2</f>
        <v>sTN04-2311001</v>
      </c>
      <c r="E3" s="12" t="s">
        <v>81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2" t="str">
        <f>'TC3-Req to Parts Master'!B4</f>
        <v>VN-TTVN-CUS:20230504-003</v>
      </c>
      <c r="C4" s="22" t="s">
        <v>166</v>
      </c>
      <c r="D4" s="22" t="str">
        <f ca="1">'TC14-BU SO'!B2</f>
        <v>sTN04-2311001</v>
      </c>
      <c r="E4" s="12" t="s">
        <v>81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2" t="str">
        <f>'TC3-Req to Parts Master'!B5</f>
        <v>VN-TTVN-CUS:20230504-004</v>
      </c>
      <c r="C5" s="22" t="s">
        <v>167</v>
      </c>
      <c r="D5" s="22" t="str">
        <f ca="1">'TC14-BU SO'!B2</f>
        <v>sTN04-2311001</v>
      </c>
      <c r="E5" s="12" t="s">
        <v>81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2" t="str">
        <f>'TC3-Req to Parts Master'!B6</f>
        <v>VN-TTVN-CUS:20230504-005</v>
      </c>
      <c r="C6" s="22" t="s">
        <v>168</v>
      </c>
      <c r="D6" s="22" t="str">
        <f ca="1">'TC14-BU SO'!B2</f>
        <v>sTN04-2311001</v>
      </c>
      <c r="E6" s="12" t="s">
        <v>81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2" t="str">
        <f>'TC3-Req to Parts Master'!B7</f>
        <v>VN-TTVN-CUS:20230504-006</v>
      </c>
      <c r="C7" s="22" t="s">
        <v>169</v>
      </c>
      <c r="D7" s="22" t="str">
        <f ca="1">'TC14-BU SO'!B2</f>
        <v>sTN04-2311001</v>
      </c>
      <c r="E7" s="12" t="s">
        <v>81</v>
      </c>
      <c r="F7" s="12">
        <v>10</v>
      </c>
      <c r="G7" s="12">
        <v>10</v>
      </c>
      <c r="H7" s="32" t="n">
        <f>'TC18-Forecast Change'!C7</f>
        <v>1000.0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I7"/>
  <sheetViews>
    <sheetView workbookViewId="0">
      <selection activeCell="A2" sqref="A2:A7"/>
    </sheetView>
  </sheetViews>
  <sheetFormatPr defaultRowHeight="13.8" x14ac:dyDescent="0.3"/>
  <cols>
    <col min="1" max="2" customWidth="true" style="2" width="25.77734375" collapsed="true"/>
    <col min="3" max="10" customWidth="true" style="2" width="15.77734375" collapsed="true"/>
    <col min="11" max="16384" style="2" width="8.88671875" collapsed="true"/>
  </cols>
  <sheetData>
    <row r="1" spans="1:8" x14ac:dyDescent="0.3">
      <c r="A1" s="67" t="s">
        <v>128</v>
      </c>
      <c r="B1" s="67" t="s">
        <v>170</v>
      </c>
      <c r="C1" s="51" t="s">
        <v>129</v>
      </c>
      <c r="D1" s="67" t="s">
        <v>130</v>
      </c>
      <c r="E1" s="51" t="s">
        <v>131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164</v>
      </c>
      <c r="D2" s="22" t="str">
        <f ca="1">'TC11-Customer CO'!B2</f>
        <v>cTN04-2311001</v>
      </c>
      <c r="E2" s="12" t="s">
        <v>34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165</v>
      </c>
      <c r="D3" s="22" t="str">
        <f ca="1">'TC11-Customer CO'!B2</f>
        <v>cTN04-2311001</v>
      </c>
      <c r="E3" s="12" t="s">
        <v>34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166</v>
      </c>
      <c r="D4" s="22" t="str">
        <f ca="1">'TC11-Customer CO'!B2</f>
        <v>cTN04-2311001</v>
      </c>
      <c r="E4" s="12" t="s">
        <v>34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167</v>
      </c>
      <c r="D5" s="22" t="str">
        <f ca="1">'TC11-Customer CO'!B2</f>
        <v>cTN04-2311001</v>
      </c>
      <c r="E5" s="12" t="s">
        <v>34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168</v>
      </c>
      <c r="D6" s="22" t="str">
        <f ca="1">'TC11-Customer CO'!B2</f>
        <v>cTN04-2311001</v>
      </c>
      <c r="E6" s="12" t="s">
        <v>34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169</v>
      </c>
      <c r="D7" s="22" t="str">
        <f ca="1">'TC11-Customer CO'!B2</f>
        <v>cTN04-2311001</v>
      </c>
      <c r="E7" s="12" t="s">
        <v>34</v>
      </c>
      <c r="F7" s="12">
        <v>10</v>
      </c>
      <c r="G7" s="12">
        <v>10</v>
      </c>
      <c r="H7" s="32" t="n">
        <f>'TC18-Forecast Change'!C7</f>
        <v>1000.0</v>
      </c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M5"/>
  <sheetViews>
    <sheetView workbookViewId="0" zoomScale="90" zoomScaleNormal="90">
      <selection activeCell="C28" sqref="C28"/>
    </sheetView>
  </sheetViews>
  <sheetFormatPr defaultRowHeight="13.8" x14ac:dyDescent="0.3"/>
  <cols>
    <col min="1" max="1" customWidth="true" style="2" width="15.77734375" collapsed="true"/>
    <col min="2" max="4" customWidth="true" style="2" width="25.77734375" collapsed="true"/>
    <col min="5" max="9" customWidth="true" style="2" width="15.77734375" collapsed="true"/>
    <col min="10" max="10" customWidth="true" style="2" width="25.77734375" collapsed="true"/>
    <col min="11" max="16" customWidth="true" style="2" width="15.77734375" collapsed="true"/>
    <col min="17" max="16384" style="2" width="8.88671875" collapsed="true"/>
  </cols>
  <sheetData>
    <row r="1" spans="1:12" x14ac:dyDescent="0.3">
      <c r="A1" s="12" t="s">
        <v>343</v>
      </c>
      <c r="B1" s="51" t="s">
        <v>360</v>
      </c>
      <c r="C1" s="67" t="s">
        <v>25</v>
      </c>
      <c r="D1" s="12" t="s">
        <v>361</v>
      </c>
      <c r="E1" s="12" t="s">
        <v>366</v>
      </c>
      <c r="F1" s="12" t="s">
        <v>367</v>
      </c>
      <c r="G1" s="12" t="s">
        <v>368</v>
      </c>
      <c r="H1" s="12" t="s">
        <v>269</v>
      </c>
      <c r="I1" s="12" t="s">
        <v>381</v>
      </c>
      <c r="J1" s="12" t="s">
        <v>382</v>
      </c>
      <c r="K1" s="12" t="s">
        <v>380</v>
      </c>
      <c r="L1" s="12" t="s">
        <v>54</v>
      </c>
    </row>
    <row r="2" spans="1:12" x14ac:dyDescent="0.3">
      <c r="A2" s="12" t="s">
        <v>344</v>
      </c>
      <c r="B2" s="12" t="s">
        <v>160</v>
      </c>
      <c r="C2" s="13" t="str">
        <f>'TC1'!B2</f>
        <v>scenario1220230504001</v>
      </c>
      <c r="D2" s="13" t="s">
        <v>362</v>
      </c>
      <c r="E2" s="13" t="s">
        <v>369</v>
      </c>
      <c r="F2" s="13" t="s">
        <v>164</v>
      </c>
      <c r="G2" s="13" t="s">
        <v>370</v>
      </c>
      <c r="H2" s="12" t="s">
        <v>193</v>
      </c>
      <c r="I2" s="12" t="s">
        <v>377</v>
      </c>
      <c r="J2" s="12"/>
      <c r="K2" s="12"/>
      <c r="L2" s="12" t="s">
        <v>76</v>
      </c>
    </row>
    <row r="3" spans="1:12" x14ac:dyDescent="0.3">
      <c r="A3" s="12" t="s">
        <v>344</v>
      </c>
      <c r="B3" s="12" t="s">
        <v>161</v>
      </c>
      <c r="C3" s="13" t="str">
        <f>'TC1'!B3</f>
        <v>scenario1220230504002</v>
      </c>
      <c r="D3" s="13" t="s">
        <v>363</v>
      </c>
      <c r="E3" s="13" t="s">
        <v>371</v>
      </c>
      <c r="F3" s="13" t="s">
        <v>165</v>
      </c>
      <c r="G3" s="13" t="s">
        <v>372</v>
      </c>
      <c r="H3" s="12" t="s">
        <v>194</v>
      </c>
      <c r="I3" s="12" t="s">
        <v>377</v>
      </c>
      <c r="J3" s="12"/>
      <c r="K3" s="12"/>
      <c r="L3" s="12" t="s">
        <v>76</v>
      </c>
    </row>
    <row r="4" spans="1:12" x14ac:dyDescent="0.3">
      <c r="A4" s="12" t="s">
        <v>344</v>
      </c>
      <c r="B4" s="12" t="s">
        <v>162</v>
      </c>
      <c r="C4" s="13" t="str">
        <f>'TC1'!B4</f>
        <v>scenario1220230504003</v>
      </c>
      <c r="D4" s="13" t="s">
        <v>364</v>
      </c>
      <c r="E4" s="13" t="s">
        <v>373</v>
      </c>
      <c r="F4" s="13" t="s">
        <v>166</v>
      </c>
      <c r="G4" s="13" t="s">
        <v>374</v>
      </c>
      <c r="H4" s="12" t="s">
        <v>195</v>
      </c>
      <c r="I4" s="12" t="s">
        <v>378</v>
      </c>
      <c r="J4" s="12" t="s">
        <v>153</v>
      </c>
      <c r="K4" s="12" t="s">
        <v>379</v>
      </c>
      <c r="L4" s="12" t="s">
        <v>76</v>
      </c>
    </row>
    <row r="5" spans="1:12" x14ac:dyDescent="0.3">
      <c r="A5" s="12" t="s">
        <v>344</v>
      </c>
      <c r="B5" s="12" t="s">
        <v>153</v>
      </c>
      <c r="C5" s="13" t="str">
        <f>'TC1'!B5</f>
        <v>scenario1220230504004</v>
      </c>
      <c r="D5" s="13" t="s">
        <v>365</v>
      </c>
      <c r="E5" s="13" t="s">
        <v>375</v>
      </c>
      <c r="F5" s="13" t="s">
        <v>167</v>
      </c>
      <c r="G5" s="13" t="s">
        <v>376</v>
      </c>
      <c r="H5" s="12" t="s">
        <v>270</v>
      </c>
      <c r="I5" s="12" t="s">
        <v>378</v>
      </c>
      <c r="J5" s="12" t="s">
        <v>162</v>
      </c>
      <c r="K5" s="12" t="s">
        <v>379</v>
      </c>
      <c r="L5" s="12" t="s">
        <v>76</v>
      </c>
    </row>
  </sheetData>
  <phoneticPr fontId="6" type="noConversion"/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I7"/>
  <sheetViews>
    <sheetView workbookViewId="0">
      <selection activeCell="A2" sqref="A2:A7"/>
    </sheetView>
  </sheetViews>
  <sheetFormatPr defaultRowHeight="13.8" x14ac:dyDescent="0.3"/>
  <cols>
    <col min="1" max="2" customWidth="true" style="2" width="25.77734375" collapsed="true"/>
    <col min="3" max="10" customWidth="true" style="2" width="15.77734375" collapsed="true"/>
    <col min="11" max="16384" style="2" width="8.88671875" collapsed="true"/>
  </cols>
  <sheetData>
    <row r="1" spans="1:8" x14ac:dyDescent="0.3">
      <c r="A1" s="67" t="s">
        <v>128</v>
      </c>
      <c r="B1" s="67" t="s">
        <v>171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/>
      <c r="D2" s="22" t="str">
        <f ca="1">'TC14-BU SO'!B2</f>
        <v>sTN04-2311001</v>
      </c>
      <c r="E2" s="12" t="s">
        <v>81</v>
      </c>
      <c r="F2" s="12">
        <v>5</v>
      </c>
      <c r="G2" s="12">
        <v>10</v>
      </c>
      <c r="H2" s="32" t="n">
        <f>'TC18-Forecast Change'!C2</f>
        <v>1000.0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/>
      <c r="D3" s="22" t="str">
        <f ca="1">'TC14-BU SO'!B2</f>
        <v>sTN04-2311001</v>
      </c>
      <c r="E3" s="12" t="s">
        <v>81</v>
      </c>
      <c r="F3" s="12">
        <v>5</v>
      </c>
      <c r="G3" s="12">
        <v>10</v>
      </c>
      <c r="H3" s="32" t="n">
        <f>'TC18-Forecast Change'!C3</f>
        <v>1000.0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/>
      <c r="D4" s="22" t="str">
        <f ca="1">'TC14-BU SO'!B2</f>
        <v>sTN04-2311001</v>
      </c>
      <c r="E4" s="12" t="s">
        <v>81</v>
      </c>
      <c r="F4" s="12">
        <v>5</v>
      </c>
      <c r="G4" s="12">
        <v>10</v>
      </c>
      <c r="H4" s="32" t="n">
        <f>'TC18-Forecast Change'!C4</f>
        <v>1000.0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/>
      <c r="D5" s="22" t="str">
        <f ca="1">'TC14-BU SO'!B2</f>
        <v>sTN04-2311001</v>
      </c>
      <c r="E5" s="12" t="s">
        <v>81</v>
      </c>
      <c r="F5" s="12">
        <v>5</v>
      </c>
      <c r="G5" s="12">
        <v>10</v>
      </c>
      <c r="H5" s="32" t="n">
        <f>'TC18-Forecast Change'!C5</f>
        <v>800.0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/>
      <c r="D6" s="22" t="str">
        <f ca="1">'TC14-BU SO'!B2</f>
        <v>sTN04-2311001</v>
      </c>
      <c r="E6" s="12" t="s">
        <v>81</v>
      </c>
      <c r="F6" s="12">
        <v>10</v>
      </c>
      <c r="G6" s="12">
        <v>10</v>
      </c>
      <c r="H6" s="32" t="n">
        <f>'TC18-Forecast Change'!C6</f>
        <v>800.0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/>
      <c r="D7" s="22" t="str">
        <f ca="1">'TC14-BU SO'!B2</f>
        <v>sTN04-2311001</v>
      </c>
      <c r="E7" s="12" t="s">
        <v>81</v>
      </c>
      <c r="F7" s="12">
        <v>10</v>
      </c>
      <c r="G7" s="12">
        <v>10</v>
      </c>
      <c r="H7" s="32" t="n">
        <f>'TC18-Forecast Change'!C7</f>
        <v>1000.0</v>
      </c>
    </row>
  </sheetData>
  <pageMargins bottom="0.75" footer="0.3" header="0.3" left="0.7" right="0.7" top="0.75"/>
  <pageSetup orientation="portrait" r:id="rId1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G7"/>
  <sheetViews>
    <sheetView workbookViewId="0" zoomScale="90" zoomScaleNormal="90">
      <selection activeCell="G30" sqref="G30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6" customWidth="true" style="2" width="15.77734375" collapsed="true"/>
    <col min="7" max="7" customWidth="true" style="2" width="25.77734375" collapsed="true"/>
    <col min="8" max="16384" style="2" width="8.88671875" collapsed="true"/>
  </cols>
  <sheetData>
    <row r="1" spans="1:6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</row>
    <row r="2" spans="1:6" x14ac:dyDescent="0.3">
      <c r="A2" s="12">
        <v>1</v>
      </c>
      <c r="B2" s="21" t="str">
        <f>'TC4-Contract Parts Info'!C2</f>
        <v>scenario1220230504001</v>
      </c>
      <c r="C2" s="33">
        <v>1100</v>
      </c>
      <c r="D2" s="26">
        <v>500</v>
      </c>
      <c r="E2" s="26">
        <v>500</v>
      </c>
      <c r="F2" s="26">
        <v>100</v>
      </c>
    </row>
    <row r="3" spans="1:6" x14ac:dyDescent="0.3">
      <c r="A3" s="12">
        <v>2</v>
      </c>
      <c r="B3" s="21" t="str">
        <f>'TC4-Contract Parts Info'!C3</f>
        <v>scenario1220230504002</v>
      </c>
      <c r="C3" s="33">
        <v>900</v>
      </c>
      <c r="D3" s="26">
        <v>500</v>
      </c>
      <c r="E3" s="26">
        <v>400</v>
      </c>
      <c r="F3" s="26"/>
    </row>
    <row r="4" spans="1:6" x14ac:dyDescent="0.3">
      <c r="A4" s="12">
        <v>3</v>
      </c>
      <c r="B4" s="21" t="str">
        <f>'TC4-Contract Parts Info'!C4</f>
        <v>scenario1220230504003</v>
      </c>
      <c r="C4" s="33">
        <v>1000</v>
      </c>
      <c r="D4" s="26">
        <v>500</v>
      </c>
      <c r="E4" s="26">
        <v>500</v>
      </c>
      <c r="F4" s="26"/>
    </row>
    <row r="5" spans="1:6" x14ac:dyDescent="0.3">
      <c r="A5" s="12">
        <v>4</v>
      </c>
      <c r="B5" s="21" t="str">
        <f>'TC4-Contract Parts Info'!C5</f>
        <v>scenario1220230504004</v>
      </c>
      <c r="C5" s="33">
        <v>1000</v>
      </c>
      <c r="D5" s="26">
        <v>500</v>
      </c>
      <c r="E5" s="26">
        <v>500</v>
      </c>
      <c r="F5" s="26"/>
    </row>
    <row r="6" spans="1:6" x14ac:dyDescent="0.3">
      <c r="A6" s="12">
        <v>5</v>
      </c>
      <c r="B6" s="21" t="str">
        <f>'TC4-Contract Parts Info'!C6</f>
        <v>scenario1220230504005</v>
      </c>
      <c r="C6" s="33">
        <v>1000</v>
      </c>
      <c r="D6" s="26">
        <v>1000</v>
      </c>
      <c r="E6" s="26"/>
      <c r="F6" s="26"/>
    </row>
    <row r="7" spans="1:6" x14ac:dyDescent="0.3">
      <c r="A7" s="12">
        <v>6</v>
      </c>
      <c r="B7" s="21" t="str">
        <f>'TC4-Contract Parts Info'!C7</f>
        <v>scenario1220230504006</v>
      </c>
      <c r="C7" s="33">
        <v>1000</v>
      </c>
      <c r="D7" s="26"/>
      <c r="E7" s="26">
        <v>1000</v>
      </c>
      <c r="F7" s="26"/>
    </row>
  </sheetData>
  <pageMargins bottom="0.75" footer="0.3" header="0.3" left="0.7" right="0.7" top="0.75"/>
  <pageSetup orientation="portrait" r:id="rId1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D2"/>
  <sheetViews>
    <sheetView workbookViewId="0">
      <selection activeCell="B7" sqref="B7"/>
    </sheetView>
  </sheetViews>
  <sheetFormatPr defaultRowHeight="13.8" x14ac:dyDescent="0.3"/>
  <cols>
    <col min="1" max="3" customWidth="true" style="2" width="25.77734375" collapsed="true"/>
    <col min="4" max="16384" style="2" width="8.88671875" collapsed="true"/>
  </cols>
  <sheetData>
    <row r="1" spans="1:3" x14ac:dyDescent="0.3">
      <c r="A1" s="51" t="s">
        <v>176</v>
      </c>
      <c r="B1" s="51" t="s">
        <v>178</v>
      </c>
      <c r="C1" s="51" t="s">
        <v>177</v>
      </c>
    </row>
    <row r="2" spans="1:3" x14ac:dyDescent="0.3">
      <c r="A2" s="12" t="str">
        <f ca="1">TEXT(DATE(YEAR(TODAY()), MONTH(TODAY())+2, DAY(TODAY())), "dd MMM yyyy")</f>
        <v>08 Jan 2024</v>
      </c>
      <c r="B2" s="12" t="str">
        <f ca="1">TEXT(DATE(YEAR(TODAY()), MONTH(TODAY())+3, DAY(TODAY())), "dd MMM yyyy")</f>
        <v>08 Feb 2024</v>
      </c>
      <c r="C2" s="12" t="str">
        <f ca="1">TEXT(DATE(YEAR(TODAY()), MONTH(TODAY())+4, DAY(TODAY())), "dd MMM yyyy")</f>
        <v>08 Mar 2024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B2"/>
  <sheetViews>
    <sheetView workbookViewId="0"/>
  </sheetViews>
  <sheetFormatPr defaultRowHeight="13.8" x14ac:dyDescent="0.3"/>
  <cols>
    <col min="1" max="1" customWidth="true" style="2" width="23.6640625" collapsed="true"/>
    <col min="2" max="16384" style="2" width="8.88671875" collapsed="true"/>
  </cols>
  <sheetData>
    <row r="1" spans="1:1" x14ac:dyDescent="0.3">
      <c r="A1" s="79" t="s">
        <v>102</v>
      </c>
    </row>
    <row r="2" spans="1:1" x14ac:dyDescent="0.3">
      <c r="A2" s="12" t="str">
        <f ca="1">"rc"&amp;AutoIncrement!B2&amp;AutoIncrement!A2&amp;"-23"&amp;TEXT(TODAY(),"mm")&amp;"001-02"</f>
        <v>rcTN04-2311001-02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T6"/>
  <sheetViews>
    <sheetView topLeftCell="C1" workbookViewId="0" zoomScale="90" zoomScaleNormal="90">
      <selection activeCell="Q3" sqref="Q3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67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 t="str">
        <f>'TC4-Contract Parts Info'!C2</f>
        <v>scenario1220230504001</v>
      </c>
      <c r="B2" s="15" t="str">
        <f>'TC3-Req to Parts Master'!B2</f>
        <v>VN-TTVN-CUS:20230504-001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'TC11-Order Regular'!B2</f>
        <v>1000.0</v>
      </c>
      <c r="K2" s="33" t="n">
        <f>'TC25-Customer Order Change'!C2</f>
        <v>1100.0</v>
      </c>
      <c r="L2" s="12"/>
      <c r="M2" s="12" t="s">
        <v>196</v>
      </c>
      <c r="N2" s="12"/>
      <c r="O2" s="33" t="n">
        <f>'TC11-Order Regular'!D2</f>
        <v>500.0</v>
      </c>
      <c r="P2" s="33" t="n">
        <f>'TC11-Order Regular'!E2</f>
        <v>500.0</v>
      </c>
      <c r="Q2" s="33" t="n">
        <f>'TC25-Customer Order Change'!D2</f>
        <v>500.0</v>
      </c>
      <c r="R2" s="33" t="n">
        <f>'TC25-Customer Order Change'!E2</f>
        <v>500.0</v>
      </c>
      <c r="S2" s="33" t="n">
        <f>'TC25-Customer Order Change'!F2</f>
        <v>100.0</v>
      </c>
    </row>
    <row r="3" spans="1:19" x14ac:dyDescent="0.3">
      <c r="A3" s="21" t="str">
        <f>'TC4-Contract Parts Info'!C3</f>
        <v>scenario1220230504002</v>
      </c>
      <c r="B3" s="15" t="str">
        <f>'TC3-Req to Parts Master'!B3</f>
        <v>VN-TTVN-CUS:20230504-002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'TC11-Order Regular'!B3</f>
        <v>1000.0</v>
      </c>
      <c r="K3" s="33" t="n">
        <f>'TC25-Customer Order Change'!C3</f>
        <v>900.0</v>
      </c>
      <c r="L3" s="12"/>
      <c r="M3" s="12" t="s">
        <v>196</v>
      </c>
      <c r="N3" s="12"/>
      <c r="O3" s="33" t="n">
        <f>'TC11-Order Regular'!D3</f>
        <v>500.0</v>
      </c>
      <c r="P3" s="33" t="n">
        <f>'TC11-Order Regular'!E3</f>
        <v>500.0</v>
      </c>
      <c r="Q3" s="33" t="n">
        <f>'TC25-Customer Order Change'!D3</f>
        <v>500.0</v>
      </c>
      <c r="R3" s="33" t="n">
        <f>'TC25-Customer Order Change'!E3</f>
        <v>400.0</v>
      </c>
      <c r="S3" s="33"/>
    </row>
    <row r="4" spans="1:19" x14ac:dyDescent="0.3">
      <c r="A4" s="21" t="str">
        <f>'TC4-Contract Parts Info'!C5</f>
        <v>scenario1220230504004</v>
      </c>
      <c r="B4" s="15" t="str">
        <f>'TC3-Req to Parts Master'!B5</f>
        <v>VN-TTVN-CUS:20230504-004</v>
      </c>
      <c r="C4" s="22" t="s">
        <v>167</v>
      </c>
      <c r="D4" s="12" t="s">
        <v>81</v>
      </c>
      <c r="E4" s="12"/>
      <c r="F4" s="21" t="s">
        <v>28</v>
      </c>
      <c r="G4" s="12" t="s">
        <v>270</v>
      </c>
      <c r="H4" s="12">
        <v>5</v>
      </c>
      <c r="I4" s="12">
        <v>10</v>
      </c>
      <c r="J4" s="33" t="n">
        <f>'TC11-Order Regular'!B5</f>
        <v>1000.0</v>
      </c>
      <c r="K4" s="33" t="n">
        <f>'TC25-Customer Order Change'!C5</f>
        <v>1000.0</v>
      </c>
      <c r="L4" s="12"/>
      <c r="M4" s="12" t="s">
        <v>196</v>
      </c>
      <c r="N4" s="12"/>
      <c r="O4" s="33"/>
      <c r="P4" s="33" t="n">
        <f>'TC11-Order Regular'!E5</f>
        <v>1000.0</v>
      </c>
      <c r="Q4" s="33" t="n">
        <f>'TC25-Customer Order Change'!D5</f>
        <v>500.0</v>
      </c>
      <c r="R4" s="33" t="n">
        <f>'TC25-Customer Order Change'!E5</f>
        <v>500.0</v>
      </c>
      <c r="S4" s="12"/>
    </row>
    <row r="5" spans="1:19" x14ac:dyDescent="0.3">
      <c r="A5" s="21" t="str">
        <f>'TC4-Contract Parts Info'!C6</f>
        <v>scenario1220230504005</v>
      </c>
      <c r="B5" s="15" t="str">
        <f>'TC3-Req to Parts Master'!B6</f>
        <v>VN-TTVN-CUS:20230504-005</v>
      </c>
      <c r="C5" s="22" t="s">
        <v>168</v>
      </c>
      <c r="D5" s="12" t="s">
        <v>81</v>
      </c>
      <c r="E5" s="12"/>
      <c r="F5" s="21" t="s">
        <v>31</v>
      </c>
      <c r="G5" s="12" t="s">
        <v>195</v>
      </c>
      <c r="H5" s="12">
        <v>10</v>
      </c>
      <c r="I5" s="12">
        <v>10</v>
      </c>
      <c r="J5" s="33" t="n">
        <f>'TC11-Order Regular'!B6</f>
        <v>1000.0</v>
      </c>
      <c r="K5" s="33" t="n">
        <f>'TC25-Customer Order Change'!C6</f>
        <v>1000.0</v>
      </c>
      <c r="L5" s="12"/>
      <c r="M5" s="12" t="s">
        <v>196</v>
      </c>
      <c r="N5" s="12"/>
      <c r="O5" s="33" t="n">
        <f>'TC11-Order Regular'!D6</f>
        <v>500.0</v>
      </c>
      <c r="P5" s="33" t="n">
        <f>'TC11-Order Regular'!E6</f>
        <v>500.0</v>
      </c>
      <c r="Q5" s="33" t="n">
        <f>'TC25-Customer Order Change'!D6</f>
        <v>1000.0</v>
      </c>
      <c r="R5" s="12"/>
      <c r="S5" s="12"/>
    </row>
    <row r="6" spans="1:19" x14ac:dyDescent="0.3">
      <c r="A6" s="21" t="str">
        <f>'TC4-Contract Parts Info'!C7</f>
        <v>scenario1220230504006</v>
      </c>
      <c r="B6" s="15" t="str">
        <f>'TC3-Req to Parts Master'!B7</f>
        <v>VN-TTVN-CUS:20230504-006</v>
      </c>
      <c r="C6" s="22" t="s">
        <v>169</v>
      </c>
      <c r="D6" s="12" t="s">
        <v>81</v>
      </c>
      <c r="E6" s="12"/>
      <c r="F6" s="21" t="s">
        <v>30</v>
      </c>
      <c r="G6" s="12" t="s">
        <v>195</v>
      </c>
      <c r="H6" s="12">
        <v>10</v>
      </c>
      <c r="I6" s="12">
        <v>10</v>
      </c>
      <c r="J6" s="33" t="n">
        <f>'TC11-Order Regular'!B7</f>
        <v>1000.0</v>
      </c>
      <c r="K6" s="33" t="n">
        <f>'TC25-Customer Order Change'!C7</f>
        <v>1000.0</v>
      </c>
      <c r="L6" s="12"/>
      <c r="M6" s="12" t="s">
        <v>196</v>
      </c>
      <c r="N6" s="12"/>
      <c r="O6" s="33" t="n">
        <f>'TC11-Order Regular'!D7</f>
        <v>1000.0</v>
      </c>
      <c r="P6" s="33"/>
      <c r="Q6" s="12"/>
      <c r="R6" s="33" t="n">
        <f>'TC25-Customer Order Change'!E7</f>
        <v>1000.0</v>
      </c>
      <c r="S6" s="12"/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T6"/>
  <sheetViews>
    <sheetView topLeftCell="B1" workbookViewId="0" zoomScale="90" zoomScaleNormal="90">
      <selection activeCell="O1" sqref="O1:S1"/>
    </sheetView>
  </sheetViews>
  <sheetFormatPr defaultRowHeight="13.8" x14ac:dyDescent="0.3"/>
  <cols>
    <col min="1" max="1" customWidth="true" style="2" width="15.77734375" collapsed="true"/>
    <col min="2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/>
      <c r="B2" s="19" t="str">
        <f>'TC4-Contract Parts Info'!B2</f>
        <v>SG-TTVP:20230504-001</v>
      </c>
      <c r="C2" s="22"/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'TC11-Order Regular'!B2</f>
        <v>1000.0</v>
      </c>
      <c r="K2" s="33" t="n">
        <f>'TC25-Customer Order Change'!C2</f>
        <v>1100.0</v>
      </c>
      <c r="L2" s="12"/>
      <c r="M2" s="12" t="s">
        <v>196</v>
      </c>
      <c r="N2" s="12"/>
      <c r="O2" s="33" t="n">
        <f>'TC11-Order Regular'!D2</f>
        <v>500.0</v>
      </c>
      <c r="P2" s="33" t="n">
        <f>'TC11-Order Regular'!E2</f>
        <v>500.0</v>
      </c>
      <c r="Q2" s="33" t="n">
        <f>'TC25-Customer Order Change'!D2</f>
        <v>500.0</v>
      </c>
      <c r="R2" s="33" t="n">
        <f>'TC25-Customer Order Change'!E2</f>
        <v>500.0</v>
      </c>
      <c r="S2" s="33" t="n">
        <f>'TC25-Customer Order Change'!F2</f>
        <v>100.0</v>
      </c>
    </row>
    <row r="3" spans="1:19" x14ac:dyDescent="0.3">
      <c r="A3" s="21"/>
      <c r="B3" s="19" t="str">
        <f>'TC4-Contract Parts Info'!B3</f>
        <v>SG-TTVP:20230504-002</v>
      </c>
      <c r="C3" s="22"/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'TC11-Order Regular'!B3</f>
        <v>1000.0</v>
      </c>
      <c r="K3" s="33" t="n">
        <f>'TC25-Customer Order Change'!C3</f>
        <v>900.0</v>
      </c>
      <c r="L3" s="12"/>
      <c r="M3" s="12" t="s">
        <v>196</v>
      </c>
      <c r="N3" s="12"/>
      <c r="O3" s="33" t="n">
        <f>'TC11-Order Regular'!D3</f>
        <v>500.0</v>
      </c>
      <c r="P3" s="33" t="n">
        <f>'TC11-Order Regular'!E3</f>
        <v>500.0</v>
      </c>
      <c r="Q3" s="33" t="n">
        <f>'TC25-Customer Order Change'!D3</f>
        <v>500.0</v>
      </c>
      <c r="R3" s="33" t="n">
        <f>'TC25-Customer Order Change'!E3</f>
        <v>400.0</v>
      </c>
      <c r="S3" s="33"/>
    </row>
    <row r="4" spans="1:19" x14ac:dyDescent="0.3">
      <c r="A4" s="21"/>
      <c r="B4" s="19" t="str">
        <f>'TC4-Contract Parts Info'!B5</f>
        <v>SG-TTVP:20230504-004</v>
      </c>
      <c r="C4" s="22"/>
      <c r="D4" s="12" t="s">
        <v>81</v>
      </c>
      <c r="E4" s="12"/>
      <c r="F4" s="12"/>
      <c r="G4" s="12" t="s">
        <v>270</v>
      </c>
      <c r="H4" s="12">
        <v>5</v>
      </c>
      <c r="I4" s="12">
        <v>10</v>
      </c>
      <c r="J4" s="33" t="n">
        <f>'TC11-Order Regular'!B5</f>
        <v>1000.0</v>
      </c>
      <c r="K4" s="33" t="n">
        <f>'TC25-Customer Order Change'!C5</f>
        <v>1000.0</v>
      </c>
      <c r="L4" s="12"/>
      <c r="M4" s="12" t="s">
        <v>196</v>
      </c>
      <c r="N4" s="12"/>
      <c r="O4" s="33"/>
      <c r="P4" s="33" t="n">
        <f>'TC11-Order Regular'!E5</f>
        <v>1000.0</v>
      </c>
      <c r="Q4" s="33" t="n">
        <f>'TC25-Customer Order Change'!D5</f>
        <v>500.0</v>
      </c>
      <c r="R4" s="33" t="n">
        <f>'TC25-Customer Order Change'!E5</f>
        <v>500.0</v>
      </c>
      <c r="S4" s="12"/>
    </row>
    <row r="5" spans="1:19" x14ac:dyDescent="0.3">
      <c r="A5" s="21"/>
      <c r="B5" s="19" t="str">
        <f>'TC4-Contract Parts Info'!B6</f>
        <v>SG-TTVP:20230504-005</v>
      </c>
      <c r="C5" s="22"/>
      <c r="D5" s="12" t="s">
        <v>81</v>
      </c>
      <c r="E5" s="12"/>
      <c r="F5" s="21"/>
      <c r="G5" s="12" t="s">
        <v>195</v>
      </c>
      <c r="H5" s="12">
        <v>10</v>
      </c>
      <c r="I5" s="12">
        <v>10</v>
      </c>
      <c r="J5" s="33" t="n">
        <f>'TC11-Order Regular'!B6</f>
        <v>1000.0</v>
      </c>
      <c r="K5" s="33" t="n">
        <f>'TC25-Customer Order Change'!C6</f>
        <v>1000.0</v>
      </c>
      <c r="L5" s="12"/>
      <c r="M5" s="12" t="s">
        <v>196</v>
      </c>
      <c r="N5" s="12"/>
      <c r="O5" s="33" t="n">
        <f>'TC11-Order Regular'!D6</f>
        <v>500.0</v>
      </c>
      <c r="P5" s="33" t="n">
        <f>'TC11-Order Regular'!E6</f>
        <v>500.0</v>
      </c>
      <c r="Q5" s="33" t="n">
        <f>'TC25-Customer Order Change'!D6</f>
        <v>1000.0</v>
      </c>
      <c r="R5" s="12"/>
      <c r="S5" s="12"/>
    </row>
    <row r="6" spans="1:19" x14ac:dyDescent="0.3">
      <c r="A6" s="21"/>
      <c r="B6" s="19" t="str">
        <f>'TC4-Contract Parts Info'!B7</f>
        <v>SG-TTVP:20230504-006</v>
      </c>
      <c r="C6" s="22"/>
      <c r="D6" s="12" t="s">
        <v>81</v>
      </c>
      <c r="E6" s="12"/>
      <c r="F6" s="21"/>
      <c r="G6" s="12" t="s">
        <v>195</v>
      </c>
      <c r="H6" s="12">
        <v>10</v>
      </c>
      <c r="I6" s="12">
        <v>10</v>
      </c>
      <c r="J6" s="33" t="n">
        <f>'TC11-Order Regular'!B7</f>
        <v>1000.0</v>
      </c>
      <c r="K6" s="33" t="n">
        <f>'TC25-Customer Order Change'!C7</f>
        <v>1000.0</v>
      </c>
      <c r="L6" s="12"/>
      <c r="M6" s="12" t="s">
        <v>196</v>
      </c>
      <c r="N6" s="12"/>
      <c r="O6" s="33" t="n">
        <f>'TC11-Order Regular'!D7</f>
        <v>1000.0</v>
      </c>
      <c r="P6" s="33"/>
      <c r="Q6" s="12"/>
      <c r="R6" s="33" t="n">
        <f>'TC25-Customer Order Change'!E7</f>
        <v>1000.0</v>
      </c>
      <c r="S6" s="12"/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S6"/>
  <sheetViews>
    <sheetView topLeftCell="D1" workbookViewId="0" zoomScale="90" zoomScaleNormal="90">
      <selection activeCell="Q22" sqref="Q22"/>
    </sheetView>
  </sheetViews>
  <sheetFormatPr defaultRowHeight="13.8" x14ac:dyDescent="0.3"/>
  <cols>
    <col min="1" max="2" customWidth="true" style="2" width="25.77734375" collapsed="true"/>
    <col min="3" max="18" customWidth="true" style="2" width="15.77734375" collapsed="true"/>
    <col min="19" max="16384" style="2" width="8.88671875" collapsed="true"/>
  </cols>
  <sheetData>
    <row r="1" spans="1:18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67" t="s">
        <v>186</v>
      </c>
      <c r="O1" s="67" t="s">
        <v>187</v>
      </c>
      <c r="P1" s="67" t="s">
        <v>188</v>
      </c>
      <c r="Q1" s="67" t="s">
        <v>189</v>
      </c>
      <c r="R1" s="67" t="s">
        <v>190</v>
      </c>
    </row>
    <row r="2" spans="1:18" x14ac:dyDescent="0.3">
      <c r="A2" s="21" t="str">
        <f>'TC4-Contract Parts Info'!C2</f>
        <v>scenario1220230504001</v>
      </c>
      <c r="B2" s="19" t="str">
        <f>'TC7-Contract Parts Info'!B2</f>
        <v>SG-BAFCO:20230504-001</v>
      </c>
      <c r="C2" s="22"/>
      <c r="D2" s="12"/>
      <c r="E2" s="12"/>
      <c r="F2" s="12" t="s">
        <v>193</v>
      </c>
      <c r="G2" s="12">
        <v>5</v>
      </c>
      <c r="H2" s="12">
        <v>10</v>
      </c>
      <c r="I2" s="33" t="n">
        <f>'TC11-Order Regular'!B2</f>
        <v>1000.0</v>
      </c>
      <c r="J2" s="33" t="n">
        <f>'TC25-Customer Order Change'!C2</f>
        <v>1100.0</v>
      </c>
      <c r="K2" s="12"/>
      <c r="L2" s="12" t="s">
        <v>196</v>
      </c>
      <c r="M2" s="12"/>
      <c r="N2" s="33" t="n">
        <f>'TC11-Order Regular'!D2</f>
        <v>500.0</v>
      </c>
      <c r="O2" s="33" t="n">
        <f>'TC11-Order Regular'!E2</f>
        <v>500.0</v>
      </c>
      <c r="P2" s="33" t="n">
        <f>'TC25-Customer Order Change'!D2</f>
        <v>500.0</v>
      </c>
      <c r="Q2" s="33" t="n">
        <f>'TC25-Customer Order Change'!E2</f>
        <v>500.0</v>
      </c>
      <c r="R2" s="33" t="n">
        <f>'TC25-Customer Order Change'!F2</f>
        <v>100.0</v>
      </c>
    </row>
    <row r="3" spans="1:18" x14ac:dyDescent="0.3">
      <c r="A3" s="21" t="str">
        <f>'TC4-Contract Parts Info'!C3</f>
        <v>scenario1220230504002</v>
      </c>
      <c r="B3" s="19" t="str">
        <f>'TC7-Contract Parts Info'!B3</f>
        <v>SG-BAFCO:20230504-002</v>
      </c>
      <c r="C3" s="22"/>
      <c r="D3" s="12"/>
      <c r="E3" s="12"/>
      <c r="F3" s="12" t="s">
        <v>194</v>
      </c>
      <c r="G3" s="12">
        <v>5</v>
      </c>
      <c r="H3" s="12">
        <v>10</v>
      </c>
      <c r="I3" s="33" t="n">
        <f>'TC11-Order Regular'!B3</f>
        <v>1000.0</v>
      </c>
      <c r="J3" s="33" t="n">
        <f>'TC25-Customer Order Change'!C3</f>
        <v>900.0</v>
      </c>
      <c r="K3" s="12"/>
      <c r="L3" s="12" t="s">
        <v>196</v>
      </c>
      <c r="M3" s="12"/>
      <c r="N3" s="33" t="n">
        <f>'TC11-Order Regular'!D3</f>
        <v>500.0</v>
      </c>
      <c r="O3" s="33" t="n">
        <f>'TC11-Order Regular'!E3</f>
        <v>500.0</v>
      </c>
      <c r="P3" s="33" t="n">
        <f>'TC25-Customer Order Change'!D3</f>
        <v>500.0</v>
      </c>
      <c r="Q3" s="33" t="n">
        <f>'TC25-Customer Order Change'!E3</f>
        <v>400.0</v>
      </c>
      <c r="R3" s="33"/>
    </row>
    <row r="4" spans="1:18" x14ac:dyDescent="0.3">
      <c r="A4" s="21" t="str">
        <f>'TC4-Contract Parts Info'!C5</f>
        <v>scenario1220230504004</v>
      </c>
      <c r="B4" s="19" t="str">
        <f>'TC7-Contract Parts Info'!B5</f>
        <v>SG-BAFCO:20230504-004</v>
      </c>
      <c r="C4" s="22"/>
      <c r="D4" s="12"/>
      <c r="E4" s="12"/>
      <c r="F4" s="12" t="s">
        <v>270</v>
      </c>
      <c r="G4" s="12">
        <v>5</v>
      </c>
      <c r="H4" s="12">
        <v>10</v>
      </c>
      <c r="I4" s="33" t="n">
        <f>'TC11-Order Regular'!B5</f>
        <v>1000.0</v>
      </c>
      <c r="J4" s="33" t="n">
        <f>'TC25-Customer Order Change'!C5</f>
        <v>1000.0</v>
      </c>
      <c r="K4" s="12"/>
      <c r="L4" s="12" t="s">
        <v>196</v>
      </c>
      <c r="M4" s="12"/>
      <c r="N4" s="33"/>
      <c r="O4" s="33" t="n">
        <f>'TC11-Order Regular'!E5</f>
        <v>1000.0</v>
      </c>
      <c r="P4" s="33" t="n">
        <f>'TC25-Customer Order Change'!D5</f>
        <v>500.0</v>
      </c>
      <c r="Q4" s="33" t="n">
        <f>'TC25-Customer Order Change'!E5</f>
        <v>500.0</v>
      </c>
      <c r="R4" s="33"/>
    </row>
    <row r="5" spans="1:18" x14ac:dyDescent="0.3">
      <c r="A5" s="21" t="str">
        <f>'TC4-Contract Parts Info'!C6</f>
        <v>scenario1220230504005</v>
      </c>
      <c r="B5" s="19" t="str">
        <f>'TC7-Contract Parts Info'!B6</f>
        <v>SG-BAFCO:20230504-005</v>
      </c>
      <c r="C5" s="22"/>
      <c r="D5" s="12"/>
      <c r="E5" s="21"/>
      <c r="F5" s="12" t="s">
        <v>195</v>
      </c>
      <c r="G5" s="12">
        <v>10</v>
      </c>
      <c r="H5" s="12">
        <v>10</v>
      </c>
      <c r="I5" s="33" t="n">
        <f>'TC11-Order Regular'!B6</f>
        <v>1000.0</v>
      </c>
      <c r="J5" s="33" t="n">
        <f>'TC25-Customer Order Change'!C6</f>
        <v>1000.0</v>
      </c>
      <c r="K5" s="12"/>
      <c r="L5" s="12" t="s">
        <v>196</v>
      </c>
      <c r="M5" s="12"/>
      <c r="N5" s="33" t="n">
        <f>'TC11-Order Regular'!D6</f>
        <v>500.0</v>
      </c>
      <c r="O5" s="33" t="n">
        <f>'TC11-Order Regular'!E6</f>
        <v>500.0</v>
      </c>
      <c r="P5" s="33" t="n">
        <f>'TC25-Customer Order Change'!D6</f>
        <v>1000.0</v>
      </c>
      <c r="Q5" s="33"/>
      <c r="R5" s="33"/>
    </row>
    <row r="6" spans="1:18" x14ac:dyDescent="0.3">
      <c r="A6" s="21" t="str">
        <f>'TC4-Contract Parts Info'!C7</f>
        <v>scenario1220230504006</v>
      </c>
      <c r="B6" s="19" t="str">
        <f>'TC7-Contract Parts Info'!B7</f>
        <v>SG-BAFCO:20230504-006</v>
      </c>
      <c r="C6" s="22"/>
      <c r="D6" s="12"/>
      <c r="E6" s="21"/>
      <c r="F6" s="12" t="s">
        <v>195</v>
      </c>
      <c r="G6" s="12">
        <v>10</v>
      </c>
      <c r="H6" s="12">
        <v>10</v>
      </c>
      <c r="I6" s="33" t="n">
        <f>'TC11-Order Regular'!B7</f>
        <v>1000.0</v>
      </c>
      <c r="J6" s="33" t="n">
        <f>'TC25-Customer Order Change'!C7</f>
        <v>1000.0</v>
      </c>
      <c r="K6" s="12"/>
      <c r="L6" s="12" t="s">
        <v>196</v>
      </c>
      <c r="M6" s="12"/>
      <c r="N6" s="33" t="n">
        <f>'TC11-Order Regular'!D7</f>
        <v>1000.0</v>
      </c>
      <c r="O6" s="33"/>
      <c r="P6" s="33"/>
      <c r="Q6" s="33" t="n">
        <f>'TC25-Customer Order Change'!E7</f>
        <v>1000.0</v>
      </c>
      <c r="R6" s="33"/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T7"/>
  <sheetViews>
    <sheetView topLeftCell="B1" workbookViewId="0" zoomScale="90" zoomScaleNormal="90">
      <selection activeCell="L32" sqref="L32"/>
    </sheetView>
  </sheetViews>
  <sheetFormatPr defaultRowHeight="13.8" x14ac:dyDescent="0.3"/>
  <cols>
    <col min="1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156</v>
      </c>
      <c r="C1" s="51" t="s">
        <v>129</v>
      </c>
      <c r="D1" s="67" t="s">
        <v>198</v>
      </c>
      <c r="E1" s="51" t="s">
        <v>158</v>
      </c>
      <c r="F1" s="51" t="s">
        <v>132</v>
      </c>
      <c r="G1" s="51" t="s">
        <v>133</v>
      </c>
      <c r="H1" s="67" t="s">
        <v>199</v>
      </c>
      <c r="I1" s="51" t="s">
        <v>200</v>
      </c>
      <c r="J1" s="51" t="s">
        <v>201</v>
      </c>
      <c r="K1" s="51" t="s">
        <v>10</v>
      </c>
      <c r="L1" s="51" t="s">
        <v>134</v>
      </c>
      <c r="M1" s="51" t="s">
        <v>203</v>
      </c>
      <c r="N1" s="67" t="s">
        <v>204</v>
      </c>
      <c r="O1" s="51" t="s">
        <v>206</v>
      </c>
      <c r="P1" s="67" t="s">
        <v>205</v>
      </c>
      <c r="Q1" s="51" t="s">
        <v>207</v>
      </c>
      <c r="R1" s="67" t="s">
        <v>325</v>
      </c>
      <c r="S1" s="51" t="s">
        <v>326</v>
      </c>
    </row>
    <row r="2" spans="1:19" x14ac:dyDescent="0.3">
      <c r="A2" s="21" t="s">
        <v>191</v>
      </c>
      <c r="B2" s="13" t="s">
        <v>160</v>
      </c>
      <c r="C2" s="22" t="s">
        <v>164</v>
      </c>
      <c r="D2" s="12" t="str">
        <f ca="1">'TC14-BU SO'!B2</f>
        <v>sTN04-2311001</v>
      </c>
      <c r="E2" s="12" t="s">
        <v>81</v>
      </c>
      <c r="F2" s="12">
        <v>5</v>
      </c>
      <c r="G2" s="12">
        <v>10</v>
      </c>
      <c r="H2" s="33" t="n">
        <f>'TC25-Customer Order Change'!C2</f>
        <v>1100.0</v>
      </c>
      <c r="I2" s="12">
        <v>0</v>
      </c>
      <c r="J2" s="12">
        <v>10.5</v>
      </c>
      <c r="K2" s="12" t="s">
        <v>21</v>
      </c>
      <c r="L2" s="12" t="s">
        <v>202</v>
      </c>
      <c r="M2" s="12">
        <v>0</v>
      </c>
      <c r="N2" s="33" t="n">
        <f>'TC25-Customer Order Change'!D2</f>
        <v>500.0</v>
      </c>
      <c r="O2" s="33" t="s">
        <v>138</v>
      </c>
      <c r="P2" s="33" t="n">
        <f>'TC25-Customer Order Change'!E2</f>
        <v>500.0</v>
      </c>
      <c r="Q2" s="33" t="s">
        <v>138</v>
      </c>
      <c r="R2" s="33" t="n">
        <f>'TC25-Customer Order Change'!F2</f>
        <v>100.0</v>
      </c>
      <c r="S2" s="33" t="s">
        <v>138</v>
      </c>
    </row>
    <row r="3" spans="1:19" x14ac:dyDescent="0.3">
      <c r="A3" s="21" t="s">
        <v>27</v>
      </c>
      <c r="B3" s="13" t="s">
        <v>161</v>
      </c>
      <c r="C3" s="22" t="s">
        <v>165</v>
      </c>
      <c r="D3" s="12" t="str">
        <f ca="1">'TC14-BU SO'!B2</f>
        <v>sTN04-2311001</v>
      </c>
      <c r="E3" s="12" t="s">
        <v>81</v>
      </c>
      <c r="F3" s="12">
        <v>5</v>
      </c>
      <c r="G3" s="12">
        <v>10</v>
      </c>
      <c r="H3" s="33" t="n">
        <f>'TC25-Customer Order Change'!C3</f>
        <v>900.0</v>
      </c>
      <c r="I3" s="12">
        <v>0</v>
      </c>
      <c r="J3" s="12">
        <v>10.5</v>
      </c>
      <c r="K3" s="12" t="s">
        <v>21</v>
      </c>
      <c r="L3" s="12" t="s">
        <v>202</v>
      </c>
      <c r="M3" s="12">
        <v>0</v>
      </c>
      <c r="N3" s="33" t="n">
        <f>'TC25-Customer Order Change'!D3</f>
        <v>500.0</v>
      </c>
      <c r="O3" s="33" t="s">
        <v>138</v>
      </c>
      <c r="P3" s="33" t="n">
        <f>'TC25-Customer Order Change'!E3</f>
        <v>400.0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3" t="s">
        <v>162</v>
      </c>
      <c r="C4" s="22" t="s">
        <v>166</v>
      </c>
      <c r="D4" s="12" t="str">
        <f ca="1">'TC14-BU SO'!B2</f>
        <v>sTN04-2311001</v>
      </c>
      <c r="E4" s="12" t="s">
        <v>81</v>
      </c>
      <c r="F4" s="12">
        <v>5</v>
      </c>
      <c r="G4" s="12">
        <v>10</v>
      </c>
      <c r="H4" s="33" t="n">
        <f>'TC25-Customer Order Change'!C4</f>
        <v>1000.0</v>
      </c>
      <c r="I4" s="12">
        <v>0</v>
      </c>
      <c r="J4" s="12">
        <v>10.5</v>
      </c>
      <c r="K4" s="12" t="s">
        <v>21</v>
      </c>
      <c r="L4" s="12" t="s">
        <v>202</v>
      </c>
      <c r="M4" s="12">
        <v>0</v>
      </c>
      <c r="N4" s="33" t="n">
        <f>'TC25-Customer Order Change'!D4</f>
        <v>500.0</v>
      </c>
      <c r="O4" s="33" t="s">
        <v>138</v>
      </c>
      <c r="P4" s="33" t="n">
        <f>'TC25-Customer Order Change'!E4</f>
        <v>500.0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3" t="s">
        <v>153</v>
      </c>
      <c r="C5" s="22" t="s">
        <v>167</v>
      </c>
      <c r="D5" s="12" t="str">
        <f ca="1">'TC14-BU SO'!B2</f>
        <v>sTN04-2311001</v>
      </c>
      <c r="E5" s="12" t="s">
        <v>81</v>
      </c>
      <c r="F5" s="12">
        <v>5</v>
      </c>
      <c r="G5" s="12">
        <v>10</v>
      </c>
      <c r="H5" s="33" t="n">
        <f>'TC25-Customer Order Change'!C5</f>
        <v>1000.0</v>
      </c>
      <c r="I5" s="12">
        <v>0</v>
      </c>
      <c r="J5" s="12">
        <v>10.5</v>
      </c>
      <c r="K5" s="12" t="s">
        <v>21</v>
      </c>
      <c r="L5" s="12" t="s">
        <v>202</v>
      </c>
      <c r="M5" s="12">
        <v>0</v>
      </c>
      <c r="N5" s="33" t="n">
        <f>'TC25-Customer Order Change'!D5</f>
        <v>500.0</v>
      </c>
      <c r="O5" s="33" t="s">
        <v>138</v>
      </c>
      <c r="P5" s="33" t="n">
        <f>'TC25-Customer Order Change'!E5</f>
        <v>500.0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3" t="s">
        <v>154</v>
      </c>
      <c r="C6" s="22" t="s">
        <v>168</v>
      </c>
      <c r="D6" s="12" t="str">
        <f ca="1">'TC14-BU SO'!B2</f>
        <v>sTN04-2311001</v>
      </c>
      <c r="E6" s="12" t="s">
        <v>81</v>
      </c>
      <c r="F6" s="12">
        <v>10</v>
      </c>
      <c r="G6" s="12">
        <v>10</v>
      </c>
      <c r="H6" s="33" t="n">
        <f>'TC25-Customer Order Change'!C6</f>
        <v>1000.0</v>
      </c>
      <c r="I6" s="12">
        <v>0</v>
      </c>
      <c r="J6" s="12">
        <v>10.5</v>
      </c>
      <c r="K6" s="12" t="s">
        <v>21</v>
      </c>
      <c r="L6" s="12" t="s">
        <v>202</v>
      </c>
      <c r="M6" s="12">
        <v>0</v>
      </c>
      <c r="N6" s="33" t="n">
        <f>'TC25-Customer Order Change'!D6</f>
        <v>1000.0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3" t="s">
        <v>163</v>
      </c>
      <c r="C7" s="22" t="s">
        <v>169</v>
      </c>
      <c r="D7" s="12" t="str">
        <f ca="1">'TC14-BU SO'!B2</f>
        <v>sTN04-2311001</v>
      </c>
      <c r="E7" s="12" t="s">
        <v>81</v>
      </c>
      <c r="F7" s="12">
        <v>10</v>
      </c>
      <c r="G7" s="12">
        <v>10</v>
      </c>
      <c r="H7" s="33" t="n">
        <f>'TC25-Customer Order Change'!C7</f>
        <v>1000.0</v>
      </c>
      <c r="I7" s="12">
        <v>0</v>
      </c>
      <c r="J7" s="12">
        <v>10.5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 t="n">
        <f>'TC25-Customer Order Change'!E7</f>
        <v>1000.0</v>
      </c>
      <c r="Q7" s="33" t="s">
        <v>138</v>
      </c>
      <c r="R7" s="12">
        <v>0</v>
      </c>
      <c r="S7" s="33" t="s">
        <v>138</v>
      </c>
    </row>
  </sheetData>
  <phoneticPr fontId="6" type="noConversion"/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Y7"/>
  <sheetViews>
    <sheetView topLeftCell="G1" workbookViewId="0" zoomScale="90" zoomScaleNormal="90">
      <selection activeCell="Q20" sqref="Q20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210</v>
      </c>
      <c r="P1" s="51" t="s">
        <v>212</v>
      </c>
      <c r="Q1" s="51" t="s">
        <v>211</v>
      </c>
      <c r="R1" s="51" t="s">
        <v>213</v>
      </c>
      <c r="S1" s="51" t="s">
        <v>327</v>
      </c>
      <c r="T1" s="51" t="s">
        <v>328</v>
      </c>
      <c r="U1" s="51" t="s">
        <v>480</v>
      </c>
      <c r="V1" s="51" t="s">
        <v>481</v>
      </c>
      <c r="W1" s="51" t="s">
        <v>482</v>
      </c>
      <c r="X1" s="51" t="s">
        <v>483</v>
      </c>
    </row>
    <row r="2" spans="1:24" x14ac:dyDescent="0.3">
      <c r="A2" s="21" t="s">
        <v>191</v>
      </c>
      <c r="B2" s="19" t="s">
        <v>145</v>
      </c>
      <c r="C2" s="22" t="s">
        <v>164</v>
      </c>
      <c r="D2" s="12" t="str">
        <f ca="1">'TC11-Customer CO'!B2</f>
        <v>cTN04-2311001</v>
      </c>
      <c r="E2" s="12" t="s">
        <v>34</v>
      </c>
      <c r="F2" s="12">
        <v>5</v>
      </c>
      <c r="G2" s="12">
        <v>10</v>
      </c>
      <c r="H2" s="33" t="n">
        <f>'TC25-Customer Order Change'!C2</f>
        <v>1100.0</v>
      </c>
      <c r="I2" s="12">
        <v>10.5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3">
        <v>500</v>
      </c>
      <c r="R2" s="33" t="s">
        <v>138</v>
      </c>
      <c r="S2" s="34">
        <v>0</v>
      </c>
      <c r="T2" s="33" t="s">
        <v>138</v>
      </c>
      <c r="U2" s="34">
        <v>0</v>
      </c>
      <c r="V2" s="33" t="s">
        <v>138</v>
      </c>
      <c r="W2" s="33">
        <v>100</v>
      </c>
      <c r="X2" s="33" t="s">
        <v>138</v>
      </c>
    </row>
    <row r="3" spans="1:24" x14ac:dyDescent="0.3">
      <c r="A3" s="21" t="s">
        <v>27</v>
      </c>
      <c r="B3" s="19" t="s">
        <v>40</v>
      </c>
      <c r="C3" s="22" t="s">
        <v>165</v>
      </c>
      <c r="D3" s="12" t="str">
        <f ca="1">'TC11-Customer CO'!B2</f>
        <v>cTN04-2311001</v>
      </c>
      <c r="E3" s="12" t="s">
        <v>34</v>
      </c>
      <c r="F3" s="12">
        <v>5</v>
      </c>
      <c r="G3" s="12">
        <v>10</v>
      </c>
      <c r="H3" s="33" t="n">
        <f>'TC25-Customer Order Change'!C3</f>
        <v>900.0</v>
      </c>
      <c r="I3" s="12">
        <v>10.5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3">
        <v>400</v>
      </c>
      <c r="R3" s="33" t="s">
        <v>138</v>
      </c>
      <c r="S3" s="34">
        <v>0</v>
      </c>
      <c r="T3" s="33" t="s">
        <v>138</v>
      </c>
      <c r="U3" s="34">
        <v>0</v>
      </c>
      <c r="V3" s="33" t="s">
        <v>138</v>
      </c>
      <c r="W3" s="34">
        <v>0</v>
      </c>
      <c r="X3" s="33" t="s">
        <v>138</v>
      </c>
    </row>
    <row r="4" spans="1:24" x14ac:dyDescent="0.3">
      <c r="A4" s="21" t="s">
        <v>28</v>
      </c>
      <c r="B4" s="19" t="s">
        <v>41</v>
      </c>
      <c r="C4" s="22" t="s">
        <v>166</v>
      </c>
      <c r="D4" s="12" t="str">
        <f ca="1">'TC11-Customer CO'!B2</f>
        <v>cTN04-2311001</v>
      </c>
      <c r="E4" s="12" t="s">
        <v>34</v>
      </c>
      <c r="F4" s="12">
        <v>5</v>
      </c>
      <c r="G4" s="12">
        <v>10</v>
      </c>
      <c r="H4" s="33" t="n">
        <f>'TC25-Customer Order Change'!C4</f>
        <v>1000.0</v>
      </c>
      <c r="I4" s="12">
        <v>10.5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3">
        <v>500</v>
      </c>
      <c r="R4" s="33" t="s">
        <v>138</v>
      </c>
      <c r="S4" s="34">
        <v>0</v>
      </c>
      <c r="T4" s="33" t="s">
        <v>138</v>
      </c>
      <c r="U4" s="34">
        <v>0</v>
      </c>
      <c r="V4" s="33" t="s">
        <v>138</v>
      </c>
      <c r="W4" s="34">
        <v>0</v>
      </c>
      <c r="X4" s="33" t="s">
        <v>138</v>
      </c>
    </row>
    <row r="5" spans="1:24" x14ac:dyDescent="0.3">
      <c r="A5" s="21" t="s">
        <v>29</v>
      </c>
      <c r="B5" s="19" t="s">
        <v>42</v>
      </c>
      <c r="C5" s="22" t="s">
        <v>167</v>
      </c>
      <c r="D5" s="12" t="str">
        <f ca="1">'TC11-Customer CO'!B2</f>
        <v>cTN04-2311001</v>
      </c>
      <c r="E5" s="12" t="s">
        <v>34</v>
      </c>
      <c r="F5" s="12">
        <v>5</v>
      </c>
      <c r="G5" s="12">
        <v>10</v>
      </c>
      <c r="H5" s="33" t="n">
        <f>'TC25-Customer Order Change'!C5</f>
        <v>1000.0</v>
      </c>
      <c r="I5" s="12">
        <v>10.5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3">
        <v>500</v>
      </c>
      <c r="R5" s="33" t="s">
        <v>138</v>
      </c>
      <c r="S5" s="33">
        <v>500</v>
      </c>
      <c r="T5" s="33" t="s">
        <v>138</v>
      </c>
      <c r="U5" s="34">
        <v>0</v>
      </c>
      <c r="V5" s="33" t="s">
        <v>138</v>
      </c>
      <c r="W5" s="34">
        <v>0</v>
      </c>
      <c r="X5" s="33" t="s">
        <v>138</v>
      </c>
    </row>
    <row r="6" spans="1:24" x14ac:dyDescent="0.3">
      <c r="A6" s="21" t="s">
        <v>30</v>
      </c>
      <c r="B6" s="19" t="s">
        <v>43</v>
      </c>
      <c r="C6" s="22" t="s">
        <v>168</v>
      </c>
      <c r="D6" s="12" t="str">
        <f ca="1">'TC11-Customer CO'!B2</f>
        <v>cTN04-2311001</v>
      </c>
      <c r="E6" s="12" t="s">
        <v>34</v>
      </c>
      <c r="F6" s="12">
        <v>10</v>
      </c>
      <c r="G6" s="12">
        <v>10</v>
      </c>
      <c r="H6" s="33" t="n">
        <f>'TC25-Customer Order Change'!C6</f>
        <v>1000.0</v>
      </c>
      <c r="I6" s="12">
        <v>10.5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34">
        <v>0</v>
      </c>
      <c r="T6" s="33" t="s">
        <v>138</v>
      </c>
      <c r="U6" s="34">
        <v>0</v>
      </c>
      <c r="V6" s="33" t="s">
        <v>138</v>
      </c>
      <c r="W6" s="34">
        <v>0</v>
      </c>
      <c r="X6" s="33" t="s">
        <v>138</v>
      </c>
    </row>
    <row r="7" spans="1:24" x14ac:dyDescent="0.3">
      <c r="A7" s="21" t="s">
        <v>31</v>
      </c>
      <c r="B7" s="19" t="s">
        <v>44</v>
      </c>
      <c r="C7" s="22" t="s">
        <v>169</v>
      </c>
      <c r="D7" s="12" t="str">
        <f ca="1">'TC11-Customer CO'!B2</f>
        <v>cTN04-2311001</v>
      </c>
      <c r="E7" s="12" t="s">
        <v>34</v>
      </c>
      <c r="F7" s="12">
        <v>10</v>
      </c>
      <c r="G7" s="12">
        <v>10</v>
      </c>
      <c r="H7" s="33" t="n">
        <f>'TC25-Customer Order Change'!C7</f>
        <v>1000.0</v>
      </c>
      <c r="I7" s="12">
        <v>10.5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34">
        <v>0</v>
      </c>
      <c r="X7" s="33" t="s">
        <v>138</v>
      </c>
    </row>
  </sheetData>
  <phoneticPr fontId="6" type="noConversion"/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T7"/>
  <sheetViews>
    <sheetView topLeftCell="E1" workbookViewId="0" zoomScale="90" zoomScaleNormal="90">
      <selection activeCell="O20" sqref="O20"/>
    </sheetView>
  </sheetViews>
  <sheetFormatPr defaultRowHeight="13.8" x14ac:dyDescent="0.3"/>
  <cols>
    <col min="1" max="2" customWidth="true" style="2" width="25.77734375" collapsed="true"/>
    <col min="3" max="19" customWidth="true" style="2" width="15.77734375" collapsed="true"/>
    <col min="20" max="16384" style="2" width="8.88671875" collapsed="true"/>
  </cols>
  <sheetData>
    <row r="1" spans="1:19" x14ac:dyDescent="0.3">
      <c r="A1" s="67" t="s">
        <v>128</v>
      </c>
      <c r="B1" s="67" t="s">
        <v>208</v>
      </c>
      <c r="C1" s="51" t="s">
        <v>129</v>
      </c>
      <c r="D1" s="67" t="s">
        <v>198</v>
      </c>
      <c r="E1" s="51" t="s">
        <v>158</v>
      </c>
      <c r="F1" s="51" t="s">
        <v>214</v>
      </c>
      <c r="G1" s="51" t="s">
        <v>132</v>
      </c>
      <c r="H1" s="51" t="s">
        <v>133</v>
      </c>
      <c r="I1" s="67" t="s">
        <v>199</v>
      </c>
      <c r="J1" s="51" t="s">
        <v>201</v>
      </c>
      <c r="K1" s="51" t="s">
        <v>10</v>
      </c>
      <c r="L1" s="51" t="s">
        <v>134</v>
      </c>
      <c r="M1" s="51" t="s">
        <v>203</v>
      </c>
      <c r="N1" s="51" t="s">
        <v>204</v>
      </c>
      <c r="O1" s="51" t="s">
        <v>206</v>
      </c>
      <c r="P1" s="51" t="s">
        <v>205</v>
      </c>
      <c r="Q1" s="51" t="s">
        <v>207</v>
      </c>
      <c r="R1" s="51" t="s">
        <v>325</v>
      </c>
      <c r="S1" s="51" t="s">
        <v>326</v>
      </c>
    </row>
    <row r="2" spans="1:19" x14ac:dyDescent="0.3">
      <c r="A2" s="21" t="s">
        <v>191</v>
      </c>
      <c r="B2" s="19" t="s">
        <v>145</v>
      </c>
      <c r="C2" s="22"/>
      <c r="D2" s="12" t="str">
        <f ca="1">'TC14-BU SO'!B2</f>
        <v>sTN04-2311001</v>
      </c>
      <c r="E2" s="12" t="s">
        <v>81</v>
      </c>
      <c r="F2" s="12" t="s">
        <v>81</v>
      </c>
      <c r="G2" s="12">
        <v>5</v>
      </c>
      <c r="H2" s="12">
        <v>10</v>
      </c>
      <c r="I2" s="33" t="n">
        <f>'TC25-Customer Order Change'!C2</f>
        <v>1100.0</v>
      </c>
      <c r="J2" s="12">
        <v>2</v>
      </c>
      <c r="K2" s="12" t="s">
        <v>21</v>
      </c>
      <c r="L2" s="12" t="s">
        <v>202</v>
      </c>
      <c r="M2" s="12">
        <v>0</v>
      </c>
      <c r="N2" s="33">
        <v>500</v>
      </c>
      <c r="O2" s="33" t="s">
        <v>138</v>
      </c>
      <c r="P2" s="33">
        <v>500</v>
      </c>
      <c r="Q2" s="33" t="s">
        <v>138</v>
      </c>
      <c r="R2" s="34">
        <v>100</v>
      </c>
      <c r="S2" s="33" t="s">
        <v>138</v>
      </c>
    </row>
    <row r="3" spans="1:19" x14ac:dyDescent="0.3">
      <c r="A3" s="21" t="s">
        <v>27</v>
      </c>
      <c r="B3" s="19" t="s">
        <v>40</v>
      </c>
      <c r="C3" s="22"/>
      <c r="D3" s="12" t="str">
        <f ca="1">'TC14-BU SO'!B2</f>
        <v>sTN04-2311001</v>
      </c>
      <c r="E3" s="12" t="s">
        <v>81</v>
      </c>
      <c r="F3" s="12" t="s">
        <v>81</v>
      </c>
      <c r="G3" s="12">
        <v>5</v>
      </c>
      <c r="H3" s="12">
        <v>10</v>
      </c>
      <c r="I3" s="33" t="n">
        <f>'TC25-Customer Order Change'!C3</f>
        <v>900.0</v>
      </c>
      <c r="J3" s="12">
        <v>2</v>
      </c>
      <c r="K3" s="12" t="s">
        <v>21</v>
      </c>
      <c r="L3" s="12" t="s">
        <v>202</v>
      </c>
      <c r="M3" s="12">
        <v>0</v>
      </c>
      <c r="N3" s="33">
        <v>500</v>
      </c>
      <c r="O3" s="33" t="s">
        <v>138</v>
      </c>
      <c r="P3" s="33"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9" t="s">
        <v>41</v>
      </c>
      <c r="C4" s="22"/>
      <c r="D4" s="12" t="str">
        <f ca="1">'TC14-BU SO'!B2</f>
        <v>sTN04-2311001</v>
      </c>
      <c r="E4" s="12" t="s">
        <v>81</v>
      </c>
      <c r="F4" s="12" t="s">
        <v>81</v>
      </c>
      <c r="G4" s="12">
        <v>5</v>
      </c>
      <c r="H4" s="12">
        <v>10</v>
      </c>
      <c r="I4" s="33" t="n">
        <f>'TC25-Customer Order Change'!C4</f>
        <v>1000.0</v>
      </c>
      <c r="J4" s="12">
        <v>2</v>
      </c>
      <c r="K4" s="12" t="s">
        <v>21</v>
      </c>
      <c r="L4" s="12" t="s">
        <v>202</v>
      </c>
      <c r="M4" s="12">
        <v>0</v>
      </c>
      <c r="N4" s="33">
        <v>500</v>
      </c>
      <c r="O4" s="33" t="s">
        <v>138</v>
      </c>
      <c r="P4" s="33"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9" t="s">
        <v>42</v>
      </c>
      <c r="C5" s="22"/>
      <c r="D5" s="12" t="str">
        <f ca="1">'TC14-BU SO'!B2</f>
        <v>sTN04-2311001</v>
      </c>
      <c r="E5" s="12" t="s">
        <v>81</v>
      </c>
      <c r="F5" s="12" t="s">
        <v>81</v>
      </c>
      <c r="G5" s="12">
        <v>5</v>
      </c>
      <c r="H5" s="12">
        <v>10</v>
      </c>
      <c r="I5" s="33" t="n">
        <f>'TC25-Customer Order Change'!C5</f>
        <v>1000.0</v>
      </c>
      <c r="J5" s="12">
        <v>2</v>
      </c>
      <c r="K5" s="12" t="s">
        <v>21</v>
      </c>
      <c r="L5" s="12" t="s">
        <v>202</v>
      </c>
      <c r="M5" s="12">
        <v>0</v>
      </c>
      <c r="N5" s="33">
        <v>500</v>
      </c>
      <c r="O5" s="33" t="s">
        <v>138</v>
      </c>
      <c r="P5" s="33"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9" t="s">
        <v>43</v>
      </c>
      <c r="C6" s="22"/>
      <c r="D6" s="12" t="str">
        <f ca="1">'TC14-BU SO'!B2</f>
        <v>sTN04-2311001</v>
      </c>
      <c r="E6" s="12" t="s">
        <v>81</v>
      </c>
      <c r="F6" s="12" t="s">
        <v>81</v>
      </c>
      <c r="G6" s="12">
        <v>10</v>
      </c>
      <c r="H6" s="12">
        <v>10</v>
      </c>
      <c r="I6" s="33" t="n">
        <f>'TC25-Customer Order Change'!C6</f>
        <v>1000.0</v>
      </c>
      <c r="J6" s="12">
        <v>2</v>
      </c>
      <c r="K6" s="12" t="s">
        <v>21</v>
      </c>
      <c r="L6" s="12" t="s">
        <v>202</v>
      </c>
      <c r="M6" s="12">
        <v>0</v>
      </c>
      <c r="N6" s="33"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9" t="s">
        <v>44</v>
      </c>
      <c r="C7" s="22"/>
      <c r="D7" s="12" t="str">
        <f ca="1">'TC14-BU SO'!B2</f>
        <v>sTN04-2311001</v>
      </c>
      <c r="E7" s="12" t="s">
        <v>81</v>
      </c>
      <c r="F7" s="12" t="s">
        <v>81</v>
      </c>
      <c r="G7" s="12">
        <v>10</v>
      </c>
      <c r="H7" s="12">
        <v>10</v>
      </c>
      <c r="I7" s="33" t="n">
        <f>'TC25-Customer Order Change'!C7</f>
        <v>1000.0</v>
      </c>
      <c r="J7" s="12">
        <v>2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H39" sqref="H39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16384" style="2" width="8.88671875" collapsed="true"/>
  </cols>
  <sheetData>
    <row r="1" spans="1:3" x14ac:dyDescent="0.3">
      <c r="A1" s="12" t="s">
        <v>0</v>
      </c>
      <c r="B1" s="67" t="s">
        <v>1</v>
      </c>
    </row>
    <row r="2" spans="1:3" x14ac:dyDescent="0.3">
      <c r="A2" s="12">
        <v>1</v>
      </c>
      <c r="B2" s="22" t="str">
        <f>"RequestPart-"&amp;'TC4'!H2</f>
        <v>RequestPart-TN-04</v>
      </c>
      <c r="C2" s="5"/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Y7"/>
  <sheetViews>
    <sheetView workbookViewId="0" zoomScale="90" zoomScaleNormal="90">
      <selection activeCell="F32" sqref="F32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204</v>
      </c>
      <c r="P1" s="51" t="s">
        <v>206</v>
      </c>
      <c r="Q1" s="51" t="s">
        <v>205</v>
      </c>
      <c r="R1" s="51" t="s">
        <v>207</v>
      </c>
      <c r="S1" s="51" t="s">
        <v>325</v>
      </c>
      <c r="T1" s="51" t="s">
        <v>326</v>
      </c>
      <c r="U1" s="51" t="s">
        <v>440</v>
      </c>
      <c r="V1" s="51" t="s">
        <v>441</v>
      </c>
      <c r="W1" s="51" t="s">
        <v>458</v>
      </c>
      <c r="X1" s="51" t="s">
        <v>459</v>
      </c>
    </row>
    <row r="2" spans="1:24" x14ac:dyDescent="0.3">
      <c r="A2" s="21" t="s">
        <v>191</v>
      </c>
      <c r="B2" s="19" t="s">
        <v>139</v>
      </c>
      <c r="C2" s="12"/>
      <c r="D2" s="12" t="str">
        <f ca="1">'TC15-BU PO'!B2</f>
        <v>pTNs04-2311001</v>
      </c>
      <c r="E2" s="22" t="s">
        <v>34</v>
      </c>
      <c r="F2" s="12">
        <v>5</v>
      </c>
      <c r="G2" s="12">
        <v>10</v>
      </c>
      <c r="H2" s="33" t="n">
        <f>'TC25-Customer Order Change'!C2</f>
        <v>1100.0</v>
      </c>
      <c r="I2" s="12">
        <v>2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4">
        <v>500</v>
      </c>
      <c r="R2" s="33" t="s">
        <v>138</v>
      </c>
      <c r="S2" s="12">
        <v>0</v>
      </c>
      <c r="T2" s="33" t="s">
        <v>138</v>
      </c>
      <c r="U2" s="12">
        <v>0</v>
      </c>
      <c r="V2" s="33" t="s">
        <v>138</v>
      </c>
      <c r="W2" s="12">
        <v>100</v>
      </c>
      <c r="X2" s="33" t="s">
        <v>138</v>
      </c>
    </row>
    <row r="3" spans="1:24" x14ac:dyDescent="0.3">
      <c r="A3" s="21" t="s">
        <v>27</v>
      </c>
      <c r="B3" s="19" t="s">
        <v>140</v>
      </c>
      <c r="C3" s="12"/>
      <c r="D3" s="12" t="str">
        <f ca="1">'TC15-BU PO'!B2</f>
        <v>pTNs04-2311001</v>
      </c>
      <c r="E3" s="22" t="s">
        <v>34</v>
      </c>
      <c r="F3" s="12">
        <v>5</v>
      </c>
      <c r="G3" s="12">
        <v>10</v>
      </c>
      <c r="H3" s="33" t="n">
        <f>'TC25-Customer Order Change'!C3</f>
        <v>900.0</v>
      </c>
      <c r="I3" s="12">
        <v>2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4">
        <v>400</v>
      </c>
      <c r="R3" s="33" t="s">
        <v>138</v>
      </c>
      <c r="S3" s="12">
        <v>0</v>
      </c>
      <c r="T3" s="33" t="s">
        <v>138</v>
      </c>
      <c r="U3" s="12">
        <v>0</v>
      </c>
      <c r="V3" s="33" t="s">
        <v>138</v>
      </c>
      <c r="W3" s="12">
        <v>0</v>
      </c>
      <c r="X3" s="33" t="s">
        <v>138</v>
      </c>
    </row>
    <row r="4" spans="1:24" x14ac:dyDescent="0.3">
      <c r="A4" s="21" t="s">
        <v>28</v>
      </c>
      <c r="B4" s="19" t="s">
        <v>141</v>
      </c>
      <c r="C4" s="12"/>
      <c r="D4" s="12" t="str">
        <f ca="1">'TC15-BU PO'!B2</f>
        <v>pTNs04-2311001</v>
      </c>
      <c r="E4" s="22" t="s">
        <v>34</v>
      </c>
      <c r="F4" s="12">
        <v>5</v>
      </c>
      <c r="G4" s="12">
        <v>10</v>
      </c>
      <c r="H4" s="33" t="n">
        <f>'TC25-Customer Order Change'!C4</f>
        <v>1000.0</v>
      </c>
      <c r="I4" s="12">
        <v>2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4">
        <v>500</v>
      </c>
      <c r="R4" s="33" t="s">
        <v>138</v>
      </c>
      <c r="S4" s="12">
        <v>0</v>
      </c>
      <c r="T4" s="33" t="s">
        <v>138</v>
      </c>
      <c r="U4" s="12">
        <v>0</v>
      </c>
      <c r="V4" s="33" t="s">
        <v>138</v>
      </c>
      <c r="W4" s="12">
        <v>0</v>
      </c>
      <c r="X4" s="33" t="s">
        <v>138</v>
      </c>
    </row>
    <row r="5" spans="1:24" x14ac:dyDescent="0.3">
      <c r="A5" s="21" t="s">
        <v>29</v>
      </c>
      <c r="B5" s="19" t="s">
        <v>142</v>
      </c>
      <c r="C5" s="12"/>
      <c r="D5" s="12" t="str">
        <f ca="1">'TC15-BU PO'!B2</f>
        <v>pTNs04-2311001</v>
      </c>
      <c r="E5" s="22" t="s">
        <v>34</v>
      </c>
      <c r="F5" s="12">
        <v>5</v>
      </c>
      <c r="G5" s="12">
        <v>10</v>
      </c>
      <c r="H5" s="33" t="n">
        <f>'TC25-Customer Order Change'!C5</f>
        <v>1000.0</v>
      </c>
      <c r="I5" s="12">
        <v>2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4">
        <v>500</v>
      </c>
      <c r="R5" s="33" t="s">
        <v>138</v>
      </c>
      <c r="S5" s="34">
        <v>500</v>
      </c>
      <c r="T5" s="33" t="s">
        <v>138</v>
      </c>
      <c r="U5" s="12">
        <v>0</v>
      </c>
      <c r="V5" s="33" t="s">
        <v>138</v>
      </c>
      <c r="W5" s="12">
        <v>0</v>
      </c>
      <c r="X5" s="33" t="s">
        <v>138</v>
      </c>
    </row>
    <row r="6" spans="1:24" x14ac:dyDescent="0.3">
      <c r="A6" s="21" t="s">
        <v>30</v>
      </c>
      <c r="B6" s="19" t="s">
        <v>143</v>
      </c>
      <c r="C6" s="12"/>
      <c r="D6" s="12" t="str">
        <f ca="1">'TC15-BU PO'!B2</f>
        <v>pTNs04-2311001</v>
      </c>
      <c r="E6" s="22" t="s">
        <v>34</v>
      </c>
      <c r="F6" s="12">
        <v>10</v>
      </c>
      <c r="G6" s="12">
        <v>10</v>
      </c>
      <c r="H6" s="33" t="n">
        <f>'TC25-Customer Order Change'!C6</f>
        <v>1000.0</v>
      </c>
      <c r="I6" s="12">
        <v>2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12">
        <v>0</v>
      </c>
      <c r="T6" s="33" t="s">
        <v>138</v>
      </c>
      <c r="U6" s="12">
        <v>0</v>
      </c>
      <c r="V6" s="33" t="s">
        <v>138</v>
      </c>
      <c r="W6" s="12">
        <v>0</v>
      </c>
      <c r="X6" s="33" t="s">
        <v>138</v>
      </c>
    </row>
    <row r="7" spans="1:24" x14ac:dyDescent="0.3">
      <c r="A7" s="21" t="s">
        <v>31</v>
      </c>
      <c r="B7" s="19" t="s">
        <v>144</v>
      </c>
      <c r="C7" s="12"/>
      <c r="D7" s="12" t="str">
        <f ca="1">'TC15-BU PO'!B2</f>
        <v>pTNs04-2311001</v>
      </c>
      <c r="E7" s="22" t="s">
        <v>34</v>
      </c>
      <c r="F7" s="12">
        <v>10</v>
      </c>
      <c r="G7" s="12">
        <v>10</v>
      </c>
      <c r="H7" s="33" t="n">
        <f>'TC25-Customer Order Change'!C7</f>
        <v>1000.0</v>
      </c>
      <c r="I7" s="12">
        <v>2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12">
        <v>0</v>
      </c>
      <c r="X7" s="33" t="s">
        <v>138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F2"/>
  <sheetViews>
    <sheetView workbookViewId="0" zoomScale="90" zoomScaleNormal="90">
      <selection activeCell="E1" sqref="A1:E1"/>
    </sheetView>
  </sheetViews>
  <sheetFormatPr defaultRowHeight="13.8" x14ac:dyDescent="0.3"/>
  <cols>
    <col min="1" max="5" customWidth="true" style="2" width="20.77734375" collapsed="true"/>
    <col min="6" max="16384" style="2" width="8.88671875" collapsed="true"/>
  </cols>
  <sheetData>
    <row r="1" spans="1:5" x14ac:dyDescent="0.3">
      <c r="A1" s="51" t="s">
        <v>173</v>
      </c>
      <c r="B1" s="51" t="s">
        <v>174</v>
      </c>
      <c r="C1" s="51" t="s">
        <v>175</v>
      </c>
      <c r="D1" s="51" t="s">
        <v>291</v>
      </c>
      <c r="E1" s="51" t="s">
        <v>460</v>
      </c>
    </row>
    <row r="2" spans="1:5" x14ac:dyDescent="0.3">
      <c r="A2" s="12" t="str">
        <f ca="1">TEXT(DATE(YEAR(TODAY()), MONTH(TODAY())+1, DAY(TODAY())), "dd MMM yyyy")</f>
        <v>08 Dec 2023</v>
      </c>
      <c r="B2" s="12" t="str">
        <f ca="1">TEXT(DATE(YEAR(TODAY()), MONTH(TODAY())+2, DAY(TODAY())), "dd MMM yyyy")</f>
        <v>08 Jan 2024</v>
      </c>
      <c r="C2" s="12" t="str">
        <f ca="1">TEXT(DATE(YEAR(TODAY()), MONTH(TODAY())+3, DAY(TODAY())), "dd MMM yyyy")</f>
        <v>08 Feb 2024</v>
      </c>
      <c r="D2" s="12" t="str">
        <f ca="1">TEXT(DATE(YEAR(TODAY()), MONTH(TODAY())+4, DAY(TODAY())), "dd MMM yyyy")</f>
        <v>08 Mar 2024</v>
      </c>
      <c r="E2" s="12"/>
    </row>
  </sheetData>
  <phoneticPr fontId="6" type="noConversion"/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I7"/>
  <sheetViews>
    <sheetView workbookViewId="0" zoomScale="90" zoomScaleNormal="90">
      <selection activeCell="E12" sqref="E12"/>
    </sheetView>
  </sheetViews>
  <sheetFormatPr defaultRowHeight="13.8" x14ac:dyDescent="0.3"/>
  <cols>
    <col min="1" max="1" customWidth="true" style="2" width="4.77734375" collapsed="true"/>
    <col min="2" max="2" customWidth="true" style="2" width="25.77734375" collapsed="true"/>
    <col min="3" max="8" customWidth="true" style="2" width="15.77734375" collapsed="true"/>
    <col min="9" max="16384" style="2" width="8.88671875" collapsed="true"/>
  </cols>
  <sheetData>
    <row r="1" spans="1:8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  <c r="G1" s="51" t="s">
        <v>291</v>
      </c>
      <c r="H1" s="51" t="s">
        <v>460</v>
      </c>
    </row>
    <row r="2" spans="1:8" x14ac:dyDescent="0.3">
      <c r="A2" s="25">
        <v>1</v>
      </c>
      <c r="B2" s="21" t="s">
        <v>26</v>
      </c>
      <c r="C2" s="33">
        <v>1000</v>
      </c>
      <c r="D2" s="33">
        <v>500</v>
      </c>
      <c r="E2" s="33">
        <v>500</v>
      </c>
      <c r="F2" s="12"/>
      <c r="G2" s="12"/>
      <c r="H2" s="12"/>
    </row>
    <row r="3" spans="1:8" x14ac:dyDescent="0.3">
      <c r="A3" s="25">
        <v>2</v>
      </c>
      <c r="B3" s="21" t="s">
        <v>27</v>
      </c>
      <c r="C3" s="33">
        <v>800</v>
      </c>
      <c r="D3" s="12"/>
      <c r="E3" s="33">
        <v>800</v>
      </c>
      <c r="F3" s="12"/>
      <c r="G3" s="12"/>
      <c r="H3" s="12"/>
    </row>
    <row r="4" spans="1:8" x14ac:dyDescent="0.3">
      <c r="A4" s="12">
        <v>3</v>
      </c>
      <c r="B4" s="21" t="s">
        <v>28</v>
      </c>
      <c r="C4" s="33">
        <v>900</v>
      </c>
      <c r="D4" s="33">
        <v>500</v>
      </c>
      <c r="E4" s="33">
        <v>400</v>
      </c>
      <c r="F4" s="12"/>
      <c r="G4" s="12"/>
      <c r="H4" s="12"/>
    </row>
    <row r="5" spans="1:8" x14ac:dyDescent="0.3">
      <c r="A5" s="25">
        <v>4</v>
      </c>
      <c r="B5" s="21" t="s">
        <v>29</v>
      </c>
      <c r="C5" s="33">
        <v>1200</v>
      </c>
      <c r="D5" s="33">
        <v>1000</v>
      </c>
      <c r="E5" s="12"/>
      <c r="F5" s="12"/>
      <c r="G5" s="33">
        <v>200</v>
      </c>
      <c r="H5" s="33"/>
    </row>
    <row r="6" spans="1:8" x14ac:dyDescent="0.3">
      <c r="A6" s="25">
        <v>5</v>
      </c>
      <c r="B6" s="21" t="s">
        <v>30</v>
      </c>
      <c r="C6" s="33">
        <v>1000</v>
      </c>
      <c r="D6" s="33">
        <v>500</v>
      </c>
      <c r="E6" s="33">
        <v>500</v>
      </c>
      <c r="F6" s="12"/>
      <c r="G6" s="12"/>
      <c r="H6" s="12"/>
    </row>
    <row r="7" spans="1:8" x14ac:dyDescent="0.3">
      <c r="A7" s="25">
        <v>6</v>
      </c>
      <c r="B7" s="21" t="s">
        <v>31</v>
      </c>
      <c r="C7" s="33">
        <v>1100</v>
      </c>
      <c r="D7" s="33">
        <v>500</v>
      </c>
      <c r="E7" s="33">
        <v>500</v>
      </c>
      <c r="F7" s="33">
        <v>100</v>
      </c>
      <c r="G7" s="12"/>
      <c r="H7" s="12"/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B2"/>
  <sheetViews>
    <sheetView workbookViewId="0"/>
  </sheetViews>
  <sheetFormatPr defaultRowHeight="13.8" x14ac:dyDescent="0.3"/>
  <cols>
    <col min="1" max="1" customWidth="true" style="2" width="20.77734375" collapsed="true"/>
    <col min="2" max="16384" style="2" width="8.88671875" collapsed="true"/>
  </cols>
  <sheetData>
    <row r="1" spans="1:1" x14ac:dyDescent="0.3">
      <c r="A1" s="79" t="s">
        <v>102</v>
      </c>
    </row>
    <row r="2" spans="1:1" x14ac:dyDescent="0.3">
      <c r="A2" s="12" t="str">
        <f ca="1">"rs"&amp;AutoIncrement!C2&amp;AutoIncrement!A2&amp;"-23"&amp;TEXT(TODAY(),"mm")&amp;"001-01"</f>
        <v>rsTNs04-2311001-01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W7"/>
  <sheetViews>
    <sheetView topLeftCell="D1" workbookViewId="0" zoomScale="90" zoomScaleNormal="90">
      <selection activeCell="J2" sqref="J2"/>
    </sheetView>
  </sheetViews>
  <sheetFormatPr defaultRowHeight="13.8" x14ac:dyDescent="0.3"/>
  <cols>
    <col min="1" max="2" customWidth="true" style="2" width="25.77734375" collapsed="true"/>
    <col min="3" max="22" customWidth="true" style="2" width="15.77734375" collapsed="true"/>
    <col min="23" max="16384" style="2" width="8.88671875" collapsed="true"/>
  </cols>
  <sheetData>
    <row r="1" spans="1:22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51" t="s">
        <v>334</v>
      </c>
      <c r="O1" s="51" t="s">
        <v>335</v>
      </c>
      <c r="P1" s="51" t="s">
        <v>336</v>
      </c>
      <c r="Q1" s="51" t="s">
        <v>337</v>
      </c>
      <c r="R1" s="51" t="s">
        <v>461</v>
      </c>
      <c r="S1" s="51" t="s">
        <v>338</v>
      </c>
      <c r="T1" s="51" t="s">
        <v>339</v>
      </c>
      <c r="U1" s="51" t="s">
        <v>340</v>
      </c>
      <c r="V1" s="51" t="s">
        <v>462</v>
      </c>
    </row>
    <row r="2" spans="1:22" x14ac:dyDescent="0.3">
      <c r="A2" s="21" t="s">
        <v>191</v>
      </c>
      <c r="B2" s="13" t="s">
        <v>139</v>
      </c>
      <c r="C2" s="22"/>
      <c r="D2" s="12"/>
      <c r="E2" s="21"/>
      <c r="F2" s="12" t="s">
        <v>193</v>
      </c>
      <c r="G2" s="12">
        <v>5</v>
      </c>
      <c r="H2" s="12">
        <v>10</v>
      </c>
      <c r="I2" s="33" t="n">
        <f>'TC25-Customer Order Change'!C2</f>
        <v>1100.0</v>
      </c>
      <c r="J2" s="33" t="n">
        <f>'TC33-New Firm Qty'!C2</f>
        <v>1000.0</v>
      </c>
      <c r="K2" s="12">
        <v>0</v>
      </c>
      <c r="L2" s="12" t="s">
        <v>196</v>
      </c>
      <c r="M2" s="12"/>
      <c r="N2" s="33">
        <v>500</v>
      </c>
      <c r="O2" s="33">
        <v>500</v>
      </c>
      <c r="P2" s="33"/>
      <c r="Q2" s="33"/>
      <c r="R2" s="33">
        <v>100</v>
      </c>
      <c r="S2" s="33">
        <v>500</v>
      </c>
      <c r="T2" s="33">
        <v>500</v>
      </c>
      <c r="U2" s="12"/>
      <c r="V2" s="12"/>
    </row>
    <row r="3" spans="1:22" x14ac:dyDescent="0.3">
      <c r="A3" s="21" t="s">
        <v>27</v>
      </c>
      <c r="B3" s="13" t="s">
        <v>140</v>
      </c>
      <c r="C3" s="22"/>
      <c r="D3" s="12"/>
      <c r="E3" s="21"/>
      <c r="F3" s="12" t="s">
        <v>194</v>
      </c>
      <c r="G3" s="12">
        <v>5</v>
      </c>
      <c r="H3" s="12">
        <v>10</v>
      </c>
      <c r="I3" s="33" t="n">
        <f>'TC25-Customer Order Change'!C3</f>
        <v>900.0</v>
      </c>
      <c r="J3" s="33" t="n">
        <f>'TC33-New Firm Qty'!C3</f>
        <v>800.0</v>
      </c>
      <c r="K3" s="12">
        <v>0</v>
      </c>
      <c r="L3" s="12" t="s">
        <v>196</v>
      </c>
      <c r="M3" s="12"/>
      <c r="N3" s="33">
        <v>500</v>
      </c>
      <c r="O3" s="33">
        <v>400</v>
      </c>
      <c r="P3" s="33"/>
      <c r="Q3" s="12"/>
      <c r="R3" s="12"/>
      <c r="S3" s="33"/>
      <c r="T3" s="33">
        <v>800</v>
      </c>
      <c r="U3" s="12"/>
      <c r="V3" s="12"/>
    </row>
    <row r="4" spans="1:22" x14ac:dyDescent="0.3">
      <c r="A4" s="21" t="s">
        <v>28</v>
      </c>
      <c r="B4" s="13" t="s">
        <v>141</v>
      </c>
      <c r="C4" s="22"/>
      <c r="D4" s="12"/>
      <c r="E4" s="21"/>
      <c r="F4" s="12" t="s">
        <v>195</v>
      </c>
      <c r="G4" s="12">
        <v>5</v>
      </c>
      <c r="H4" s="12">
        <v>10</v>
      </c>
      <c r="I4" s="33" t="n">
        <f>'TC25-Customer Order Change'!C4</f>
        <v>1000.0</v>
      </c>
      <c r="J4" s="33" t="n">
        <f>'TC33-New Firm Qty'!C4</f>
        <v>900.0</v>
      </c>
      <c r="K4" s="12">
        <v>0</v>
      </c>
      <c r="L4" s="12" t="s">
        <v>196</v>
      </c>
      <c r="M4" s="12"/>
      <c r="N4" s="33">
        <v>500</v>
      </c>
      <c r="O4" s="33">
        <v>500</v>
      </c>
      <c r="P4" s="33"/>
      <c r="Q4" s="33"/>
      <c r="R4" s="33"/>
      <c r="S4" s="33">
        <v>500</v>
      </c>
      <c r="T4" s="33">
        <v>400</v>
      </c>
      <c r="U4" s="12"/>
      <c r="V4" s="12"/>
    </row>
    <row r="5" spans="1:22" x14ac:dyDescent="0.3">
      <c r="A5" s="21" t="s">
        <v>29</v>
      </c>
      <c r="B5" s="13" t="s">
        <v>142</v>
      </c>
      <c r="C5" s="22"/>
      <c r="D5" s="12"/>
      <c r="E5" s="21"/>
      <c r="F5" s="12" t="s">
        <v>270</v>
      </c>
      <c r="G5" s="12">
        <v>5</v>
      </c>
      <c r="H5" s="12">
        <v>10</v>
      </c>
      <c r="I5" s="33" t="n">
        <f>'TC25-Customer Order Change'!C5</f>
        <v>1000.0</v>
      </c>
      <c r="J5" s="33" t="n">
        <f>'TC33-New Firm Qty'!C5</f>
        <v>1200.0</v>
      </c>
      <c r="K5" s="12">
        <v>0</v>
      </c>
      <c r="L5" s="12" t="s">
        <v>196</v>
      </c>
      <c r="M5" s="12"/>
      <c r="N5" s="33"/>
      <c r="O5" s="33">
        <v>500</v>
      </c>
      <c r="P5" s="33">
        <v>500</v>
      </c>
      <c r="Q5" s="33"/>
      <c r="R5" s="33"/>
      <c r="S5" s="33">
        <v>1000</v>
      </c>
      <c r="T5" s="33"/>
      <c r="U5" s="12"/>
      <c r="V5" s="12">
        <v>200</v>
      </c>
    </row>
    <row r="6" spans="1:22" x14ac:dyDescent="0.3">
      <c r="A6" s="21" t="s">
        <v>152</v>
      </c>
      <c r="B6" s="13" t="s">
        <v>143</v>
      </c>
      <c r="C6" s="22"/>
      <c r="D6" s="12"/>
      <c r="E6" s="12"/>
      <c r="F6" s="12" t="s">
        <v>195</v>
      </c>
      <c r="G6" s="12">
        <v>10</v>
      </c>
      <c r="H6" s="12">
        <v>10</v>
      </c>
      <c r="I6" s="33" t="n">
        <f>'TC25-Customer Order Change'!C6</f>
        <v>1000.0</v>
      </c>
      <c r="J6" s="33" t="n">
        <f>'TC33-New Firm Qty'!C6</f>
        <v>1000.0</v>
      </c>
      <c r="K6" s="12">
        <v>0</v>
      </c>
      <c r="L6" s="12" t="s">
        <v>196</v>
      </c>
      <c r="M6" s="12"/>
      <c r="N6" s="33">
        <v>1000</v>
      </c>
      <c r="O6" s="33"/>
      <c r="P6" s="33"/>
      <c r="Q6" s="33"/>
      <c r="R6" s="33"/>
      <c r="S6" s="33">
        <v>500</v>
      </c>
      <c r="T6" s="33">
        <v>500</v>
      </c>
      <c r="U6" s="33"/>
      <c r="V6" s="12"/>
    </row>
    <row r="7" spans="1:22" x14ac:dyDescent="0.3">
      <c r="A7" s="21" t="s">
        <v>268</v>
      </c>
      <c r="B7" s="13" t="s">
        <v>144</v>
      </c>
      <c r="C7" s="22"/>
      <c r="D7" s="12"/>
      <c r="E7" s="12"/>
      <c r="F7" s="12" t="s">
        <v>195</v>
      </c>
      <c r="G7" s="12">
        <v>10</v>
      </c>
      <c r="H7" s="12">
        <v>10</v>
      </c>
      <c r="I7" s="33" t="n">
        <f>'TC25-Customer Order Change'!C7</f>
        <v>1000.0</v>
      </c>
      <c r="J7" s="33" t="n">
        <f>'TC33-New Firm Qty'!C7</f>
        <v>1100.0</v>
      </c>
      <c r="K7" s="12">
        <v>0</v>
      </c>
      <c r="L7" s="12" t="s">
        <v>196</v>
      </c>
      <c r="M7" s="12"/>
      <c r="N7" s="33"/>
      <c r="O7" s="33"/>
      <c r="P7" s="33"/>
      <c r="Q7" s="33">
        <v>1000</v>
      </c>
      <c r="R7" s="33"/>
      <c r="S7" s="33">
        <v>500</v>
      </c>
      <c r="T7" s="33">
        <v>500</v>
      </c>
      <c r="U7" s="33">
        <v>100</v>
      </c>
      <c r="V7" s="12"/>
    </row>
  </sheetData>
  <phoneticPr fontId="6" type="noConversion"/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X7"/>
  <sheetViews>
    <sheetView workbookViewId="0" zoomScale="90" zoomScaleNormal="90">
      <selection activeCell="K34" sqref="K34"/>
    </sheetView>
  </sheetViews>
  <sheetFormatPr defaultRowHeight="13.8" x14ac:dyDescent="0.3"/>
  <cols>
    <col min="1" max="2" customWidth="true" style="2" width="25.77734375" collapsed="true"/>
    <col min="3" max="23" customWidth="true" style="2" width="15.77734375" collapsed="true"/>
    <col min="24" max="16384" style="2" width="8.88671875" collapsed="true"/>
  </cols>
  <sheetData>
    <row r="1" spans="1:23" x14ac:dyDescent="0.3">
      <c r="A1" s="67" t="s">
        <v>128</v>
      </c>
      <c r="B1" s="67" t="s">
        <v>197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341</v>
      </c>
      <c r="S1" s="51" t="s">
        <v>342</v>
      </c>
      <c r="T1" s="51" t="s">
        <v>188</v>
      </c>
      <c r="U1" s="51" t="s">
        <v>189</v>
      </c>
      <c r="V1" s="51" t="s">
        <v>190</v>
      </c>
      <c r="W1" s="51" t="s">
        <v>293</v>
      </c>
    </row>
    <row r="2" spans="1:23" x14ac:dyDescent="0.3">
      <c r="A2" s="21" t="s">
        <v>191</v>
      </c>
      <c r="B2" s="13" t="s">
        <v>114</v>
      </c>
      <c r="C2" s="22" t="s">
        <v>164</v>
      </c>
      <c r="D2" s="22" t="s">
        <v>81</v>
      </c>
      <c r="E2" s="12"/>
      <c r="F2" s="21"/>
      <c r="G2" s="12" t="s">
        <v>193</v>
      </c>
      <c r="H2" s="12">
        <v>5</v>
      </c>
      <c r="I2" s="12">
        <v>10</v>
      </c>
      <c r="J2" s="33" t="n">
        <f>'TC25-Customer Order Change'!C2</f>
        <v>1100.0</v>
      </c>
      <c r="K2" s="33" t="n">
        <f>'TC33-New Firm Qty'!C2</f>
        <v>1000.0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/>
      <c r="R2" s="12"/>
      <c r="S2" s="12">
        <v>100</v>
      </c>
      <c r="T2" s="33">
        <v>500</v>
      </c>
      <c r="U2" s="33">
        <v>500</v>
      </c>
      <c r="V2" s="33"/>
      <c r="W2" s="33"/>
    </row>
    <row r="3" spans="1:23" x14ac:dyDescent="0.3">
      <c r="A3" s="21" t="s">
        <v>27</v>
      </c>
      <c r="B3" s="13" t="s">
        <v>40</v>
      </c>
      <c r="C3" s="22" t="s">
        <v>165</v>
      </c>
      <c r="D3" s="22" t="s">
        <v>81</v>
      </c>
      <c r="E3" s="12"/>
      <c r="F3" s="21"/>
      <c r="G3" s="12" t="s">
        <v>194</v>
      </c>
      <c r="H3" s="12">
        <v>5</v>
      </c>
      <c r="I3" s="12">
        <v>10</v>
      </c>
      <c r="J3" s="33" t="n">
        <f>'TC25-Customer Order Change'!C3</f>
        <v>900.0</v>
      </c>
      <c r="K3" s="33" t="n">
        <f>'TC33-New Firm Qty'!C3</f>
        <v>800.0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12"/>
      <c r="S3" s="12"/>
      <c r="T3" s="33"/>
      <c r="U3" s="33">
        <v>800</v>
      </c>
      <c r="V3" s="33"/>
      <c r="W3" s="12"/>
    </row>
    <row r="4" spans="1:23" x14ac:dyDescent="0.3">
      <c r="A4" s="21" t="s">
        <v>28</v>
      </c>
      <c r="B4" s="13" t="s">
        <v>41</v>
      </c>
      <c r="C4" s="22" t="s">
        <v>166</v>
      </c>
      <c r="D4" s="22" t="s">
        <v>81</v>
      </c>
      <c r="E4" s="12"/>
      <c r="F4" s="21"/>
      <c r="G4" s="12" t="s">
        <v>195</v>
      </c>
      <c r="H4" s="12">
        <v>5</v>
      </c>
      <c r="I4" s="12">
        <v>10</v>
      </c>
      <c r="J4" s="33" t="n">
        <f>'TC25-Customer Order Change'!C4</f>
        <v>1000.0</v>
      </c>
      <c r="K4" s="33" t="n">
        <f>'TC33-New Firm Qty'!C4</f>
        <v>900.0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12"/>
      <c r="S4" s="12"/>
      <c r="T4" s="33">
        <v>500</v>
      </c>
      <c r="U4" s="33">
        <v>400</v>
      </c>
      <c r="V4" s="33"/>
      <c r="W4" s="12"/>
    </row>
    <row r="5" spans="1:23" x14ac:dyDescent="0.3">
      <c r="A5" s="21" t="s">
        <v>29</v>
      </c>
      <c r="B5" s="13" t="s">
        <v>42</v>
      </c>
      <c r="C5" s="22" t="s">
        <v>167</v>
      </c>
      <c r="D5" s="22" t="s">
        <v>81</v>
      </c>
      <c r="E5" s="12"/>
      <c r="F5" s="21"/>
      <c r="G5" s="12" t="s">
        <v>270</v>
      </c>
      <c r="H5" s="12">
        <v>5</v>
      </c>
      <c r="I5" s="12">
        <v>10</v>
      </c>
      <c r="J5" s="33" t="n">
        <f>'TC25-Customer Order Change'!C5</f>
        <v>1000.0</v>
      </c>
      <c r="K5" s="33" t="n">
        <f>'TC33-New Firm Qty'!C5</f>
        <v>1200.0</v>
      </c>
      <c r="L5" s="12">
        <v>0</v>
      </c>
      <c r="M5" s="12" t="s">
        <v>196</v>
      </c>
      <c r="N5" s="12"/>
      <c r="O5" s="33"/>
      <c r="P5" s="33">
        <v>500</v>
      </c>
      <c r="Q5" s="33">
        <v>500</v>
      </c>
      <c r="R5" s="12"/>
      <c r="S5" s="12"/>
      <c r="T5" s="33">
        <v>1000</v>
      </c>
      <c r="U5" s="33"/>
      <c r="V5" s="33"/>
      <c r="W5" s="12">
        <v>200</v>
      </c>
    </row>
    <row r="6" spans="1:23" x14ac:dyDescent="0.3">
      <c r="A6" s="21" t="s">
        <v>152</v>
      </c>
      <c r="B6" s="13" t="s">
        <v>43</v>
      </c>
      <c r="C6" s="22" t="s">
        <v>168</v>
      </c>
      <c r="D6" s="22" t="s">
        <v>81</v>
      </c>
      <c r="E6" s="12"/>
      <c r="F6" s="12"/>
      <c r="G6" s="12" t="s">
        <v>195</v>
      </c>
      <c r="H6" s="12">
        <v>10</v>
      </c>
      <c r="I6" s="12">
        <v>10</v>
      </c>
      <c r="J6" s="33" t="n">
        <f>'TC25-Customer Order Change'!C6</f>
        <v>1000.0</v>
      </c>
      <c r="K6" s="33" t="n">
        <f>'TC33-New Firm Qty'!C6</f>
        <v>1000.0</v>
      </c>
      <c r="L6" s="12">
        <v>0</v>
      </c>
      <c r="M6" s="12" t="s">
        <v>196</v>
      </c>
      <c r="N6" s="12"/>
      <c r="O6" s="33">
        <v>1000</v>
      </c>
      <c r="P6" s="33"/>
      <c r="Q6" s="33"/>
      <c r="R6" s="12"/>
      <c r="S6" s="12"/>
      <c r="T6" s="33">
        <v>500</v>
      </c>
      <c r="U6" s="33">
        <v>500</v>
      </c>
      <c r="V6" s="33"/>
      <c r="W6" s="12"/>
    </row>
    <row r="7" spans="1:23" x14ac:dyDescent="0.3">
      <c r="A7" s="21" t="s">
        <v>268</v>
      </c>
      <c r="B7" s="13" t="s">
        <v>44</v>
      </c>
      <c r="C7" s="22" t="s">
        <v>169</v>
      </c>
      <c r="D7" s="22" t="s">
        <v>81</v>
      </c>
      <c r="E7" s="12"/>
      <c r="F7" s="12"/>
      <c r="G7" s="12" t="s">
        <v>195</v>
      </c>
      <c r="H7" s="12">
        <v>10</v>
      </c>
      <c r="I7" s="12">
        <v>10</v>
      </c>
      <c r="J7" s="33" t="n">
        <f>'TC25-Customer Order Change'!C7</f>
        <v>1000.0</v>
      </c>
      <c r="K7" s="33" t="n">
        <f>'TC33-New Firm Qty'!C7</f>
        <v>1100.0</v>
      </c>
      <c r="L7" s="12">
        <v>0</v>
      </c>
      <c r="M7" s="12" t="s">
        <v>196</v>
      </c>
      <c r="N7" s="12"/>
      <c r="O7" s="33"/>
      <c r="P7" s="33"/>
      <c r="Q7" s="33"/>
      <c r="R7" s="33">
        <v>1000</v>
      </c>
      <c r="S7" s="12"/>
      <c r="T7" s="33">
        <v>500</v>
      </c>
      <c r="U7" s="33">
        <v>500</v>
      </c>
      <c r="V7" s="33">
        <v>100</v>
      </c>
      <c r="W7" s="12"/>
    </row>
  </sheetData>
  <phoneticPr fontId="6" type="noConversion"/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E7"/>
  <sheetViews>
    <sheetView topLeftCell="J1" workbookViewId="0" zoomScale="80" zoomScaleNormal="80">
      <selection activeCell="J30" sqref="J30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30" customWidth="true" style="2" width="15.77734375" collapsed="true"/>
    <col min="31" max="16384" style="2" width="8.88671875" collapsed="true"/>
  </cols>
  <sheetData>
    <row r="1" spans="1:30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292</v>
      </c>
      <c r="R1" s="51" t="s">
        <v>188</v>
      </c>
      <c r="S1" s="51" t="s">
        <v>189</v>
      </c>
      <c r="T1" s="51" t="s">
        <v>190</v>
      </c>
      <c r="U1" s="51" t="s">
        <v>293</v>
      </c>
      <c r="V1" s="51" t="s">
        <v>294</v>
      </c>
      <c r="W1" s="51" t="s">
        <v>295</v>
      </c>
      <c r="X1" s="51" t="s">
        <v>296</v>
      </c>
      <c r="Y1" s="51" t="s">
        <v>463</v>
      </c>
      <c r="Z1" s="51" t="s">
        <v>464</v>
      </c>
      <c r="AA1" s="51" t="s">
        <v>297</v>
      </c>
      <c r="AB1" s="51" t="s">
        <v>298</v>
      </c>
      <c r="AC1" s="51" t="s">
        <v>299</v>
      </c>
      <c r="AD1" s="51" t="s">
        <v>300</v>
      </c>
    </row>
    <row r="2" spans="1:30" x14ac:dyDescent="0.3">
      <c r="A2" s="21" t="s">
        <v>191</v>
      </c>
      <c r="B2" s="13" t="s">
        <v>160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 t="n">
        <f>'TC25-Customer Order Change'!C2</f>
        <v>1100.0</v>
      </c>
      <c r="K2" s="33" t="n">
        <f>'TC33-New Firm Qty'!C2</f>
        <v>1000.0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>
        <v>100</v>
      </c>
      <c r="R2" s="33">
        <v>500</v>
      </c>
      <c r="S2" s="33">
        <v>500</v>
      </c>
      <c r="T2" s="33"/>
      <c r="U2" s="33"/>
      <c r="V2" s="33">
        <v>500</v>
      </c>
      <c r="W2" s="33">
        <v>500</v>
      </c>
      <c r="X2" s="33"/>
      <c r="Y2" s="33"/>
      <c r="Z2" s="12">
        <v>100</v>
      </c>
      <c r="AA2" s="33">
        <v>500</v>
      </c>
      <c r="AB2" s="33">
        <v>500</v>
      </c>
      <c r="AC2" s="33"/>
      <c r="AD2" s="33"/>
    </row>
    <row r="3" spans="1:30" x14ac:dyDescent="0.3">
      <c r="A3" s="21" t="s">
        <v>27</v>
      </c>
      <c r="B3" s="13" t="s">
        <v>161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 t="n">
        <f>'TC25-Customer Order Change'!C3</f>
        <v>900.0</v>
      </c>
      <c r="K3" s="33" t="n">
        <f>'TC33-New Firm Qty'!C3</f>
        <v>800.0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33"/>
      <c r="S3" s="33">
        <v>800</v>
      </c>
      <c r="T3" s="33"/>
      <c r="U3" s="12"/>
      <c r="V3" s="33">
        <v>500</v>
      </c>
      <c r="W3" s="33">
        <v>400</v>
      </c>
      <c r="X3" s="12"/>
      <c r="Y3" s="12"/>
      <c r="Z3" s="12"/>
      <c r="AA3" s="12"/>
      <c r="AB3" s="33">
        <v>800</v>
      </c>
      <c r="AC3" s="12"/>
      <c r="AD3" s="33"/>
    </row>
    <row r="4" spans="1:30" x14ac:dyDescent="0.3">
      <c r="A4" s="21" t="s">
        <v>28</v>
      </c>
      <c r="B4" s="13" t="s">
        <v>162</v>
      </c>
      <c r="C4" s="22" t="s">
        <v>166</v>
      </c>
      <c r="D4" s="12" t="s">
        <v>81</v>
      </c>
      <c r="E4" s="12"/>
      <c r="F4" s="12" t="s">
        <v>153</v>
      </c>
      <c r="G4" s="12" t="s">
        <v>195</v>
      </c>
      <c r="H4" s="12">
        <v>5</v>
      </c>
      <c r="I4" s="12">
        <v>10</v>
      </c>
      <c r="J4" s="33" t="n">
        <f>'TC25-Customer Order Change'!C4</f>
        <v>1000.0</v>
      </c>
      <c r="K4" s="33" t="n">
        <f>'TC33-New Firm Qty'!C4</f>
        <v>900.0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33">
        <v>500</v>
      </c>
      <c r="S4" s="33">
        <v>400</v>
      </c>
      <c r="T4" s="33"/>
      <c r="U4" s="12"/>
      <c r="V4" s="33">
        <v>500</v>
      </c>
      <c r="W4" s="33">
        <v>500</v>
      </c>
      <c r="X4" s="12"/>
      <c r="Y4" s="12"/>
      <c r="Z4" s="12"/>
      <c r="AA4" s="33">
        <v>500</v>
      </c>
      <c r="AB4" s="33">
        <v>400</v>
      </c>
      <c r="AC4" s="33"/>
      <c r="AD4" s="33"/>
    </row>
    <row r="5" spans="1:30" x14ac:dyDescent="0.3">
      <c r="A5" s="21" t="s">
        <v>29</v>
      </c>
      <c r="B5" s="13" t="s">
        <v>153</v>
      </c>
      <c r="C5" s="22" t="s">
        <v>167</v>
      </c>
      <c r="D5" s="12" t="s">
        <v>81</v>
      </c>
      <c r="E5" s="12"/>
      <c r="F5" s="21" t="s">
        <v>162</v>
      </c>
      <c r="G5" s="12" t="s">
        <v>270</v>
      </c>
      <c r="H5" s="12">
        <v>5</v>
      </c>
      <c r="I5" s="12">
        <v>10</v>
      </c>
      <c r="J5" s="33" t="n">
        <f>'TC25-Customer Order Change'!C5</f>
        <v>1000.0</v>
      </c>
      <c r="K5" s="33" t="n">
        <f>'TC33-New Firm Qty'!C5</f>
        <v>1200.0</v>
      </c>
      <c r="L5" s="12">
        <v>0</v>
      </c>
      <c r="M5" s="12" t="s">
        <v>196</v>
      </c>
      <c r="N5" s="12"/>
      <c r="O5" s="33">
        <v>500</v>
      </c>
      <c r="P5" s="33">
        <v>500</v>
      </c>
      <c r="Q5" s="33"/>
      <c r="R5" s="33">
        <v>1000</v>
      </c>
      <c r="S5" s="12"/>
      <c r="T5" s="33"/>
      <c r="U5" s="12">
        <v>200</v>
      </c>
      <c r="V5" s="33"/>
      <c r="W5" s="33">
        <v>500</v>
      </c>
      <c r="X5" s="33">
        <v>500</v>
      </c>
      <c r="Y5" s="33"/>
      <c r="Z5" s="33"/>
      <c r="AA5" s="33">
        <v>1000</v>
      </c>
      <c r="AB5" s="12"/>
      <c r="AC5" s="33"/>
      <c r="AD5" s="33">
        <v>200</v>
      </c>
    </row>
    <row r="6" spans="1:30" x14ac:dyDescent="0.3">
      <c r="A6" s="21" t="s">
        <v>30</v>
      </c>
      <c r="B6" s="13" t="s">
        <v>154</v>
      </c>
      <c r="C6" s="22" t="s">
        <v>168</v>
      </c>
      <c r="D6" s="12" t="s">
        <v>81</v>
      </c>
      <c r="E6" s="12"/>
      <c r="F6" s="21" t="s">
        <v>163</v>
      </c>
      <c r="G6" s="12" t="s">
        <v>195</v>
      </c>
      <c r="H6" s="12">
        <v>10</v>
      </c>
      <c r="I6" s="12">
        <v>10</v>
      </c>
      <c r="J6" s="33" t="n">
        <f>'TC25-Customer Order Change'!C6</f>
        <v>1000.0</v>
      </c>
      <c r="K6" s="33" t="n">
        <f>'TC33-New Firm Qty'!C6</f>
        <v>1000.0</v>
      </c>
      <c r="L6" s="12">
        <v>0</v>
      </c>
      <c r="M6" s="12" t="s">
        <v>196</v>
      </c>
      <c r="N6" s="12"/>
      <c r="O6" s="33">
        <v>1000</v>
      </c>
      <c r="P6" s="33"/>
      <c r="Q6" s="33"/>
      <c r="R6" s="33">
        <v>500</v>
      </c>
      <c r="S6" s="33">
        <v>500</v>
      </c>
      <c r="T6" s="33"/>
      <c r="U6" s="12"/>
      <c r="V6" s="33">
        <v>1000</v>
      </c>
      <c r="W6" s="12"/>
      <c r="X6" s="12"/>
      <c r="Y6" s="12"/>
      <c r="Z6" s="12"/>
      <c r="AA6" s="33">
        <v>500</v>
      </c>
      <c r="AB6" s="33">
        <v>500</v>
      </c>
      <c r="AC6" s="33"/>
      <c r="AD6" s="12"/>
    </row>
    <row r="7" spans="1:30" x14ac:dyDescent="0.3">
      <c r="A7" s="21" t="s">
        <v>31</v>
      </c>
      <c r="B7" s="13" t="s">
        <v>163</v>
      </c>
      <c r="C7" s="22" t="s">
        <v>169</v>
      </c>
      <c r="D7" s="12" t="s">
        <v>81</v>
      </c>
      <c r="E7" s="12"/>
      <c r="F7" s="21" t="s">
        <v>154</v>
      </c>
      <c r="G7" s="12" t="s">
        <v>195</v>
      </c>
      <c r="H7" s="12">
        <v>10</v>
      </c>
      <c r="I7" s="12">
        <v>10</v>
      </c>
      <c r="J7" s="33" t="n">
        <f>'TC25-Customer Order Change'!C7</f>
        <v>1000.0</v>
      </c>
      <c r="K7" s="33" t="n">
        <f>'TC33-New Firm Qty'!C7</f>
        <v>1100.0</v>
      </c>
      <c r="L7" s="12">
        <v>0</v>
      </c>
      <c r="M7" s="12" t="s">
        <v>196</v>
      </c>
      <c r="N7" s="12"/>
      <c r="O7" s="33"/>
      <c r="P7" s="33">
        <v>1000</v>
      </c>
      <c r="Q7" s="12"/>
      <c r="R7" s="33">
        <v>500</v>
      </c>
      <c r="S7" s="33">
        <v>500</v>
      </c>
      <c r="T7" s="33">
        <v>100</v>
      </c>
      <c r="U7" s="33"/>
      <c r="V7" s="12"/>
      <c r="W7" s="33"/>
      <c r="X7" s="12"/>
      <c r="Y7" s="33">
        <v>1000</v>
      </c>
      <c r="Z7" s="12"/>
      <c r="AA7" s="33">
        <v>500</v>
      </c>
      <c r="AB7" s="33">
        <v>500</v>
      </c>
      <c r="AC7" s="12">
        <v>100</v>
      </c>
      <c r="AD7" s="33"/>
    </row>
  </sheetData>
  <phoneticPr fontId="6" type="noConversion"/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X8"/>
  <sheetViews>
    <sheetView workbookViewId="0" zoomScale="90" zoomScaleNormal="90">
      <selection activeCell="D21" sqref="D21"/>
    </sheetView>
  </sheetViews>
  <sheetFormatPr defaultRowHeight="13.8" x14ac:dyDescent="0.3"/>
  <cols>
    <col min="1" max="1" customWidth="true" style="8" width="25.77734375" collapsed="true"/>
    <col min="2" max="2" customWidth="true" style="8" width="15.77734375" collapsed="true"/>
    <col min="3" max="3" customWidth="true" style="8" width="25.77734375" collapsed="true"/>
    <col min="4" max="23" customWidth="true" style="8" width="15.77734375" collapsed="true"/>
    <col min="24" max="24" customWidth="true" style="8" width="20.77734375" collapsed="true"/>
    <col min="25" max="16384" style="8" width="8.88671875" collapsed="true"/>
  </cols>
  <sheetData>
    <row customHeight="1" ht="13.8" r="1" spans="1:23" x14ac:dyDescent="0.3">
      <c r="A1" s="81" t="s">
        <v>215</v>
      </c>
      <c r="B1" s="37" t="s">
        <v>250</v>
      </c>
      <c r="C1" s="81" t="s">
        <v>216</v>
      </c>
      <c r="D1" s="82" t="s">
        <v>251</v>
      </c>
      <c r="E1" s="37" t="s">
        <v>225</v>
      </c>
      <c r="F1" s="37" t="s">
        <v>226</v>
      </c>
      <c r="G1" s="82" t="s">
        <v>217</v>
      </c>
      <c r="H1" s="37" t="s">
        <v>227</v>
      </c>
      <c r="I1" s="37" t="s">
        <v>228</v>
      </c>
      <c r="J1" s="37" t="s">
        <v>229</v>
      </c>
      <c r="K1" s="37" t="s">
        <v>247</v>
      </c>
      <c r="L1" s="37" t="s">
        <v>248</v>
      </c>
      <c r="M1" s="37" t="s">
        <v>249</v>
      </c>
      <c r="N1" s="37" t="s">
        <v>218</v>
      </c>
      <c r="O1" s="37" t="s">
        <v>219</v>
      </c>
      <c r="P1" s="37" t="s">
        <v>244</v>
      </c>
      <c r="Q1" s="37" t="s">
        <v>245</v>
      </c>
      <c r="R1" s="37" t="s">
        <v>246</v>
      </c>
      <c r="S1" s="37" t="s">
        <v>230</v>
      </c>
      <c r="T1" s="37" t="s">
        <v>231</v>
      </c>
      <c r="U1" s="37" t="s">
        <v>243</v>
      </c>
      <c r="V1" s="37" t="s">
        <v>241</v>
      </c>
      <c r="W1" s="37" t="s">
        <v>242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6" t="str">
        <f ca="1"><![CDATA["o-SG-BAFCO-"&TEXT(TODAY(),"yymm")&"-"&AutoIncrement!B2&"-"&AutoIncrement!A2&"-001"]]></f>
        <v>o-SG-BAFCO-2311-TN-04-001</v>
      </c>
      <c r="B3" s="37" t="str">
        <f ca="1">TEXT(DATE(YEAR(TODAY()), MONTH(TODAY()), DAY(TODAY())-1), "dd MMM yyyy")</f>
        <v>07 Nov 2023</v>
      </c>
      <c r="C3" s="37" t="str">
        <f ca="1">"B-"&amp;TEXT(TODAY(),"yymm")&amp;"-"&amp;AutoIncrement!B2&amp; "-01-0"&amp;AutoIncrement!A2</f>
        <v>B-2311-TN-01-004</v>
      </c>
      <c r="D3" s="38">
        <v>1000</v>
      </c>
      <c r="E3" s="37" t="str">
        <f ca="1" ref="E3:E8" si="0" t="shared">TEXT(DATE(YEAR(TODAY()), MONTH(TODAY()), DAY(TODAY())+2), "dd MMM yyyy")</f>
        <v>10 Nov 2023</v>
      </c>
      <c r="F3" s="37" t="str">
        <f ca="1">TEXT(DATE(YEAR(TODAY()), MONTH(TODAY()), DAY(TODAY())+10), "dd MMM yyyy")</f>
        <v>18 Nov 2023</v>
      </c>
      <c r="G3" s="39"/>
      <c r="H3" s="28"/>
      <c r="I3" s="28"/>
      <c r="J3" s="28"/>
      <c r="K3" s="40"/>
      <c r="L3" s="40"/>
      <c r="M3" s="40"/>
      <c r="N3" s="37" t="str">
        <f ca="1">"OP-"&amp;TEXT(TODAY(),"yymmdd")&amp; "-01-0"&amp;AutoIncrement!A2</f>
        <v>OP-231108-01-004</v>
      </c>
      <c r="O3" s="28" t="s">
        <v>222</v>
      </c>
      <c r="P3" s="41">
        <v>50.000999999999998</v>
      </c>
      <c r="Q3" s="41">
        <v>50</v>
      </c>
      <c r="R3" s="41">
        <v>51.000999999999998</v>
      </c>
      <c r="S3" s="37" t="str">
        <f ca="1">"IP-"&amp;TEXT(TODAY(),"yymmdd")&amp; "-01-0"&amp;AutoIncrement!A2</f>
        <v>IP-231108-01-004</v>
      </c>
      <c r="T3" s="42"/>
      <c r="U3" s="41">
        <v>1</v>
      </c>
      <c r="V3" s="41">
        <v>2</v>
      </c>
      <c r="W3" s="41">
        <v>3</v>
      </c>
    </row>
    <row r="4" spans="1:23" x14ac:dyDescent="0.3">
      <c r="A4" s="36" t="str">
        <f ca="1"><![CDATA["o-SG-BAFCO-"&TEXT(TODAY(),"yymm")&"-"&AutoIncrement!B2&"-"&AutoIncrement!A2&"-001"]]></f>
        <v>o-SG-BAFCO-2311-TN-04-001</v>
      </c>
      <c r="B4" s="37" t="str">
        <f ca="1" ref="B4:B8" si="1" t="shared">TEXT(DATE(YEAR(TODAY()), MONTH(TODAY()), DAY(TODAY())-1), "dd MMM yyyy")</f>
        <v>07 Nov 2023</v>
      </c>
      <c r="C4" s="37" t="str">
        <f ca="1">"B-"&amp;TEXT(TODAY(),"yymm")&amp;"-"&amp;AutoIncrement!B2&amp; "-01-0"&amp;AutoIncrement!A2</f>
        <v>B-2311-TN-01-004</v>
      </c>
      <c r="D4" s="38">
        <v>800</v>
      </c>
      <c r="E4" s="37" t="str">
        <f ca="1" si="0" t="shared"/>
        <v>10 Nov 2023</v>
      </c>
      <c r="F4" s="37" t="str">
        <f ca="1" ref="F4:F8" si="2" t="shared">TEXT(DATE(YEAR(TODAY()), MONTH(TODAY()), DAY(TODAY())+10), "dd MMM yyyy")</f>
        <v>18 Nov 2023</v>
      </c>
      <c r="G4" s="39" t="s">
        <v>240</v>
      </c>
      <c r="H4" s="28"/>
      <c r="I4" s="28"/>
      <c r="J4" s="28"/>
      <c r="K4" s="40"/>
      <c r="L4" s="40"/>
      <c r="M4" s="40"/>
      <c r="N4" s="37" t="str">
        <f ca="1">"OP-"&amp;TEXT(TODAY(),"yymmdd")&amp; "-01-0"&amp;AutoIncrement!A2</f>
        <v>OP-231108-01-004</v>
      </c>
      <c r="O4" s="28" t="s">
        <v>223</v>
      </c>
      <c r="P4" s="41">
        <v>50.000999999999998</v>
      </c>
      <c r="Q4" s="41">
        <v>50</v>
      </c>
      <c r="R4" s="41">
        <v>51.000999999999998</v>
      </c>
      <c r="S4" s="37" t="str">
        <f ca="1">"IP-"&amp;TEXT(TODAY(),"yymmdd")&amp; "-02-0"&amp;AutoIncrement!A2</f>
        <v>IP-231108-02-004</v>
      </c>
      <c r="T4" s="42" t="s">
        <v>232</v>
      </c>
      <c r="U4" s="41">
        <v>1</v>
      </c>
      <c r="V4" s="41">
        <v>2</v>
      </c>
      <c r="W4" s="41">
        <v>3</v>
      </c>
    </row>
    <row r="5" spans="1:23" x14ac:dyDescent="0.3">
      <c r="A5" s="36" t="str">
        <f ca="1"><![CDATA["o-SG-BAFCO-"&TEXT(TODAY(),"yymm")&"-"&AutoIncrement!B2&"-"&AutoIncrement!A2&"-001"]]></f>
        <v>o-SG-BAFCO-2311-TN-04-001</v>
      </c>
      <c r="B5" s="37" t="str">
        <f ca="1" si="1" t="shared"/>
        <v>07 Nov 2023</v>
      </c>
      <c r="C5" s="37" t="str">
        <f ca="1">"B-"&amp;TEXT(TODAY(),"yymm")&amp;"-"&amp;AutoIncrement!B2&amp; "-01-0"&amp;AutoIncrement!A2</f>
        <v>B-2311-TN-01-004</v>
      </c>
      <c r="D5" s="38">
        <v>900</v>
      </c>
      <c r="E5" s="37" t="str">
        <f ca="1" si="0" t="shared"/>
        <v>10 Nov 2023</v>
      </c>
      <c r="F5" s="37" t="str">
        <f ca="1" si="2" t="shared"/>
        <v>18 Nov 2023</v>
      </c>
      <c r="G5" s="39" t="s">
        <v>220</v>
      </c>
      <c r="H5" s="28" t="s">
        <v>233</v>
      </c>
      <c r="I5" s="28" t="s">
        <v>234</v>
      </c>
      <c r="J5" s="28"/>
      <c r="K5" s="41">
        <v>1000.11</v>
      </c>
      <c r="L5" s="41">
        <v>1001.11</v>
      </c>
      <c r="M5" s="41">
        <v>1005.001</v>
      </c>
      <c r="N5" s="37" t="str">
        <f ca="1">"OP-"&amp;TEXT(TODAY(),"yymmdd")&amp; "-02-0"&amp;AutoIncrement!A2</f>
        <v>OP-231108-02-004</v>
      </c>
      <c r="O5" s="28" t="s">
        <v>223</v>
      </c>
      <c r="P5" s="41">
        <v>50.000999999999998</v>
      </c>
      <c r="Q5" s="41">
        <v>50</v>
      </c>
      <c r="R5" s="41">
        <v>51.000999999999998</v>
      </c>
      <c r="S5" s="28"/>
      <c r="T5" s="42"/>
      <c r="U5" s="41"/>
      <c r="V5" s="41"/>
      <c r="W5" s="41"/>
    </row>
    <row r="6" spans="1:23" x14ac:dyDescent="0.3">
      <c r="A6" s="36" t="str">
        <f ca="1"><![CDATA["o-SG-BAFCO-"&TEXT(TODAY(),"yymm")&"-"&AutoIncrement!B2&"-"&AutoIncrement!A2&"-001"]]></f>
        <v>o-SG-BAFCO-2311-TN-04-001</v>
      </c>
      <c r="B6" s="37" t="str">
        <f ca="1" si="1" t="shared"/>
        <v>07 Nov 2023</v>
      </c>
      <c r="C6" s="37" t="str">
        <f ca="1">"B-"&amp;TEXT(TODAY(),"yymm")&amp;"-"&amp;AutoIncrement!B2&amp; "-01-0"&amp;AutoIncrement!A2</f>
        <v>B-2311-TN-01-004</v>
      </c>
      <c r="D6" s="38">
        <v>1200</v>
      </c>
      <c r="E6" s="37" t="str">
        <f ca="1" si="0" t="shared"/>
        <v>10 Nov 2023</v>
      </c>
      <c r="F6" s="37" t="str">
        <f ca="1" si="2" t="shared"/>
        <v>18 Nov 2023</v>
      </c>
      <c r="G6" s="39" t="s">
        <v>220</v>
      </c>
      <c r="H6" s="28" t="s">
        <v>233</v>
      </c>
      <c r="I6" s="28" t="s">
        <v>234</v>
      </c>
      <c r="J6" s="28" t="s">
        <v>235</v>
      </c>
      <c r="K6" s="41">
        <v>1000.11</v>
      </c>
      <c r="L6" s="41">
        <v>1001.11</v>
      </c>
      <c r="M6" s="41">
        <v>1005.001</v>
      </c>
      <c r="N6" s="37" t="str">
        <f ca="1">"OP-"&amp;TEXT(TODAY(),"yymmdd")&amp; "-02-0"&amp;AutoIncrement!A2</f>
        <v>OP-231108-02-004</v>
      </c>
      <c r="O6" s="28" t="s">
        <v>223</v>
      </c>
      <c r="P6" s="41">
        <v>50.000999999999998</v>
      </c>
      <c r="Q6" s="41">
        <v>50</v>
      </c>
      <c r="R6" s="41">
        <v>51.000999999999998</v>
      </c>
      <c r="S6" s="28"/>
      <c r="T6" s="42"/>
      <c r="U6" s="41"/>
      <c r="V6" s="41"/>
      <c r="W6" s="41"/>
    </row>
    <row r="7" spans="1:23" x14ac:dyDescent="0.3">
      <c r="A7" s="36" t="str">
        <f ca="1"><![CDATA["o-SG-BAFCO-"&TEXT(TODAY(),"yymm")&"-"&AutoIncrement!B2&"-"&AutoIncrement!A2&"-001"]]></f>
        <v>o-SG-BAFCO-2311-TN-04-001</v>
      </c>
      <c r="B7" s="37" t="str">
        <f ca="1" si="1" t="shared"/>
        <v>07 Nov 2023</v>
      </c>
      <c r="C7" s="37" t="str">
        <f ca="1">"B-"&amp;TEXT(TODAY(),"yymm")&amp;"-"&amp;AutoIncrement!B2&amp; "-01-0"&amp;AutoIncrement!A2</f>
        <v>B-2311-TN-01-004</v>
      </c>
      <c r="D7" s="38">
        <v>1000</v>
      </c>
      <c r="E7" s="37" t="str">
        <f ca="1" si="0" t="shared"/>
        <v>10 Nov 2023</v>
      </c>
      <c r="F7" s="37" t="str">
        <f ca="1" si="2" t="shared"/>
        <v>18 Nov 2023</v>
      </c>
      <c r="G7" s="39" t="s">
        <v>221</v>
      </c>
      <c r="H7" s="28" t="s">
        <v>236</v>
      </c>
      <c r="I7" s="28" t="s">
        <v>237</v>
      </c>
      <c r="J7" s="28" t="s">
        <v>238</v>
      </c>
      <c r="K7" s="41">
        <v>1010.11</v>
      </c>
      <c r="L7" s="41">
        <v>1011.11</v>
      </c>
      <c r="M7" s="41">
        <v>1015.001</v>
      </c>
      <c r="N7" s="37" t="str">
        <f ca="1">"OP-"&amp;TEXT(TODAY(),"yymmdd")&amp; "-03-0"&amp;AutoIncrement!A2</f>
        <v>OP-231108-03-004</v>
      </c>
      <c r="O7" s="28" t="s">
        <v>224</v>
      </c>
      <c r="P7" s="41">
        <v>40</v>
      </c>
      <c r="Q7" s="41">
        <v>41.005000000000003</v>
      </c>
      <c r="R7" s="41">
        <v>45</v>
      </c>
      <c r="S7" s="37" t="str">
        <f ca="1">"IP-"&amp;TEXT(TODAY(),"yymmdd")&amp; "-01-0"&amp;AutoIncrement!A2</f>
        <v>IP-231108-01-004</v>
      </c>
      <c r="T7" s="42" t="s">
        <v>232</v>
      </c>
      <c r="U7" s="41">
        <v>1</v>
      </c>
      <c r="V7" s="41">
        <v>2</v>
      </c>
      <c r="W7" s="41">
        <v>3</v>
      </c>
    </row>
    <row r="8" spans="1:23" x14ac:dyDescent="0.3">
      <c r="A8" s="36" t="str">
        <f ca="1"><![CDATA["o-SG-BAFCO-"&TEXT(TODAY(),"yymm")&"-"&AutoIncrement!B2&"-"&AutoIncrement!A2&"-001"]]></f>
        <v>o-SG-BAFCO-2311-TN-04-001</v>
      </c>
      <c r="B8" s="37" t="str">
        <f ca="1" si="1" t="shared"/>
        <v>07 Nov 2023</v>
      </c>
      <c r="C8" s="37" t="str">
        <f ca="1">"B-"&amp;TEXT(TODAY(),"yymm")&amp;"-"&amp;AutoIncrement!B2&amp; "-01-0"&amp;AutoIncrement!A2</f>
        <v>B-2311-TN-01-004</v>
      </c>
      <c r="D8" s="38">
        <v>1100</v>
      </c>
      <c r="E8" s="37" t="str">
        <f ca="1" si="0" t="shared"/>
        <v>10 Nov 2023</v>
      </c>
      <c r="F8" s="37" t="str">
        <f ca="1" si="2" t="shared"/>
        <v>18 Nov 2023</v>
      </c>
      <c r="G8" s="39" t="s">
        <v>221</v>
      </c>
      <c r="H8" s="28" t="s">
        <v>236</v>
      </c>
      <c r="I8" s="28" t="s">
        <v>237</v>
      </c>
      <c r="J8" s="28" t="s">
        <v>238</v>
      </c>
      <c r="K8" s="41">
        <v>1010.11</v>
      </c>
      <c r="L8" s="41">
        <v>1011.11</v>
      </c>
      <c r="M8" s="41">
        <v>1015.001</v>
      </c>
      <c r="N8" s="37" t="str">
        <f ca="1">"OP-"&amp;TEXT(TODAY(),"yymmdd")&amp; "-03-0"&amp;AutoIncrement!A2</f>
        <v>OP-231108-03-004</v>
      </c>
      <c r="O8" s="28" t="s">
        <v>224</v>
      </c>
      <c r="P8" s="41">
        <v>40</v>
      </c>
      <c r="Q8" s="41">
        <v>41.005000000000003</v>
      </c>
      <c r="R8" s="41">
        <v>45</v>
      </c>
      <c r="S8" s="37" t="str">
        <f ca="1">"IP-"&amp;TEXT(TODAY(),"yymmdd")&amp; "-02-0"&amp;AutoIncrement!A2</f>
        <v>IP-231108-02-004</v>
      </c>
      <c r="T8" s="42" t="s">
        <v>239</v>
      </c>
      <c r="U8" s="41">
        <v>1</v>
      </c>
      <c r="V8" s="41">
        <v>2</v>
      </c>
      <c r="W8" s="41">
        <v>3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N9"/>
  <sheetViews>
    <sheetView workbookViewId="0" zoomScale="90" zoomScaleNormal="90">
      <selection activeCell="AH29" sqref="AH29"/>
    </sheetView>
  </sheetViews>
  <sheetFormatPr defaultRowHeight="13.8" x14ac:dyDescent="0.3"/>
  <cols>
    <col min="1" max="1" customWidth="true" style="8" width="5.77734375" collapsed="true"/>
    <col min="2" max="2" customWidth="true" style="8" width="15.77734375" collapsed="true"/>
    <col min="3" max="3" customWidth="true" style="8" width="25.77734375" collapsed="true"/>
    <col min="4" max="4" customWidth="true" style="8" width="15.77734375" collapsed="true"/>
    <col min="5" max="6" customWidth="true" style="8" width="25.77734375" collapsed="true"/>
    <col min="7" max="33" customWidth="true" style="8" width="15.77734375" collapsed="true"/>
    <col min="34" max="36" customWidth="true" style="8" width="25.77734375" collapsed="true"/>
    <col min="37" max="42" customWidth="true" style="8" width="15.77734375" collapsed="true"/>
    <col min="43" max="16384" style="8" width="8.88671875" collapsed="true"/>
  </cols>
  <sheetData>
    <row customHeight="1" ht="13.8" r="1" spans="1:39" x14ac:dyDescent="0.3">
      <c r="A1" s="37" t="s">
        <v>0</v>
      </c>
      <c r="B1" s="82" t="s">
        <v>214</v>
      </c>
      <c r="C1" s="81" t="s">
        <v>215</v>
      </c>
      <c r="D1" s="37" t="s">
        <v>250</v>
      </c>
      <c r="E1" s="81" t="s">
        <v>216</v>
      </c>
      <c r="F1" s="82" t="s">
        <v>25</v>
      </c>
      <c r="G1" s="82" t="s">
        <v>269</v>
      </c>
      <c r="H1" s="82" t="s">
        <v>251</v>
      </c>
      <c r="I1" s="82" t="s">
        <v>55</v>
      </c>
      <c r="J1" s="82" t="s">
        <v>271</v>
      </c>
      <c r="K1" s="82" t="s">
        <v>272</v>
      </c>
      <c r="L1" s="82" t="s">
        <v>45</v>
      </c>
      <c r="M1" s="37" t="s">
        <v>225</v>
      </c>
      <c r="N1" s="37" t="s">
        <v>226</v>
      </c>
      <c r="O1" s="82" t="s">
        <v>217</v>
      </c>
      <c r="P1" s="37" t="s">
        <v>227</v>
      </c>
      <c r="Q1" s="37" t="s">
        <v>228</v>
      </c>
      <c r="R1" s="37" t="s">
        <v>229</v>
      </c>
      <c r="S1" s="37" t="s">
        <v>247</v>
      </c>
      <c r="T1" s="37" t="s">
        <v>248</v>
      </c>
      <c r="U1" s="37" t="s">
        <v>249</v>
      </c>
      <c r="V1" s="37" t="s">
        <v>218</v>
      </c>
      <c r="W1" s="37" t="s">
        <v>219</v>
      </c>
      <c r="X1" s="37" t="s">
        <v>244</v>
      </c>
      <c r="Y1" s="37" t="s">
        <v>245</v>
      </c>
      <c r="Z1" s="37" t="s">
        <v>246</v>
      </c>
      <c r="AA1" s="37" t="s">
        <v>230</v>
      </c>
      <c r="AB1" s="37" t="s">
        <v>231</v>
      </c>
      <c r="AC1" s="37" t="s">
        <v>243</v>
      </c>
      <c r="AD1" s="37" t="s">
        <v>241</v>
      </c>
      <c r="AE1" s="37" t="s">
        <v>242</v>
      </c>
      <c r="AF1" s="81" t="s">
        <v>274</v>
      </c>
      <c r="AG1" s="82" t="s">
        <v>275</v>
      </c>
      <c r="AH1" s="82" t="s">
        <v>276</v>
      </c>
      <c r="AI1" s="82" t="s">
        <v>277</v>
      </c>
      <c r="AJ1" s="82" t="s">
        <v>278</v>
      </c>
      <c r="AK1" s="82" t="s">
        <v>279</v>
      </c>
      <c r="AL1" s="82" t="s">
        <v>280</v>
      </c>
      <c r="AM1" s="82" t="s">
        <v>281</v>
      </c>
    </row>
    <row r="2" spans="1:39" x14ac:dyDescent="0.3">
      <c r="A2" s="37">
        <v>1</v>
      </c>
      <c r="B2" s="37" t="s">
        <v>81</v>
      </c>
      <c r="C2" s="36" t="str">
        <f ca="1"><![CDATA["o-SG-BAFCO-"&TEXT(TODAY(),"yymm")&"-"&AutoIncrement!B2&"-"&AutoIncrement!A2&"-002"]]></f>
        <v>o-SG-BAFCO-2311-TN-04-002</v>
      </c>
      <c r="D2" s="37" t="str">
        <f ca="1">TEXT(DATE(YEAR(TODAY()), MONTH(TODAY()), DAY(TODAY())-1), "dd MMM yyyy")</f>
        <v>07 Nov 2023</v>
      </c>
      <c r="E2" s="37"/>
      <c r="F2" s="21" t="s">
        <v>191</v>
      </c>
      <c r="G2" s="19" t="s">
        <v>193</v>
      </c>
      <c r="H2" s="43">
        <v>60</v>
      </c>
      <c r="I2" s="43" t="s">
        <v>78</v>
      </c>
      <c r="J2" s="43" t="s">
        <v>273</v>
      </c>
      <c r="K2" s="43" t="s">
        <v>37</v>
      </c>
      <c r="L2" s="43" t="s">
        <v>34</v>
      </c>
      <c r="M2" s="37" t="str">
        <f ca="1" ref="M2:M9" si="0" t="shared">TEXT(DATE(YEAR(TODAY()), MONTH(TODAY()), DAY(TODAY())+2), "dd MMM yyyy")</f>
        <v>10 Nov 2023</v>
      </c>
      <c r="N2" s="37" t="str">
        <f ca="1">TEXT(DATE(YEAR(TODAY()), MONTH(TODAY()), DAY(TODAY())+10), "dd MMM yyyy")</f>
        <v>18 Nov 2023</v>
      </c>
      <c r="O2" s="19" t="s">
        <v>252</v>
      </c>
      <c r="P2" s="19"/>
      <c r="Q2" s="19"/>
      <c r="R2" s="19"/>
      <c r="S2" s="44"/>
      <c r="T2" s="44"/>
      <c r="U2" s="44"/>
      <c r="V2" s="37" t="str">
        <f ca="1">"OP-"&amp;TEXT(TODAY(),"yymmdd")&amp; "-02-0"&amp;AutoIncrement!A2</f>
        <v>OP-231108-02-004</v>
      </c>
      <c r="W2" s="19" t="s">
        <v>253</v>
      </c>
      <c r="X2" s="44"/>
      <c r="Y2" s="44"/>
      <c r="Z2" s="44"/>
      <c r="AA2" s="37" t="str">
        <f ca="1">"IP-"&amp;TEXT(TODAY(),"yymmdd")&amp; "-01-0"&amp;AutoIncrement!A2</f>
        <v>IP-231108-01-004</v>
      </c>
      <c r="AB2" s="45" t="s">
        <v>254</v>
      </c>
      <c r="AC2" s="44"/>
      <c r="AD2" s="44"/>
      <c r="AE2" s="44"/>
      <c r="AF2" s="37" t="str">
        <f ca="1">'TC16-Supplier SO'!C2</f>
        <v>sTNs04-2311002</v>
      </c>
      <c r="AG2" s="37" t="s">
        <v>81</v>
      </c>
      <c r="AH2" s="46" t="str">
        <f>'TC6'!A2</f>
        <v>scenario1220230504001</v>
      </c>
      <c r="AI2" s="37" t="str">
        <f>'TC7-Contract Parts Info'!C2</f>
        <v>scenario12:SG-BAFCO:20230504-001</v>
      </c>
      <c r="AJ2" s="37"/>
      <c r="AK2" s="37"/>
      <c r="AL2" s="37">
        <v>5</v>
      </c>
      <c r="AM2" s="37">
        <v>100</v>
      </c>
    </row>
    <row r="3" spans="1:39" x14ac:dyDescent="0.3">
      <c r="A3" s="37">
        <v>2</v>
      </c>
      <c r="B3" s="37" t="s">
        <v>81</v>
      </c>
      <c r="C3" s="36" t="str">
        <f ca="1"><![CDATA["o-SG-BAFCO-"&TEXT(TODAY(),"yymm")&"-"&AutoIncrement!B2&"-"&AutoIncrement!A2&"-002"]]></f>
        <v>o-SG-BAFCO-2311-TN-04-002</v>
      </c>
      <c r="D3" s="37" t="str">
        <f ca="1" ref="D3:D9" si="1" t="shared">TEXT(DATE(YEAR(TODAY()), MONTH(TODAY()), DAY(TODAY())-1), "dd MMM yyyy")</f>
        <v>07 Nov 2023</v>
      </c>
      <c r="E3" s="37"/>
      <c r="F3" s="21" t="s">
        <v>191</v>
      </c>
      <c r="G3" s="19" t="s">
        <v>193</v>
      </c>
      <c r="H3" s="43">
        <v>40</v>
      </c>
      <c r="I3" s="43" t="s">
        <v>78</v>
      </c>
      <c r="J3" s="43" t="s">
        <v>273</v>
      </c>
      <c r="K3" s="43" t="s">
        <v>37</v>
      </c>
      <c r="L3" s="43" t="s">
        <v>34</v>
      </c>
      <c r="M3" s="37" t="str">
        <f ca="1" si="0" t="shared"/>
        <v>10 Nov 2023</v>
      </c>
      <c r="N3" s="37" t="str">
        <f ca="1" ref="N3:N9" si="2" t="shared">TEXT(DATE(YEAR(TODAY()), MONTH(TODAY()), DAY(TODAY())+10), "dd MMM yyyy")</f>
        <v>18 Nov 2023</v>
      </c>
      <c r="O3" s="19" t="s">
        <v>252</v>
      </c>
      <c r="P3" s="19"/>
      <c r="Q3" s="19"/>
      <c r="R3" s="19"/>
      <c r="S3" s="44"/>
      <c r="T3" s="44"/>
      <c r="U3" s="44"/>
      <c r="V3" s="37" t="str">
        <f ca="1">"OP-"&amp;TEXT(TODAY(),"yymmdd")&amp; "-02-0"&amp;AutoIncrement!A2</f>
        <v>OP-231108-02-004</v>
      </c>
      <c r="W3" s="19" t="s">
        <v>253</v>
      </c>
      <c r="X3" s="44"/>
      <c r="Y3" s="44"/>
      <c r="Z3" s="44"/>
      <c r="AA3" s="37" t="str">
        <f ca="1">"IP-"&amp;TEXT(TODAY(),"yymmdd")&amp; "-02-0"&amp;AutoIncrement!A2</f>
        <v>IP-231108-02-004</v>
      </c>
      <c r="AB3" s="45" t="s">
        <v>255</v>
      </c>
      <c r="AC3" s="44"/>
      <c r="AD3" s="44"/>
      <c r="AE3" s="44"/>
      <c r="AF3" s="37" t="str">
        <f ca="1">'TC16-Supplier SO'!C2</f>
        <v>sTNs04-2311002</v>
      </c>
      <c r="AG3" s="37" t="s">
        <v>81</v>
      </c>
      <c r="AH3" s="46" t="str">
        <f>'TC6'!A2</f>
        <v>scenario1220230504001</v>
      </c>
      <c r="AI3" s="37" t="str">
        <f>'TC7-Contract Parts Info'!C2</f>
        <v>scenario12:SG-BAFCO:20230504-001</v>
      </c>
      <c r="AJ3" s="37"/>
      <c r="AK3" s="37"/>
      <c r="AL3" s="37">
        <v>5</v>
      </c>
      <c r="AM3" s="37">
        <v>100</v>
      </c>
    </row>
    <row r="4" spans="1:39" x14ac:dyDescent="0.3">
      <c r="A4" s="37">
        <v>3</v>
      </c>
      <c r="B4" s="37" t="s">
        <v>81</v>
      </c>
      <c r="C4" s="36" t="str">
        <f ca="1"><![CDATA["o-SG-BAFCO-"&TEXT(TODAY(),"yymm")&"-"&AutoIncrement!B2&"-"&AutoIncrement!A2&"-002"]]></f>
        <v>o-SG-BAFCO-2311-TN-04-002</v>
      </c>
      <c r="D4" s="37" t="str">
        <f ca="1" si="1" t="shared"/>
        <v>07 Nov 2023</v>
      </c>
      <c r="E4" s="37"/>
      <c r="F4" s="21" t="s">
        <v>27</v>
      </c>
      <c r="G4" s="19" t="s">
        <v>194</v>
      </c>
      <c r="H4" s="47">
        <v>100</v>
      </c>
      <c r="I4" s="43" t="s">
        <v>78</v>
      </c>
      <c r="J4" s="43" t="s">
        <v>273</v>
      </c>
      <c r="K4" s="43" t="s">
        <v>37</v>
      </c>
      <c r="L4" s="43" t="s">
        <v>34</v>
      </c>
      <c r="M4" s="37" t="str">
        <f ca="1" si="0" t="shared"/>
        <v>10 Nov 2023</v>
      </c>
      <c r="N4" s="37" t="str">
        <f ca="1" si="2" t="shared"/>
        <v>18 Nov 2023</v>
      </c>
      <c r="O4" s="39" t="s">
        <v>252</v>
      </c>
      <c r="P4" s="28"/>
      <c r="Q4" s="28"/>
      <c r="R4" s="28"/>
      <c r="S4" s="40"/>
      <c r="T4" s="40"/>
      <c r="U4" s="40"/>
      <c r="V4" s="37" t="str">
        <f ca="1">"OP-"&amp;TEXT(TODAY(),"yymmdd")&amp; "-01-0"&amp;AutoIncrement!A2</f>
        <v>OP-231108-01-004</v>
      </c>
      <c r="W4" s="28" t="s">
        <v>256</v>
      </c>
      <c r="X4" s="40">
        <v>50.000999999999998</v>
      </c>
      <c r="Y4" s="40">
        <v>50</v>
      </c>
      <c r="Z4" s="40">
        <v>51.000999999999998</v>
      </c>
      <c r="AA4" s="37" t="str">
        <f ca="1">"IP-"&amp;TEXT(TODAY(),"yymmdd")&amp; "-02-0"&amp;AutoIncrement!A2</f>
        <v>IP-231108-02-004</v>
      </c>
      <c r="AB4" s="42" t="s">
        <v>257</v>
      </c>
      <c r="AC4" s="40"/>
      <c r="AD4" s="40"/>
      <c r="AE4" s="40"/>
      <c r="AF4" s="37" t="str">
        <f ca="1">'TC16-Supplier SO'!C2</f>
        <v>sTNs04-2311002</v>
      </c>
      <c r="AG4" s="37" t="s">
        <v>81</v>
      </c>
      <c r="AH4" s="46" t="str">
        <f>'TC6'!A3</f>
        <v>scenario1220230504002</v>
      </c>
      <c r="AI4" s="37" t="str">
        <f>'TC7-Contract Parts Info'!C3</f>
        <v>scenario12:SG-BAFCO:20230504-002</v>
      </c>
      <c r="AJ4" s="37"/>
      <c r="AK4" s="37"/>
      <c r="AL4" s="37">
        <v>5</v>
      </c>
      <c r="AM4" s="37">
        <v>100</v>
      </c>
    </row>
    <row r="5" spans="1:39" x14ac:dyDescent="0.3">
      <c r="A5" s="37">
        <v>4</v>
      </c>
      <c r="B5" s="37" t="s">
        <v>81</v>
      </c>
      <c r="C5" s="36" t="str">
        <f ca="1"><![CDATA["o-SG-BAFCO-"&TEXT(TODAY(),"yymm")&"-"&AutoIncrement!B2&"-"&AutoIncrement!A2&"-002"]]></f>
        <v>o-SG-BAFCO-2311-TN-04-002</v>
      </c>
      <c r="D5" s="37" t="str">
        <f ca="1" si="1" t="shared"/>
        <v>07 Nov 2023</v>
      </c>
      <c r="E5" s="37"/>
      <c r="F5" s="21" t="s">
        <v>28</v>
      </c>
      <c r="G5" s="19" t="s">
        <v>195</v>
      </c>
      <c r="H5" s="43">
        <v>100</v>
      </c>
      <c r="I5" s="43" t="s">
        <v>78</v>
      </c>
      <c r="J5" s="43" t="s">
        <v>273</v>
      </c>
      <c r="K5" s="43" t="s">
        <v>37</v>
      </c>
      <c r="L5" s="43" t="s">
        <v>34</v>
      </c>
      <c r="M5" s="37" t="str">
        <f ca="1" si="0" t="shared"/>
        <v>10 Nov 2023</v>
      </c>
      <c r="N5" s="37" t="str">
        <f ca="1" si="2" t="shared"/>
        <v>18 Nov 2023</v>
      </c>
      <c r="O5" s="21" t="s">
        <v>258</v>
      </c>
      <c r="P5" s="19" t="s">
        <v>259</v>
      </c>
      <c r="Q5" s="19" t="s">
        <v>260</v>
      </c>
      <c r="R5" s="19" t="s">
        <v>261</v>
      </c>
      <c r="S5" s="44">
        <v>1000.11</v>
      </c>
      <c r="T5" s="44">
        <v>1001.11</v>
      </c>
      <c r="U5" s="44">
        <v>1005.001</v>
      </c>
      <c r="V5" s="37" t="str">
        <f ca="1">"OP-"&amp;TEXT(TODAY(),"yymmdd")&amp; "-01-0"&amp;AutoIncrement!A2</f>
        <v>OP-231108-01-004</v>
      </c>
      <c r="W5" s="19" t="s">
        <v>262</v>
      </c>
      <c r="X5" s="44"/>
      <c r="Y5" s="44"/>
      <c r="Z5" s="44"/>
      <c r="AA5" s="37" t="str">
        <f ca="1">"IP-"&amp;TEXT(TODAY(),"yymmdd")&amp; "-01-0"&amp;AutoIncrement!A2</f>
        <v>IP-231108-01-004</v>
      </c>
      <c r="AB5" s="45"/>
      <c r="AC5" s="44"/>
      <c r="AD5" s="44"/>
      <c r="AE5" s="44"/>
      <c r="AF5" s="37" t="str">
        <f ca="1">'TC16-Supplier SO'!C2</f>
        <v>sTNs04-2311002</v>
      </c>
      <c r="AG5" s="37" t="s">
        <v>81</v>
      </c>
      <c r="AH5" s="46" t="str">
        <f>'TC6'!A4</f>
        <v>scenario1220230504003</v>
      </c>
      <c r="AI5" s="37" t="str">
        <f>'TC7-Contract Parts Info'!C4</f>
        <v>scenario12:SG-BAFCO:20230504-003</v>
      </c>
      <c r="AJ5" s="37"/>
      <c r="AK5" s="37"/>
      <c r="AL5" s="37">
        <v>5</v>
      </c>
      <c r="AM5" s="37">
        <v>100</v>
      </c>
    </row>
    <row r="6" spans="1:39" x14ac:dyDescent="0.3">
      <c r="A6" s="37">
        <v>5</v>
      </c>
      <c r="B6" s="37" t="s">
        <v>81</v>
      </c>
      <c r="C6" s="36" t="str">
        <f ca="1"><![CDATA["o-SG-BAFCO-"&TEXT(TODAY(),"yymm")&"-"&AutoIncrement!B2&"-"&AutoIncrement!A2&"-003"]]></f>
        <v>o-SG-BAFCO-2311-TN-04-003</v>
      </c>
      <c r="D6" s="37" t="str">
        <f ca="1" si="1" t="shared"/>
        <v>07 Nov 2023</v>
      </c>
      <c r="E6" s="37" t="str">
        <f ca="1">"B-"&amp;TEXT(TODAY(),"yymm")&amp;"-"&amp;AutoIncrement!B2&amp; "-02-0"&amp;AutoIncrement!A2</f>
        <v>B-2311-TN-02-004</v>
      </c>
      <c r="F6" s="21" t="s">
        <v>29</v>
      </c>
      <c r="G6" s="19" t="s">
        <v>270</v>
      </c>
      <c r="H6" s="43">
        <v>100</v>
      </c>
      <c r="I6" s="43" t="s">
        <v>78</v>
      </c>
      <c r="J6" s="43" t="s">
        <v>273</v>
      </c>
      <c r="K6" s="43" t="s">
        <v>37</v>
      </c>
      <c r="L6" s="43" t="s">
        <v>34</v>
      </c>
      <c r="M6" s="37" t="str">
        <f ca="1" si="0" t="shared"/>
        <v>10 Nov 2023</v>
      </c>
      <c r="N6" s="37" t="str">
        <f ca="1" si="2" t="shared"/>
        <v>18 Nov 2023</v>
      </c>
      <c r="O6" s="21" t="s">
        <v>263</v>
      </c>
      <c r="P6" s="19" t="s">
        <v>264</v>
      </c>
      <c r="Q6" s="19" t="s">
        <v>260</v>
      </c>
      <c r="R6" s="19"/>
      <c r="S6" s="44"/>
      <c r="T6" s="44"/>
      <c r="U6" s="44"/>
      <c r="V6" s="37" t="str">
        <f ca="1">"OP-"&amp;TEXT(TODAY(),"yymmdd")&amp; "-01-0"&amp;AutoIncrement!A2</f>
        <v>OP-231108-01-004</v>
      </c>
      <c r="W6" s="19" t="s">
        <v>262</v>
      </c>
      <c r="X6" s="44"/>
      <c r="Y6" s="44"/>
      <c r="Z6" s="44"/>
      <c r="AA6" s="28"/>
      <c r="AB6" s="45"/>
      <c r="AC6" s="44"/>
      <c r="AD6" s="44"/>
      <c r="AE6" s="44"/>
      <c r="AF6" s="37" t="str">
        <f ca="1">'TC16-Supplier SO'!C2</f>
        <v>sTNs04-2311002</v>
      </c>
      <c r="AG6" s="37" t="s">
        <v>81</v>
      </c>
      <c r="AH6" s="46" t="str">
        <f>'TC6'!A5</f>
        <v>scenario1220230504004</v>
      </c>
      <c r="AI6" s="37" t="str">
        <f>'TC7-Contract Parts Info'!C5</f>
        <v>scenario12:SG-BAFCO:20230504-004</v>
      </c>
      <c r="AJ6" s="37"/>
      <c r="AK6" s="37"/>
      <c r="AL6" s="37">
        <v>5</v>
      </c>
      <c r="AM6" s="37">
        <v>100</v>
      </c>
    </row>
    <row r="7" spans="1:39" x14ac:dyDescent="0.3">
      <c r="A7" s="37">
        <v>6</v>
      </c>
      <c r="B7" s="37" t="s">
        <v>81</v>
      </c>
      <c r="C7" s="36" t="str">
        <f ca="1"><![CDATA["o-SG-BAFCO-"&TEXT(TODAY(),"yymm")&"-"&AutoIncrement!B2&"-"&AutoIncrement!A2&"-003"]]></f>
        <v>o-SG-BAFCO-2311-TN-04-003</v>
      </c>
      <c r="D7" s="37" t="str">
        <f ca="1" si="1" t="shared"/>
        <v>07 Nov 2023</v>
      </c>
      <c r="E7" s="37" t="str">
        <f ca="1">"B-"&amp;TEXT(TODAY(),"yymm")&amp;"-"&amp;AutoIncrement!B2&amp; "-02-0"&amp;AutoIncrement!A2</f>
        <v>B-2311-TN-02-004</v>
      </c>
      <c r="F7" s="21" t="s">
        <v>152</v>
      </c>
      <c r="G7" s="19" t="s">
        <v>195</v>
      </c>
      <c r="H7" s="43">
        <v>100</v>
      </c>
      <c r="I7" s="43" t="s">
        <v>78</v>
      </c>
      <c r="J7" s="43" t="s">
        <v>273</v>
      </c>
      <c r="K7" s="43" t="s">
        <v>37</v>
      </c>
      <c r="L7" s="43" t="s">
        <v>34</v>
      </c>
      <c r="M7" s="37" t="str">
        <f ca="1" si="0" t="shared"/>
        <v>10 Nov 2023</v>
      </c>
      <c r="N7" s="37" t="str">
        <f ca="1" si="2" t="shared"/>
        <v>18 Nov 2023</v>
      </c>
      <c r="O7" s="21" t="s">
        <v>263</v>
      </c>
      <c r="P7" s="19" t="s">
        <v>264</v>
      </c>
      <c r="Q7" s="19" t="s">
        <v>260</v>
      </c>
      <c r="R7" s="19"/>
      <c r="S7" s="44"/>
      <c r="T7" s="44"/>
      <c r="U7" s="44"/>
      <c r="V7" s="37" t="str">
        <f ca="1">"OP-"&amp;TEXT(TODAY(),"yymmdd")&amp; "-02-0"&amp;AutoIncrement!A2</f>
        <v>OP-231108-02-004</v>
      </c>
      <c r="W7" s="19" t="s">
        <v>256</v>
      </c>
      <c r="X7" s="44"/>
      <c r="Y7" s="44"/>
      <c r="Z7" s="44"/>
      <c r="AA7" s="28"/>
      <c r="AB7" s="45"/>
      <c r="AC7" s="44"/>
      <c r="AD7" s="44"/>
      <c r="AE7" s="44"/>
      <c r="AF7" s="37" t="str">
        <f ca="1">'TC16-Supplier SO'!C2</f>
        <v>sTNs04-2311002</v>
      </c>
      <c r="AG7" s="37" t="s">
        <v>81</v>
      </c>
      <c r="AH7" s="46" t="str">
        <f>'TC6'!A6</f>
        <v>scenario1220230504005</v>
      </c>
      <c r="AI7" s="37" t="str">
        <f>'TC7-Contract Parts Info'!C6</f>
        <v>scenario12:SG-BAFCO:20230504-005</v>
      </c>
      <c r="AJ7" s="37"/>
      <c r="AK7" s="37"/>
      <c r="AL7" s="37">
        <v>10</v>
      </c>
      <c r="AM7" s="37">
        <v>100</v>
      </c>
    </row>
    <row r="8" spans="1:39" x14ac:dyDescent="0.3">
      <c r="A8" s="37">
        <v>7</v>
      </c>
      <c r="B8" s="37" t="s">
        <v>81</v>
      </c>
      <c r="C8" s="36" t="str">
        <f ca="1"><![CDATA["o-SG-BAFCO-"&TEXT(TODAY(),"yymm")&"-"&AutoIncrement!B2&"-"&AutoIncrement!A2&"-003"]]></f>
        <v>o-SG-BAFCO-2311-TN-04-003</v>
      </c>
      <c r="D8" s="37" t="str">
        <f ca="1" si="1" t="shared"/>
        <v>07 Nov 2023</v>
      </c>
      <c r="E8" s="37" t="str">
        <f ca="1">"B-"&amp;TEXT(TODAY(),"yymm")&amp;"-"&amp;AutoIncrement!B2&amp; "-02-0"&amp;AutoIncrement!A2</f>
        <v>B-2311-TN-02-004</v>
      </c>
      <c r="F8" s="21" t="s">
        <v>268</v>
      </c>
      <c r="G8" s="19" t="s">
        <v>195</v>
      </c>
      <c r="H8" s="43">
        <v>40</v>
      </c>
      <c r="I8" s="43" t="s">
        <v>78</v>
      </c>
      <c r="J8" s="43" t="s">
        <v>273</v>
      </c>
      <c r="K8" s="43" t="s">
        <v>37</v>
      </c>
      <c r="L8" s="43" t="s">
        <v>34</v>
      </c>
      <c r="M8" s="37" t="str">
        <f ca="1" si="0" t="shared"/>
        <v>10 Nov 2023</v>
      </c>
      <c r="N8" s="37" t="str">
        <f ca="1" si="2" t="shared"/>
        <v>18 Nov 2023</v>
      </c>
      <c r="O8" s="21" t="s">
        <v>265</v>
      </c>
      <c r="P8" s="19" t="s">
        <v>259</v>
      </c>
      <c r="Q8" s="19" t="s">
        <v>266</v>
      </c>
      <c r="R8" s="19" t="s">
        <v>267</v>
      </c>
      <c r="S8" s="44">
        <v>1010.11</v>
      </c>
      <c r="T8" s="44">
        <v>1011.11</v>
      </c>
      <c r="U8" s="44">
        <v>1015.001</v>
      </c>
      <c r="V8" s="37" t="str">
        <f ca="1">"OP-"&amp;TEXT(TODAY(),"yymmdd")&amp; "-03-0"&amp;AutoIncrement!A2</f>
        <v>OP-231108-03-004</v>
      </c>
      <c r="W8" s="19" t="s">
        <v>256</v>
      </c>
      <c r="X8" s="44">
        <v>40</v>
      </c>
      <c r="Y8" s="44">
        <v>41.005000000000003</v>
      </c>
      <c r="Z8" s="44">
        <v>45</v>
      </c>
      <c r="AA8" s="37" t="str">
        <f ca="1">"IP-"&amp;TEXT(TODAY(),"yymmdd")&amp; "-01-0"&amp;AutoIncrement!A2</f>
        <v>IP-231108-01-004</v>
      </c>
      <c r="AB8" s="45" t="s">
        <v>257</v>
      </c>
      <c r="AC8" s="44">
        <v>1</v>
      </c>
      <c r="AD8" s="44">
        <v>2.0009999999999999</v>
      </c>
      <c r="AE8" s="44">
        <v>3</v>
      </c>
      <c r="AF8" s="37" t="str">
        <f ca="1">'TC16-Supplier SO'!C2</f>
        <v>sTNs04-2311002</v>
      </c>
      <c r="AG8" s="37" t="s">
        <v>81</v>
      </c>
      <c r="AH8" s="46" t="str">
        <f>'TC6'!A7</f>
        <v>scenario1220230504006</v>
      </c>
      <c r="AI8" s="37" t="str">
        <f>'TC7-Contract Parts Info'!C7</f>
        <v>scenario12:SG-BAFCO:20230504-006</v>
      </c>
      <c r="AJ8" s="37"/>
      <c r="AK8" s="37"/>
      <c r="AL8" s="37">
        <v>10</v>
      </c>
      <c r="AM8" s="37">
        <v>100</v>
      </c>
    </row>
    <row r="9" spans="1:39" x14ac:dyDescent="0.3">
      <c r="A9" s="37">
        <v>8</v>
      </c>
      <c r="B9" s="37" t="s">
        <v>81</v>
      </c>
      <c r="C9" s="36" t="str">
        <f ca="1"><![CDATA["o-SG-BAFCO-"&TEXT(TODAY(),"yymm")&"-"&AutoIncrement!B2&"-"&AutoIncrement!A2&"-004"]]></f>
        <v>o-SG-BAFCO-2311-TN-04-004</v>
      </c>
      <c r="D9" s="37" t="str">
        <f ca="1" si="1" t="shared"/>
        <v>07 Nov 2023</v>
      </c>
      <c r="E9" s="37" t="str">
        <f ca="1">"B-"&amp;TEXT(TODAY(),"yymm")&amp;"-"&amp;AutoIncrement!B2&amp; "-03-0"&amp;AutoIncrement!A2</f>
        <v>B-2311-TN-03-004</v>
      </c>
      <c r="F9" s="21" t="s">
        <v>268</v>
      </c>
      <c r="G9" s="19" t="s">
        <v>195</v>
      </c>
      <c r="H9" s="43">
        <v>60</v>
      </c>
      <c r="I9" s="43" t="s">
        <v>78</v>
      </c>
      <c r="J9" s="43" t="s">
        <v>273</v>
      </c>
      <c r="K9" s="43" t="s">
        <v>37</v>
      </c>
      <c r="L9" s="43" t="s">
        <v>34</v>
      </c>
      <c r="M9" s="37" t="str">
        <f ca="1" si="0" t="shared"/>
        <v>10 Nov 2023</v>
      </c>
      <c r="N9" s="37" t="str">
        <f ca="1" si="2" t="shared"/>
        <v>18 Nov 2023</v>
      </c>
      <c r="O9" s="19"/>
      <c r="P9" s="19"/>
      <c r="Q9" s="19"/>
      <c r="R9" s="19"/>
      <c r="S9" s="44"/>
      <c r="T9" s="44"/>
      <c r="U9" s="44"/>
      <c r="V9" s="37" t="str">
        <f ca="1">"OP-"&amp;TEXT(TODAY(),"yymmdd")&amp; "-03-0"&amp;AutoIncrement!A2</f>
        <v>OP-231108-03-004</v>
      </c>
      <c r="W9" s="19" t="s">
        <v>256</v>
      </c>
      <c r="X9" s="44">
        <v>40</v>
      </c>
      <c r="Y9" s="44">
        <v>41.005000000000003</v>
      </c>
      <c r="Z9" s="44">
        <v>45</v>
      </c>
      <c r="AA9" s="37" t="str">
        <f ca="1">"IP-"&amp;TEXT(TODAY(),"yymmdd")&amp; "-01-0"&amp;AutoIncrement!A2</f>
        <v>IP-231108-01-004</v>
      </c>
      <c r="AB9" s="45" t="s">
        <v>257</v>
      </c>
      <c r="AC9" s="44">
        <v>1</v>
      </c>
      <c r="AD9" s="44">
        <v>2.0009999999999999</v>
      </c>
      <c r="AE9" s="44">
        <v>3</v>
      </c>
      <c r="AF9" s="37" t="str">
        <f ca="1">'TC16-Supplier SO'!C2</f>
        <v>sTNs04-2311002</v>
      </c>
      <c r="AG9" s="37" t="s">
        <v>81</v>
      </c>
      <c r="AH9" s="46" t="str">
        <f>'TC6'!A7</f>
        <v>scenario1220230504006</v>
      </c>
      <c r="AI9" s="37" t="str">
        <f>'TC7-Contract Parts Info'!C7</f>
        <v>scenario12:SG-BAFCO:20230504-006</v>
      </c>
      <c r="AJ9" s="37"/>
      <c r="AK9" s="37"/>
      <c r="AL9" s="37">
        <v>10</v>
      </c>
      <c r="AM9" s="37">
        <v>100</v>
      </c>
    </row>
  </sheetData>
  <phoneticPr fontId="6" type="noConversion"/>
  <pageMargins bottom="0.75" footer="0.3" header="0.3" left="0.7" right="0.7" top="0.75"/>
  <pageSetup orientation="portrait" r:id="rId1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D5"/>
  <sheetViews>
    <sheetView workbookViewId="0"/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16384" style="2" width="8.88671875" collapsed="true"/>
  </cols>
  <sheetData>
    <row r="1" spans="1:3" x14ac:dyDescent="0.3">
      <c r="A1" s="12" t="s">
        <v>0</v>
      </c>
      <c r="B1" s="67" t="s">
        <v>282</v>
      </c>
      <c r="C1" s="79" t="s">
        <v>215</v>
      </c>
    </row>
    <row r="2" spans="1:3" x14ac:dyDescent="0.3">
      <c r="A2" s="12">
        <v>1</v>
      </c>
      <c r="B2" s="12" t="str">
        <f ca="1">'TC44-Supplier Outbound -Regular'!A3</f>
        <v>o-SG-BAFCO-2311-TN-04-001</v>
      </c>
      <c r="C2" t="s">
        <v>504</v>
      </c>
    </row>
    <row r="3" spans="1:3" x14ac:dyDescent="0.3">
      <c r="A3" s="12">
        <v>2</v>
      </c>
      <c r="B3" s="12" t="str">
        <f ca="1">'TC44-Supplier Outbound -Spot'!C2</f>
        <v>o-SG-BAFCO-2311-TN-04-002</v>
      </c>
      <c r="C3" t="s">
        <v>505</v>
      </c>
    </row>
    <row r="4" spans="1:3" x14ac:dyDescent="0.3">
      <c r="A4" s="12">
        <v>3</v>
      </c>
      <c r="B4" s="12" t="str">
        <f ca="1">'TC44-Supplier Outbound -Spot'!C6</f>
        <v>o-SG-BAFCO-2311-TN-04-003</v>
      </c>
      <c r="C4" t="s">
        <v>506</v>
      </c>
    </row>
    <row r="5" spans="1:3" x14ac:dyDescent="0.3">
      <c r="A5" s="12">
        <v>4</v>
      </c>
      <c r="B5" s="12" t="str">
        <f ca="1">'TC44-Supplier Outbound -Spot'!C9</f>
        <v>o-SG-BAFCO-2311-TN-04-004</v>
      </c>
      <c r="C5" t="s">
        <v>507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R7"/>
  <sheetViews>
    <sheetView workbookViewId="0" zoomScale="90" zoomScaleNormal="90">
      <selection activeCell="E14" sqref="E14"/>
    </sheetView>
  </sheetViews>
  <sheetFormatPr defaultColWidth="8.88671875" defaultRowHeight="13.8" x14ac:dyDescent="0.3"/>
  <cols>
    <col min="1" max="1" customWidth="true" style="3" width="5.77734375" collapsed="true"/>
    <col min="2" max="5" customWidth="true" style="4" width="25.77734375" collapsed="true"/>
    <col min="6" max="9" customWidth="true" style="4" width="15.77734375" collapsed="true"/>
    <col min="10" max="10" customWidth="true" style="4" width="25.77734375" collapsed="true"/>
    <col min="11" max="17" customWidth="true" style="4" width="15.77734375" collapsed="true"/>
    <col min="18" max="16384" style="4" width="8.88671875" collapsed="true"/>
  </cols>
  <sheetData>
    <row customFormat="1" r="1" s="1" spans="1:17" x14ac:dyDescent="0.3">
      <c r="A1" s="14" t="s">
        <v>0</v>
      </c>
      <c r="B1" s="69" t="s">
        <v>360</v>
      </c>
      <c r="C1" s="88" t="s">
        <v>25</v>
      </c>
      <c r="D1" s="19" t="s">
        <v>361</v>
      </c>
      <c r="E1" s="19" t="s">
        <v>366</v>
      </c>
      <c r="F1" s="19" t="s">
        <v>367</v>
      </c>
      <c r="G1" s="19" t="s">
        <v>383</v>
      </c>
      <c r="H1" s="19" t="s">
        <v>384</v>
      </c>
      <c r="I1" s="19" t="s">
        <v>381</v>
      </c>
      <c r="J1" s="19" t="s">
        <v>385</v>
      </c>
      <c r="K1" s="19" t="s">
        <v>380</v>
      </c>
      <c r="L1" s="19" t="s">
        <v>386</v>
      </c>
      <c r="M1" s="19" t="s">
        <v>132</v>
      </c>
      <c r="N1" s="19" t="s">
        <v>331</v>
      </c>
      <c r="O1" s="19" t="s">
        <v>332</v>
      </c>
      <c r="P1" s="19" t="s">
        <v>333</v>
      </c>
      <c r="Q1" s="19" t="s">
        <v>276</v>
      </c>
    </row>
    <row customFormat="1" r="2" s="1" spans="1:17" x14ac:dyDescent="0.3">
      <c r="A2" s="14">
        <v>1</v>
      </c>
      <c r="B2" s="12" t="str">
        <f>'TC2'!B2</f>
        <v>VN-TTVN-CUS:20230504-001</v>
      </c>
      <c r="C2" s="13" t="str">
        <f>'TC1'!B2</f>
        <v>scenario1220230504001</v>
      </c>
      <c r="D2" s="12" t="s">
        <v>362</v>
      </c>
      <c r="E2" s="13" t="s">
        <v>369</v>
      </c>
      <c r="F2" s="13" t="s">
        <v>164</v>
      </c>
      <c r="G2" s="13" t="s">
        <v>370</v>
      </c>
      <c r="H2" s="13" t="s">
        <v>193</v>
      </c>
      <c r="I2" s="13" t="s">
        <v>377</v>
      </c>
      <c r="J2" s="13"/>
      <c r="K2" s="13"/>
      <c r="L2" s="16">
        <v>10</v>
      </c>
      <c r="M2" s="16">
        <v>5</v>
      </c>
      <c r="N2" s="17">
        <v>1.1000000000000001</v>
      </c>
      <c r="O2" s="18">
        <v>1.1000000000000001</v>
      </c>
      <c r="P2" s="18">
        <v>1.1000000000000001</v>
      </c>
      <c r="Q2" s="19"/>
    </row>
    <row customFormat="1" r="3" s="1" spans="1:17" x14ac:dyDescent="0.3">
      <c r="A3" s="14">
        <v>2</v>
      </c>
      <c r="B3" s="12" t="str">
        <f>'TC2'!B3</f>
        <v>VN-TTVN-CUS:20230504-002</v>
      </c>
      <c r="C3" s="13" t="str">
        <f>'TC1'!B3</f>
        <v>scenario1220230504002</v>
      </c>
      <c r="D3" s="12" t="s">
        <v>363</v>
      </c>
      <c r="E3" s="13" t="s">
        <v>371</v>
      </c>
      <c r="F3" s="13" t="s">
        <v>165</v>
      </c>
      <c r="G3" s="13" t="s">
        <v>372</v>
      </c>
      <c r="H3" s="13" t="s">
        <v>194</v>
      </c>
      <c r="I3" s="13" t="s">
        <v>377</v>
      </c>
      <c r="J3" s="13"/>
      <c r="K3" s="13"/>
      <c r="L3" s="16">
        <v>10</v>
      </c>
      <c r="M3" s="16">
        <v>5</v>
      </c>
      <c r="N3" s="17">
        <v>1.1000000000000001</v>
      </c>
      <c r="O3" s="18">
        <v>1.1000000000000001</v>
      </c>
      <c r="P3" s="18">
        <v>1.1000000000000001</v>
      </c>
      <c r="Q3" s="19"/>
    </row>
    <row customFormat="1" r="4" s="1" spans="1:17" x14ac:dyDescent="0.3">
      <c r="A4" s="14">
        <v>3</v>
      </c>
      <c r="B4" s="12" t="str">
        <f>'TC2'!B4</f>
        <v>VN-TTVN-CUS:20230504-003</v>
      </c>
      <c r="C4" s="13" t="str">
        <f>'TC1'!B4</f>
        <v>scenario1220230504003</v>
      </c>
      <c r="D4" s="12" t="s">
        <v>364</v>
      </c>
      <c r="E4" s="13" t="s">
        <v>373</v>
      </c>
      <c r="F4" s="13" t="s">
        <v>166</v>
      </c>
      <c r="G4" s="13" t="s">
        <v>374</v>
      </c>
      <c r="H4" s="13" t="s">
        <v>195</v>
      </c>
      <c r="I4" s="13" t="s">
        <v>378</v>
      </c>
      <c r="J4" s="13" t="s">
        <v>153</v>
      </c>
      <c r="K4" s="13" t="s">
        <v>379</v>
      </c>
      <c r="L4" s="16">
        <v>10</v>
      </c>
      <c r="M4" s="16">
        <v>5</v>
      </c>
      <c r="N4" s="17">
        <v>1.1000000000000001</v>
      </c>
      <c r="O4" s="18">
        <v>1.1000000000000001</v>
      </c>
      <c r="P4" s="18">
        <v>1.1000000000000001</v>
      </c>
      <c r="Q4" s="19"/>
    </row>
    <row customFormat="1" r="5" s="1" spans="1:17" x14ac:dyDescent="0.3">
      <c r="A5" s="14">
        <v>4</v>
      </c>
      <c r="B5" s="12" t="str">
        <f>'TC2'!B5</f>
        <v>VN-TTVN-CUS:20230504-004</v>
      </c>
      <c r="C5" s="13" t="str">
        <f>'TC1'!B5</f>
        <v>scenario1220230504004</v>
      </c>
      <c r="D5" s="12" t="s">
        <v>365</v>
      </c>
      <c r="E5" s="13" t="s">
        <v>375</v>
      </c>
      <c r="F5" s="13" t="s">
        <v>167</v>
      </c>
      <c r="G5" s="13" t="s">
        <v>376</v>
      </c>
      <c r="H5" s="13" t="s">
        <v>270</v>
      </c>
      <c r="I5" s="13" t="s">
        <v>378</v>
      </c>
      <c r="J5" s="13" t="s">
        <v>162</v>
      </c>
      <c r="K5" s="13" t="s">
        <v>379</v>
      </c>
      <c r="L5" s="16">
        <v>10</v>
      </c>
      <c r="M5" s="16">
        <v>5</v>
      </c>
      <c r="N5" s="17">
        <v>1.1000000000000001</v>
      </c>
      <c r="O5" s="18">
        <v>1.1000000000000001</v>
      </c>
      <c r="P5" s="18">
        <v>1.1000000000000001</v>
      </c>
      <c r="Q5" s="19"/>
    </row>
    <row customFormat="1" r="6" s="1" spans="1:17" x14ac:dyDescent="0.3">
      <c r="A6" s="14">
        <v>5</v>
      </c>
      <c r="B6" s="12" t="s">
        <v>154</v>
      </c>
      <c r="C6" s="15"/>
      <c r="D6" s="12" t="s">
        <v>388</v>
      </c>
      <c r="E6" s="13" t="s">
        <v>389</v>
      </c>
      <c r="F6" s="13" t="s">
        <v>168</v>
      </c>
      <c r="G6" s="13" t="s">
        <v>390</v>
      </c>
      <c r="H6" s="13" t="s">
        <v>195</v>
      </c>
      <c r="I6" s="13" t="s">
        <v>378</v>
      </c>
      <c r="J6" s="13" t="s">
        <v>163</v>
      </c>
      <c r="K6" s="13" t="s">
        <v>387</v>
      </c>
      <c r="L6" s="16">
        <v>10</v>
      </c>
      <c r="M6" s="16">
        <v>10</v>
      </c>
      <c r="N6" s="17">
        <v>1.1000000000000001</v>
      </c>
      <c r="O6" s="18">
        <v>1.1000000000000001</v>
      </c>
      <c r="P6" s="18">
        <v>1.1000000000000001</v>
      </c>
      <c r="Q6" s="19"/>
    </row>
    <row customFormat="1" r="7" s="1" spans="1:17" x14ac:dyDescent="0.3">
      <c r="A7" s="14">
        <v>6</v>
      </c>
      <c r="B7" s="12" t="s">
        <v>163</v>
      </c>
      <c r="C7" s="15"/>
      <c r="D7" s="12" t="s">
        <v>391</v>
      </c>
      <c r="E7" s="13" t="s">
        <v>392</v>
      </c>
      <c r="F7" s="13" t="s">
        <v>169</v>
      </c>
      <c r="G7" s="13" t="s">
        <v>393</v>
      </c>
      <c r="H7" s="13" t="s">
        <v>195</v>
      </c>
      <c r="I7" s="13" t="s">
        <v>378</v>
      </c>
      <c r="J7" s="13" t="s">
        <v>154</v>
      </c>
      <c r="K7" s="13" t="s">
        <v>387</v>
      </c>
      <c r="L7" s="16">
        <v>10</v>
      </c>
      <c r="M7" s="16">
        <v>10</v>
      </c>
      <c r="N7" s="17">
        <v>1.1000000000000001</v>
      </c>
      <c r="O7" s="18">
        <v>1.1000000000000001</v>
      </c>
      <c r="P7" s="18">
        <v>1.1000000000000001</v>
      </c>
      <c r="Q7" s="19"/>
    </row>
  </sheetData>
  <dataValidations count="3">
    <dataValidation allowBlank="1" showErrorMessage="1" sqref="I2:I7" type="list" xr:uid="{0E91B3D6-9299-430D-A4F2-2FD0E946DA1C}">
      <formula1>PAIRED_FLAG</formula1>
    </dataValidation>
    <dataValidation allowBlank="1" showErrorMessage="1" sqref="K2:K6" type="list" xr:uid="{C5FFB457-24FD-46EF-A22A-756CEE443DDF}">
      <formula1>PAIRED_ORDER_FLAG</formula1>
    </dataValidation>
    <dataValidation allowBlank="1" showErrorMessage="1" sqref="H2:H7" type="list" xr:uid="{C18C6561-5DC9-4062-8CB8-5E10E79AE2DB}">
      <formula1>UOM_CODE</formula1>
    </dataValidation>
  </dataValidations>
  <pageMargins bottom="0.75" footer="0.3" header="0.3" left="0.7" right="0.7" top="0.75"/>
  <pageSetup orientation="portrait" r:id="rId1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E6"/>
  <sheetViews>
    <sheetView workbookViewId="0"/>
  </sheetViews>
  <sheetFormatPr defaultRowHeight="13.8" x14ac:dyDescent="0.3"/>
  <cols>
    <col min="1" max="1" customWidth="true" style="2" width="5.77734375" collapsed="true"/>
    <col min="2" max="4" customWidth="true" style="2" width="25.77734375" collapsed="true"/>
    <col min="5" max="16384" style="2" width="8.88671875" collapsed="true"/>
  </cols>
  <sheetData>
    <row r="1" spans="1:4" x14ac:dyDescent="0.3">
      <c r="A1" s="12" t="s">
        <v>0</v>
      </c>
      <c r="B1" s="67" t="s">
        <v>215</v>
      </c>
      <c r="C1" s="79" t="s">
        <v>283</v>
      </c>
    </row>
    <row r="2" spans="1:4" x14ac:dyDescent="0.3">
      <c r="A2" s="12">
        <v>1</v>
      </c>
      <c r="B2" s="12" t="str">
        <f>'TC44-Outbound No'!C2</f>
        <v>o-SG-BAFCO-231108005</v>
      </c>
      <c r="C2" t="s">
        <v>508</v>
      </c>
      <c r="D2" s="2" t="s">
        <v>465</v>
      </c>
    </row>
    <row r="3" spans="1:4" x14ac:dyDescent="0.3">
      <c r="A3" s="12">
        <v>2</v>
      </c>
      <c r="B3" s="12" t="str">
        <f>'TC44-Outbound No'!C3</f>
        <v>o-SG-BAFCO-231108006</v>
      </c>
      <c r="C3" t="s">
        <v>509</v>
      </c>
      <c r="D3" s="2" t="s">
        <v>466</v>
      </c>
    </row>
    <row r="4" spans="1:4" x14ac:dyDescent="0.3">
      <c r="A4" s="12">
        <v>3</v>
      </c>
      <c r="B4" s="12" t="str">
        <f>'TC44-Outbound No'!C4</f>
        <v>o-SG-BAFCO-231108007</v>
      </c>
      <c r="C4" t="s">
        <v>510</v>
      </c>
    </row>
    <row r="5" spans="1:4" x14ac:dyDescent="0.3">
      <c r="A5" s="12">
        <v>4</v>
      </c>
      <c r="B5" s="12" t="str">
        <f>'TC44-Outbound No'!C5</f>
        <v>o-SG-BAFCO-231108008</v>
      </c>
      <c r="C5" t="s">
        <v>511</v>
      </c>
    </row>
    <row r="6" spans="1:4" x14ac:dyDescent="0.3">
      <c r="C6" t="s">
        <v>512</v>
      </c>
      <c r="D6" s="2" t="s">
        <v>467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AA5"/>
  <sheetViews>
    <sheetView workbookViewId="0">
      <selection activeCell="B8" sqref="B8"/>
    </sheetView>
  </sheetViews>
  <sheetFormatPr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customFormat="1" r="1" s="8" spans="1:26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customFormat="1" r="2" s="11" spans="1:26" x14ac:dyDescent="0.3">
      <c r="A2" s="48" t="str">
        <f ca="1">'TC44-Supplier Outbound -Regular'!C3</f>
        <v>B-2311-TN-01-004</v>
      </c>
      <c r="B2" s="48"/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customFormat="1" r="3" s="11" spans="1:26" x14ac:dyDescent="0.3">
      <c r="A3" s="48" t="str">
        <f ca="1">'TC44-Supplier Outbound -Regular'!C3</f>
        <v>B-2311-TN-01-004</v>
      </c>
      <c r="B3" s="53" t="str">
        <f>'TC44-Supplier Outbound -Regular'!G4</f>
        <v>KKFU1726110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customFormat="1" r="4" s="11" spans="1:26" x14ac:dyDescent="0.3">
      <c r="A4" s="48" t="str">
        <f ca="1">'TC44-Supplier Outbound -Regular'!C3</f>
        <v>B-2311-TN-01-004</v>
      </c>
      <c r="B4" s="53" t="str">
        <f>'TC44-Supplier Outbound -Regular'!G5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-Regular'!C3</f>
        <v>B-2311-TN-01-004</v>
      </c>
      <c r="B5" s="53" t="str">
        <f>'TC44-Supplier Outbound -Regular'!G7</f>
        <v>C-230506001-001</v>
      </c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AA6"/>
  <sheetViews>
    <sheetView workbookViewId="0">
      <selection activeCell="C1" sqref="C1"/>
    </sheetView>
  </sheetViews>
  <sheetFormatPr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customFormat="1" r="1" s="8" spans="1:26" x14ac:dyDescent="0.3">
      <c r="A1" s="83" t="s">
        <v>301</v>
      </c>
      <c r="B1" s="83" t="s">
        <v>217</v>
      </c>
      <c r="C1" s="84" t="s">
        <v>302</v>
      </c>
      <c r="D1" s="84" t="s">
        <v>303</v>
      </c>
      <c r="E1" s="84" t="s">
        <v>304</v>
      </c>
      <c r="F1" s="84" t="s">
        <v>305</v>
      </c>
      <c r="G1" s="84" t="s">
        <v>306</v>
      </c>
      <c r="H1" s="84" t="s">
        <v>307</v>
      </c>
      <c r="I1" s="84" t="s">
        <v>308</v>
      </c>
      <c r="J1" s="84" t="s">
        <v>309</v>
      </c>
      <c r="K1" s="84" t="s">
        <v>310</v>
      </c>
      <c r="L1" s="84" t="s">
        <v>311</v>
      </c>
      <c r="M1" s="84" t="s">
        <v>312</v>
      </c>
      <c r="N1" s="84" t="s">
        <v>313</v>
      </c>
      <c r="O1" s="84" t="s">
        <v>314</v>
      </c>
      <c r="P1" s="84" t="s">
        <v>315</v>
      </c>
      <c r="Q1" s="84" t="s">
        <v>314</v>
      </c>
      <c r="R1" s="84" t="s">
        <v>315</v>
      </c>
      <c r="S1" s="84" t="s">
        <v>316</v>
      </c>
      <c r="T1" s="84" t="s">
        <v>317</v>
      </c>
      <c r="U1" s="84" t="s">
        <v>316</v>
      </c>
      <c r="V1" s="84" t="s">
        <v>317</v>
      </c>
      <c r="W1" s="84" t="s">
        <v>318</v>
      </c>
      <c r="X1" s="84" t="s">
        <v>319</v>
      </c>
      <c r="Y1" s="84" t="s">
        <v>320</v>
      </c>
      <c r="Z1" s="84" t="s">
        <v>321</v>
      </c>
    </row>
    <row customFormat="1" r="2" s="11" spans="1:26" x14ac:dyDescent="0.3">
      <c r="A2" s="48" t="str">
        <f ca="1">'TC44-Supplier Outbound -Spot'!E6</f>
        <v>B-2311-TN-02-004</v>
      </c>
      <c r="B2" s="53" t="str">
        <f>'TC44-Supplier Outbound -Spot'!O8</f>
        <v>C-230506001-001</v>
      </c>
      <c r="C2" s="48" t="s">
        <v>322</v>
      </c>
      <c r="D2" s="48" t="s">
        <v>323</v>
      </c>
      <c r="E2" s="48" t="s">
        <v>324</v>
      </c>
      <c r="F2" s="48" t="s">
        <v>324</v>
      </c>
      <c r="G2" s="48" t="s">
        <v>324</v>
      </c>
      <c r="H2" s="48" t="s">
        <v>324</v>
      </c>
      <c r="I2" s="48" t="s">
        <v>324</v>
      </c>
      <c r="J2" s="48" t="s">
        <v>324</v>
      </c>
      <c r="K2" s="48" t="s">
        <v>324</v>
      </c>
      <c r="L2" s="48" t="s">
        <v>324</v>
      </c>
      <c r="M2" s="48" t="s">
        <v>324</v>
      </c>
      <c r="N2" s="48" t="s">
        <v>324</v>
      </c>
      <c r="O2" s="48" t="s">
        <v>324</v>
      </c>
      <c r="P2" s="48" t="s">
        <v>324</v>
      </c>
      <c r="Q2" s="48" t="s">
        <v>324</v>
      </c>
      <c r="R2" s="48" t="s">
        <v>324</v>
      </c>
      <c r="S2" s="48" t="s">
        <v>324</v>
      </c>
      <c r="T2" s="48" t="s">
        <v>324</v>
      </c>
      <c r="U2" s="48" t="s">
        <v>324</v>
      </c>
      <c r="V2" s="48" t="s">
        <v>324</v>
      </c>
      <c r="W2" s="48" t="s">
        <v>324</v>
      </c>
      <c r="X2" s="48" t="s">
        <v>324</v>
      </c>
      <c r="Y2" s="48" t="s">
        <v>324</v>
      </c>
      <c r="Z2" s="48" t="s">
        <v>324</v>
      </c>
    </row>
    <row customFormat="1" r="3" s="11" spans="1:26" x14ac:dyDescent="0.3">
      <c r="A3" s="48"/>
      <c r="B3" s="53" t="str">
        <f>'TC44-Supplier Outbound -Spot'!O5</f>
        <v>C-230508001-001</v>
      </c>
      <c r="C3" s="48" t="s">
        <v>322</v>
      </c>
      <c r="D3" s="48" t="s">
        <v>323</v>
      </c>
      <c r="E3" s="48" t="s">
        <v>324</v>
      </c>
      <c r="F3" s="48" t="s">
        <v>324</v>
      </c>
      <c r="G3" s="48" t="s">
        <v>324</v>
      </c>
      <c r="H3" s="48" t="s">
        <v>324</v>
      </c>
      <c r="I3" s="48" t="s">
        <v>324</v>
      </c>
      <c r="J3" s="48" t="s">
        <v>324</v>
      </c>
      <c r="K3" s="48" t="s">
        <v>324</v>
      </c>
      <c r="L3" s="48" t="s">
        <v>324</v>
      </c>
      <c r="M3" s="48" t="s">
        <v>324</v>
      </c>
      <c r="N3" s="48" t="s">
        <v>324</v>
      </c>
      <c r="O3" s="48" t="s">
        <v>324</v>
      </c>
      <c r="P3" s="48" t="s">
        <v>324</v>
      </c>
      <c r="Q3" s="48" t="s">
        <v>324</v>
      </c>
      <c r="R3" s="48" t="s">
        <v>324</v>
      </c>
      <c r="S3" s="48" t="s">
        <v>324</v>
      </c>
      <c r="T3" s="48" t="s">
        <v>324</v>
      </c>
      <c r="U3" s="48" t="s">
        <v>324</v>
      </c>
      <c r="V3" s="48" t="s">
        <v>324</v>
      </c>
      <c r="W3" s="48" t="s">
        <v>324</v>
      </c>
      <c r="X3" s="48" t="s">
        <v>324</v>
      </c>
      <c r="Y3" s="48" t="s">
        <v>324</v>
      </c>
      <c r="Z3" s="48" t="s">
        <v>324</v>
      </c>
    </row>
    <row customFormat="1" r="4" s="11" spans="1:26" x14ac:dyDescent="0.3">
      <c r="A4" s="48" t="str">
        <f ca="1">'TC44-Supplier Outbound -Spot'!E7</f>
        <v>B-2311-TN-02-004</v>
      </c>
      <c r="B4" s="53" t="str">
        <f>'TC44-Supplier Outbound -Spot'!O6</f>
        <v>NYKU8417026</v>
      </c>
      <c r="C4" s="48" t="s">
        <v>322</v>
      </c>
      <c r="D4" s="48" t="s">
        <v>323</v>
      </c>
      <c r="E4" s="48" t="s">
        <v>324</v>
      </c>
      <c r="F4" s="48" t="s">
        <v>324</v>
      </c>
      <c r="G4" s="48" t="s">
        <v>324</v>
      </c>
      <c r="H4" s="48" t="s">
        <v>324</v>
      </c>
      <c r="I4" s="48" t="s">
        <v>324</v>
      </c>
      <c r="J4" s="48" t="s">
        <v>324</v>
      </c>
      <c r="K4" s="48" t="s">
        <v>324</v>
      </c>
      <c r="L4" s="48" t="s">
        <v>324</v>
      </c>
      <c r="M4" s="48" t="s">
        <v>324</v>
      </c>
      <c r="N4" s="48" t="s">
        <v>324</v>
      </c>
      <c r="O4" s="48" t="s">
        <v>324</v>
      </c>
      <c r="P4" s="48" t="s">
        <v>324</v>
      </c>
      <c r="Q4" s="48" t="s">
        <v>324</v>
      </c>
      <c r="R4" s="48" t="s">
        <v>324</v>
      </c>
      <c r="S4" s="48" t="s">
        <v>324</v>
      </c>
      <c r="T4" s="48" t="s">
        <v>324</v>
      </c>
      <c r="U4" s="48" t="s">
        <v>324</v>
      </c>
      <c r="V4" s="48" t="s">
        <v>324</v>
      </c>
      <c r="W4" s="48" t="s">
        <v>324</v>
      </c>
      <c r="X4" s="48" t="s">
        <v>324</v>
      </c>
      <c r="Y4" s="48" t="s">
        <v>324</v>
      </c>
      <c r="Z4" s="48" t="s">
        <v>324</v>
      </c>
    </row>
    <row r="5" spans="1:26" x14ac:dyDescent="0.3">
      <c r="A5" s="48" t="str">
        <f ca="1">'TC44-Supplier Outbound -Spot'!E9</f>
        <v>B-2311-TN-03-004</v>
      </c>
      <c r="B5" s="12"/>
      <c r="C5" s="48" t="s">
        <v>322</v>
      </c>
      <c r="D5" s="48" t="s">
        <v>323</v>
      </c>
      <c r="E5" s="48" t="s">
        <v>324</v>
      </c>
      <c r="F5" s="48" t="s">
        <v>324</v>
      </c>
      <c r="G5" s="48" t="s">
        <v>324</v>
      </c>
      <c r="H5" s="48" t="s">
        <v>324</v>
      </c>
      <c r="I5" s="48" t="s">
        <v>324</v>
      </c>
      <c r="J5" s="48" t="s">
        <v>324</v>
      </c>
      <c r="K5" s="48" t="s">
        <v>324</v>
      </c>
      <c r="L5" s="48" t="s">
        <v>324</v>
      </c>
      <c r="M5" s="48" t="s">
        <v>324</v>
      </c>
      <c r="N5" s="48" t="s">
        <v>324</v>
      </c>
      <c r="O5" s="48" t="s">
        <v>324</v>
      </c>
      <c r="P5" s="48" t="s">
        <v>324</v>
      </c>
      <c r="Q5" s="48" t="s">
        <v>324</v>
      </c>
      <c r="R5" s="48" t="s">
        <v>324</v>
      </c>
      <c r="S5" s="48" t="s">
        <v>324</v>
      </c>
      <c r="T5" s="48" t="s">
        <v>324</v>
      </c>
      <c r="U5" s="48" t="s">
        <v>324</v>
      </c>
      <c r="V5" s="48" t="s">
        <v>324</v>
      </c>
      <c r="W5" s="48" t="s">
        <v>324</v>
      </c>
      <c r="X5" s="48" t="s">
        <v>324</v>
      </c>
      <c r="Y5" s="48" t="s">
        <v>324</v>
      </c>
      <c r="Z5" s="48" t="s">
        <v>324</v>
      </c>
    </row>
    <row r="6" spans="1:26" x14ac:dyDescent="0.3">
      <c r="A6" s="12"/>
      <c r="B6" s="48" t="str">
        <f>'TC44-Supplier Outbound -Spot'!O3</f>
        <v>KKFU1726110</v>
      </c>
      <c r="C6" s="48" t="s">
        <v>322</v>
      </c>
      <c r="D6" s="48" t="s">
        <v>323</v>
      </c>
      <c r="E6" s="48" t="s">
        <v>324</v>
      </c>
      <c r="F6" s="48" t="s">
        <v>324</v>
      </c>
      <c r="G6" s="48" t="s">
        <v>324</v>
      </c>
      <c r="H6" s="48" t="s">
        <v>324</v>
      </c>
      <c r="I6" s="48" t="s">
        <v>324</v>
      </c>
      <c r="J6" s="48" t="s">
        <v>324</v>
      </c>
      <c r="K6" s="48" t="s">
        <v>324</v>
      </c>
      <c r="L6" s="48" t="s">
        <v>324</v>
      </c>
      <c r="M6" s="48" t="s">
        <v>324</v>
      </c>
      <c r="N6" s="48" t="s">
        <v>324</v>
      </c>
      <c r="O6" s="48" t="s">
        <v>324</v>
      </c>
      <c r="P6" s="48" t="s">
        <v>324</v>
      </c>
      <c r="Q6" s="48" t="s">
        <v>324</v>
      </c>
      <c r="R6" s="48" t="s">
        <v>324</v>
      </c>
      <c r="S6" s="48" t="s">
        <v>324</v>
      </c>
      <c r="T6" s="48" t="s">
        <v>324</v>
      </c>
      <c r="U6" s="48" t="s">
        <v>324</v>
      </c>
      <c r="V6" s="48" t="s">
        <v>324</v>
      </c>
      <c r="W6" s="48" t="s">
        <v>324</v>
      </c>
      <c r="X6" s="48" t="s">
        <v>324</v>
      </c>
      <c r="Y6" s="48" t="s">
        <v>324</v>
      </c>
      <c r="Z6" s="48" t="s">
        <v>324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C10"/>
  <sheetViews>
    <sheetView workbookViewId="0">
      <selection activeCell="J38" sqref="J38"/>
    </sheetView>
  </sheetViews>
  <sheetFormatPr defaultRowHeight="13.8" x14ac:dyDescent="0.3"/>
  <cols>
    <col min="1" max="2" customWidth="true" style="2" width="25.77734375" collapsed="true"/>
    <col min="3" max="4" customWidth="true" style="2" width="20.77734375" collapsed="true"/>
    <col min="5" max="16384" style="2" width="8.88671875" collapsed="true"/>
  </cols>
  <sheetData>
    <row r="1" spans="1:2" x14ac:dyDescent="0.3">
      <c r="A1" s="67" t="s">
        <v>216</v>
      </c>
      <c r="B1" s="67" t="s">
        <v>217</v>
      </c>
    </row>
    <row r="2" spans="1:2" x14ac:dyDescent="0.3">
      <c r="A2" s="12" t="str">
        <f ca="1">'TC44-Supplier Outbound -Regular'!C3</f>
        <v>B-2311-TN-01-004</v>
      </c>
      <c r="B2" s="12"/>
    </row>
    <row r="3" spans="1:2" x14ac:dyDescent="0.3">
      <c r="A3" s="22" t="str">
        <f ca="1">'TC44-Supplier Outbound -Regular'!C8</f>
        <v>B-2311-TN-01-004</v>
      </c>
      <c r="B3" s="24" t="str">
        <f>'TC44-Supplier Outbound -Regular'!G8</f>
        <v>C-230506001-001</v>
      </c>
    </row>
    <row r="4" spans="1:2" x14ac:dyDescent="0.3">
      <c r="A4" s="22" t="str">
        <f ca="1">'TC44-Supplier Outbound -Regular'!C4</f>
        <v>B-2311-TN-01-004</v>
      </c>
      <c r="B4" s="49" t="str">
        <f>'TC44-Supplier Outbound -Regular'!G4</f>
        <v>KKFU1726110</v>
      </c>
    </row>
    <row r="5" spans="1:2" x14ac:dyDescent="0.3">
      <c r="A5" s="22" t="str">
        <f ca="1">'TC44-Supplier Outbound -Regular'!C6</f>
        <v>B-2311-TN-01-004</v>
      </c>
      <c r="B5" s="49" t="str">
        <f>'TC44-Supplier Outbound -Regular'!G6</f>
        <v>NYKU8417026</v>
      </c>
    </row>
    <row r="6" spans="1:2" x14ac:dyDescent="0.3">
      <c r="A6" s="22"/>
      <c r="B6" s="24" t="str">
        <f>'TC44-Supplier Outbound -Spot'!O5</f>
        <v>C-230508001-001</v>
      </c>
    </row>
    <row r="7" spans="1:2" x14ac:dyDescent="0.3">
      <c r="A7" s="12"/>
      <c r="B7" s="24" t="str">
        <f>'TC44-Supplier Outbound -Spot'!O4</f>
        <v>KKFU1726110</v>
      </c>
    </row>
    <row r="8" spans="1:2" x14ac:dyDescent="0.3">
      <c r="A8" s="12" t="str">
        <f ca="1">'TC44-Supplier Outbound -Spot'!E8</f>
        <v>B-2311-TN-02-004</v>
      </c>
      <c r="B8" s="24" t="str">
        <f>'TC44-Supplier Outbound -Spot'!O8</f>
        <v>C-230506001-001</v>
      </c>
    </row>
    <row r="9" spans="1:2" x14ac:dyDescent="0.3">
      <c r="A9" s="12" t="str">
        <f ca="1">'TC44-Supplier Outbound -Spot'!E7</f>
        <v>B-2311-TN-02-004</v>
      </c>
      <c r="B9" s="24" t="str">
        <f>'TC44-Supplier Outbound -Spot'!O7</f>
        <v>NYKU8417026</v>
      </c>
    </row>
    <row r="10" spans="1:2" x14ac:dyDescent="0.3">
      <c r="A10" s="12" t="str">
        <f ca="1">'TC44-Supplier Outbound -Spot'!E9</f>
        <v>B-2311-TN-03-004</v>
      </c>
      <c r="B10" s="12"/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D5"/>
  <sheetViews>
    <sheetView workbookViewId="0"/>
  </sheetViews>
  <sheetFormatPr defaultRowHeight="13.8" x14ac:dyDescent="0.3"/>
  <cols>
    <col min="1" max="1" customWidth="true" style="2" width="5.77734375" collapsed="true"/>
    <col min="2" max="4" customWidth="true" style="2" width="25.77734375" collapsed="true"/>
    <col min="5" max="16384" style="2" width="8.88671875" collapsed="true"/>
  </cols>
  <sheetData>
    <row r="1" spans="1:3" x14ac:dyDescent="0.3">
      <c r="A1" s="12" t="s">
        <v>0</v>
      </c>
      <c r="B1" s="67" t="s">
        <v>215</v>
      </c>
      <c r="C1" s="79" t="s">
        <v>283</v>
      </c>
    </row>
    <row r="2" spans="1:3" x14ac:dyDescent="0.3">
      <c r="A2" s="12">
        <v>1</v>
      </c>
      <c r="B2" s="12" t="str">
        <f>'TC44-Outbound No'!C2</f>
        <v>o-SG-BAFCO-231108005</v>
      </c>
      <c r="C2" t="s">
        <v>513</v>
      </c>
    </row>
    <row r="3" spans="1:3" x14ac:dyDescent="0.3">
      <c r="A3" s="12">
        <v>2</v>
      </c>
      <c r="B3" s="12" t="str">
        <f>'TC44-Outbound No'!C3</f>
        <v>o-SG-BAFCO-231108006</v>
      </c>
      <c r="C3" t="s">
        <v>514</v>
      </c>
    </row>
    <row r="4" spans="1:3" x14ac:dyDescent="0.3">
      <c r="A4" s="12">
        <v>3</v>
      </c>
      <c r="B4" s="12" t="str">
        <f>'TC44-Outbound No'!C4</f>
        <v>o-SG-BAFCO-231108007</v>
      </c>
      <c r="C4" t="s">
        <v>515</v>
      </c>
    </row>
    <row r="5" spans="1:3" x14ac:dyDescent="0.3">
      <c r="A5" s="12">
        <v>4</v>
      </c>
      <c r="B5" s="12" t="str">
        <f>'TC44-Outbound No'!C5</f>
        <v>o-SG-BAFCO-231108008</v>
      </c>
      <c r="C5" t="s">
        <v>516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G15"/>
  <sheetViews>
    <sheetView workbookViewId="0"/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6" customWidth="true" style="2" width="15.77734375" collapsed="true"/>
    <col min="7" max="16384" style="2" width="8.88671875" collapsed="true"/>
  </cols>
  <sheetData>
    <row r="1" spans="1:6" x14ac:dyDescent="0.3">
      <c r="A1" s="12" t="s">
        <v>0</v>
      </c>
      <c r="B1" s="51" t="s">
        <v>329</v>
      </c>
      <c r="C1" s="12" t="s">
        <v>330</v>
      </c>
      <c r="D1" s="12" t="s">
        <v>331</v>
      </c>
      <c r="E1" s="12" t="s">
        <v>332</v>
      </c>
      <c r="F1" s="12" t="s">
        <v>333</v>
      </c>
    </row>
    <row r="2" spans="1:6" x14ac:dyDescent="0.3">
      <c r="A2" s="12">
        <v>1</v>
      </c>
      <c r="B2" s="12" t="str">
        <f ca="1"><![CDATA["i-VN-AKIRA-"&TEXT(TODAY(),"yymmdd")&"-"&AutoIncrement!B2&"-"&AutoIncrement!A2&"-001"]]></f>
        <v>i-VN-AKIRA-231108-TN-04-001</v>
      </c>
      <c r="C2" s="37" t="str">
        <f ca="1">TEXT(DATE(YEAR(TODAY()), MONTH(TODAY()), DAY(TODAY())), "dd MMM yyyy")</f>
        <v>08 Nov 2023</v>
      </c>
      <c r="D2" s="12"/>
      <c r="E2" s="12"/>
      <c r="F2" s="12"/>
    </row>
    <row r="3" spans="1:6" x14ac:dyDescent="0.3">
      <c r="A3" s="12">
        <v>2</v>
      </c>
      <c r="B3" s="12" t="str">
        <f ca="1"><![CDATA["i-VN-AKIRA-"&TEXT(TODAY(),"yymmdd")&"-"&AutoIncrement!B2&"-"&AutoIncrement!A2&"-001"]]></f>
        <v>i-VN-AKIRA-231108-TN-04-001</v>
      </c>
      <c r="C3" s="37" t="str">
        <f ca="1" ref="C3:C15" si="0" t="shared">TEXT(DATE(YEAR(TODAY()), MONTH(TODAY()), DAY(TODAY())), "dd MMM yyyy")</f>
        <v>08 Nov 2023</v>
      </c>
      <c r="D3" s="12"/>
      <c r="E3" s="12"/>
      <c r="F3" s="12"/>
    </row>
    <row r="4" spans="1:6" x14ac:dyDescent="0.3">
      <c r="A4" s="12">
        <v>3</v>
      </c>
      <c r="B4" s="12" t="str">
        <f ca="1"><![CDATA["i-VN-AKIRA-"&TEXT(TODAY(),"yymmdd")&"-"&AutoIncrement!B2&"-"&AutoIncrement!A2&"-001"]]></f>
        <v>i-VN-AKIRA-231108-TN-04-001</v>
      </c>
      <c r="C4" s="37" t="str">
        <f ca="1" si="0" t="shared"/>
        <v>08 Nov 2023</v>
      </c>
      <c r="D4" s="12"/>
      <c r="E4" s="12"/>
      <c r="F4" s="12"/>
    </row>
    <row r="5" spans="1:6" x14ac:dyDescent="0.3">
      <c r="A5" s="12">
        <v>4</v>
      </c>
      <c r="B5" s="12" t="str">
        <f ca="1"><![CDATA["i-VN-AKIRA-"&TEXT(TODAY(),"yymmdd")&"-"&AutoIncrement!B2&"-"&AutoIncrement!A2&"-001"]]></f>
        <v>i-VN-AKIRA-231108-TN-04-001</v>
      </c>
      <c r="C5" s="37" t="str">
        <f ca="1" si="0" t="shared"/>
        <v>08 Nov 2023</v>
      </c>
      <c r="D5" s="12"/>
      <c r="E5" s="12"/>
      <c r="F5" s="12"/>
    </row>
    <row r="6" spans="1:6" x14ac:dyDescent="0.3">
      <c r="A6" s="12">
        <v>5</v>
      </c>
      <c r="B6" s="12" t="str">
        <f ca="1"><![CDATA["i-VN-AKIRA-"&TEXT(TODAY(),"yymmdd")&"-"&AutoIncrement!B2&"-"&AutoIncrement!A2&"-001"]]></f>
        <v>i-VN-AKIRA-231108-TN-04-001</v>
      </c>
      <c r="C6" s="37" t="str">
        <f ca="1" si="0" t="shared"/>
        <v>08 Nov 2023</v>
      </c>
      <c r="D6" s="12"/>
      <c r="E6" s="12"/>
      <c r="F6" s="12"/>
    </row>
    <row r="7" spans="1:6" x14ac:dyDescent="0.3">
      <c r="A7" s="12">
        <v>6</v>
      </c>
      <c r="B7" s="12" t="str">
        <f ca="1"><![CDATA["i-VN-AKIRA-"&TEXT(TODAY(),"yymmdd")&"-"&AutoIncrement!B2&"-"&AutoIncrement!A2&"-001"]]></f>
        <v>i-VN-AKIRA-231108-TN-04-001</v>
      </c>
      <c r="C7" s="37" t="str">
        <f ca="1" si="0" t="shared"/>
        <v>08 Nov 2023</v>
      </c>
      <c r="D7" s="12"/>
      <c r="E7" s="12"/>
      <c r="F7" s="12"/>
    </row>
    <row r="8" spans="1:6" x14ac:dyDescent="0.3">
      <c r="A8" s="12">
        <v>7</v>
      </c>
      <c r="B8" s="12" t="str">
        <f ca="1"><![CDATA["i-VN-AKIRA-"&TEXT(TODAY(),"yymmdd")&"-"&AutoIncrement!B2&"-"&AutoIncrement!A2&"-001"]]></f>
        <v>i-VN-AKIRA-231108-TN-04-001</v>
      </c>
      <c r="C8" s="37" t="str">
        <f ca="1" si="0" t="shared"/>
        <v>08 Nov 2023</v>
      </c>
      <c r="D8" s="12"/>
      <c r="E8" s="12"/>
      <c r="F8" s="12"/>
    </row>
    <row r="9" spans="1:6" x14ac:dyDescent="0.3">
      <c r="A9" s="12">
        <v>8</v>
      </c>
      <c r="B9" s="12" t="str">
        <f ca="1"><![CDATA["i-VN-AKIRA-"&TEXT(TODAY(),"yymmdd")&"-"&AutoIncrement!B2&"-"&AutoIncrement!A2&"-001"]]></f>
        <v>i-VN-AKIRA-231108-TN-04-001</v>
      </c>
      <c r="C9" s="37" t="str">
        <f ca="1" si="0" t="shared"/>
        <v>08 Nov 2023</v>
      </c>
      <c r="D9" s="12"/>
      <c r="E9" s="12"/>
      <c r="F9" s="12"/>
    </row>
    <row r="10" spans="1:6" x14ac:dyDescent="0.3">
      <c r="A10" s="12">
        <v>9</v>
      </c>
      <c r="B10" s="12" t="str">
        <f ca="1"><![CDATA["i-VN-AKIRA-"&TEXT(TODAY(),"yymmdd")&"-"&AutoIncrement!B2&"-"&AutoIncrement!A2&"-001"]]></f>
        <v>i-VN-AKIRA-231108-TN-04-001</v>
      </c>
      <c r="C10" s="37" t="str">
        <f ca="1" si="0" t="shared"/>
        <v>08 Nov 2023</v>
      </c>
      <c r="D10" s="12"/>
      <c r="E10" s="12"/>
      <c r="F10" s="12"/>
    </row>
    <row r="11" spans="1:6" x14ac:dyDescent="0.3">
      <c r="A11" s="12">
        <v>10</v>
      </c>
      <c r="B11" s="12" t="str">
        <f ca="1"><![CDATA["i-VN-AKIRA-"&TEXT(TODAY(),"yymmdd")&"-"&AutoIncrement!B2&"-"&AutoIncrement!A2&"-001"]]></f>
        <v>i-VN-AKIRA-231108-TN-04-001</v>
      </c>
      <c r="C11" s="37" t="str">
        <f ca="1" si="0" t="shared"/>
        <v>08 Nov 2023</v>
      </c>
      <c r="D11" s="12"/>
      <c r="E11" s="12"/>
      <c r="F11" s="12"/>
    </row>
    <row r="12" spans="1:6" x14ac:dyDescent="0.3">
      <c r="A12" s="12">
        <v>11</v>
      </c>
      <c r="B12" s="12" t="str">
        <f ca="1"><![CDATA["i-VN-AKIRA-"&TEXT(TODAY(),"yymmdd")&"-"&AutoIncrement!B2&"-"&AutoIncrement!A2&"-001"]]></f>
        <v>i-VN-AKIRA-231108-TN-04-001</v>
      </c>
      <c r="C12" s="37" t="str">
        <f ca="1" si="0" t="shared"/>
        <v>08 Nov 2023</v>
      </c>
      <c r="D12" s="12"/>
      <c r="E12" s="12"/>
      <c r="F12" s="12"/>
    </row>
    <row r="13" spans="1:6" x14ac:dyDescent="0.3">
      <c r="A13" s="12">
        <v>12</v>
      </c>
      <c r="B13" s="12" t="str">
        <f ca="1"><![CDATA["i-VN-AKIRA-"&TEXT(TODAY(),"yymmdd")&"-"&AutoIncrement!B2&"-"&AutoIncrement!A2&"-001"]]></f>
        <v>i-VN-AKIRA-231108-TN-04-001</v>
      </c>
      <c r="C13" s="37" t="str">
        <f ca="1" si="0" t="shared"/>
        <v>08 Nov 2023</v>
      </c>
      <c r="D13" s="50">
        <v>1</v>
      </c>
      <c r="E13" s="50">
        <v>1</v>
      </c>
      <c r="F13" s="50">
        <v>1</v>
      </c>
    </row>
    <row r="14" spans="1:6" x14ac:dyDescent="0.3">
      <c r="A14" s="12">
        <v>13</v>
      </c>
      <c r="B14" s="12" t="str">
        <f ca="1"><![CDATA["i-VN-AKIRA-"&TEXT(TODAY(),"yymmdd")&"-"&AutoIncrement!B2&"-"&AutoIncrement!A2&"-002"]]></f>
        <v>i-VN-AKIRA-231108-TN-04-002</v>
      </c>
      <c r="C14" s="37" t="str">
        <f ca="1" si="0" t="shared"/>
        <v>08 Nov 2023</v>
      </c>
      <c r="D14" s="50">
        <v>1</v>
      </c>
      <c r="E14" s="50">
        <v>1</v>
      </c>
      <c r="F14" s="50">
        <v>1</v>
      </c>
    </row>
    <row r="15" spans="1:6" x14ac:dyDescent="0.3">
      <c r="A15" s="12">
        <v>14</v>
      </c>
      <c r="B15" s="12" t="str">
        <f ca="1"><![CDATA["i-VN-AKIRA-"&TEXT(TODAY(),"yymmdd")&"-"&AutoIncrement!B2&"-"&AutoIncrement!A2&"-002"]]></f>
        <v>i-VN-AKIRA-231108-TN-04-002</v>
      </c>
      <c r="C15" s="37" t="str">
        <f ca="1" si="0" t="shared"/>
        <v>08 Nov 2023</v>
      </c>
      <c r="D15" s="12"/>
      <c r="E15" s="12"/>
      <c r="F15" s="12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H2"/>
  <sheetViews>
    <sheetView workbookViewId="0"/>
  </sheetViews>
  <sheetFormatPr defaultRowHeight="13.8" x14ac:dyDescent="0.3"/>
  <cols>
    <col min="1" max="2" customWidth="true" style="2" width="15.77734375" collapsed="true"/>
    <col min="3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12" t="s">
        <v>343</v>
      </c>
      <c r="B1" s="51" t="s">
        <v>394</v>
      </c>
      <c r="C1" s="12" t="s">
        <v>1</v>
      </c>
      <c r="D1" s="12" t="s">
        <v>395</v>
      </c>
      <c r="E1" s="12" t="s">
        <v>396</v>
      </c>
      <c r="F1" s="12" t="s">
        <v>397</v>
      </c>
      <c r="G1" s="12" t="s">
        <v>398</v>
      </c>
    </row>
    <row r="2" spans="1:7" x14ac:dyDescent="0.3">
      <c r="A2" s="12" t="s">
        <v>344</v>
      </c>
      <c r="B2" s="12" t="s">
        <v>399</v>
      </c>
      <c r="C2" s="12" t="s">
        <v>400</v>
      </c>
      <c r="D2" s="12" t="s">
        <v>401</v>
      </c>
      <c r="E2" s="12">
        <v>1</v>
      </c>
      <c r="F2" s="12">
        <v>30</v>
      </c>
      <c r="G2" s="12">
        <v>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Q7"/>
  <sheetViews>
    <sheetView workbookViewId="0"/>
  </sheetViews>
  <sheetFormatPr defaultRowHeight="13.8" x14ac:dyDescent="0.3"/>
  <cols>
    <col min="1" max="1" customWidth="true" style="2" width="4.77734375" collapsed="true"/>
    <col min="2" max="4" customWidth="true" style="2" width="25.77734375" collapsed="true"/>
    <col min="5" max="5" customWidth="true" style="2" width="26.77734375" collapsed="true"/>
    <col min="6" max="18" customWidth="true" style="2" width="15.77734375" collapsed="true"/>
    <col min="19" max="16384" style="2" width="8.88671875" collapsed="true"/>
  </cols>
  <sheetData>
    <row r="1" spans="1:16" x14ac:dyDescent="0.3">
      <c r="A1" s="12" t="s">
        <v>0</v>
      </c>
      <c r="B1" s="51" t="s">
        <v>402</v>
      </c>
      <c r="C1" s="51" t="s">
        <v>25</v>
      </c>
      <c r="D1" s="12" t="s">
        <v>409</v>
      </c>
      <c r="E1" s="67" t="s">
        <v>2</v>
      </c>
      <c r="F1" s="12" t="s">
        <v>410</v>
      </c>
      <c r="G1" s="12" t="s">
        <v>414</v>
      </c>
      <c r="H1" s="12" t="s">
        <v>415</v>
      </c>
      <c r="I1" s="12" t="s">
        <v>416</v>
      </c>
      <c r="J1" s="12" t="s">
        <v>417</v>
      </c>
      <c r="K1" s="12" t="s">
        <v>418</v>
      </c>
      <c r="L1" s="12" t="s">
        <v>419</v>
      </c>
      <c r="M1" s="12" t="s">
        <v>10</v>
      </c>
      <c r="N1" s="12" t="s">
        <v>420</v>
      </c>
      <c r="O1" s="12" t="s">
        <v>421</v>
      </c>
      <c r="P1" s="12" t="s">
        <v>422</v>
      </c>
    </row>
    <row r="2" spans="1:16" x14ac:dyDescent="0.3">
      <c r="A2" s="12">
        <v>1</v>
      </c>
      <c r="B2" s="19" t="s">
        <v>114</v>
      </c>
      <c r="C2" s="21" t="str">
        <f>'TC3-Req to Parts Master'!C2</f>
        <v>scenario1220230504001</v>
      </c>
      <c r="D2" s="19" t="s">
        <v>408</v>
      </c>
      <c r="E2" s="12" t="str">
        <f>'TC4'!C2</f>
        <v>SGTTAP-VNTTVN-TN-04-004</v>
      </c>
      <c r="F2" s="12" t="s">
        <v>411</v>
      </c>
      <c r="G2" s="12">
        <v>10</v>
      </c>
      <c r="H2" s="12">
        <v>20</v>
      </c>
      <c r="I2" s="12">
        <v>0.1</v>
      </c>
      <c r="J2" s="12">
        <v>1</v>
      </c>
      <c r="K2" s="12" t="s">
        <v>193</v>
      </c>
      <c r="L2" s="12">
        <v>1</v>
      </c>
      <c r="M2" s="12" t="s">
        <v>21</v>
      </c>
      <c r="N2" s="12">
        <v>10.5</v>
      </c>
      <c r="O2" s="12" t="s">
        <v>81</v>
      </c>
      <c r="P2" s="12"/>
    </row>
    <row r="3" spans="1:16" x14ac:dyDescent="0.3">
      <c r="A3" s="12">
        <v>2</v>
      </c>
      <c r="B3" s="19" t="s">
        <v>40</v>
      </c>
      <c r="C3" s="21" t="str">
        <f>'TC3-Req to Parts Master'!C3</f>
        <v>scenario1220230504002</v>
      </c>
      <c r="D3" s="19" t="s">
        <v>403</v>
      </c>
      <c r="E3" s="52" t="str">
        <f>'TC4'!C2</f>
        <v>SGTTAP-VNTTVN-TN-04-004</v>
      </c>
      <c r="F3" s="12" t="s">
        <v>411</v>
      </c>
      <c r="G3" s="12">
        <v>10</v>
      </c>
      <c r="H3" s="12">
        <v>20</v>
      </c>
      <c r="I3" s="12">
        <v>0.1</v>
      </c>
      <c r="J3" s="12">
        <v>1</v>
      </c>
      <c r="K3" s="12" t="s">
        <v>194</v>
      </c>
      <c r="L3" s="12">
        <v>1</v>
      </c>
      <c r="M3" s="12" t="s">
        <v>21</v>
      </c>
      <c r="N3" s="12">
        <v>10.5</v>
      </c>
      <c r="O3" s="12" t="s">
        <v>81</v>
      </c>
      <c r="P3" s="12"/>
    </row>
    <row r="4" spans="1:16" x14ac:dyDescent="0.3">
      <c r="A4" s="12">
        <v>3</v>
      </c>
      <c r="B4" s="19" t="s">
        <v>41</v>
      </c>
      <c r="C4" s="21" t="str">
        <f>'TC3-Req to Parts Master'!C4</f>
        <v>scenario1220230504003</v>
      </c>
      <c r="D4" s="19" t="s">
        <v>404</v>
      </c>
      <c r="E4" s="52" t="str">
        <f>'TC4'!C2</f>
        <v>SGTTAP-VNTTVN-TN-04-004</v>
      </c>
      <c r="F4" s="12" t="s">
        <v>412</v>
      </c>
      <c r="G4" s="12">
        <v>10</v>
      </c>
      <c r="H4" s="12">
        <v>20</v>
      </c>
      <c r="I4" s="12">
        <v>0.1</v>
      </c>
      <c r="J4" s="12">
        <v>1</v>
      </c>
      <c r="K4" s="12" t="s">
        <v>195</v>
      </c>
      <c r="L4" s="12">
        <v>1</v>
      </c>
      <c r="M4" s="12" t="s">
        <v>21</v>
      </c>
      <c r="N4" s="12">
        <v>10.5</v>
      </c>
      <c r="O4" s="12" t="s">
        <v>81</v>
      </c>
      <c r="P4" s="12"/>
    </row>
    <row r="5" spans="1:16" x14ac:dyDescent="0.3">
      <c r="A5" s="12">
        <v>4</v>
      </c>
      <c r="B5" s="19" t="s">
        <v>42</v>
      </c>
      <c r="C5" s="21" t="str">
        <f>'TC3-Req to Parts Master'!C5</f>
        <v>scenario1220230504004</v>
      </c>
      <c r="D5" s="19" t="s">
        <v>405</v>
      </c>
      <c r="E5" s="52" t="str">
        <f>'TC4'!C2</f>
        <v>SGTTAP-VNTTVN-TN-04-004</v>
      </c>
      <c r="F5" s="12" t="s">
        <v>412</v>
      </c>
      <c r="G5" s="12">
        <v>10</v>
      </c>
      <c r="H5" s="12">
        <v>20</v>
      </c>
      <c r="I5" s="12">
        <v>0.1</v>
      </c>
      <c r="J5" s="12">
        <v>1</v>
      </c>
      <c r="K5" s="12" t="s">
        <v>270</v>
      </c>
      <c r="L5" s="12">
        <v>1</v>
      </c>
      <c r="M5" s="12" t="s">
        <v>21</v>
      </c>
      <c r="N5" s="12">
        <v>10.5</v>
      </c>
      <c r="O5" s="12" t="s">
        <v>81</v>
      </c>
      <c r="P5" s="12"/>
    </row>
    <row r="6" spans="1:16" x14ac:dyDescent="0.3">
      <c r="A6" s="12">
        <v>5</v>
      </c>
      <c r="B6" s="19" t="s">
        <v>43</v>
      </c>
      <c r="C6" s="19" t="s">
        <v>30</v>
      </c>
      <c r="D6" s="19" t="s">
        <v>406</v>
      </c>
      <c r="E6" s="52" t="str">
        <f>'TC4'!C2</f>
        <v>SGTTAP-VNTTVN-TN-04-004</v>
      </c>
      <c r="F6" s="12" t="s">
        <v>413</v>
      </c>
      <c r="G6" s="12">
        <v>10</v>
      </c>
      <c r="H6" s="12">
        <v>20</v>
      </c>
      <c r="I6" s="12">
        <v>0.1</v>
      </c>
      <c r="J6" s="12">
        <v>1</v>
      </c>
      <c r="K6" s="12" t="s">
        <v>195</v>
      </c>
      <c r="L6" s="12">
        <v>1</v>
      </c>
      <c r="M6" s="12" t="s">
        <v>21</v>
      </c>
      <c r="N6" s="12">
        <v>10.5</v>
      </c>
      <c r="O6" s="12" t="s">
        <v>81</v>
      </c>
      <c r="P6" s="12"/>
    </row>
    <row r="7" spans="1:16" x14ac:dyDescent="0.3">
      <c r="A7" s="12">
        <v>6</v>
      </c>
      <c r="B7" s="19" t="s">
        <v>44</v>
      </c>
      <c r="C7" s="19" t="s">
        <v>31</v>
      </c>
      <c r="D7" s="19" t="s">
        <v>407</v>
      </c>
      <c r="E7" s="52" t="str">
        <f>'TC4'!C2</f>
        <v>SGTTAP-VNTTVN-TN-04-004</v>
      </c>
      <c r="F7" s="12" t="s">
        <v>413</v>
      </c>
      <c r="G7" s="12">
        <v>10</v>
      </c>
      <c r="H7" s="12">
        <v>20</v>
      </c>
      <c r="I7" s="12">
        <v>0.1</v>
      </c>
      <c r="J7" s="12">
        <v>1</v>
      </c>
      <c r="K7" s="12" t="s">
        <v>195</v>
      </c>
      <c r="L7" s="12">
        <v>1</v>
      </c>
      <c r="M7" s="12" t="s">
        <v>21</v>
      </c>
      <c r="N7" s="12">
        <v>10.5</v>
      </c>
      <c r="O7" s="12" t="s">
        <v>81</v>
      </c>
      <c r="P7" s="1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workbookViewId="0" zoomScale="90" zoomScaleNormal="90">
      <selection activeCell="K27" sqref="K27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9" customWidth="true" width="15.77734375" collapsed="true"/>
    <col min="10" max="10" customWidth="true" width="25.77734375" collapsed="true"/>
    <col min="11" max="20" customWidth="true" width="15.77734375" collapsed="true"/>
    <col min="21" max="21" customWidth="true" width="25.77734375" collapsed="true"/>
    <col min="22" max="22" customWidth="true" width="15.77734375" collapsed="true"/>
    <col min="23" max="23" customWidth="true" width="8.88671875" collapsed="true"/>
  </cols>
  <sheetData>
    <row r="1" spans="1:22" x14ac:dyDescent="0.3">
      <c r="A1" s="20" t="s">
        <v>0</v>
      </c>
      <c r="B1" s="70" t="s">
        <v>102</v>
      </c>
      <c r="C1" s="7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71" t="s">
        <v>7</v>
      </c>
      <c r="I1" s="71" t="s">
        <v>8</v>
      </c>
      <c r="J1" s="71" t="s">
        <v>9</v>
      </c>
      <c r="K1" s="20" t="s">
        <v>10</v>
      </c>
      <c r="L1" s="20" t="s">
        <v>11</v>
      </c>
      <c r="M1" s="20" t="s">
        <v>38</v>
      </c>
      <c r="N1" s="7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73" t="s">
        <v>19</v>
      </c>
      <c r="V1" s="20" t="s">
        <v>45</v>
      </c>
    </row>
    <row r="2" spans="1:22" x14ac:dyDescent="0.3">
      <c r="A2" s="20">
        <v>1</v>
      </c>
      <c r="B2" t="s">
        <v>501</v>
      </c>
      <c r="C2" s="20" t="str">
        <f>"SGTTAP-VNTTVN-"&amp;'TC4'!H2&amp;"-0"&amp;AutoIncrement!A2</f>
        <v>SGTTAP-VNTTVN-TN-04-004</v>
      </c>
      <c r="D2" s="20" t="s">
        <v>20</v>
      </c>
      <c r="E2" s="20" t="s">
        <v>32</v>
      </c>
      <c r="F2" s="20">
        <v>1</v>
      </c>
      <c r="G2" s="20">
        <v>2</v>
      </c>
      <c r="H2" s="20" t="str">
        <f>AutoIncrement!B2&amp;"-"&amp;AutoIncrement!A2</f>
        <v>TN-04</v>
      </c>
      <c r="I2" s="20" t="str">
        <f>"CD-"&amp;H2</f>
        <v>CD-TN-04</v>
      </c>
      <c r="J2" s="20" t="str">
        <f>'TC3.1'!B2&amp;"("&amp;'TC3.1'!C2&amp;")"</f>
        <v>TT60BL(T/T REMITTANCE AT 60 DAYS FROM THE END OF B/L MONTH)</v>
      </c>
      <c r="K2" s="20" t="s">
        <v>21</v>
      </c>
      <c r="L2" s="20" t="s">
        <v>22</v>
      </c>
      <c r="M2" s="20" t="s">
        <v>37</v>
      </c>
      <c r="N2" s="20" t="str">
        <f>"RD-"&amp;H2</f>
        <v>RD-TN-04</v>
      </c>
      <c r="O2" s="20" t="s">
        <v>23</v>
      </c>
      <c r="P2" s="20" t="s">
        <v>33</v>
      </c>
      <c r="Q2" s="20" t="s">
        <v>34</v>
      </c>
      <c r="R2" s="20" t="s">
        <v>24</v>
      </c>
      <c r="S2" s="20" t="s">
        <v>35</v>
      </c>
      <c r="T2" s="20" t="s">
        <v>36</v>
      </c>
      <c r="U2" t="s">
        <v>502</v>
      </c>
      <c r="V2" s="20" t="s">
        <v>34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65</vt:i4>
      </vt:variant>
    </vt:vector>
  </HeadingPairs>
  <TitlesOfParts>
    <vt:vector baseType="lpstr" size="65">
      <vt:lpstr>Indicator</vt:lpstr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TC11- Period Generator</vt:lpstr>
      <vt:lpstr>TC12</vt:lpstr>
      <vt:lpstr>TC14-BU SO</vt:lpstr>
      <vt:lpstr>TC15-BU PO</vt:lpstr>
      <vt:lpstr>TC16-Supplier SO</vt:lpstr>
      <vt:lpstr>TC17.1-Sup SO Delivery Plan</vt:lpstr>
      <vt:lpstr>TC17.1-Sup SODeliveryPlan(Date)</vt:lpstr>
      <vt:lpstr>TC17.2-Sup SO Delivery Plan</vt:lpstr>
      <vt:lpstr>TC17.2-Sup SODeliveryPlan(Date)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Huawei Testbits</dc:creator>
  <cp:lastModifiedBy>Nurfatin Abdullah Shuhaimy</cp:lastModifiedBy>
  <dcterms:modified xsi:type="dcterms:W3CDTF">2023-11-08T07:58:58Z</dcterms:modified>
</cp:coreProperties>
</file>