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nasin\git\tb-ttap-brivge-v2\Excel Files\Scenario 12\"/>
    </mc:Choice>
  </mc:AlternateContent>
  <xr:revisionPtr revIDLastSave="0" documentId="13_ncr:1_{6E718A12-66CC-4D3D-BD3C-73C1D0C52511}" xr6:coauthVersionLast="47" xr6:coauthVersionMax="47" xr10:uidLastSave="{00000000-0000-0000-0000-000000000000}"/>
  <bookViews>
    <workbookView xWindow="-108" yWindow="-108" windowWidth="23256" windowHeight="12456" tabRatio="621" firstSheet="22" activeTab="24" xr2:uid="{00000000-000D-0000-FFFF-FFFF00000000}"/>
  </bookViews>
  <sheets>
    <sheet name="Indicator" sheetId="82" r:id="rId1"/>
    <sheet name="AutoIncrement" sheetId="5" r:id="rId2"/>
    <sheet name="TC1" sheetId="71" r:id="rId3"/>
    <sheet name="TC2" sheetId="72" r:id="rId4"/>
    <sheet name="TC3" sheetId="1" r:id="rId5"/>
    <sheet name="TC3-Req to Parts Master" sheetId="73" r:id="rId6"/>
    <sheet name="TC3.1" sheetId="74" r:id="rId7"/>
    <sheet name="TC4-Contract Parts Info" sheetId="4" r:id="rId8"/>
    <sheet name="TC4" sheetId="3" r:id="rId9"/>
    <sheet name="TC5" sheetId="6" r:id="rId10"/>
    <sheet name="TC6" sheetId="7" r:id="rId11"/>
    <sheet name="TC6.1" sheetId="75" r:id="rId12"/>
    <sheet name="TC6.2" sheetId="9" r:id="rId13"/>
    <sheet name="TC6.2_ETAnWeek" sheetId="10" r:id="rId14"/>
    <sheet name="TC7-Contract Parts Info" sheetId="76" r:id="rId15"/>
    <sheet name="TC7" sheetId="11" r:id="rId16"/>
    <sheet name="TC8" sheetId="53" r:id="rId17"/>
    <sheet name="TC9" sheetId="12" r:id="rId18"/>
    <sheet name="TC10" sheetId="13" r:id="rId19"/>
    <sheet name="TC11-Order Regular" sheetId="15" r:id="rId20"/>
    <sheet name="TC11-Inbound Dates Regular" sheetId="16" r:id="rId21"/>
    <sheet name="TC11-Order Spot" sheetId="17" r:id="rId22"/>
    <sheet name="TC11-Inbound Dates Spot" sheetId="18" r:id="rId23"/>
    <sheet name="TC11-Customer CO" sheetId="25" r:id="rId24"/>
    <sheet name="TC11- Period Generator" sheetId="77" r:id="rId25"/>
    <sheet name="TC12" sheetId="54" r:id="rId26"/>
    <sheet name="TC14-BU SO" sheetId="19" r:id="rId27"/>
    <sheet name="TC15-BU PO" sheetId="20" r:id="rId28"/>
    <sheet name="TC16-Supplier SO" sheetId="21" r:id="rId29"/>
    <sheet name="TC17.1-Sup SO Delivery Plan" sheetId="78" r:id="rId30"/>
    <sheet name="TC17.1-Sup SODeliveryPlan(Date)" sheetId="79" r:id="rId31"/>
    <sheet name="TC17.2-Sup SO Delivery Plan" sheetId="80" r:id="rId32"/>
    <sheet name="TC17.2-Sup SODeliveryPlan(Date)" sheetId="81" r:id="rId33"/>
    <sheet name="TC18-Forecast Change" sheetId="26" r:id="rId34"/>
    <sheet name="TC20-BU Change Request" sheetId="28" r:id="rId35"/>
    <sheet name="TC19-Customer Change Request" sheetId="27" r:id="rId36"/>
    <sheet name="TC21-Supplier Approve Change " sheetId="29" r:id="rId37"/>
    <sheet name="TC22-Customer Forecast CO " sheetId="30" r:id="rId38"/>
    <sheet name="TC23-BU Forecast SO" sheetId="31" r:id="rId39"/>
    <sheet name="TC24-BU Forecast PO" sheetId="32" r:id="rId40"/>
    <sheet name="TC25-Customer Order Change" sheetId="33" r:id="rId41"/>
    <sheet name="TC25-Change Inbound Date" sheetId="34" r:id="rId42"/>
    <sheet name="TC25-Change Request No" sheetId="40" r:id="rId43"/>
    <sheet name="TC26-Customer AutoGen Change" sheetId="35" r:id="rId44"/>
    <sheet name="TC27-BU AutoGen Change" sheetId="38" r:id="rId45"/>
    <sheet name="TC28-Supplier Approve Change" sheetId="39" r:id="rId46"/>
    <sheet name="TC29-Customer Check CO" sheetId="43" r:id="rId47"/>
    <sheet name="TC30-BU Check SO" sheetId="44" r:id="rId48"/>
    <sheet name="TC31-BU Check PO" sheetId="45" r:id="rId49"/>
    <sheet name="TC32-Supplier Check SO" sheetId="46" r:id="rId50"/>
    <sheet name="TC33-New Outbound Date" sheetId="55" r:id="rId51"/>
    <sheet name="TC33-New Firm Qty" sheetId="70" r:id="rId52"/>
    <sheet name="TC33-Change Request No" sheetId="56" r:id="rId53"/>
    <sheet name="TC34" sheetId="67" r:id="rId54"/>
    <sheet name="TC35" sheetId="68" r:id="rId55"/>
    <sheet name="TC36" sheetId="57" r:id="rId56"/>
    <sheet name="TC44-Supplier Outbound -Regular" sheetId="47" r:id="rId57"/>
    <sheet name="TC44-Supplier Outbound -Spot" sheetId="49" r:id="rId58"/>
    <sheet name="TC44-Outbound No" sheetId="50" r:id="rId59"/>
    <sheet name="TC45-Supplier SellerGI Invoice" sheetId="52" r:id="rId60"/>
    <sheet name="TC50.1-Customer Cargo -Regular" sheetId="59" r:id="rId61"/>
    <sheet name="TC50.2-Customer Cargo -Spot" sheetId="60" r:id="rId62"/>
    <sheet name="TC53-Shipping Detail" sheetId="62" r:id="rId63"/>
    <sheet name="TC61-BU SellerGI Invoice" sheetId="64" r:id="rId64"/>
    <sheet name="TC68-DC Inbound" sheetId="65" r:id="rId65"/>
  </sheets>
  <externalReferences>
    <externalReference r:id="rId66"/>
  </externalReferences>
  <definedNames>
    <definedName name="activeFlagListArr" localSheetId="5">#REF!</definedName>
    <definedName name="activeFlagListArr">[1]activeFlagListArr!$A$1:$A$2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>#REF!</definedName>
    <definedName name="findAllUomArr" localSheetId="5">#REF!</definedName>
    <definedName name="findAllUomArr">[1]findAllUomArr!$A$1:$A$41</definedName>
    <definedName name="PAIRED_FLAG">#REF!</definedName>
    <definedName name="PAIRED_ORDER_FLAG">#REF!</definedName>
    <definedName name="pairedPartsFlagStrArr">#REF!</definedName>
    <definedName name="partsTypeArr" localSheetId="5">#REF!</definedName>
    <definedName name="partsTypeArr">[1]partsTypeArr!$A$1:$A$4</definedName>
    <definedName name="REPACKING_TYPE">#REF!</definedName>
    <definedName name="rolledPartsFlagArr" localSheetId="5">#REF!</definedName>
    <definedName name="rolledPartsFlagArr">[1]rolledPartsFlagArr!$A$1:$A$2</definedName>
    <definedName name="rolledPartsUomArr" localSheetId="5">#REF!</definedName>
    <definedName name="rolledPartsUomArr">[1]rolledPartsUomArr!$A$1:$A$41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35" l="1"/>
  <c r="P4" i="35"/>
  <c r="Q4" i="35"/>
  <c r="R4" i="35"/>
  <c r="J4" i="35"/>
  <c r="K4" i="35"/>
  <c r="B4" i="35"/>
  <c r="A4" i="35"/>
  <c r="K3" i="57"/>
  <c r="K4" i="57"/>
  <c r="K5" i="57"/>
  <c r="K6" i="57"/>
  <c r="K7" i="57"/>
  <c r="K2" i="57"/>
  <c r="K3" i="68"/>
  <c r="K4" i="68"/>
  <c r="K5" i="68"/>
  <c r="K6" i="68"/>
  <c r="K7" i="68"/>
  <c r="K2" i="68"/>
  <c r="J2" i="67"/>
  <c r="J3" i="57"/>
  <c r="J4" i="57"/>
  <c r="J5" i="57"/>
  <c r="J6" i="57"/>
  <c r="J7" i="57"/>
  <c r="J2" i="57"/>
  <c r="J3" i="68"/>
  <c r="J4" i="68"/>
  <c r="J5" i="68"/>
  <c r="J6" i="68"/>
  <c r="J7" i="68"/>
  <c r="J2" i="68"/>
  <c r="I2" i="67"/>
  <c r="J3" i="67"/>
  <c r="J4" i="67"/>
  <c r="J5" i="67"/>
  <c r="J6" i="67"/>
  <c r="J7" i="67"/>
  <c r="I3" i="67"/>
  <c r="I4" i="67"/>
  <c r="I5" i="67"/>
  <c r="I6" i="67"/>
  <c r="I7" i="67"/>
  <c r="N2" i="43"/>
  <c r="P3" i="43"/>
  <c r="P4" i="43"/>
  <c r="P5" i="43"/>
  <c r="P7" i="43"/>
  <c r="R2" i="43"/>
  <c r="P2" i="43"/>
  <c r="N3" i="43"/>
  <c r="N4" i="43"/>
  <c r="N5" i="43"/>
  <c r="N6" i="43"/>
  <c r="H3" i="46"/>
  <c r="H4" i="46"/>
  <c r="H5" i="46"/>
  <c r="H6" i="46"/>
  <c r="H7" i="46"/>
  <c r="H2" i="46"/>
  <c r="I3" i="45"/>
  <c r="I4" i="45"/>
  <c r="I5" i="45"/>
  <c r="I6" i="45"/>
  <c r="I7" i="45"/>
  <c r="I2" i="45"/>
  <c r="H3" i="44"/>
  <c r="H4" i="44"/>
  <c r="H5" i="44"/>
  <c r="H6" i="44"/>
  <c r="H7" i="44"/>
  <c r="H2" i="44"/>
  <c r="H3" i="43"/>
  <c r="H4" i="43"/>
  <c r="H5" i="43"/>
  <c r="H6" i="43"/>
  <c r="H7" i="43"/>
  <c r="H2" i="43"/>
  <c r="Q6" i="39"/>
  <c r="P5" i="39"/>
  <c r="Q4" i="39"/>
  <c r="P4" i="39"/>
  <c r="Q3" i="39"/>
  <c r="P3" i="39"/>
  <c r="Q2" i="39"/>
  <c r="R2" i="39"/>
  <c r="P2" i="39"/>
  <c r="Q2" i="35"/>
  <c r="N5" i="39"/>
  <c r="O5" i="39"/>
  <c r="N6" i="39"/>
  <c r="O4" i="39"/>
  <c r="O3" i="39"/>
  <c r="N3" i="39"/>
  <c r="O2" i="39"/>
  <c r="N2" i="39"/>
  <c r="O2" i="38"/>
  <c r="R6" i="38"/>
  <c r="O6" i="38"/>
  <c r="Q5" i="38"/>
  <c r="P5" i="38"/>
  <c r="O5" i="38"/>
  <c r="R4" i="38"/>
  <c r="Q4" i="38"/>
  <c r="P4" i="38"/>
  <c r="R3" i="38"/>
  <c r="Q3" i="38"/>
  <c r="P3" i="38"/>
  <c r="O3" i="38"/>
  <c r="S2" i="38"/>
  <c r="R2" i="38"/>
  <c r="Q2" i="38"/>
  <c r="P2" i="38"/>
  <c r="O6" i="35"/>
  <c r="P6" i="35"/>
  <c r="O7" i="35"/>
  <c r="P5" i="35"/>
  <c r="P3" i="35"/>
  <c r="O3" i="35"/>
  <c r="P2" i="35"/>
  <c r="O2" i="35"/>
  <c r="R7" i="35"/>
  <c r="Q6" i="35"/>
  <c r="R5" i="35"/>
  <c r="Q5" i="35"/>
  <c r="R3" i="35"/>
  <c r="Q3" i="35"/>
  <c r="R2" i="35"/>
  <c r="S2" i="35"/>
  <c r="B5" i="39"/>
  <c r="B6" i="39"/>
  <c r="B4" i="39"/>
  <c r="B3" i="39"/>
  <c r="B2" i="39"/>
  <c r="A6" i="39"/>
  <c r="A5" i="39"/>
  <c r="A4" i="39"/>
  <c r="A3" i="39"/>
  <c r="A2" i="39"/>
  <c r="J5" i="39"/>
  <c r="J6" i="39"/>
  <c r="J4" i="39"/>
  <c r="J3" i="39"/>
  <c r="J2" i="39"/>
  <c r="K2" i="38"/>
  <c r="I5" i="39"/>
  <c r="I6" i="39"/>
  <c r="I4" i="39"/>
  <c r="I3" i="39"/>
  <c r="I2" i="39"/>
  <c r="J2" i="38"/>
  <c r="B5" i="38"/>
  <c r="B6" i="38"/>
  <c r="B4" i="38"/>
  <c r="B3" i="38"/>
  <c r="B2" i="38"/>
  <c r="K6" i="38"/>
  <c r="J6" i="38"/>
  <c r="K5" i="38"/>
  <c r="J5" i="38"/>
  <c r="K4" i="38"/>
  <c r="J4" i="38"/>
  <c r="K3" i="38"/>
  <c r="J3" i="38"/>
  <c r="K6" i="35"/>
  <c r="K7" i="35"/>
  <c r="K5" i="35"/>
  <c r="K3" i="35"/>
  <c r="K2" i="35"/>
  <c r="J6" i="35"/>
  <c r="J7" i="35"/>
  <c r="J5" i="35"/>
  <c r="J3" i="35"/>
  <c r="J2" i="35"/>
  <c r="B6" i="35"/>
  <c r="B7" i="35"/>
  <c r="B5" i="35"/>
  <c r="B3" i="35"/>
  <c r="B2" i="35"/>
  <c r="A6" i="35"/>
  <c r="A7" i="35"/>
  <c r="A5" i="35"/>
  <c r="A3" i="35"/>
  <c r="A2" i="35"/>
  <c r="B3" i="33"/>
  <c r="B4" i="33"/>
  <c r="B5" i="33"/>
  <c r="B6" i="33"/>
  <c r="B7" i="33"/>
  <c r="B2" i="33"/>
  <c r="B7" i="32"/>
  <c r="B6" i="32"/>
  <c r="B5" i="32"/>
  <c r="B4" i="32"/>
  <c r="B3" i="32"/>
  <c r="B2" i="32"/>
  <c r="A7" i="32"/>
  <c r="A6" i="32"/>
  <c r="A5" i="32"/>
  <c r="A4" i="32"/>
  <c r="A3" i="32"/>
  <c r="A2" i="32"/>
  <c r="H3" i="32"/>
  <c r="H4" i="32"/>
  <c r="H5" i="32"/>
  <c r="H6" i="32"/>
  <c r="H7" i="32"/>
  <c r="H2" i="32"/>
  <c r="H3" i="31"/>
  <c r="H4" i="31"/>
  <c r="H5" i="31"/>
  <c r="H6" i="31"/>
  <c r="H7" i="31"/>
  <c r="H2" i="31"/>
  <c r="H3" i="30"/>
  <c r="H4" i="30"/>
  <c r="H5" i="30"/>
  <c r="H6" i="30"/>
  <c r="H7" i="30"/>
  <c r="H2" i="30"/>
  <c r="A2" i="30"/>
  <c r="K3" i="29"/>
  <c r="K2" i="29"/>
  <c r="L3" i="27"/>
  <c r="L2" i="27"/>
  <c r="A2" i="27"/>
  <c r="B3" i="31"/>
  <c r="B4" i="31"/>
  <c r="B5" i="31"/>
  <c r="B6" i="31"/>
  <c r="B7" i="31"/>
  <c r="B2" i="31"/>
  <c r="A3" i="31"/>
  <c r="A4" i="31"/>
  <c r="A5" i="31"/>
  <c r="A6" i="31"/>
  <c r="A7" i="31"/>
  <c r="A2" i="31"/>
  <c r="B3" i="30"/>
  <c r="B4" i="30"/>
  <c r="B5" i="30"/>
  <c r="B6" i="30"/>
  <c r="B7" i="30"/>
  <c r="B2" i="30"/>
  <c r="A3" i="30"/>
  <c r="A4" i="30"/>
  <c r="A5" i="30"/>
  <c r="A6" i="30"/>
  <c r="A7" i="30"/>
  <c r="B3" i="29"/>
  <c r="B2" i="29"/>
  <c r="A3" i="29"/>
  <c r="A2" i="29"/>
  <c r="B3" i="27"/>
  <c r="B2" i="27"/>
  <c r="A3" i="27"/>
  <c r="B3" i="28"/>
  <c r="B2" i="28"/>
  <c r="B3" i="26"/>
  <c r="B4" i="26"/>
  <c r="B5" i="26"/>
  <c r="B6" i="26"/>
  <c r="B7" i="26"/>
  <c r="B2" i="26"/>
  <c r="G7" i="53"/>
  <c r="G6" i="53"/>
  <c r="G5" i="53"/>
  <c r="G4" i="53"/>
  <c r="G3" i="53"/>
  <c r="G2" i="53"/>
  <c r="A2" i="10" l="1"/>
  <c r="B2" i="9"/>
  <c r="B3" i="7"/>
  <c r="B4" i="7"/>
  <c r="B5" i="7"/>
  <c r="B6" i="7"/>
  <c r="B7" i="7"/>
  <c r="B2" i="7"/>
  <c r="A3" i="7"/>
  <c r="A4" i="7"/>
  <c r="A5" i="7"/>
  <c r="A6" i="7"/>
  <c r="A7" i="7"/>
  <c r="A2" i="7"/>
  <c r="C3" i="4"/>
  <c r="C4" i="4"/>
  <c r="C5" i="4"/>
  <c r="C2" i="4"/>
  <c r="C3" i="73"/>
  <c r="C4" i="73"/>
  <c r="C5" i="73"/>
  <c r="C2" i="73"/>
  <c r="B3" i="73"/>
  <c r="B4" i="73"/>
  <c r="B5" i="73"/>
  <c r="B2" i="73"/>
  <c r="C5" i="72"/>
  <c r="C4" i="72"/>
  <c r="C3" i="72"/>
  <c r="C2" i="72"/>
  <c r="B15" i="65" l="1"/>
  <c r="B14" i="65"/>
  <c r="B13" i="65"/>
  <c r="B12" i="65"/>
  <c r="B11" i="65"/>
  <c r="B10" i="65"/>
  <c r="B9" i="65"/>
  <c r="B8" i="65"/>
  <c r="B7" i="65"/>
  <c r="B6" i="65"/>
  <c r="B5" i="65"/>
  <c r="B4" i="65"/>
  <c r="B3" i="65"/>
  <c r="B2" i="65"/>
  <c r="A3" i="47"/>
  <c r="B2" i="50" s="1"/>
  <c r="B6" i="60"/>
  <c r="B4" i="60"/>
  <c r="B3" i="60"/>
  <c r="B2" i="60"/>
  <c r="B5" i="59"/>
  <c r="B4" i="59"/>
  <c r="B3" i="59"/>
  <c r="B2" i="52"/>
  <c r="C9" i="49"/>
  <c r="B5" i="50" s="1"/>
  <c r="C8" i="49"/>
  <c r="C7" i="49"/>
  <c r="C6" i="49"/>
  <c r="B4" i="50" s="1"/>
  <c r="C5" i="49"/>
  <c r="C4" i="49"/>
  <c r="C3" i="49"/>
  <c r="C2" i="49"/>
  <c r="B3" i="50" s="1"/>
  <c r="A8" i="47"/>
  <c r="A7" i="47"/>
  <c r="A6" i="47"/>
  <c r="A5" i="47"/>
  <c r="A4" i="47"/>
  <c r="M2" i="11"/>
  <c r="N2" i="11"/>
  <c r="J2" i="11"/>
  <c r="J2" i="3"/>
  <c r="AI9" i="49"/>
  <c r="AI8" i="49"/>
  <c r="AI3" i="49"/>
  <c r="AI2" i="49"/>
  <c r="AI5" i="49"/>
  <c r="AI6" i="49"/>
  <c r="AI7" i="49"/>
  <c r="AI4" i="49"/>
  <c r="AH9" i="49"/>
  <c r="AH3" i="49"/>
  <c r="AH8" i="49"/>
  <c r="AH7" i="49"/>
  <c r="AH6" i="49"/>
  <c r="AH5" i="49"/>
  <c r="AH4" i="49"/>
  <c r="AH2" i="49"/>
  <c r="A2" i="77"/>
  <c r="A2" i="40"/>
  <c r="D2" i="26"/>
  <c r="A2" i="12"/>
  <c r="A2" i="34"/>
  <c r="B2" i="64"/>
  <c r="D2" i="55"/>
  <c r="C2" i="55"/>
  <c r="B2" i="55"/>
  <c r="A2" i="55"/>
  <c r="C15" i="65" l="1"/>
  <c r="C14" i="65"/>
  <c r="C13" i="65"/>
  <c r="C12" i="65"/>
  <c r="C11" i="65"/>
  <c r="C10" i="65"/>
  <c r="C9" i="65"/>
  <c r="C8" i="65"/>
  <c r="C7" i="65"/>
  <c r="C6" i="65"/>
  <c r="C5" i="65"/>
  <c r="C4" i="65"/>
  <c r="C3" i="65"/>
  <c r="C2" i="65"/>
  <c r="B5" i="64"/>
  <c r="B4" i="64"/>
  <c r="B3" i="64"/>
  <c r="B9" i="62"/>
  <c r="B8" i="62"/>
  <c r="B7" i="62"/>
  <c r="B6" i="62"/>
  <c r="B5" i="62"/>
  <c r="B4" i="62"/>
  <c r="B3" i="62"/>
  <c r="E9" i="49"/>
  <c r="A5" i="60" s="1"/>
  <c r="E8" i="49"/>
  <c r="E7" i="49"/>
  <c r="A4" i="60" s="1"/>
  <c r="E6" i="49"/>
  <c r="A2" i="60" s="1"/>
  <c r="C8" i="47"/>
  <c r="C7" i="47"/>
  <c r="C6" i="47"/>
  <c r="C5" i="47"/>
  <c r="C4" i="47"/>
  <c r="C3" i="47"/>
  <c r="A2" i="59" s="1"/>
  <c r="A3" i="53"/>
  <c r="A4" i="53"/>
  <c r="A5" i="53"/>
  <c r="A6" i="53"/>
  <c r="A7" i="53"/>
  <c r="A2" i="53"/>
  <c r="B5" i="52"/>
  <c r="B4" i="52"/>
  <c r="B3" i="52"/>
  <c r="M2" i="49"/>
  <c r="M3" i="49"/>
  <c r="M4" i="49"/>
  <c r="M5" i="49"/>
  <c r="M6" i="49"/>
  <c r="M7" i="49"/>
  <c r="M8" i="49"/>
  <c r="M9" i="49"/>
  <c r="AA9" i="49"/>
  <c r="AA8" i="49"/>
  <c r="AA5" i="49"/>
  <c r="AA4" i="49"/>
  <c r="AA3" i="49"/>
  <c r="AA2" i="49"/>
  <c r="V9" i="49"/>
  <c r="V8" i="49"/>
  <c r="V7" i="49"/>
  <c r="V6" i="49"/>
  <c r="V5" i="49"/>
  <c r="V3" i="49"/>
  <c r="V4" i="49"/>
  <c r="V2" i="49"/>
  <c r="S8" i="47"/>
  <c r="S7" i="47"/>
  <c r="S4" i="47"/>
  <c r="S3" i="47"/>
  <c r="N8" i="47"/>
  <c r="N7" i="47"/>
  <c r="N6" i="47"/>
  <c r="N5" i="47"/>
  <c r="N4" i="47"/>
  <c r="N9" i="49"/>
  <c r="N8" i="49"/>
  <c r="D9" i="49"/>
  <c r="D8" i="49"/>
  <c r="D7" i="49"/>
  <c r="D6" i="49"/>
  <c r="D5" i="49"/>
  <c r="D4" i="49"/>
  <c r="D3" i="49"/>
  <c r="N7" i="49"/>
  <c r="N6" i="49"/>
  <c r="N5" i="49"/>
  <c r="N4" i="49"/>
  <c r="N3" i="49"/>
  <c r="N2" i="49"/>
  <c r="D2" i="49"/>
  <c r="B8" i="47"/>
  <c r="B7" i="47"/>
  <c r="B6" i="47"/>
  <c r="B5" i="47"/>
  <c r="B4" i="47"/>
  <c r="B3" i="47"/>
  <c r="E3" i="47"/>
  <c r="F8" i="47"/>
  <c r="F7" i="47"/>
  <c r="F6" i="47"/>
  <c r="F5" i="47"/>
  <c r="F4" i="47"/>
  <c r="F3" i="47"/>
  <c r="N3" i="47"/>
  <c r="E8" i="47"/>
  <c r="E7" i="47"/>
  <c r="E6" i="47"/>
  <c r="E5" i="47"/>
  <c r="E4" i="47"/>
  <c r="A3" i="62" l="1"/>
  <c r="A2" i="62"/>
  <c r="A8" i="62"/>
  <c r="A9" i="62"/>
  <c r="A4" i="62"/>
  <c r="A5" i="62"/>
  <c r="A10" i="62"/>
  <c r="A5" i="59"/>
  <c r="A4" i="59"/>
  <c r="A3" i="59"/>
  <c r="C2" i="34"/>
  <c r="B2" i="34"/>
  <c r="C2" i="5" l="1"/>
  <c r="B2" i="25"/>
  <c r="C2" i="25"/>
  <c r="B2" i="19"/>
  <c r="D2" i="30" s="1"/>
  <c r="C2" i="19"/>
  <c r="A2" i="56" l="1"/>
  <c r="A2" i="13"/>
  <c r="D6" i="45"/>
  <c r="D7" i="45"/>
  <c r="D4" i="45"/>
  <c r="D5" i="45"/>
  <c r="D2" i="45"/>
  <c r="D3" i="45"/>
  <c r="D6" i="44"/>
  <c r="D7" i="44"/>
  <c r="D4" i="44"/>
  <c r="D5" i="44"/>
  <c r="D2" i="44"/>
  <c r="D3" i="44"/>
  <c r="D6" i="43"/>
  <c r="D7" i="43"/>
  <c r="D4" i="43"/>
  <c r="D5" i="43"/>
  <c r="D2" i="43"/>
  <c r="D3" i="43"/>
  <c r="D6" i="32"/>
  <c r="D7" i="32"/>
  <c r="D4" i="32"/>
  <c r="D5" i="32"/>
  <c r="D2" i="32"/>
  <c r="D3" i="32"/>
  <c r="D6" i="31"/>
  <c r="D7" i="31"/>
  <c r="D4" i="31"/>
  <c r="D5" i="31"/>
  <c r="D2" i="31"/>
  <c r="D3" i="31"/>
  <c r="D6" i="30"/>
  <c r="D7" i="30"/>
  <c r="D4" i="30"/>
  <c r="D5" i="30"/>
  <c r="D3" i="30"/>
  <c r="B2" i="18"/>
  <c r="C2" i="16"/>
  <c r="B2" i="16"/>
  <c r="E2" i="7" l="1"/>
  <c r="H2" i="3"/>
  <c r="B2" i="1" s="1"/>
  <c r="O2" i="9"/>
  <c r="H2" i="11" l="1"/>
  <c r="C2" i="11" s="1"/>
  <c r="C2" i="21"/>
  <c r="AF9" i="49" s="1"/>
  <c r="B2" i="21"/>
  <c r="C2" i="20"/>
  <c r="B2" i="20"/>
  <c r="N2" i="3"/>
  <c r="S2" i="11" s="1"/>
  <c r="I2" i="3"/>
  <c r="O2" i="10"/>
  <c r="X2" i="9" s="1"/>
  <c r="D7" i="76" l="1"/>
  <c r="D6" i="76"/>
  <c r="D5" i="76"/>
  <c r="D4" i="76"/>
  <c r="D3" i="76"/>
  <c r="D2" i="76"/>
  <c r="D2" i="13"/>
  <c r="D7" i="53"/>
  <c r="D6" i="53"/>
  <c r="D5" i="53"/>
  <c r="D4" i="53"/>
  <c r="D3" i="53"/>
  <c r="D2" i="53"/>
  <c r="AF7" i="49"/>
  <c r="AF8" i="49"/>
  <c r="AF5" i="49"/>
  <c r="AF6" i="49"/>
  <c r="AF3" i="49"/>
  <c r="AF4" i="49"/>
  <c r="AF2" i="49"/>
  <c r="D6" i="46"/>
  <c r="D7" i="46"/>
  <c r="D4" i="46"/>
  <c r="D5" i="46"/>
  <c r="D2" i="46"/>
  <c r="D3" i="46"/>
  <c r="I2" i="11"/>
  <c r="E7" i="7"/>
  <c r="E6" i="7"/>
  <c r="E5" i="7"/>
  <c r="E4" i="7"/>
  <c r="E3" i="7"/>
  <c r="C2" i="3"/>
  <c r="E7" i="4" l="1"/>
  <c r="E6" i="4"/>
  <c r="E5" i="4"/>
  <c r="E4" i="4"/>
  <c r="E2" i="4"/>
  <c r="E3" i="4"/>
  <c r="B2" i="6"/>
  <c r="D2" i="7"/>
  <c r="B2" i="54"/>
  <c r="D2" i="12"/>
  <c r="D5" i="7"/>
  <c r="D7" i="7"/>
  <c r="D6" i="7"/>
  <c r="D3" i="7"/>
  <c r="D4" i="7"/>
</calcChain>
</file>

<file path=xl/sharedStrings.xml><?xml version="1.0" encoding="utf-8"?>
<sst xmlns="http://schemas.openxmlformats.org/spreadsheetml/2006/main" count="1768" uniqueCount="501">
  <si>
    <t>No</t>
  </si>
  <si>
    <t>Description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</si>
  <si>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</si>
  <si>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</si>
  <si>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</si>
  <si>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</si>
  <si>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</si>
  <si>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</si>
  <si>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</si>
  <si>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</si>
  <si>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</si>
  <si>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</si>
  <si>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</si>
  <si>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</si>
  <si>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</si>
  <si>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</si>
  <si>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</si>
  <si>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</si>
  <si>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</si>
  <si>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</si>
  <si>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</si>
  <si>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CNY</t>
  </si>
  <si>
    <t>Basis Order</t>
  </si>
  <si>
    <t>Y</t>
  </si>
  <si>
    <t>N</t>
  </si>
  <si>
    <t>PartsNo</t>
  </si>
  <si>
    <t>scenario1220230504001</t>
    <phoneticPr fontId="0" type="noConversion"/>
  </si>
  <si>
    <t>scenario1220230504002</t>
  </si>
  <si>
    <t>scenario1220230504003</t>
  </si>
  <si>
    <t>scenario1220230504004</t>
  </si>
  <si>
    <t>scenario1220230504005</t>
    <phoneticPr fontId="0" type="noConversion"/>
  </si>
  <si>
    <t>scenario1220230504006</t>
    <phoneticPr fontId="0" type="noConversion"/>
  </si>
  <si>
    <t>Weekly</t>
  </si>
  <si>
    <t>SG-TTAP</t>
  </si>
  <si>
    <t>VN-TTVN</t>
  </si>
  <si>
    <t>CIF</t>
  </si>
  <si>
    <t>HP PORT</t>
  </si>
  <si>
    <t>VN-AKIRA</t>
  </si>
  <si>
    <t>ReceiveDC</t>
  </si>
  <si>
    <t>No.</t>
  </si>
  <si>
    <t>SG-TTVP:20230504-002</t>
  </si>
  <si>
    <t>SG-TTVP:20230504-003</t>
  </si>
  <si>
    <t>SG-TTVP:20230504-004</t>
  </si>
  <si>
    <t>SG-TTVP:20230504-005</t>
  </si>
  <si>
    <t>SG-TTVP:20230504-006</t>
  </si>
  <si>
    <t>Buyer</t>
  </si>
  <si>
    <t>partsNo</t>
  </si>
  <si>
    <t>unitPartsNo</t>
  </si>
  <si>
    <t>buyer</t>
  </si>
  <si>
    <t>contractNo</t>
  </si>
  <si>
    <t>priceBasis</t>
  </si>
  <si>
    <t>receiver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</si>
  <si>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</si>
  <si>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</si>
  <si>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</si>
  <si>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</si>
  <si>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</si>
  <si>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</si>
  <si>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</si>
  <si>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</si>
  <si>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</si>
  <si>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</si>
  <si>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</si>
  <si>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</si>
  <si>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</si>
  <si>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</si>
  <si>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</si>
  <si>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</si>
  <si>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</si>
  <si>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</si>
  <si>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</si>
  <si>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</si>
  <si>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</si>
  <si>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</si>
  <si>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</si>
  <si>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</si>
  <si>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</si>
  <si>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SGBAFCO-VNAKIRA</t>
  </si>
  <si>
    <t>Sea</t>
  </si>
  <si>
    <t>SG</t>
  </si>
  <si>
    <t>VN</t>
  </si>
  <si>
    <t>SG-BAFCO</t>
  </si>
  <si>
    <t>SGSIN</t>
  </si>
  <si>
    <t>VNHPH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</si>
  <si>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</si>
  <si>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</si>
  <si>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</si>
  <si>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</si>
  <si>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</si>
  <si>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</si>
  <si>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</si>
  <si>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</si>
  <si>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</si>
  <si>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</si>
  <si>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</si>
  <si>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</si>
  <si>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</si>
  <si>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</si>
  <si>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</si>
  <si>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</si>
  <si>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</si>
  <si>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</si>
  <si>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RequestNo</t>
  </si>
  <si>
    <t>DeliveryTo</t>
  </si>
  <si>
    <t>LeadTime</t>
  </si>
  <si>
    <t>SpotShippingRouteCode</t>
  </si>
  <si>
    <t>ConfirmOrderLeadTime</t>
  </si>
  <si>
    <t>DeliveryPlanStartDate</t>
  </si>
  <si>
    <t>status_name</t>
  </si>
  <si>
    <t>customer_code</t>
  </si>
  <si>
    <t>status_role</t>
  </si>
  <si>
    <t>EXP Customs</t>
  </si>
  <si>
    <t>contract_id</t>
  </si>
  <si>
    <t>EXP Shipping</t>
  </si>
  <si>
    <t>SG-TTVP:20230504-001</t>
  </si>
  <si>
    <t>ShortCode1</t>
  </si>
  <si>
    <t>for Contract BU-CUS</t>
  </si>
  <si>
    <t>for Contract SUP-BU</t>
  </si>
  <si>
    <t>ShortCode2</t>
  </si>
  <si>
    <t>Forecast_N+1</t>
  </si>
  <si>
    <t>Inbound_Date1_Qty</t>
  </si>
  <si>
    <t>Inbound_Date2_Qty</t>
  </si>
  <si>
    <t>Inbound_Date1</t>
  </si>
  <si>
    <t>Inbound_Date2</t>
  </si>
  <si>
    <t>RegularSalesOrderNo</t>
  </si>
  <si>
    <t>SpotSalesOrderNo</t>
  </si>
  <si>
    <t>RegularPurchaseOrderNo</t>
  </si>
  <si>
    <t>SpotPurchaseOrderNo</t>
  </si>
  <si>
    <t>Part no</t>
  </si>
  <si>
    <t>Back no</t>
  </si>
  <si>
    <t>Purchase order no</t>
  </si>
  <si>
    <t>Customer code</t>
  </si>
  <si>
    <t>SPQ</t>
  </si>
  <si>
    <t>Order lot</t>
  </si>
  <si>
    <t>Status</t>
  </si>
  <si>
    <t>Delivered qty</t>
  </si>
  <si>
    <t>InTransit qty</t>
  </si>
  <si>
    <t>Receiver inbounded qty</t>
  </si>
  <si>
    <t>OK</t>
  </si>
  <si>
    <t>SG-BAFCO:20230504-001</t>
  </si>
  <si>
    <t>SG-BAFCO:20230504-002</t>
  </si>
  <si>
    <t>SG-BAFCO:20230504-003</t>
  </si>
  <si>
    <t>SG-BAFCO:20230504-004</t>
  </si>
  <si>
    <t>SG-BAFCO:20230504-005</t>
  </si>
  <si>
    <t>SG-BAFCO:20230504-006</t>
  </si>
  <si>
    <t>SG-TTVP:20230504-001</t>
    <phoneticPr fontId="4" type="noConversion"/>
  </si>
  <si>
    <t>RegularCustomerOrderNo</t>
  </si>
  <si>
    <t>SpotCustomerOrderNo</t>
  </si>
  <si>
    <t>New Forecast N+1</t>
  </si>
  <si>
    <t>Request No</t>
  </si>
  <si>
    <t>Parts No</t>
  </si>
  <si>
    <t>Customer Parts No</t>
  </si>
  <si>
    <t>scenario1220230504005</t>
  </si>
  <si>
    <t>VN-TTVN-CUS:20230504-004</t>
  </si>
  <si>
    <t>VN-TTVN-CUS:20230504-005</t>
  </si>
  <si>
    <t>PO Parts No</t>
  </si>
  <si>
    <t>Customer parts no</t>
  </si>
  <si>
    <t>Sale order no</t>
  </si>
  <si>
    <t>Supplier code</t>
  </si>
  <si>
    <t>Order forecast</t>
  </si>
  <si>
    <t>VN-TTVN-CUS:20230504-001</t>
  </si>
  <si>
    <t>VN-TTVN-CUS:20230504-002</t>
  </si>
  <si>
    <t>VN-TTVN-CUS:20230504-003</t>
  </si>
  <si>
    <t>VN-TTVN-CUS:20230504-006</t>
  </si>
  <si>
    <t>BN001</t>
  </si>
  <si>
    <t>BN002</t>
  </si>
  <si>
    <t>BN003</t>
  </si>
  <si>
    <t>BN004</t>
  </si>
  <si>
    <t>BN005</t>
  </si>
  <si>
    <t>BN006</t>
  </si>
  <si>
    <t>Unit Part no</t>
  </si>
  <si>
    <t>Customer Part no</t>
  </si>
  <si>
    <t>NewFirm</t>
  </si>
  <si>
    <t>InboundNewDate_Qty1</t>
  </si>
  <si>
    <t>InboundNewDate_Qty2</t>
  </si>
  <si>
    <t>InboundNewDate_Qty3</t>
  </si>
  <si>
    <t>InboundNewDate1</t>
  </si>
  <si>
    <t>InboundNewDate3</t>
  </si>
  <si>
    <t>InboundNewDate2</t>
  </si>
  <si>
    <t>Color code</t>
  </si>
  <si>
    <t>UOM code</t>
  </si>
  <si>
    <t>Old firm</t>
  </si>
  <si>
    <t>New firm</t>
  </si>
  <si>
    <t>Last order forecast 1</t>
  </si>
  <si>
    <t>Fluctuation</t>
  </si>
  <si>
    <t>Reason for fluctuation</t>
  </si>
  <si>
    <t>Old_inbound_1</t>
  </si>
  <si>
    <t>Old_inbound_2</t>
  </si>
  <si>
    <t>New_inbound_1</t>
  </si>
  <si>
    <t>New_inbound_2</t>
  </si>
  <si>
    <t>New_inbound_3</t>
  </si>
  <si>
    <t>scenario1220230504001</t>
  </si>
  <si>
    <t>Paired parts no</t>
  </si>
  <si>
    <t>MTR</t>
  </si>
  <si>
    <t>PAC</t>
  </si>
  <si>
    <t>PC</t>
  </si>
  <si>
    <t>N/A</t>
  </si>
  <si>
    <t>SO parts no</t>
  </si>
  <si>
    <t>Sales order no</t>
  </si>
  <si>
    <t>Order qty</t>
  </si>
  <si>
    <t>Force complete qty</t>
  </si>
  <si>
    <t>Unit price</t>
  </si>
  <si>
    <t>Confirmed</t>
  </si>
  <si>
    <t>Inbounded qty</t>
  </si>
  <si>
    <t>Inbound_plan_1</t>
  </si>
  <si>
    <t>Inbound_plan_2</t>
  </si>
  <si>
    <t>Inbound_status_1</t>
  </si>
  <si>
    <t>Inbound_status_2</t>
  </si>
  <si>
    <t>Unit parts no</t>
  </si>
  <si>
    <t>Customer</t>
  </si>
  <si>
    <t>Plan_OutIn_1</t>
  </si>
  <si>
    <t>Plan_OutIn_2</t>
  </si>
  <si>
    <t>Status_OutIn_1</t>
  </si>
  <si>
    <t>Status_OutIn_2</t>
  </si>
  <si>
    <t>Shipper</t>
  </si>
  <si>
    <t>OutboundNo</t>
  </si>
  <si>
    <t>BookingNo</t>
  </si>
  <si>
    <t>ContainerNo</t>
  </si>
  <si>
    <t>OuterPackageNo</t>
  </si>
  <si>
    <t>OuterPackageType</t>
  </si>
  <si>
    <t>NYKU8417026</t>
    <phoneticPr fontId="4" type="noConversion"/>
  </si>
  <si>
    <t>C-230506001-001</t>
    <phoneticPr fontId="4" type="noConversion"/>
  </si>
  <si>
    <t>CARTONBOX1</t>
    <phoneticPr fontId="4" type="noConversion"/>
  </si>
  <si>
    <t>CARTONBOX</t>
    <phoneticPr fontId="4" type="noConversion"/>
  </si>
  <si>
    <t>DRUM</t>
    <phoneticPr fontId="4" type="noConversion"/>
  </si>
  <si>
    <t>ETD</t>
  </si>
  <si>
    <t>ETA</t>
  </si>
  <si>
    <t>ContainerType</t>
  </si>
  <si>
    <t>CommodityType</t>
  </si>
  <si>
    <t>SealNo</t>
  </si>
  <si>
    <t>InnerPackageNo</t>
  </si>
  <si>
    <t>InnerPackageType</t>
  </si>
  <si>
    <t>Inner Package Type-1</t>
    <phoneticPr fontId="4" type="noConversion"/>
  </si>
  <si>
    <t>20FT</t>
    <phoneticPr fontId="4" type="noConversion"/>
  </si>
  <si>
    <t>Commodity Type-1</t>
    <phoneticPr fontId="4" type="noConversion"/>
  </si>
  <si>
    <t>S-230506001-001</t>
    <phoneticPr fontId="4" type="noConversion"/>
  </si>
  <si>
    <t>40FT</t>
    <phoneticPr fontId="4" type="noConversion"/>
  </si>
  <si>
    <t>Commodity Type-2</t>
    <phoneticPr fontId="4" type="noConversion"/>
  </si>
  <si>
    <t>S-230506001-002</t>
    <phoneticPr fontId="4" type="noConversion"/>
  </si>
  <si>
    <t>Inner Package Type-3</t>
    <phoneticPr fontId="4" type="noConversion"/>
  </si>
  <si>
    <t>KKFU1726110</t>
  </si>
  <si>
    <t>IP_NetWeight</t>
  </si>
  <si>
    <t>IP_GrossWeight</t>
  </si>
  <si>
    <t>IP_M3</t>
  </si>
  <si>
    <t>OP_M3</t>
  </si>
  <si>
    <t>OP_NetWeight</t>
  </si>
  <si>
    <t>OP_GrossWeight</t>
  </si>
  <si>
    <t>C_M3</t>
  </si>
  <si>
    <t>C_NetWeight</t>
  </si>
  <si>
    <t>C_GrossWeight</t>
  </si>
  <si>
    <t>OutboundDate</t>
  </si>
  <si>
    <t>OutboundQty</t>
  </si>
  <si>
    <t>KKFU1726110</t>
    <phoneticPr fontId="0" type="noConversion"/>
  </si>
  <si>
    <t>CARTONBOX</t>
    <phoneticPr fontId="0" type="noConversion"/>
  </si>
  <si>
    <t>Inner Package Type-2</t>
    <phoneticPr fontId="0" type="noConversion"/>
  </si>
  <si>
    <t>Inner Package Type-3</t>
    <phoneticPr fontId="0" type="noConversion"/>
  </si>
  <si>
    <t>DRUM</t>
    <phoneticPr fontId="0" type="noConversion"/>
  </si>
  <si>
    <t>Inner Package Type-1</t>
    <phoneticPr fontId="0" type="noConversion"/>
  </si>
  <si>
    <t>C-230508001-001</t>
    <phoneticPr fontId="0" type="noConversion"/>
  </si>
  <si>
    <t>40FT</t>
    <phoneticPr fontId="0" type="noConversion"/>
  </si>
  <si>
    <t>Commodity Type-1</t>
    <phoneticPr fontId="0" type="noConversion"/>
  </si>
  <si>
    <t>S-230508001-001</t>
    <phoneticPr fontId="0" type="noConversion"/>
  </si>
  <si>
    <t>CARTONBOX1</t>
    <phoneticPr fontId="0" type="noConversion"/>
  </si>
  <si>
    <t>NYKU8417026</t>
    <phoneticPr fontId="0" type="noConversion"/>
  </si>
  <si>
    <t>20FT</t>
    <phoneticPr fontId="0" type="noConversion"/>
  </si>
  <si>
    <t>C-230506001-001</t>
    <phoneticPr fontId="0" type="noConversion"/>
  </si>
  <si>
    <t>Commodity Type-2</t>
    <phoneticPr fontId="0" type="noConversion"/>
  </si>
  <si>
    <t>S-230506001-002</t>
    <phoneticPr fontId="0" type="noConversion"/>
  </si>
  <si>
    <t>scenario1220230504006</t>
  </si>
  <si>
    <t>UOM</t>
  </si>
  <si>
    <t>ROL</t>
  </si>
  <si>
    <t>OutboundType</t>
  </si>
  <si>
    <t>Receiver</t>
  </si>
  <si>
    <t>Outbound</t>
  </si>
  <si>
    <t>SalesOrderNo</t>
  </si>
  <si>
    <t>Seller</t>
  </si>
  <si>
    <t>SellerPartsNo</t>
  </si>
  <si>
    <t>SellerPartsDescription</t>
  </si>
  <si>
    <t>SellerBackNo</t>
  </si>
  <si>
    <t>ColorCode</t>
  </si>
  <si>
    <t>SRBQ</t>
  </si>
  <si>
    <t>RemainingQtyAvailable</t>
  </si>
  <si>
    <t>OutboundRefNo</t>
  </si>
  <si>
    <t>InvoiceNo</t>
  </si>
  <si>
    <t>Part.No</t>
  </si>
  <si>
    <t>Unit part no-supp</t>
  </si>
  <si>
    <t>Buyer-supp</t>
  </si>
  <si>
    <t>Contract no</t>
  </si>
  <si>
    <t>Price basis</t>
  </si>
  <si>
    <t>Receiver-supp</t>
  </si>
  <si>
    <t>Shipping route</t>
  </si>
  <si>
    <t>InboundNewDate_Qty4</t>
  </si>
  <si>
    <t>Old_inbound_3</t>
  </si>
  <si>
    <t>New_inbound_4</t>
  </si>
  <si>
    <t>Old_outbound_sup1</t>
  </si>
  <si>
    <t>Old_outbound_sup2</t>
  </si>
  <si>
    <t>Old_outbound_sup3</t>
  </si>
  <si>
    <t>New_outbound_sup1</t>
  </si>
  <si>
    <t>New_outbound_sup2</t>
  </si>
  <si>
    <t>New_outbound_sup3</t>
  </si>
  <si>
    <t>New_outbound_sup4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</si>
  <si>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</si>
  <si>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</si>
  <si>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</si>
  <si>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</si>
  <si>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</si>
  <si>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</si>
  <si>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</si>
  <si>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</si>
  <si>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</si>
  <si>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</si>
  <si>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</si>
  <si>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</si>
  <si>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</si>
  <si>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</si>
  <si>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</si>
  <si>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</si>
  <si>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</si>
  <si>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</si>
  <si>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</si>
  <si>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</si>
  <si>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</si>
  <si>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</si>
  <si>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</si>
  <si>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</si>
  <si>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Inbound_plan_3</t>
  </si>
  <si>
    <t>Inbound_status_3</t>
  </si>
  <si>
    <t>Plan_OutIn_3</t>
  </si>
  <si>
    <t>Status_OutIn_3</t>
  </si>
  <si>
    <t>InboundNo</t>
  </si>
  <si>
    <t>InboundDate</t>
  </si>
  <si>
    <t>M3</t>
  </si>
  <si>
    <t>NetWeight</t>
  </si>
  <si>
    <t>GrossWeight</t>
  </si>
  <si>
    <t>Old_outbound_1</t>
  </si>
  <si>
    <t>Old_outbound_2</t>
  </si>
  <si>
    <t>Old_outbound_3</t>
  </si>
  <si>
    <t>Old_outbound_4</t>
  </si>
  <si>
    <t>New_outbound_1</t>
  </si>
  <si>
    <t>New_outbound_2</t>
  </si>
  <si>
    <t>New_outbound_3</t>
  </si>
  <si>
    <t>Old_inbound_4</t>
  </si>
  <si>
    <t>Old_inbound_5</t>
  </si>
  <si>
    <t>NEWMOD</t>
  </si>
  <si>
    <t>MOD</t>
  </si>
  <si>
    <t>DisplayPartsNo</t>
  </si>
  <si>
    <t>scenario12-20230504001</t>
    <phoneticPr fontId="8" type="noConversion"/>
  </si>
  <si>
    <t>scenario12-20230504002</t>
    <phoneticPr fontId="8" type="noConversion"/>
  </si>
  <si>
    <t>scenario12-20230504003</t>
    <phoneticPr fontId="8" type="noConversion"/>
  </si>
  <si>
    <t>scenario12-20230504004</t>
    <phoneticPr fontId="8" type="noConversion"/>
  </si>
  <si>
    <t>Roll Parts</t>
  </si>
  <si>
    <t>CM</t>
  </si>
  <si>
    <t>SVP</t>
  </si>
  <si>
    <t>Not Roll Parts</t>
  </si>
  <si>
    <t>After Market</t>
  </si>
  <si>
    <t>Spot</t>
  </si>
  <si>
    <t>Trial</t>
  </si>
  <si>
    <t>RolledPartsFlag</t>
  </si>
  <si>
    <t>RP_UOM</t>
  </si>
  <si>
    <t>Type</t>
  </si>
  <si>
    <t>UnitPartsNo</t>
  </si>
  <si>
    <t>UnitPartsDescription</t>
  </si>
  <si>
    <t>scenario12: VN-TTVN-CUS:20230504-001</t>
  </si>
  <si>
    <t>scenario12: VN-TTVN-CUS:20230504-002</t>
  </si>
  <si>
    <t>scenario12: VN-TTVN-CUS:20230504-003</t>
  </si>
  <si>
    <t>scenario12: VN-TTVN-CUS:20230504-004</t>
  </si>
  <si>
    <t>PartsRefNo</t>
  </si>
  <si>
    <t>BackNo</t>
  </si>
  <si>
    <t>HS</t>
  </si>
  <si>
    <t>Ref No :001</t>
  </si>
  <si>
    <t>HS.Code.001</t>
  </si>
  <si>
    <t>Ref No :002</t>
  </si>
  <si>
    <t>HS.Code.002</t>
  </si>
  <si>
    <t>Ref No :003</t>
  </si>
  <si>
    <t>HS.Code.003</t>
  </si>
  <si>
    <t>Ref No :004</t>
  </si>
  <si>
    <t>HS.Code.004</t>
  </si>
  <si>
    <t>No Paired Parts</t>
  </si>
  <si>
    <t>Paired Parts</t>
  </si>
  <si>
    <t>Paired Order</t>
  </si>
  <si>
    <t>PairedOrderFlag</t>
  </si>
  <si>
    <t>PairedParts</t>
  </si>
  <si>
    <t>UnitPartsNo_Paired</t>
  </si>
  <si>
    <t>HSCode</t>
  </si>
  <si>
    <t>UOMCode</t>
  </si>
  <si>
    <t>UnitPartsNoOfPairedParts</t>
  </si>
  <si>
    <t>OrderLot</t>
  </si>
  <si>
    <t>No Paired Order</t>
  </si>
  <si>
    <t>scenario12: VN-TTVN-CUS:20230504-005</t>
  </si>
  <si>
    <t>Ref No :005</t>
  </si>
  <si>
    <t>HS.Code.005</t>
  </si>
  <si>
    <t>scenario12: VN-TTVN-CUS:20230504-006</t>
  </si>
  <si>
    <t>Ref No :006</t>
  </si>
  <si>
    <t>HS.Code.006</t>
  </si>
  <si>
    <t>PaymentTerms</t>
  </si>
  <si>
    <t>TermsType</t>
  </si>
  <si>
    <t>FromMonth</t>
  </si>
  <si>
    <t>Days</t>
  </si>
  <si>
    <t>FromDay</t>
  </si>
  <si>
    <t>TT60BL</t>
  </si>
  <si>
    <t>T/T REMITTANCE AT 60 DAYS FROM THE END OF B/L MONTH</t>
  </si>
  <si>
    <t>By Invoice Date</t>
  </si>
  <si>
    <t>Seller Parts No</t>
  </si>
  <si>
    <t>scenario12:SG-TTVP:20230504-002</t>
  </si>
  <si>
    <t>scenario12:SG-TTVP:20230504-003</t>
  </si>
  <si>
    <t>scenario12:SG-TTVP:20230504-004</t>
  </si>
  <si>
    <t>scenario12:SG-TTVP:20230504-005</t>
  </si>
  <si>
    <t>scenario12:SG-TTVP:20230504-006</t>
  </si>
  <si>
    <t>scenario12:SG-TTVP:20230504-001</t>
  </si>
  <si>
    <t>PartsDescription</t>
  </si>
  <si>
    <t>RepackingType</t>
  </si>
  <si>
    <t>Inner Repacking</t>
  </si>
  <si>
    <t>Non Repacking</t>
  </si>
  <si>
    <t>Outer Repacking</t>
  </si>
  <si>
    <t>SSD</t>
  </si>
  <si>
    <t>SSP</t>
  </si>
  <si>
    <t>FR</t>
  </si>
  <si>
    <t>FFR</t>
  </si>
  <si>
    <t>SellerUOM</t>
  </si>
  <si>
    <t>UOMExchangeRate</t>
  </si>
  <si>
    <t>UnitPrice</t>
  </si>
  <si>
    <t>NextSeller</t>
  </si>
  <si>
    <t>NextSellerPartsNo</t>
  </si>
  <si>
    <t>scenario12:SG-BAFCO:20230504-001</t>
  </si>
  <si>
    <t>scenario12:SG-BAFCO:20230504-002</t>
  </si>
  <si>
    <t>scenario12:SG-BAFCO:20230504-003</t>
  </si>
  <si>
    <t>scenario12:SG-BAFCO:20230504-004</t>
  </si>
  <si>
    <t>scenario12:SG-BAFCO:20230504-005</t>
  </si>
  <si>
    <t>scenario12:SG-BAFCO:20230504-006</t>
  </si>
  <si>
    <t>UOMChangeRate</t>
  </si>
  <si>
    <t>SupplierLeadTime</t>
  </si>
  <si>
    <t>Back No</t>
  </si>
  <si>
    <t>Supplier Code</t>
  </si>
  <si>
    <t>Color Code</t>
  </si>
  <si>
    <t>Paired Parts No</t>
  </si>
  <si>
    <t>Order Lot</t>
  </si>
  <si>
    <t>Firm Qty</t>
  </si>
  <si>
    <t>Old Forecast 1</t>
  </si>
  <si>
    <t>New Forecast 1</t>
  </si>
  <si>
    <t>CustomerPartsNo</t>
  </si>
  <si>
    <t>Inbound_plan_4</t>
  </si>
  <si>
    <t>Inbound_status_4</t>
  </si>
  <si>
    <t>IterationNo</t>
  </si>
  <si>
    <t>Auto Generate Weekly Period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</si>
  <si>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</si>
  <si>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</si>
  <si>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</si>
  <si>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</si>
  <si>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</si>
  <si>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</si>
  <si>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</si>
  <si>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</si>
  <si>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</si>
  <si>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</si>
  <si>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Nov 14, 2023</t>
  </si>
  <si>
    <t>11,16</t>
  </si>
  <si>
    <t>Nov 19, 2023</t>
  </si>
  <si>
    <t>Inbound_plan_5</t>
  </si>
  <si>
    <t>Inbound_status_5</t>
  </si>
  <si>
    <t>InboundNewDate_Qty5</t>
  </si>
  <si>
    <t>Old_outbound_5</t>
  </si>
  <si>
    <t>New_outbound_4</t>
  </si>
  <si>
    <t>Old_outbound_sup4</t>
  </si>
  <si>
    <t>Old_outbound_sup5</t>
  </si>
  <si>
    <t>inv1</t>
  </si>
  <si>
    <t>inv2</t>
  </si>
  <si>
    <t>combine: inv1 + inv2</t>
  </si>
  <si>
    <t>Please set Iteration and ShortCode1 as in "YELLOW" box only</t>
  </si>
  <si>
    <t>Color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</si>
  <si>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</si>
  <si>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</si>
  <si>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</si>
  <si>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</si>
  <si>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</si>
  <si>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</si>
  <si>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</si>
  <si>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</si>
  <si>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</si>
  <si>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Plan_OutIn_4</t>
  </si>
  <si>
    <t>Status_OutIn_4</t>
  </si>
  <si>
    <t>Plan_OutIn_5</t>
  </si>
  <si>
    <t>Status_OutIn_5</t>
  </si>
  <si>
    <t>AB</t>
  </si>
  <si>
    <t>o-SG-BAFCO-231108009</t>
  </si>
  <si>
    <t>o-SG-BAFCO-231108010</t>
  </si>
  <si>
    <t>o-SG-BAFCO-231108011</t>
  </si>
  <si>
    <t>o-SG-BAFCO-231108012</t>
  </si>
  <si>
    <t>BAFCO2311016</t>
  </si>
  <si>
    <t>BAFCO2311017</t>
  </si>
  <si>
    <t>BAFCO2311018</t>
  </si>
  <si>
    <t>BAFCO2311019</t>
  </si>
  <si>
    <t>BAFCO2311020</t>
  </si>
  <si>
    <t>TTAP2311015</t>
  </si>
  <si>
    <t>TTAP2311016</t>
  </si>
  <si>
    <t>TTAP2311017</t>
  </si>
  <si>
    <t>TTAP2311018</t>
  </si>
  <si>
    <t>Nov 21, 2023</t>
  </si>
  <si>
    <t>11</t>
  </si>
  <si>
    <t>R-VN-TTVN-2311014</t>
  </si>
  <si>
    <t>CR-VN-TTVN-2311012</t>
  </si>
  <si>
    <t>R-SG-TTAP-2311016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</si>
</sst>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_ "/>
    <numFmt numFmtId="166" formatCode="_-* #,##0_-;\-* #,##0_-;_-* &quot;-&quot;??_-;_-@_-"/>
    <numFmt numFmtId="167" formatCode="0.000_ "/>
    <numFmt numFmtId="168" formatCode="#,##0.000"/>
    <numFmt numFmtId="169" formatCode="0_ "/>
    <numFmt numFmtId="170" formatCode="0.00_ "/>
    <numFmt numFmtId="171" formatCode="#,##0.00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4" fillId="0" borderId="0">
      <alignment vertical="center"/>
    </xf>
    <xf numFmtId="0" fontId="5" fillId="0" borderId="0"/>
    <xf numFmtId="164" fontId="3" fillId="0" borderId="0" applyFont="0" applyFill="0" applyBorder="0" applyAlignment="0" applyProtection="0"/>
    <xf numFmtId="0" fontId="5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</cellStyleXfs>
  <cellXfs count="9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top" wrapText="1"/>
    </xf>
    <xf numFmtId="0" fontId="2" fillId="0" borderId="1" xfId="0" applyFont="1" applyBorder="1"/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right" vertical="center"/>
    </xf>
    <xf numFmtId="171" fontId="9" fillId="0" borderId="1" xfId="0" applyNumberFormat="1" applyFont="1" applyBorder="1" applyAlignment="1">
      <alignment horizontal="right" vertical="center"/>
    </xf>
    <xf numFmtId="4" fontId="9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12" fillId="0" borderId="1" xfId="0" applyFont="1" applyBorder="1"/>
    <xf numFmtId="49" fontId="2" fillId="0" borderId="1" xfId="0" applyNumberFormat="1" applyFont="1" applyBorder="1"/>
    <xf numFmtId="1" fontId="2" fillId="0" borderId="1" xfId="0" applyNumberFormat="1" applyFont="1" applyBorder="1"/>
    <xf numFmtId="165" fontId="2" fillId="0" borderId="1" xfId="1" applyNumberFormat="1" applyFont="1" applyBorder="1" applyProtection="1">
      <alignment vertical="center"/>
      <protection locked="0"/>
    </xf>
    <xf numFmtId="3" fontId="9" fillId="0" borderId="1" xfId="0" applyNumberFormat="1" applyFont="1" applyBorder="1"/>
    <xf numFmtId="0" fontId="2" fillId="0" borderId="1" xfId="0" applyFont="1" applyBorder="1" applyAlignment="1">
      <alignment horizontal="left" vertical="top"/>
    </xf>
    <xf numFmtId="3" fontId="9" fillId="0" borderId="1" xfId="0" applyNumberFormat="1" applyFont="1" applyBorder="1" applyAlignment="1">
      <alignment horizontal="left"/>
    </xf>
    <xf numFmtId="3" fontId="2" fillId="0" borderId="1" xfId="0" applyNumberFormat="1" applyFont="1" applyBorder="1"/>
    <xf numFmtId="166" fontId="2" fillId="0" borderId="1" xfId="3" applyNumberFormat="1" applyFont="1" applyBorder="1" applyAlignment="1"/>
    <xf numFmtId="3" fontId="2" fillId="0" borderId="1" xfId="0" applyNumberFormat="1" applyFont="1" applyBorder="1" applyAlignment="1">
      <alignment wrapText="1"/>
    </xf>
    <xf numFmtId="166" fontId="2" fillId="0" borderId="1" xfId="3" applyNumberFormat="1" applyFont="1" applyBorder="1"/>
    <xf numFmtId="1" fontId="2" fillId="0" borderId="1" xfId="3" applyNumberFormat="1" applyFont="1" applyBorder="1"/>
    <xf numFmtId="1" fontId="2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170" fontId="2" fillId="0" borderId="1" xfId="5" applyNumberFormat="1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left" vertical="top"/>
    </xf>
    <xf numFmtId="167" fontId="9" fillId="0" borderId="1" xfId="4" applyNumberFormat="1" applyFont="1" applyBorder="1" applyAlignment="1" applyProtection="1">
      <alignment horizontal="right" vertical="top"/>
      <protection locked="0"/>
    </xf>
    <xf numFmtId="169" fontId="9" fillId="0" borderId="1" xfId="4" applyNumberFormat="1" applyFont="1" applyBorder="1" applyAlignment="1" applyProtection="1">
      <alignment horizontal="right" vertical="top"/>
      <protection locked="0"/>
    </xf>
    <xf numFmtId="168" fontId="9" fillId="0" borderId="1" xfId="4" applyNumberFormat="1" applyFont="1" applyBorder="1" applyAlignment="1" applyProtection="1">
      <alignment horizontal="left" vertical="top"/>
      <protection locked="0"/>
    </xf>
    <xf numFmtId="170" fontId="2" fillId="0" borderId="1" xfId="0" applyNumberFormat="1" applyFont="1" applyBorder="1" applyAlignment="1">
      <alignment horizontal="right" vertical="center"/>
    </xf>
    <xf numFmtId="167" fontId="9" fillId="0" borderId="1" xfId="4" applyNumberFormat="1" applyFont="1" applyBorder="1" applyAlignment="1" applyProtection="1">
      <alignment horizontal="right" vertical="center"/>
      <protection locked="0"/>
    </xf>
    <xf numFmtId="168" fontId="9" fillId="0" borderId="1" xfId="4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>
      <alignment vertical="top"/>
    </xf>
    <xf numFmtId="170" fontId="2" fillId="0" borderId="1" xfId="0" applyNumberFormat="1" applyFont="1" applyBorder="1" applyAlignment="1">
      <alignment horizontal="right" vertical="top"/>
    </xf>
    <xf numFmtId="0" fontId="13" fillId="0" borderId="1" xfId="0" applyFont="1" applyBorder="1"/>
    <xf numFmtId="49" fontId="2" fillId="0" borderId="1" xfId="0" applyNumberFormat="1" applyFont="1" applyBorder="1" applyAlignment="1">
      <alignment wrapText="1"/>
    </xf>
    <xf numFmtId="168" fontId="9" fillId="0" borderId="1" xfId="4" applyNumberFormat="1" applyFont="1" applyBorder="1" applyAlignment="1" applyProtection="1">
      <alignment vertical="center"/>
      <protection locked="0"/>
    </xf>
    <xf numFmtId="0" fontId="2" fillId="2" borderId="1" xfId="0" applyFont="1" applyFill="1" applyBorder="1"/>
    <xf numFmtId="0" fontId="2" fillId="0" borderId="1" xfId="0" applyFont="1" applyBorder="1" applyAlignment="1">
      <alignment horizontal="left" wrapText="1"/>
    </xf>
    <xf numFmtId="49" fontId="13" fillId="0" borderId="1" xfId="0" applyNumberFormat="1" applyFont="1" applyBorder="1"/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3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4" borderId="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2" fillId="0" borderId="2" xfId="0" applyFont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5" borderId="1" xfId="0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2" fillId="5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/>
    <xf numFmtId="0" fontId="9" fillId="3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5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13" fillId="5" borderId="1" xfId="0" applyFont="1" applyFill="1" applyBorder="1"/>
    <xf numFmtId="0" fontId="13" fillId="2" borderId="1" xfId="0" applyFont="1" applyFill="1" applyBorder="1"/>
    <xf numFmtId="0" fontId="0" fillId="0" borderId="12" xfId="0" applyBorder="1"/>
    <xf numFmtId="0" fontId="10" fillId="0" borderId="1" xfId="0" applyFont="1" applyBorder="1" applyAlignment="1">
      <alignment horizontal="left"/>
    </xf>
    <xf numFmtId="0" fontId="11" fillId="0" borderId="1" xfId="0" applyFont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top"/>
    </xf>
    <xf numFmtId="0" fontId="12" fillId="0" borderId="0" xfId="0" applyFont="1"/>
    <xf numFmtId="0" fontId="12" fillId="5" borderId="0" xfId="0" applyFont="1" applyFill="1"/>
    <xf numFmtId="0" fontId="2" fillId="5" borderId="1" xfId="0" applyFont="1" applyFill="1" applyBorder="1" applyAlignment="1">
      <alignment wrapText="1"/>
    </xf>
  </cellXfs>
  <cellStyles count="11">
    <cellStyle name="Comma" xfId="3" builtinId="3"/>
    <cellStyle name="Normal" xfId="0" builtinId="0"/>
    <cellStyle name="Normal 13" xfId="6" xr:uid="{DAC2F1B6-5F0C-4911-9B5C-B5CAE8654FF7}"/>
    <cellStyle name="Normal 2" xfId="8" xr:uid="{05CD56BC-B259-455F-8B6E-D7A790BD14E2}"/>
    <cellStyle name="Normal 2 2" xfId="4" xr:uid="{0077DFB7-1F7C-4A43-8985-01F7EAF42D54}"/>
    <cellStyle name="Normal 2 2 2" xfId="7" xr:uid="{D3001AFC-E9BC-437B-9561-274EDEC0B5EC}"/>
    <cellStyle name="Normal 3" xfId="5" xr:uid="{18A370DC-2DA4-4843-81D2-A03F67F9F8A1}"/>
    <cellStyle name="Normal 6 2" xfId="2" xr:uid="{BAAA7FF1-FB45-45E3-98F7-2540607BBF71}"/>
    <cellStyle name="Normal 6 2 2" xfId="9" xr:uid="{D164D6BE-F1E4-4E09-9DCC-742EC6D5787E}"/>
    <cellStyle name="常规 2" xfId="1" xr:uid="{9007EC35-BB59-45F3-B047-482B139D4152}"/>
    <cellStyle name="常规 2 2" xfId="10" xr:uid="{A5C60366-A437-4C5C-871D-F40796786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Global%20Parts.20231010145051.xlsx" TargetMode="External"/><Relationship Id="rId1" Type="http://schemas.openxmlformats.org/officeDocument/2006/relationships/externalLinkPath" Target="/Users/huawe/Downloads/Global%20Parts.202310101450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094F-61F9-4F6B-BDA2-7BAD65AE22C0}">
  <sheetPr>
    <tabColor theme="7" tint="0.79998168889431442"/>
  </sheetPr>
  <dimension ref="A1:D6"/>
  <sheetViews>
    <sheetView workbookViewId="0">
      <selection activeCell="D40" sqref="D40"/>
    </sheetView>
  </sheetViews>
  <sheetFormatPr defaultRowHeight="14.4" x14ac:dyDescent="0.3"/>
  <cols>
    <col min="1" max="1" width="3.33203125" customWidth="1" collapsed="1"/>
    <col min="3" max="3" width="22.44140625" customWidth="1" collapsed="1"/>
    <col min="4" max="4" width="38.33203125" bestFit="1" customWidth="1" collapsed="1"/>
  </cols>
  <sheetData>
    <row r="1" spans="2:4" ht="15" thickBot="1" x14ac:dyDescent="0.35"/>
    <row r="2" spans="2:4" ht="15" thickBot="1" x14ac:dyDescent="0.35">
      <c r="B2" s="54" t="s">
        <v>468</v>
      </c>
      <c r="C2" s="55" t="s">
        <v>1</v>
      </c>
      <c r="D2" s="56" t="s">
        <v>469</v>
      </c>
    </row>
    <row r="3" spans="2:4" x14ac:dyDescent="0.3">
      <c r="B3" s="57"/>
      <c r="C3" s="58" t="s">
        <v>470</v>
      </c>
      <c r="D3" s="59" t="s">
        <v>471</v>
      </c>
    </row>
    <row r="4" spans="2:4" x14ac:dyDescent="0.3">
      <c r="B4" s="60"/>
      <c r="C4" s="61" t="s">
        <v>472</v>
      </c>
      <c r="D4" s="62" t="s">
        <v>473</v>
      </c>
    </row>
    <row r="5" spans="2:4" x14ac:dyDescent="0.3">
      <c r="B5" s="63"/>
      <c r="C5" s="61" t="s">
        <v>474</v>
      </c>
      <c r="D5" s="62" t="s">
        <v>475</v>
      </c>
    </row>
    <row r="6" spans="2:4" ht="15" thickBot="1" x14ac:dyDescent="0.35">
      <c r="B6" s="85"/>
      <c r="C6" s="64" t="s">
        <v>476</v>
      </c>
      <c r="D6" s="65" t="s">
        <v>477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F02-01BA-40A3-85B4-663177661A71}">
  <dimension ref="A1:B2"/>
  <sheetViews>
    <sheetView workbookViewId="0">
      <selection activeCell="M39" sqref="M39"/>
    </sheetView>
  </sheetViews>
  <sheetFormatPr defaultRowHeight="13.8" x14ac:dyDescent="0.3"/>
  <cols>
    <col min="1" max="1" width="4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12" t="s">
        <v>39</v>
      </c>
      <c r="B1" s="67" t="s">
        <v>2</v>
      </c>
    </row>
    <row r="2" spans="1:2" x14ac:dyDescent="0.3">
      <c r="A2" s="12">
        <v>1</v>
      </c>
      <c r="B2" s="12" t="str">
        <f>'TC4'!C2</f>
        <v>SGTTAP-VNTTVN-AB-11-011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B606-C3E2-4590-8776-D283BD7DAE77}">
  <dimension ref="A1:F7"/>
  <sheetViews>
    <sheetView workbookViewId="0">
      <selection activeCell="E16" sqref="E16"/>
    </sheetView>
  </sheetViews>
  <sheetFormatPr defaultRowHeight="13.8" x14ac:dyDescent="0.3"/>
  <cols>
    <col min="1" max="2" width="25.77734375" style="2" customWidth="1" collapsed="1"/>
    <col min="3" max="3" width="15.77734375" style="2" customWidth="1" collapsed="1"/>
    <col min="4" max="4" width="25.77734375" style="2" customWidth="1" collapsed="1"/>
    <col min="5" max="6" width="15.77734375" style="2" customWidth="1" collapsed="1"/>
    <col min="7" max="16384" width="8.88671875" style="2" collapsed="1"/>
  </cols>
  <sheetData>
    <row r="1" spans="1:6" s="7" customFormat="1" x14ac:dyDescent="0.3">
      <c r="A1" s="89" t="s">
        <v>46</v>
      </c>
      <c r="B1" s="89" t="s">
        <v>47</v>
      </c>
      <c r="C1" s="75" t="s">
        <v>48</v>
      </c>
      <c r="D1" s="74" t="s">
        <v>49</v>
      </c>
      <c r="E1" s="76" t="s">
        <v>50</v>
      </c>
      <c r="F1" s="76" t="s">
        <v>51</v>
      </c>
    </row>
    <row r="2" spans="1:6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 t="s">
        <v>34</v>
      </c>
      <c r="D2" s="12" t="str">
        <f>'TC4'!C2</f>
        <v>SGTTAP-VNTTVN-AB-11-011</v>
      </c>
      <c r="E2" s="12" t="str">
        <f>'TC4'!L2</f>
        <v>Basis Order</v>
      </c>
      <c r="F2" s="12" t="s">
        <v>37</v>
      </c>
    </row>
    <row r="3" spans="1:6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 t="s">
        <v>34</v>
      </c>
      <c r="D3" s="12" t="str">
        <f>'TC4'!C2</f>
        <v>SGTTAP-VNTTVN-AB-11-011</v>
      </c>
      <c r="E3" s="12" t="str">
        <f>'TC4'!L2</f>
        <v>Basis Order</v>
      </c>
      <c r="F3" s="12" t="s">
        <v>37</v>
      </c>
    </row>
    <row r="4" spans="1:6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 t="s">
        <v>34</v>
      </c>
      <c r="D4" s="12" t="str">
        <f>'TC4'!C2</f>
        <v>SGTTAP-VNTTVN-AB-11-011</v>
      </c>
      <c r="E4" s="12" t="str">
        <f>'TC4'!L2</f>
        <v>Basis Order</v>
      </c>
      <c r="F4" s="12" t="s">
        <v>37</v>
      </c>
    </row>
    <row r="5" spans="1:6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 t="s">
        <v>34</v>
      </c>
      <c r="D5" s="12" t="str">
        <f>'TC4'!C2</f>
        <v>SGTTAP-VNTTVN-AB-11-011</v>
      </c>
      <c r="E5" s="12" t="str">
        <f>'TC4'!L2</f>
        <v>Basis Order</v>
      </c>
      <c r="F5" s="12" t="s">
        <v>37</v>
      </c>
    </row>
    <row r="6" spans="1:6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 t="s">
        <v>34</v>
      </c>
      <c r="D6" s="12" t="str">
        <f>'TC4'!C2</f>
        <v>SGTTAP-VNTTVN-AB-11-011</v>
      </c>
      <c r="E6" s="12" t="str">
        <f>'TC4'!L2</f>
        <v>Basis Order</v>
      </c>
      <c r="F6" s="12" t="s">
        <v>37</v>
      </c>
    </row>
    <row r="7" spans="1:6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 t="s">
        <v>34</v>
      </c>
      <c r="D7" s="12" t="str">
        <f>'TC4'!C2</f>
        <v>SGTTAP-VNTTVN-AB-11-011</v>
      </c>
      <c r="E7" s="12" t="str">
        <f>'TC4'!L2</f>
        <v>Basis Order</v>
      </c>
      <c r="F7" s="12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4E39-7FDB-4E7D-8E4A-1FECA68F69D2}">
  <dimension ref="A1:G2"/>
  <sheetViews>
    <sheetView workbookViewId="0">
      <selection activeCell="C15" sqref="C15"/>
    </sheetView>
  </sheetViews>
  <sheetFormatPr defaultRowHeight="13.8" x14ac:dyDescent="0.3"/>
  <cols>
    <col min="1" max="2" width="15.77734375" style="2" customWidth="1" collapsed="1"/>
    <col min="3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12" t="s">
        <v>343</v>
      </c>
      <c r="B1" s="51" t="s">
        <v>394</v>
      </c>
      <c r="C1" s="12" t="s">
        <v>1</v>
      </c>
      <c r="D1" s="12" t="s">
        <v>395</v>
      </c>
      <c r="E1" s="12" t="s">
        <v>396</v>
      </c>
      <c r="F1" s="12" t="s">
        <v>397</v>
      </c>
      <c r="G1" s="12" t="s">
        <v>398</v>
      </c>
    </row>
    <row r="2" spans="1:7" x14ac:dyDescent="0.3">
      <c r="A2" s="12" t="s">
        <v>344</v>
      </c>
      <c r="B2" s="12" t="s">
        <v>399</v>
      </c>
      <c r="C2" s="12" t="s">
        <v>400</v>
      </c>
      <c r="D2" s="12" t="s">
        <v>401</v>
      </c>
      <c r="E2" s="12">
        <v>1</v>
      </c>
      <c r="F2" s="12">
        <v>30</v>
      </c>
      <c r="G2" s="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51A2-E1E3-41BE-9E98-AE84703BC5C7}">
  <dimension ref="A1:X2"/>
  <sheetViews>
    <sheetView zoomScale="90" zoomScaleNormal="90" workbookViewId="0">
      <selection activeCell="I31" sqref="I31"/>
    </sheetView>
  </sheetViews>
  <sheetFormatPr defaultRowHeight="13.8" x14ac:dyDescent="0.3"/>
  <cols>
    <col min="1" max="2" width="25.77734375" style="2" customWidth="1" collapsed="1"/>
    <col min="3" max="24" width="15.77734375" style="2" customWidth="1" collapsed="1"/>
    <col min="25" max="16384" width="8.88671875" style="2" collapsed="1"/>
  </cols>
  <sheetData>
    <row r="1" spans="1:24" ht="14.4" x14ac:dyDescent="0.3">
      <c r="A1" s="77" t="s">
        <v>52</v>
      </c>
      <c r="B1" s="77" t="s">
        <v>53</v>
      </c>
      <c r="C1" s="23" t="s">
        <v>54</v>
      </c>
      <c r="D1" s="23" t="s">
        <v>55</v>
      </c>
      <c r="E1" s="23" t="s">
        <v>56</v>
      </c>
      <c r="F1" s="23" t="s">
        <v>57</v>
      </c>
      <c r="G1" s="23" t="s">
        <v>58</v>
      </c>
      <c r="H1" s="23" t="s">
        <v>59</v>
      </c>
      <c r="I1" s="23" t="s">
        <v>60</v>
      </c>
      <c r="J1" s="23" t="s">
        <v>61</v>
      </c>
      <c r="K1" s="23" t="s">
        <v>62</v>
      </c>
      <c r="L1" s="23" t="s">
        <v>63</v>
      </c>
      <c r="M1" s="23" t="s">
        <v>64</v>
      </c>
      <c r="N1" s="23" t="s">
        <v>65</v>
      </c>
      <c r="O1" t="s">
        <v>66</v>
      </c>
      <c r="P1" s="23" t="s">
        <v>67</v>
      </c>
      <c r="Q1" s="23" t="s">
        <v>68</v>
      </c>
      <c r="R1" s="23" t="s">
        <v>69</v>
      </c>
      <c r="S1" s="23" t="s">
        <v>70</v>
      </c>
      <c r="T1" s="23" t="s">
        <v>71</v>
      </c>
      <c r="U1" s="23" t="s">
        <v>72</v>
      </c>
      <c r="V1" s="23" t="s">
        <v>73</v>
      </c>
      <c r="W1" s="23" t="s">
        <v>74</v>
      </c>
      <c r="X1" t="s">
        <v>75</v>
      </c>
    </row>
    <row r="2" spans="1:24" x14ac:dyDescent="0.3">
      <c r="A2" s="23" t="s">
        <v>77</v>
      </c>
      <c r="B2" s="23" t="str">
        <f>A2</f>
        <v>SGBAFCO-VNAKIRA</v>
      </c>
      <c r="C2" s="23" t="s">
        <v>76</v>
      </c>
      <c r="D2" s="23" t="s">
        <v>78</v>
      </c>
      <c r="E2" s="23" t="s">
        <v>79</v>
      </c>
      <c r="F2" s="23" t="s">
        <v>80</v>
      </c>
      <c r="G2" s="23"/>
      <c r="H2" s="23"/>
      <c r="I2" s="23" t="s">
        <v>81</v>
      </c>
      <c r="J2" s="23" t="s">
        <v>37</v>
      </c>
      <c r="K2" s="23" t="s">
        <v>82</v>
      </c>
      <c r="L2" s="23" t="s">
        <v>83</v>
      </c>
      <c r="M2" s="23">
        <v>3</v>
      </c>
      <c r="N2" s="23">
        <v>2</v>
      </c>
      <c r="O2" s="23" t="str">
        <f>'TC6.2_ETAnWeek'!I2</f>
        <v>MON,WED,FRI,</v>
      </c>
      <c r="P2" s="23">
        <v>10</v>
      </c>
      <c r="Q2" s="23">
        <v>0</v>
      </c>
      <c r="R2" s="23">
        <v>1</v>
      </c>
      <c r="S2" s="23">
        <v>6</v>
      </c>
      <c r="T2" s="23">
        <v>2023</v>
      </c>
      <c r="U2" s="23">
        <v>31</v>
      </c>
      <c r="V2" s="23">
        <v>12</v>
      </c>
      <c r="W2" s="23">
        <v>2024</v>
      </c>
      <c r="X2" s="23" t="str">
        <f>'TC6.2_ETAnWeek'!O2</f>
        <v>2nd Week,4th Week,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2A9C-8FE9-4F99-ACBE-9965D2480768}">
  <dimension ref="A1:O2"/>
  <sheetViews>
    <sheetView workbookViewId="0">
      <selection activeCell="F21" sqref="F21"/>
    </sheetView>
  </sheetViews>
  <sheetFormatPr defaultRowHeight="13.8" x14ac:dyDescent="0.3"/>
  <cols>
    <col min="1" max="1" width="25.77734375" style="2" customWidth="1" collapsed="1"/>
    <col min="2" max="15" width="15.77734375" style="2" customWidth="1" collapsed="1"/>
    <col min="16" max="16384" width="8.88671875" style="2" collapsed="1"/>
  </cols>
  <sheetData>
    <row r="1" spans="1:15" x14ac:dyDescent="0.3">
      <c r="A1" s="91" t="s">
        <v>84</v>
      </c>
      <c r="B1" s="90" t="s">
        <v>85</v>
      </c>
      <c r="C1" s="90" t="s">
        <v>86</v>
      </c>
      <c r="D1" s="90" t="s">
        <v>87</v>
      </c>
      <c r="E1" s="90" t="s">
        <v>88</v>
      </c>
      <c r="F1" s="90" t="s">
        <v>89</v>
      </c>
      <c r="G1" s="90" t="s">
        <v>90</v>
      </c>
      <c r="H1" s="90" t="s">
        <v>91</v>
      </c>
      <c r="I1" s="90" t="s">
        <v>92</v>
      </c>
      <c r="J1" s="90" t="s">
        <v>93</v>
      </c>
      <c r="K1" s="90" t="s">
        <v>94</v>
      </c>
      <c r="L1" s="90" t="s">
        <v>95</v>
      </c>
      <c r="M1" s="90" t="s">
        <v>96</v>
      </c>
      <c r="N1" s="90" t="s">
        <v>97</v>
      </c>
      <c r="O1" s="90" t="s">
        <v>98</v>
      </c>
    </row>
    <row r="2" spans="1:15" x14ac:dyDescent="0.3">
      <c r="A2" s="23" t="str">
        <f>'TC6.2'!I2</f>
        <v>SG-BAFCO</v>
      </c>
      <c r="B2" s="23" t="s">
        <v>99</v>
      </c>
      <c r="C2" s="23" t="s">
        <v>100</v>
      </c>
      <c r="D2" s="23" t="s">
        <v>99</v>
      </c>
      <c r="E2" s="23" t="s">
        <v>100</v>
      </c>
      <c r="F2" s="23" t="s">
        <v>99</v>
      </c>
      <c r="G2" s="23" t="s">
        <v>100</v>
      </c>
      <c r="H2" s="23" t="s">
        <v>99</v>
      </c>
      <c r="I2" s="23" t="s">
        <v>101</v>
      </c>
      <c r="J2" s="23" t="s">
        <v>99</v>
      </c>
      <c r="K2" s="23" t="s">
        <v>100</v>
      </c>
      <c r="L2" s="23" t="s">
        <v>99</v>
      </c>
      <c r="M2" s="23" t="s">
        <v>100</v>
      </c>
      <c r="N2" s="23" t="s">
        <v>99</v>
      </c>
      <c r="O2" s="23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CC9B-6D5F-4684-8DC1-9ECC6B866CFC}">
  <dimension ref="A1:I8"/>
  <sheetViews>
    <sheetView workbookViewId="0">
      <selection activeCell="E1" sqref="E1"/>
    </sheetView>
  </sheetViews>
  <sheetFormatPr defaultRowHeight="13.8" x14ac:dyDescent="0.3"/>
  <cols>
    <col min="1" max="1" width="4.77734375" style="2" customWidth="1" collapsed="1"/>
    <col min="2" max="4" width="25.77734375" style="2" customWidth="1" collapsed="1"/>
    <col min="5" max="11" width="15.77734375" style="2" customWidth="1" collapsed="1"/>
    <col min="12" max="16384" width="8.88671875" style="2" collapsed="1"/>
  </cols>
  <sheetData>
    <row r="1" spans="1:9" x14ac:dyDescent="0.3">
      <c r="A1" s="12" t="s">
        <v>0</v>
      </c>
      <c r="B1" s="51" t="s">
        <v>402</v>
      </c>
      <c r="C1" s="12" t="s">
        <v>409</v>
      </c>
      <c r="D1" s="67" t="s">
        <v>2</v>
      </c>
      <c r="E1" s="12" t="s">
        <v>418</v>
      </c>
      <c r="F1" s="12" t="s">
        <v>429</v>
      </c>
      <c r="G1" s="12" t="s">
        <v>10</v>
      </c>
      <c r="H1" s="12" t="s">
        <v>420</v>
      </c>
      <c r="I1" s="12" t="s">
        <v>430</v>
      </c>
    </row>
    <row r="2" spans="1:9" x14ac:dyDescent="0.3">
      <c r="A2" s="12">
        <v>1</v>
      </c>
      <c r="B2" s="19" t="s">
        <v>139</v>
      </c>
      <c r="C2" s="19" t="s">
        <v>423</v>
      </c>
      <c r="D2" s="12" t="str">
        <f>'TC7'!C2</f>
        <v>SGBAFCO-SGTTAP-ABs-11-011</v>
      </c>
      <c r="E2" s="12" t="s">
        <v>193</v>
      </c>
      <c r="F2" s="12">
        <v>1</v>
      </c>
      <c r="G2" s="12" t="s">
        <v>21</v>
      </c>
      <c r="H2" s="12">
        <v>2</v>
      </c>
      <c r="I2" s="12"/>
    </row>
    <row r="3" spans="1:9" x14ac:dyDescent="0.3">
      <c r="A3" s="12">
        <v>2</v>
      </c>
      <c r="B3" s="19" t="s">
        <v>140</v>
      </c>
      <c r="C3" s="19" t="s">
        <v>424</v>
      </c>
      <c r="D3" s="52" t="str">
        <f>'TC7'!C2</f>
        <v>SGBAFCO-SGTTAP-ABs-11-011</v>
      </c>
      <c r="E3" s="12" t="s">
        <v>194</v>
      </c>
      <c r="F3" s="12">
        <v>1</v>
      </c>
      <c r="G3" s="12" t="s">
        <v>21</v>
      </c>
      <c r="H3" s="12">
        <v>2</v>
      </c>
      <c r="I3" s="12"/>
    </row>
    <row r="4" spans="1:9" x14ac:dyDescent="0.3">
      <c r="A4" s="12">
        <v>3</v>
      </c>
      <c r="B4" s="19" t="s">
        <v>141</v>
      </c>
      <c r="C4" s="19" t="s">
        <v>425</v>
      </c>
      <c r="D4" s="52" t="str">
        <f>'TC7'!C2</f>
        <v>SGBAFCO-SGTTAP-ABs-11-011</v>
      </c>
      <c r="E4" s="12" t="s">
        <v>195</v>
      </c>
      <c r="F4" s="12">
        <v>1</v>
      </c>
      <c r="G4" s="12" t="s">
        <v>21</v>
      </c>
      <c r="H4" s="12">
        <v>2</v>
      </c>
      <c r="I4" s="12"/>
    </row>
    <row r="5" spans="1:9" x14ac:dyDescent="0.3">
      <c r="A5" s="12">
        <v>4</v>
      </c>
      <c r="B5" s="19" t="s">
        <v>142</v>
      </c>
      <c r="C5" s="19" t="s">
        <v>426</v>
      </c>
      <c r="D5" s="52" t="str">
        <f>'TC7'!C2</f>
        <v>SGBAFCO-SGTTAP-ABs-11-011</v>
      </c>
      <c r="E5" s="12" t="s">
        <v>270</v>
      </c>
      <c r="F5" s="12">
        <v>1</v>
      </c>
      <c r="G5" s="12" t="s">
        <v>21</v>
      </c>
      <c r="H5" s="12">
        <v>2</v>
      </c>
      <c r="I5" s="12"/>
    </row>
    <row r="6" spans="1:9" x14ac:dyDescent="0.3">
      <c r="A6" s="12">
        <v>5</v>
      </c>
      <c r="B6" s="19" t="s">
        <v>143</v>
      </c>
      <c r="C6" s="19" t="s">
        <v>427</v>
      </c>
      <c r="D6" s="52" t="str">
        <f>'TC7'!C2</f>
        <v>SGBAFCO-SGTTAP-ABs-11-011</v>
      </c>
      <c r="E6" s="12" t="s">
        <v>195</v>
      </c>
      <c r="F6" s="12">
        <v>1</v>
      </c>
      <c r="G6" s="12" t="s">
        <v>21</v>
      </c>
      <c r="H6" s="12">
        <v>2</v>
      </c>
      <c r="I6" s="12"/>
    </row>
    <row r="7" spans="1:9" x14ac:dyDescent="0.3">
      <c r="A7" s="12">
        <v>6</v>
      </c>
      <c r="B7" s="19" t="s">
        <v>144</v>
      </c>
      <c r="C7" s="19" t="s">
        <v>428</v>
      </c>
      <c r="D7" s="52" t="str">
        <f>'TC7'!C2</f>
        <v>SGBAFCO-SGTTAP-ABs-11-011</v>
      </c>
      <c r="E7" s="12" t="s">
        <v>195</v>
      </c>
      <c r="F7" s="12">
        <v>1</v>
      </c>
      <c r="G7" s="12" t="s">
        <v>21</v>
      </c>
      <c r="H7" s="12">
        <v>2</v>
      </c>
      <c r="I7" s="12"/>
    </row>
    <row r="8" spans="1:9" x14ac:dyDescent="0.3">
      <c r="B8" s="6"/>
      <c r="C8" s="6"/>
      <c r="D8" s="6"/>
      <c r="E8" s="6"/>
      <c r="F8" s="6"/>
      <c r="G8" s="6"/>
      <c r="H8" s="6"/>
      <c r="I8" s="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894B-25AB-43FF-8158-1149F870C11B}">
  <dimension ref="A1:T2"/>
  <sheetViews>
    <sheetView workbookViewId="0">
      <selection activeCell="D1" sqref="D1"/>
    </sheetView>
  </sheetViews>
  <sheetFormatPr defaultRowHeight="13.8" x14ac:dyDescent="0.3"/>
  <cols>
    <col min="1" max="1" width="4.77734375" style="2" customWidth="1" collapsed="1"/>
    <col min="2" max="3" width="25.77734375" style="2" customWidth="1" collapsed="1"/>
    <col min="4" max="9" width="15.77734375" style="2" customWidth="1" collapsed="1"/>
    <col min="10" max="10" width="25.77734375" style="2" customWidth="1" collapsed="1"/>
    <col min="11" max="12" width="15.77734375" style="2" customWidth="1" collapsed="1"/>
    <col min="13" max="14" width="25.77734375" style="2" customWidth="1" collapsed="1"/>
    <col min="15" max="20" width="15.77734375" style="2" customWidth="1" collapsed="1"/>
    <col min="21" max="16384" width="8.88671875" style="2" collapsed="1"/>
  </cols>
  <sheetData>
    <row r="1" spans="1:20" x14ac:dyDescent="0.3">
      <c r="A1" s="12" t="s">
        <v>0</v>
      </c>
      <c r="B1" s="79" t="s">
        <v>102</v>
      </c>
      <c r="C1" s="67" t="s">
        <v>2</v>
      </c>
      <c r="D1" s="12" t="s">
        <v>103</v>
      </c>
      <c r="E1" s="12" t="s">
        <v>106</v>
      </c>
      <c r="F1" s="12" t="s">
        <v>104</v>
      </c>
      <c r="G1" s="12" t="s">
        <v>107</v>
      </c>
      <c r="H1" s="67" t="s">
        <v>7</v>
      </c>
      <c r="I1" s="67" t="s">
        <v>8</v>
      </c>
      <c r="J1" s="67" t="s">
        <v>9</v>
      </c>
      <c r="K1" s="12" t="s">
        <v>10</v>
      </c>
      <c r="L1" s="12" t="s">
        <v>11</v>
      </c>
      <c r="M1" s="67" t="s">
        <v>52</v>
      </c>
      <c r="N1" s="67" t="s">
        <v>105</v>
      </c>
      <c r="O1" s="12" t="s">
        <v>13</v>
      </c>
      <c r="P1" s="12" t="s">
        <v>14</v>
      </c>
      <c r="Q1" s="12" t="s">
        <v>15</v>
      </c>
      <c r="R1" s="12" t="s">
        <v>16</v>
      </c>
      <c r="S1" s="67" t="s">
        <v>12</v>
      </c>
      <c r="T1" s="78" t="s">
        <v>19</v>
      </c>
    </row>
    <row r="2" spans="1:20" x14ac:dyDescent="0.3">
      <c r="A2" s="12">
        <v>1</v>
      </c>
      <c r="B2" t="s">
        <v>500</v>
      </c>
      <c r="C2" s="12" t="str">
        <f>"SGBAFCO-SGTTAP-"&amp;'TC7'!H2&amp;"-0"&amp;AutoIncrement!A2</f>
        <v>SGBAFCO-SGTTAP-ABs-11-011</v>
      </c>
      <c r="D2" s="12" t="s">
        <v>37</v>
      </c>
      <c r="E2" s="12">
        <v>1</v>
      </c>
      <c r="F2" s="12">
        <v>3</v>
      </c>
      <c r="G2" s="12">
        <v>0</v>
      </c>
      <c r="H2" s="12" t="str">
        <f>AutoIncrement!C2&amp;"-"&amp;AutoIncrement!A2</f>
        <v>ABs-11</v>
      </c>
      <c r="I2" s="12" t="str">
        <f>"CD-"&amp;H2</f>
        <v>CD-ABs-11</v>
      </c>
      <c r="J2" s="12" t="str">
        <f>'TC6.1'!B2&amp;"("&amp;'TC6.1'!C2&amp;")"</f>
        <v>TT60BL(T/T REMITTANCE AT 60 DAYS FROM THE END OF B/L MONTH)</v>
      </c>
      <c r="K2" s="12" t="s">
        <v>21</v>
      </c>
      <c r="L2" s="12" t="s">
        <v>22</v>
      </c>
      <c r="M2" s="12" t="str">
        <f>'TC6.2'!A2&amp;"("&amp;'TC6.2'!B2&amp;")"</f>
        <v>SGBAFCO-VNAKIRA(SGBAFCO-VNAKIRA)</v>
      </c>
      <c r="N2" s="12" t="str">
        <f>'TC6.2'!A2</f>
        <v>SGBAFCO-VNAKIRA</v>
      </c>
      <c r="O2" s="12" t="s">
        <v>23</v>
      </c>
      <c r="P2" s="12" t="s">
        <v>33</v>
      </c>
      <c r="Q2" s="12" t="s">
        <v>34</v>
      </c>
      <c r="R2" s="12" t="s">
        <v>24</v>
      </c>
      <c r="S2" s="12" t="str">
        <f>'TC4'!N2</f>
        <v>RD-AB-11</v>
      </c>
      <c r="T2" t="s">
        <v>499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AEF1-596F-41E1-B760-C0119527A8CE}">
  <dimension ref="A1:G7"/>
  <sheetViews>
    <sheetView workbookViewId="0">
      <selection activeCell="G21" sqref="G21"/>
    </sheetView>
  </sheetViews>
  <sheetFormatPr defaultRowHeight="13.8" x14ac:dyDescent="0.3"/>
  <cols>
    <col min="1" max="2" width="25.77734375" style="2" customWidth="1" collapsed="1"/>
    <col min="3" max="3" width="15.77734375" style="2" customWidth="1" collapsed="1"/>
    <col min="4" max="4" width="25.77734375" style="2" customWidth="1" collapsed="1"/>
    <col min="5" max="7" width="15.77734375" style="2" customWidth="1" collapsed="1"/>
    <col min="8" max="16384" width="8.88671875" style="2" collapsed="1"/>
  </cols>
  <sheetData>
    <row r="1" spans="1:7" x14ac:dyDescent="0.3">
      <c r="A1" s="67" t="s">
        <v>284</v>
      </c>
      <c r="B1" s="67" t="s">
        <v>285</v>
      </c>
      <c r="C1" s="51" t="s">
        <v>286</v>
      </c>
      <c r="D1" s="67" t="s">
        <v>287</v>
      </c>
      <c r="E1" s="51" t="s">
        <v>288</v>
      </c>
      <c r="F1" s="51" t="s">
        <v>289</v>
      </c>
      <c r="G1" s="67" t="s">
        <v>290</v>
      </c>
    </row>
    <row r="2" spans="1:7" x14ac:dyDescent="0.3">
      <c r="A2" s="24" t="str">
        <f>'TC4-Contract Parts Info'!C2</f>
        <v>scenario1220230504001</v>
      </c>
      <c r="B2" s="19" t="s">
        <v>139</v>
      </c>
      <c r="C2" s="24" t="s">
        <v>33</v>
      </c>
      <c r="D2" s="12" t="str">
        <f>'TC7'!C2</f>
        <v>SGBAFCO-SGTTAP-ABs-11-011</v>
      </c>
      <c r="E2" s="24" t="s">
        <v>22</v>
      </c>
      <c r="F2" s="24" t="s">
        <v>37</v>
      </c>
      <c r="G2" s="12" t="str">
        <f>'TC6.2'!A2</f>
        <v>SGBAFCO-VNAKIRA</v>
      </c>
    </row>
    <row r="3" spans="1:7" x14ac:dyDescent="0.3">
      <c r="A3" s="24" t="str">
        <f>'TC4-Contract Parts Info'!C3</f>
        <v>scenario1220230504002</v>
      </c>
      <c r="B3" s="19" t="s">
        <v>140</v>
      </c>
      <c r="C3" s="24" t="s">
        <v>33</v>
      </c>
      <c r="D3" s="12" t="str">
        <f>'TC7'!C2</f>
        <v>SGBAFCO-SGTTAP-ABs-11-011</v>
      </c>
      <c r="E3" s="24" t="s">
        <v>22</v>
      </c>
      <c r="F3" s="24" t="s">
        <v>37</v>
      </c>
      <c r="G3" s="12" t="str">
        <f>'TC6.2'!A2</f>
        <v>SGBAFCO-VNAKIRA</v>
      </c>
    </row>
    <row r="4" spans="1:7" x14ac:dyDescent="0.3">
      <c r="A4" s="24" t="str">
        <f>'TC4-Contract Parts Info'!C4</f>
        <v>scenario1220230504003</v>
      </c>
      <c r="B4" s="19" t="s">
        <v>141</v>
      </c>
      <c r="C4" s="24" t="s">
        <v>33</v>
      </c>
      <c r="D4" s="12" t="str">
        <f>'TC7'!C2</f>
        <v>SGBAFCO-SGTTAP-ABs-11-011</v>
      </c>
      <c r="E4" s="24" t="s">
        <v>22</v>
      </c>
      <c r="F4" s="24" t="s">
        <v>37</v>
      </c>
      <c r="G4" s="12" t="str">
        <f>'TC6.2'!A2</f>
        <v>SGBAFCO-VNAKIRA</v>
      </c>
    </row>
    <row r="5" spans="1:7" x14ac:dyDescent="0.3">
      <c r="A5" s="24" t="str">
        <f>'TC4-Contract Parts Info'!C5</f>
        <v>scenario1220230504004</v>
      </c>
      <c r="B5" s="19" t="s">
        <v>142</v>
      </c>
      <c r="C5" s="24" t="s">
        <v>33</v>
      </c>
      <c r="D5" s="12" t="str">
        <f>'TC7'!C2</f>
        <v>SGBAFCO-SGTTAP-ABs-11-011</v>
      </c>
      <c r="E5" s="24" t="s">
        <v>22</v>
      </c>
      <c r="F5" s="24" t="s">
        <v>37</v>
      </c>
      <c r="G5" s="12" t="str">
        <f>'TC6.2'!A2</f>
        <v>SGBAFCO-VNAKIRA</v>
      </c>
    </row>
    <row r="6" spans="1:7" x14ac:dyDescent="0.3">
      <c r="A6" s="24" t="str">
        <f>'TC4-Contract Parts Info'!C6</f>
        <v>scenario1220230504005</v>
      </c>
      <c r="B6" s="19" t="s">
        <v>143</v>
      </c>
      <c r="C6" s="24" t="s">
        <v>33</v>
      </c>
      <c r="D6" s="12" t="str">
        <f>'TC7'!C2</f>
        <v>SGBAFCO-SGTTAP-ABs-11-011</v>
      </c>
      <c r="E6" s="24" t="s">
        <v>22</v>
      </c>
      <c r="F6" s="24" t="s">
        <v>37</v>
      </c>
      <c r="G6" s="12" t="str">
        <f>'TC6.2'!A2</f>
        <v>SGBAFCO-VNAKIRA</v>
      </c>
    </row>
    <row r="7" spans="1:7" x14ac:dyDescent="0.3">
      <c r="A7" s="24" t="str">
        <f>'TC4-Contract Parts Info'!C7</f>
        <v>scenario1220230504006</v>
      </c>
      <c r="B7" s="19" t="s">
        <v>144</v>
      </c>
      <c r="C7" s="24" t="s">
        <v>33</v>
      </c>
      <c r="D7" s="12" t="str">
        <f>'TC7'!C2</f>
        <v>SGBAFCO-SGTTAP-ABs-11-011</v>
      </c>
      <c r="E7" s="24" t="s">
        <v>22</v>
      </c>
      <c r="F7" s="24" t="s">
        <v>37</v>
      </c>
      <c r="G7" s="12" t="str">
        <f>'TC6.2'!A2</f>
        <v>SGBAFCO-VNAKIRA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5A60-7548-455E-B1BD-E501B50E1D8E}">
  <dimension ref="A1:D2"/>
  <sheetViews>
    <sheetView workbookViewId="0">
      <selection activeCell="B1" sqref="B1"/>
    </sheetView>
  </sheetViews>
  <sheetFormatPr defaultRowHeight="13.8" x14ac:dyDescent="0.3"/>
  <cols>
    <col min="1" max="3" width="15.77734375" style="2" customWidth="1" collapsed="1"/>
    <col min="4" max="4" width="25.77734375" style="2" customWidth="1" collapsed="1"/>
    <col min="5" max="16384" width="8.88671875" style="2" collapsed="1"/>
  </cols>
  <sheetData>
    <row r="1" spans="1:4" x14ac:dyDescent="0.3">
      <c r="A1" s="67" t="s">
        <v>108</v>
      </c>
      <c r="B1" s="51" t="s">
        <v>109</v>
      </c>
      <c r="C1" s="51" t="s">
        <v>110</v>
      </c>
      <c r="D1" s="67" t="s">
        <v>112</v>
      </c>
    </row>
    <row r="2" spans="1:4" x14ac:dyDescent="0.3">
      <c r="A2" s="12" t="str">
        <f>"CS-"&amp;AutoIncrement!B2&amp;"-"&amp;AutoIncrement!A2</f>
        <v>CS-AB-11</v>
      </c>
      <c r="B2" s="12" t="s">
        <v>34</v>
      </c>
      <c r="C2" s="12" t="s">
        <v>111</v>
      </c>
      <c r="D2" s="12" t="str">
        <f>'TC4'!C2</f>
        <v>SGTTAP-VNTTVN-AB-11-011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7513-3B0C-412F-A466-F3B7B2A44CBB}">
  <dimension ref="A1:D2"/>
  <sheetViews>
    <sheetView workbookViewId="0">
      <selection activeCell="D2" sqref="D2"/>
    </sheetView>
  </sheetViews>
  <sheetFormatPr defaultRowHeight="14.4" x14ac:dyDescent="0.3"/>
  <cols>
    <col min="1" max="3" width="15.77734375" style="2" customWidth="1" collapsed="1"/>
    <col min="4" max="4" width="25.77734375" style="2" customWidth="1" collapsed="1"/>
  </cols>
  <sheetData>
    <row r="1" spans="1:4" x14ac:dyDescent="0.3">
      <c r="A1" s="67" t="s">
        <v>108</v>
      </c>
      <c r="B1" s="51" t="s">
        <v>109</v>
      </c>
      <c r="C1" s="51" t="s">
        <v>110</v>
      </c>
      <c r="D1" s="67" t="s">
        <v>112</v>
      </c>
    </row>
    <row r="2" spans="1:4" x14ac:dyDescent="0.3">
      <c r="A2" s="12" t="str">
        <f>"CS-"&amp;AutoIncrement!C2&amp;"-"&amp;AutoIncrement!A2</f>
        <v>CS-ABs-11</v>
      </c>
      <c r="B2" s="12" t="s">
        <v>34</v>
      </c>
      <c r="C2" s="12" t="s">
        <v>113</v>
      </c>
      <c r="D2" s="12" t="str">
        <f>'TC7'!C2</f>
        <v>SGBAFCO-SGTTAP-ABs-11-011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0F19-6308-470D-96AC-F48FFA3E7D98}">
  <sheetPr>
    <tabColor rgb="FFFFFF00"/>
  </sheetPr>
  <dimension ref="A1:F4"/>
  <sheetViews>
    <sheetView workbookViewId="0">
      <selection activeCell="G16" sqref="G16"/>
    </sheetView>
  </sheetViews>
  <sheetFormatPr defaultRowHeight="13.8" x14ac:dyDescent="0.3"/>
  <cols>
    <col min="1" max="4" width="15.77734375" style="2" customWidth="1" collapsed="1"/>
    <col min="5" max="5" width="39" style="2" customWidth="1" collapsed="1"/>
    <col min="6" max="16384" width="8.88671875" style="2" collapsed="1"/>
  </cols>
  <sheetData>
    <row r="1" spans="1:6" x14ac:dyDescent="0.3">
      <c r="A1" s="51" t="s">
        <v>442</v>
      </c>
      <c r="B1" s="51" t="s">
        <v>115</v>
      </c>
      <c r="C1" s="68" t="s">
        <v>115</v>
      </c>
      <c r="D1" s="86" t="s">
        <v>467</v>
      </c>
      <c r="E1" s="87"/>
      <c r="F1" s="5"/>
    </row>
    <row r="2" spans="1:6" x14ac:dyDescent="0.3">
      <c r="A2" s="24" t="s">
        <v>497</v>
      </c>
      <c r="B2" s="12" t="s">
        <v>482</v>
      </c>
      <c r="C2" s="66" t="str">
        <f>B2&amp;"s"</f>
        <v>ABs</v>
      </c>
      <c r="D2" s="12" t="s">
        <v>115</v>
      </c>
      <c r="E2" s="12" t="s">
        <v>116</v>
      </c>
    </row>
    <row r="3" spans="1:6" x14ac:dyDescent="0.3">
      <c r="D3" s="12" t="s">
        <v>118</v>
      </c>
      <c r="E3" s="12" t="s">
        <v>117</v>
      </c>
    </row>
    <row r="4" spans="1:6" x14ac:dyDescent="0.3">
      <c r="D4" s="5"/>
      <c r="E4" s="5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E1FD-F115-4FC2-A8A4-08A8E868068A}">
  <dimension ref="A1:E7"/>
  <sheetViews>
    <sheetView workbookViewId="0">
      <selection activeCell="D43" sqref="D43"/>
    </sheetView>
  </sheetViews>
  <sheetFormatPr defaultRowHeight="13.8" x14ac:dyDescent="0.3"/>
  <cols>
    <col min="1" max="1" width="5.77734375" style="2" customWidth="1" collapsed="1"/>
    <col min="2" max="5" width="15.77734375" style="2" customWidth="1" collapsed="1"/>
    <col min="6" max="16384" width="8.88671875" style="2" collapsed="1"/>
  </cols>
  <sheetData>
    <row r="1" spans="1:5" x14ac:dyDescent="0.3">
      <c r="A1" s="25" t="s">
        <v>0</v>
      </c>
      <c r="B1" s="12" t="s">
        <v>20</v>
      </c>
      <c r="C1" s="12" t="s">
        <v>119</v>
      </c>
      <c r="D1" s="12" t="s">
        <v>120</v>
      </c>
      <c r="E1" s="12" t="s">
        <v>121</v>
      </c>
    </row>
    <row r="2" spans="1:5" x14ac:dyDescent="0.3">
      <c r="A2" s="25">
        <v>1</v>
      </c>
      <c r="B2" s="12">
        <v>1000</v>
      </c>
      <c r="C2" s="12">
        <v>1000</v>
      </c>
      <c r="D2" s="26">
        <v>500</v>
      </c>
      <c r="E2" s="26">
        <v>500</v>
      </c>
    </row>
    <row r="3" spans="1:5" x14ac:dyDescent="0.3">
      <c r="A3" s="25">
        <v>2</v>
      </c>
      <c r="B3" s="12">
        <v>1000</v>
      </c>
      <c r="C3" s="12">
        <v>1000</v>
      </c>
      <c r="D3" s="26">
        <v>500</v>
      </c>
      <c r="E3" s="26">
        <v>500</v>
      </c>
    </row>
    <row r="4" spans="1:5" x14ac:dyDescent="0.3">
      <c r="A4" s="25">
        <v>3</v>
      </c>
      <c r="B4" s="12">
        <v>1000</v>
      </c>
      <c r="C4" s="12">
        <v>1000</v>
      </c>
      <c r="D4" s="26">
        <v>500</v>
      </c>
      <c r="E4" s="26">
        <v>500</v>
      </c>
    </row>
    <row r="5" spans="1:5" x14ac:dyDescent="0.3">
      <c r="A5" s="25">
        <v>6</v>
      </c>
      <c r="B5" s="12">
        <v>1000</v>
      </c>
      <c r="C5" s="12">
        <v>1000</v>
      </c>
      <c r="D5" s="26">
        <v>0</v>
      </c>
      <c r="E5" s="12">
        <v>1000</v>
      </c>
    </row>
    <row r="6" spans="1:5" x14ac:dyDescent="0.3">
      <c r="A6" s="25">
        <v>4</v>
      </c>
      <c r="B6" s="12">
        <v>1000</v>
      </c>
      <c r="C6" s="12">
        <v>1000</v>
      </c>
      <c r="D6" s="26">
        <v>500</v>
      </c>
      <c r="E6" s="26">
        <v>500</v>
      </c>
    </row>
    <row r="7" spans="1:5" x14ac:dyDescent="0.3">
      <c r="A7" s="25">
        <v>5</v>
      </c>
      <c r="B7" s="12">
        <v>1000</v>
      </c>
      <c r="C7" s="12">
        <v>1000</v>
      </c>
      <c r="D7" s="12">
        <v>1000</v>
      </c>
      <c r="E7" s="2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3A5-B7E2-4DA9-B069-8F351003DB03}">
  <dimension ref="A1:C2"/>
  <sheetViews>
    <sheetView topLeftCell="B1" workbookViewId="0">
      <selection activeCell="C13" sqref="C13"/>
    </sheetView>
  </sheetViews>
  <sheetFormatPr defaultRowHeight="13.8" x14ac:dyDescent="0.3"/>
  <cols>
    <col min="1" max="1" width="8.88671875" style="2" collapsed="1"/>
    <col min="2" max="3" width="15.77734375" style="2" customWidth="1" collapsed="1"/>
    <col min="4" max="16384" width="8.88671875" style="2" collapsed="1"/>
  </cols>
  <sheetData>
    <row r="1" spans="1:3" x14ac:dyDescent="0.3">
      <c r="A1" s="2" t="s">
        <v>0</v>
      </c>
      <c r="B1" s="12" t="s">
        <v>122</v>
      </c>
      <c r="C1" s="12" t="s">
        <v>123</v>
      </c>
    </row>
    <row r="2" spans="1:3" x14ac:dyDescent="0.3">
      <c r="A2" s="2">
        <v>1</v>
      </c>
      <c r="B2" s="12" t="str">
        <f ca="1">TEXT(DATE(YEAR(TODAY()), MONTH(TODAY())+2, DAY(TODAY())), "dd MMM yyyy")</f>
        <v>15 Jan 2024</v>
      </c>
      <c r="C2" s="12" t="str">
        <f ca="1">TEXT(DATE(YEAR(TODAY()), MONTH(TODAY())+3, DAY(TODAY())), "dd MMM yyyy")</f>
        <v>15 Feb 2024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405A-1265-4529-9930-40B4726F6D66}">
  <dimension ref="A1:C7"/>
  <sheetViews>
    <sheetView workbookViewId="0">
      <selection activeCell="E4" sqref="E4"/>
    </sheetView>
  </sheetViews>
  <sheetFormatPr defaultRowHeight="13.8" x14ac:dyDescent="0.3"/>
  <cols>
    <col min="1" max="1" width="5.77734375" style="2" customWidth="1" collapsed="1"/>
    <col min="2" max="3" width="15.77734375" style="2" customWidth="1" collapsed="1"/>
    <col min="4" max="16384" width="8.88671875" style="2" collapsed="1"/>
  </cols>
  <sheetData>
    <row r="1" spans="1:3" x14ac:dyDescent="0.3">
      <c r="A1" s="25" t="s">
        <v>0</v>
      </c>
      <c r="B1" s="12" t="s">
        <v>20</v>
      </c>
      <c r="C1" s="12" t="s">
        <v>120</v>
      </c>
    </row>
    <row r="2" spans="1:3" x14ac:dyDescent="0.3">
      <c r="A2" s="25">
        <v>1</v>
      </c>
      <c r="B2" s="12">
        <v>100</v>
      </c>
      <c r="C2" s="12">
        <v>100</v>
      </c>
    </row>
    <row r="3" spans="1:3" x14ac:dyDescent="0.3">
      <c r="A3" s="25">
        <v>2</v>
      </c>
      <c r="B3" s="12">
        <v>100</v>
      </c>
      <c r="C3" s="12">
        <v>100</v>
      </c>
    </row>
    <row r="4" spans="1:3" x14ac:dyDescent="0.3">
      <c r="A4" s="25">
        <v>3</v>
      </c>
      <c r="B4" s="12">
        <v>100</v>
      </c>
      <c r="C4" s="12">
        <v>100</v>
      </c>
    </row>
    <row r="5" spans="1:3" x14ac:dyDescent="0.3">
      <c r="A5" s="25">
        <v>4</v>
      </c>
      <c r="B5" s="12">
        <v>100</v>
      </c>
      <c r="C5" s="12">
        <v>100</v>
      </c>
    </row>
    <row r="6" spans="1:3" x14ac:dyDescent="0.3">
      <c r="A6" s="25">
        <v>5</v>
      </c>
      <c r="B6" s="12">
        <v>100</v>
      </c>
      <c r="C6" s="12">
        <v>100</v>
      </c>
    </row>
    <row r="7" spans="1:3" x14ac:dyDescent="0.3">
      <c r="A7" s="25">
        <v>6</v>
      </c>
      <c r="B7" s="12">
        <v>100</v>
      </c>
      <c r="C7" s="12">
        <v>100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BE66-0588-4DEC-A77E-FB3B190C02C0}">
  <dimension ref="A1:B2"/>
  <sheetViews>
    <sheetView topLeftCell="B1" workbookViewId="0">
      <selection activeCell="J22" sqref="J22"/>
    </sheetView>
  </sheetViews>
  <sheetFormatPr defaultRowHeight="14.4" x14ac:dyDescent="0.3"/>
  <cols>
    <col min="2" max="2" width="15.77734375" style="2" customWidth="1" collapsed="1"/>
  </cols>
  <sheetData>
    <row r="1" spans="1:2" x14ac:dyDescent="0.3">
      <c r="A1" t="s">
        <v>0</v>
      </c>
      <c r="B1" s="12" t="s">
        <v>122</v>
      </c>
    </row>
    <row r="2" spans="1:2" x14ac:dyDescent="0.3">
      <c r="A2">
        <v>1</v>
      </c>
      <c r="B2" s="12" t="str">
        <f ca="1">TEXT(DATE(YEAR(TODAY()), MONTH(TODAY())+2, DAY(TODAY())+10), "dd MMM yyyy")</f>
        <v>25 Jan 2024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8B1D-3D68-4DFF-812B-9F06D6FA029B}">
  <dimension ref="A1:C2"/>
  <sheetViews>
    <sheetView workbookViewId="0">
      <selection activeCell="I30" sqref="I30"/>
    </sheetView>
  </sheetViews>
  <sheetFormatPr defaultRowHeight="13.8" x14ac:dyDescent="0.3"/>
  <cols>
    <col min="1" max="1" width="5.77734375" style="2" customWidth="1" collapsed="1"/>
    <col min="2" max="3" width="25.77734375" style="2" customWidth="1" collapsed="1"/>
    <col min="4" max="16384" width="8.88671875" style="2" collapsed="1"/>
  </cols>
  <sheetData>
    <row r="1" spans="1:3" x14ac:dyDescent="0.3">
      <c r="A1" s="12" t="s">
        <v>0</v>
      </c>
      <c r="B1" s="79" t="s">
        <v>146</v>
      </c>
      <c r="C1" s="79" t="s">
        <v>147</v>
      </c>
    </row>
    <row r="2" spans="1:3" x14ac:dyDescent="0.3">
      <c r="A2" s="12">
        <v>1</v>
      </c>
      <c r="B2" s="12" t="str">
        <f ca="1">"c" &amp; AutoIncrement!B2&amp;AutoIncrement!A2&amp;"-23"&amp;TEXT(TODAY(),"mm")&amp;"001"</f>
        <v>cAB11-2311001</v>
      </c>
      <c r="C2" s="12" t="str">
        <f ca="1">"c" &amp; AutoIncrement!B2&amp;AutoIncrement!A2&amp;"-23"&amp;TEXT(TODAY(),"mm")&amp;"002"</f>
        <v>cAB11-2311002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E7E9-63FD-421B-ACB4-C15182195C24}">
  <dimension ref="A1:A2"/>
  <sheetViews>
    <sheetView tabSelected="1" workbookViewId="0">
      <selection activeCell="N7" sqref="N7"/>
    </sheetView>
  </sheetViews>
  <sheetFormatPr defaultRowHeight="13.8" x14ac:dyDescent="0.3"/>
  <cols>
    <col min="1" max="1" width="30.77734375" style="2" customWidth="1" collapsed="1"/>
    <col min="2" max="16384" width="8.88671875" style="2" collapsed="1"/>
  </cols>
  <sheetData>
    <row r="1" spans="1:1" x14ac:dyDescent="0.3">
      <c r="A1" s="79" t="s">
        <v>443</v>
      </c>
    </row>
    <row r="2" spans="1:1" x14ac:dyDescent="0.3">
      <c r="A2" s="12" t="str">
        <f ca="1">TEXT(TODAY() - WEEKDAY(TODAY(), 2) + 1, "[$-409]mmm d, yyyy") &amp; " ~ " &amp; TEXT(TODAY() - WEEKDAY(TODAY(), 2) + 7, "[$-409]mmm d, yyyy")</f>
        <v>Nov 13, 2023 ~ Nov 19, 2023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C041-2817-491D-9A9F-8F7D35CE41E0}">
  <dimension ref="A1:B2"/>
  <sheetViews>
    <sheetView workbookViewId="0"/>
  </sheetViews>
  <sheetFormatPr defaultRowHeight="13.8" x14ac:dyDescent="0.3"/>
  <cols>
    <col min="1" max="1" width="5.77734375" style="2" customWidth="1" collapsed="1"/>
    <col min="2" max="2" width="30.77734375" style="2" customWidth="1" collapsed="1"/>
    <col min="3" max="16384" width="8.88671875" style="2" collapsed="1"/>
  </cols>
  <sheetData>
    <row r="1" spans="1:2" x14ac:dyDescent="0.3">
      <c r="A1" s="12" t="s">
        <v>0</v>
      </c>
      <c r="B1" s="67" t="s">
        <v>2</v>
      </c>
    </row>
    <row r="2" spans="1:2" x14ac:dyDescent="0.3">
      <c r="A2" s="12">
        <v>1</v>
      </c>
      <c r="B2" s="12" t="str">
        <f>'TC4'!C2</f>
        <v>SGTTAP-VNTTVN-AB-11-011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CF16-D645-4ABB-87A9-49E7147946A3}">
  <dimension ref="A1:C2"/>
  <sheetViews>
    <sheetView workbookViewId="0"/>
  </sheetViews>
  <sheetFormatPr defaultRowHeight="13.8" x14ac:dyDescent="0.3"/>
  <cols>
    <col min="1" max="1" width="5.77734375" style="2" customWidth="1" collapsed="1"/>
    <col min="2" max="3" width="20.77734375" style="2" customWidth="1" collapsed="1"/>
    <col min="4" max="16384" width="8.88671875" style="2" collapsed="1"/>
  </cols>
  <sheetData>
    <row r="1" spans="1:3" x14ac:dyDescent="0.3">
      <c r="A1" s="12" t="s">
        <v>0</v>
      </c>
      <c r="B1" s="79" t="s">
        <v>124</v>
      </c>
      <c r="C1" s="79" t="s">
        <v>125</v>
      </c>
    </row>
    <row r="2" spans="1:3" x14ac:dyDescent="0.3">
      <c r="A2" s="12">
        <v>1</v>
      </c>
      <c r="B2" s="12" t="str">
        <f ca="1">"s" &amp; AutoIncrement!B2&amp;AutoIncrement!A2&amp;"-23"&amp;TEXT(TODAY(),"mm")&amp;"001"</f>
        <v>sAB11-2311001</v>
      </c>
      <c r="C2" s="12" t="str">
        <f ca="1">"s" &amp; AutoIncrement!B2&amp;AutoIncrement!A2&amp;"-23"&amp;TEXT(TODAY(),"mm")&amp;"002"</f>
        <v>sAB11-2311002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BAB7-019C-433A-A788-027102F936EA}">
  <dimension ref="A1:C2"/>
  <sheetViews>
    <sheetView workbookViewId="0"/>
  </sheetViews>
  <sheetFormatPr defaultRowHeight="13.8" x14ac:dyDescent="0.3"/>
  <cols>
    <col min="1" max="1" width="5.77734375" style="2" customWidth="1" collapsed="1"/>
    <col min="2" max="3" width="20.77734375" style="2" customWidth="1" collapsed="1"/>
    <col min="4" max="16384" width="8.88671875" style="2" collapsed="1"/>
  </cols>
  <sheetData>
    <row r="1" spans="1:3" x14ac:dyDescent="0.3">
      <c r="A1" s="12" t="s">
        <v>0</v>
      </c>
      <c r="B1" s="79" t="s">
        <v>126</v>
      </c>
      <c r="C1" s="79" t="s">
        <v>127</v>
      </c>
    </row>
    <row r="2" spans="1:3" x14ac:dyDescent="0.3">
      <c r="A2" s="12">
        <v>1</v>
      </c>
      <c r="B2" s="12" t="str">
        <f ca="1">"p" &amp; AutoIncrement!C2&amp;AutoIncrement!A2&amp;"-23"&amp;TEXT(TODAY(),"mm")&amp;"001"</f>
        <v>pABs11-2311001</v>
      </c>
      <c r="C2" s="12" t="str">
        <f ca="1">"p" &amp; AutoIncrement!C2&amp;AutoIncrement!A2&amp;"-23"&amp;TEXT(TODAY(),"mm")&amp;"002"</f>
        <v>pABs11-2311002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D81D-C87E-4360-A071-AB53568FC756}">
  <dimension ref="A1:C2"/>
  <sheetViews>
    <sheetView workbookViewId="0"/>
  </sheetViews>
  <sheetFormatPr defaultRowHeight="13.8" x14ac:dyDescent="0.3"/>
  <cols>
    <col min="1" max="1" width="5.77734375" style="2" customWidth="1" collapsed="1"/>
    <col min="2" max="3" width="20.77734375" style="2" customWidth="1" collapsed="1"/>
    <col min="4" max="16384" width="8.88671875" style="2" collapsed="1"/>
  </cols>
  <sheetData>
    <row r="1" spans="1:3" x14ac:dyDescent="0.3">
      <c r="A1" s="12" t="s">
        <v>0</v>
      </c>
      <c r="B1" s="79" t="s">
        <v>124</v>
      </c>
      <c r="C1" s="79" t="s">
        <v>125</v>
      </c>
    </row>
    <row r="2" spans="1:3" x14ac:dyDescent="0.3">
      <c r="A2" s="12">
        <v>1</v>
      </c>
      <c r="B2" s="12" t="str">
        <f ca="1">"s" &amp; AutoIncrement!C2&amp;AutoIncrement!A2&amp;"-23"&amp;TEXT(TODAY(),"mm")&amp;"001"</f>
        <v>sABs11-2311001</v>
      </c>
      <c r="C2" s="12" t="str">
        <f ca="1">"s" &amp; AutoIncrement!C2&amp;AutoIncrement!A2&amp;"-23"&amp;TEXT(TODAY(),"mm")&amp;"002"</f>
        <v>sABs11-2311002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CBB-72CE-4CBB-B1D3-1C11D7C29537}">
  <dimension ref="A1:I5"/>
  <sheetViews>
    <sheetView zoomScale="90" zoomScaleNormal="90" workbookViewId="0">
      <selection activeCell="B1" sqref="B1"/>
    </sheetView>
  </sheetViews>
  <sheetFormatPr defaultRowHeight="13.8" x14ac:dyDescent="0.3"/>
  <cols>
    <col min="1" max="1" width="15.77734375" style="2" customWidth="1" collapsed="1"/>
    <col min="2" max="3" width="25.77734375" style="2" customWidth="1" collapsed="1"/>
    <col min="4" max="13" width="15.77734375" style="2" customWidth="1" collapsed="1"/>
    <col min="14" max="16384" width="8.88671875" style="2" collapsed="1"/>
  </cols>
  <sheetData>
    <row r="1" spans="1:9" x14ac:dyDescent="0.3">
      <c r="A1" s="12" t="s">
        <v>343</v>
      </c>
      <c r="B1" s="51" t="s">
        <v>25</v>
      </c>
      <c r="C1" s="12" t="s">
        <v>345</v>
      </c>
      <c r="D1" s="12" t="s">
        <v>269</v>
      </c>
      <c r="E1" s="12" t="s">
        <v>332</v>
      </c>
      <c r="F1" s="12" t="s">
        <v>357</v>
      </c>
      <c r="G1" s="12" t="s">
        <v>358</v>
      </c>
      <c r="H1" s="12" t="s">
        <v>359</v>
      </c>
      <c r="I1" s="12" t="s">
        <v>54</v>
      </c>
    </row>
    <row r="2" spans="1:9" x14ac:dyDescent="0.3">
      <c r="A2" s="12" t="s">
        <v>344</v>
      </c>
      <c r="B2" s="13" t="s">
        <v>191</v>
      </c>
      <c r="C2" s="13" t="s">
        <v>346</v>
      </c>
      <c r="D2" s="12" t="s">
        <v>193</v>
      </c>
      <c r="E2" s="12">
        <v>0.1</v>
      </c>
      <c r="F2" s="12" t="s">
        <v>350</v>
      </c>
      <c r="G2" s="12" t="s">
        <v>351</v>
      </c>
      <c r="H2" s="12" t="s">
        <v>352</v>
      </c>
      <c r="I2" s="12" t="s">
        <v>76</v>
      </c>
    </row>
    <row r="3" spans="1:9" x14ac:dyDescent="0.3">
      <c r="A3" s="12" t="s">
        <v>344</v>
      </c>
      <c r="B3" s="13" t="s">
        <v>27</v>
      </c>
      <c r="C3" s="13" t="s">
        <v>347</v>
      </c>
      <c r="D3" s="12" t="s">
        <v>194</v>
      </c>
      <c r="E3" s="12">
        <v>0.1</v>
      </c>
      <c r="F3" s="12" t="s">
        <v>353</v>
      </c>
      <c r="G3" s="12"/>
      <c r="H3" s="12" t="s">
        <v>354</v>
      </c>
      <c r="I3" s="12" t="s">
        <v>76</v>
      </c>
    </row>
    <row r="4" spans="1:9" x14ac:dyDescent="0.3">
      <c r="A4" s="12" t="s">
        <v>344</v>
      </c>
      <c r="B4" s="13" t="s">
        <v>28</v>
      </c>
      <c r="C4" s="13" t="s">
        <v>348</v>
      </c>
      <c r="D4" s="12" t="s">
        <v>195</v>
      </c>
      <c r="E4" s="12">
        <v>0.1</v>
      </c>
      <c r="F4" s="12" t="s">
        <v>353</v>
      </c>
      <c r="G4" s="12"/>
      <c r="H4" s="12" t="s">
        <v>355</v>
      </c>
      <c r="I4" s="12" t="s">
        <v>76</v>
      </c>
    </row>
    <row r="5" spans="1:9" x14ac:dyDescent="0.3">
      <c r="A5" s="12" t="s">
        <v>344</v>
      </c>
      <c r="B5" s="13" t="s">
        <v>29</v>
      </c>
      <c r="C5" s="13" t="s">
        <v>349</v>
      </c>
      <c r="D5" s="12" t="s">
        <v>270</v>
      </c>
      <c r="E5" s="12">
        <v>0.1</v>
      </c>
      <c r="F5" s="12" t="s">
        <v>353</v>
      </c>
      <c r="G5" s="12"/>
      <c r="H5" s="12" t="s">
        <v>356</v>
      </c>
      <c r="I5" s="12" t="s">
        <v>76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41C8-F416-4FB2-A3C3-2BAD30EA4977}">
  <dimension ref="A1:D7"/>
  <sheetViews>
    <sheetView workbookViewId="0">
      <selection activeCell="G27" sqref="G27"/>
    </sheetView>
  </sheetViews>
  <sheetFormatPr defaultRowHeight="13.8" x14ac:dyDescent="0.3"/>
  <cols>
    <col min="1" max="4" width="20.77734375" style="2" customWidth="1" collapsed="1"/>
    <col min="5" max="16384" width="8.88671875" style="2" collapsed="1"/>
  </cols>
  <sheetData>
    <row r="1" spans="1:4" x14ac:dyDescent="0.3">
      <c r="A1" s="12" t="s">
        <v>444</v>
      </c>
      <c r="B1" s="12" t="s">
        <v>445</v>
      </c>
      <c r="C1" s="12" t="s">
        <v>446</v>
      </c>
      <c r="D1" s="12" t="s">
        <v>447</v>
      </c>
    </row>
    <row r="2" spans="1:4" x14ac:dyDescent="0.3">
      <c r="A2" s="12">
        <v>500</v>
      </c>
      <c r="B2" s="27">
        <v>500</v>
      </c>
      <c r="C2" s="12" t="s">
        <v>455</v>
      </c>
      <c r="D2" s="12" t="s">
        <v>448</v>
      </c>
    </row>
    <row r="3" spans="1:4" x14ac:dyDescent="0.3">
      <c r="A3" s="27">
        <v>500</v>
      </c>
      <c r="B3" s="27">
        <v>500</v>
      </c>
      <c r="C3" s="12" t="s">
        <v>455</v>
      </c>
      <c r="D3" s="12" t="s">
        <v>449</v>
      </c>
    </row>
    <row r="4" spans="1:4" x14ac:dyDescent="0.3">
      <c r="A4" s="27">
        <v>500</v>
      </c>
      <c r="B4" s="27">
        <v>500</v>
      </c>
      <c r="C4" s="12" t="s">
        <v>455</v>
      </c>
      <c r="D4" s="12"/>
    </row>
    <row r="5" spans="1:4" x14ac:dyDescent="0.3">
      <c r="A5" s="12">
        <v>0</v>
      </c>
      <c r="B5" s="12">
        <v>1000</v>
      </c>
      <c r="C5" s="12" t="s">
        <v>455</v>
      </c>
      <c r="D5" s="12"/>
    </row>
    <row r="6" spans="1:4" x14ac:dyDescent="0.3">
      <c r="A6" s="12">
        <v>500</v>
      </c>
      <c r="B6" s="12">
        <v>500</v>
      </c>
      <c r="C6" s="12" t="s">
        <v>455</v>
      </c>
      <c r="D6" s="12"/>
    </row>
    <row r="7" spans="1:4" x14ac:dyDescent="0.3">
      <c r="A7" s="12">
        <v>1000</v>
      </c>
      <c r="B7" s="12">
        <v>0</v>
      </c>
      <c r="C7" s="12" t="s">
        <v>455</v>
      </c>
      <c r="D7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0F5A-5783-4133-896F-5E82CA2762D3}">
  <dimension ref="A1:C7"/>
  <sheetViews>
    <sheetView workbookViewId="0">
      <selection activeCell="C1" sqref="C1"/>
    </sheetView>
  </sheetViews>
  <sheetFormatPr defaultRowHeight="13.8" x14ac:dyDescent="0.3"/>
  <cols>
    <col min="1" max="3" width="20.77734375" style="2" customWidth="1" collapsed="1"/>
    <col min="4" max="16384" width="8.88671875" style="2" collapsed="1"/>
  </cols>
  <sheetData>
    <row r="1" spans="1:3" x14ac:dyDescent="0.3">
      <c r="A1" s="79" t="s">
        <v>450</v>
      </c>
      <c r="B1" s="79" t="s">
        <v>451</v>
      </c>
      <c r="C1" s="12" t="s">
        <v>447</v>
      </c>
    </row>
    <row r="2" spans="1:3" x14ac:dyDescent="0.3">
      <c r="A2" t="s">
        <v>454</v>
      </c>
      <c r="B2" t="s">
        <v>456</v>
      </c>
      <c r="C2" s="12" t="s">
        <v>452</v>
      </c>
    </row>
    <row r="3" spans="1:3" x14ac:dyDescent="0.3">
      <c r="A3" t="s">
        <v>454</v>
      </c>
      <c r="B3" t="s">
        <v>456</v>
      </c>
      <c r="C3" s="12" t="s">
        <v>453</v>
      </c>
    </row>
    <row r="4" spans="1:3" x14ac:dyDescent="0.3">
      <c r="A4" t="s">
        <v>454</v>
      </c>
      <c r="B4" t="s">
        <v>456</v>
      </c>
      <c r="C4" s="12"/>
    </row>
    <row r="5" spans="1:3" x14ac:dyDescent="0.3">
      <c r="A5" t="s">
        <v>454</v>
      </c>
      <c r="B5" t="s">
        <v>456</v>
      </c>
      <c r="C5" s="12"/>
    </row>
    <row r="6" spans="1:3" x14ac:dyDescent="0.3">
      <c r="A6" t="s">
        <v>454</v>
      </c>
      <c r="B6" t="s">
        <v>456</v>
      </c>
      <c r="C6" s="12"/>
    </row>
    <row r="7" spans="1:3" x14ac:dyDescent="0.3">
      <c r="A7" t="s">
        <v>454</v>
      </c>
      <c r="B7" t="s">
        <v>456</v>
      </c>
      <c r="C7" s="12"/>
    </row>
  </sheetData>
  <phoneticPr fontId="6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210D-873E-4EF1-A7F4-1304E8A4787B}">
  <dimension ref="A1:C7"/>
  <sheetViews>
    <sheetView workbookViewId="0">
      <selection sqref="A1:C1"/>
    </sheetView>
  </sheetViews>
  <sheetFormatPr defaultRowHeight="13.8" x14ac:dyDescent="0.3"/>
  <cols>
    <col min="1" max="3" width="20.77734375" style="10" customWidth="1" collapsed="1"/>
    <col min="4" max="16384" width="8.88671875" style="10" collapsed="1"/>
  </cols>
  <sheetData>
    <row r="1" spans="1:3" x14ac:dyDescent="0.3">
      <c r="A1" s="15" t="s">
        <v>444</v>
      </c>
      <c r="B1" s="15" t="s">
        <v>446</v>
      </c>
      <c r="C1" s="15" t="s">
        <v>447</v>
      </c>
    </row>
    <row r="2" spans="1:3" x14ac:dyDescent="0.3">
      <c r="A2" s="29">
        <v>100</v>
      </c>
      <c r="B2" s="15">
        <v>15</v>
      </c>
      <c r="C2" s="15" t="s">
        <v>448</v>
      </c>
    </row>
    <row r="3" spans="1:3" x14ac:dyDescent="0.3">
      <c r="A3" s="29">
        <v>100</v>
      </c>
      <c r="B3" s="15">
        <v>15</v>
      </c>
      <c r="C3" s="15" t="s">
        <v>449</v>
      </c>
    </row>
    <row r="4" spans="1:3" x14ac:dyDescent="0.3">
      <c r="A4" s="29">
        <v>100</v>
      </c>
      <c r="B4" s="15">
        <v>15</v>
      </c>
      <c r="C4" s="15"/>
    </row>
    <row r="5" spans="1:3" x14ac:dyDescent="0.3">
      <c r="A5" s="29">
        <v>100</v>
      </c>
      <c r="B5" s="15">
        <v>15</v>
      </c>
      <c r="C5" s="15"/>
    </row>
    <row r="6" spans="1:3" x14ac:dyDescent="0.3">
      <c r="A6" s="29">
        <v>100</v>
      </c>
      <c r="B6" s="15">
        <v>15</v>
      </c>
      <c r="C6" s="15"/>
    </row>
    <row r="7" spans="1:3" x14ac:dyDescent="0.3">
      <c r="A7" s="29">
        <v>100</v>
      </c>
      <c r="B7" s="15">
        <v>15</v>
      </c>
      <c r="C7" s="1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786D-476A-42DB-99D0-5D0B57E43076}">
  <dimension ref="A1:B7"/>
  <sheetViews>
    <sheetView workbookViewId="0">
      <selection sqref="A1:B1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12" t="s">
        <v>450</v>
      </c>
      <c r="B1" s="12" t="s">
        <v>447</v>
      </c>
    </row>
    <row r="2" spans="1:2" x14ac:dyDescent="0.3">
      <c r="A2" t="s">
        <v>496</v>
      </c>
      <c r="B2" s="12" t="s">
        <v>452</v>
      </c>
    </row>
    <row r="3" spans="1:2" x14ac:dyDescent="0.3">
      <c r="A3" t="s">
        <v>496</v>
      </c>
      <c r="B3" s="12" t="s">
        <v>453</v>
      </c>
    </row>
    <row r="4" spans="1:2" x14ac:dyDescent="0.3">
      <c r="A4" t="s">
        <v>496</v>
      </c>
      <c r="B4" s="12"/>
    </row>
    <row r="5" spans="1:2" x14ac:dyDescent="0.3">
      <c r="A5" t="s">
        <v>496</v>
      </c>
      <c r="B5" s="12"/>
    </row>
    <row r="6" spans="1:2" x14ac:dyDescent="0.3">
      <c r="A6" t="s">
        <v>496</v>
      </c>
      <c r="B6" s="12"/>
    </row>
    <row r="7" spans="1:2" x14ac:dyDescent="0.3">
      <c r="A7" t="s">
        <v>496</v>
      </c>
      <c r="B7" s="1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56FA-011D-427B-894C-D9B962F8DF72}">
  <dimension ref="A1:D7"/>
  <sheetViews>
    <sheetView workbookViewId="0">
      <selection activeCell="D2" sqref="D2"/>
    </sheetView>
  </sheetViews>
  <sheetFormatPr defaultRowHeight="13.8" x14ac:dyDescent="0.3"/>
  <cols>
    <col min="1" max="1" width="5.77734375" style="2" customWidth="1" collapsed="1"/>
    <col min="2" max="2" width="25.77734375" style="2" customWidth="1" collapsed="1"/>
    <col min="3" max="3" width="15.77734375" style="2" customWidth="1" collapsed="1"/>
    <col min="4" max="4" width="25.77734375" style="2" customWidth="1" collapsed="1"/>
    <col min="5" max="16384" width="8.88671875" style="2" collapsed="1"/>
  </cols>
  <sheetData>
    <row r="1" spans="1:4" x14ac:dyDescent="0.3">
      <c r="A1" s="12" t="s">
        <v>0</v>
      </c>
      <c r="B1" s="67" t="s">
        <v>25</v>
      </c>
      <c r="C1" s="12" t="s">
        <v>148</v>
      </c>
      <c r="D1" s="80" t="s">
        <v>149</v>
      </c>
    </row>
    <row r="2" spans="1:4" x14ac:dyDescent="0.3">
      <c r="A2" s="12">
        <v>1</v>
      </c>
      <c r="B2" s="21" t="str">
        <f>'TC4-Contract Parts Info'!C2</f>
        <v>scenario1220230504001</v>
      </c>
      <c r="C2" s="30">
        <v>1000</v>
      </c>
      <c r="D2" s="22" t="str">
        <f ca="1">"rc"&amp;AutoIncrement!B2&amp;AutoIncrement!A2&amp;"-23"&amp;TEXT(TODAY(),"mm")&amp;"001-01"</f>
        <v>rcAB11-2311001-01</v>
      </c>
    </row>
    <row r="3" spans="1:4" x14ac:dyDescent="0.3">
      <c r="A3" s="12">
        <v>2</v>
      </c>
      <c r="B3" s="21" t="str">
        <f>'TC4-Contract Parts Info'!C3</f>
        <v>scenario1220230504002</v>
      </c>
      <c r="C3" s="30">
        <v>1000</v>
      </c>
    </row>
    <row r="4" spans="1:4" x14ac:dyDescent="0.3">
      <c r="A4" s="12">
        <v>3</v>
      </c>
      <c r="B4" s="21" t="str">
        <f>'TC4-Contract Parts Info'!C4</f>
        <v>scenario1220230504003</v>
      </c>
      <c r="C4" s="30">
        <v>1000</v>
      </c>
    </row>
    <row r="5" spans="1:4" x14ac:dyDescent="0.3">
      <c r="A5" s="12">
        <v>4</v>
      </c>
      <c r="B5" s="21" t="str">
        <f>'TC4-Contract Parts Info'!C5</f>
        <v>scenario1220230504004</v>
      </c>
      <c r="C5" s="30">
        <v>800</v>
      </c>
      <c r="D5" s="9"/>
    </row>
    <row r="6" spans="1:4" x14ac:dyDescent="0.3">
      <c r="A6" s="12">
        <v>5</v>
      </c>
      <c r="B6" s="21" t="str">
        <f>'TC4-Contract Parts Info'!C6</f>
        <v>scenario1220230504005</v>
      </c>
      <c r="C6" s="30">
        <v>800</v>
      </c>
    </row>
    <row r="7" spans="1:4" x14ac:dyDescent="0.3">
      <c r="A7" s="12">
        <v>6</v>
      </c>
      <c r="B7" s="21" t="str">
        <f>'TC4-Contract Parts Info'!C7</f>
        <v>scenario1220230504006</v>
      </c>
      <c r="C7" s="30">
        <v>1000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074-409B-4058-BBB4-4A7D9BAEB68A}">
  <dimension ref="A1:L3"/>
  <sheetViews>
    <sheetView workbookViewId="0">
      <selection activeCell="C1" sqref="C1:K1"/>
    </sheetView>
  </sheetViews>
  <sheetFormatPr defaultRowHeight="13.8" x14ac:dyDescent="0.3"/>
  <cols>
    <col min="1" max="1" width="15.77734375" style="2" customWidth="1" collapsed="1"/>
    <col min="2" max="2" width="25.77734375" style="2" customWidth="1" collapsed="1"/>
    <col min="3" max="12" width="15.77734375" style="2" customWidth="1" collapsed="1"/>
    <col min="13" max="16384" width="8.88671875" style="2" collapsed="1"/>
  </cols>
  <sheetData>
    <row r="1" spans="1:12" x14ac:dyDescent="0.3">
      <c r="A1" s="92" t="s">
        <v>150</v>
      </c>
      <c r="B1" s="67" t="s">
        <v>155</v>
      </c>
      <c r="C1" s="51" t="s">
        <v>431</v>
      </c>
      <c r="D1" s="51" t="s">
        <v>432</v>
      </c>
      <c r="E1" s="51" t="s">
        <v>433</v>
      </c>
      <c r="F1" s="51" t="s">
        <v>434</v>
      </c>
      <c r="G1" s="51" t="s">
        <v>269</v>
      </c>
      <c r="H1" s="51" t="s">
        <v>132</v>
      </c>
      <c r="I1" s="51" t="s">
        <v>435</v>
      </c>
      <c r="J1" s="51" t="s">
        <v>436</v>
      </c>
      <c r="K1" s="51" t="s">
        <v>437</v>
      </c>
      <c r="L1" s="51" t="s">
        <v>438</v>
      </c>
    </row>
    <row r="2" spans="1:12" x14ac:dyDescent="0.3">
      <c r="A2" s="12"/>
      <c r="B2" s="12" t="str">
        <f>'TC4-Contract Parts Info'!B5</f>
        <v>SG-TTVP:20230504-004</v>
      </c>
      <c r="C2" s="12"/>
      <c r="D2" s="12" t="s">
        <v>81</v>
      </c>
      <c r="E2" s="12"/>
      <c r="F2" s="12"/>
      <c r="G2" s="12" t="s">
        <v>270</v>
      </c>
      <c r="H2" s="12">
        <v>5</v>
      </c>
      <c r="I2" s="12">
        <v>10</v>
      </c>
      <c r="J2" s="31">
        <v>1000</v>
      </c>
      <c r="K2" s="31">
        <v>1000</v>
      </c>
      <c r="L2" s="12">
        <v>800</v>
      </c>
    </row>
    <row r="3" spans="1:12" x14ac:dyDescent="0.3">
      <c r="A3" s="12"/>
      <c r="B3" s="12" t="str">
        <f>'TC4-Contract Parts Info'!B6</f>
        <v>SG-TTVP:20230504-005</v>
      </c>
      <c r="C3" s="12"/>
      <c r="D3" s="12" t="s">
        <v>81</v>
      </c>
      <c r="E3" s="12"/>
      <c r="F3" s="12"/>
      <c r="G3" s="12" t="s">
        <v>195</v>
      </c>
      <c r="H3" s="12">
        <v>10</v>
      </c>
      <c r="I3" s="12">
        <v>10</v>
      </c>
      <c r="J3" s="31">
        <v>1000</v>
      </c>
      <c r="K3" s="31">
        <v>1000</v>
      </c>
      <c r="L3" s="12">
        <v>800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E21B-71C7-4EA8-A0BD-072074C2B2C3}">
  <dimension ref="A1:L3"/>
  <sheetViews>
    <sheetView workbookViewId="0">
      <selection activeCell="B28" sqref="B28"/>
    </sheetView>
  </sheetViews>
  <sheetFormatPr defaultRowHeight="13.8" x14ac:dyDescent="0.3"/>
  <cols>
    <col min="1" max="2" width="25.77734375" style="2" customWidth="1" collapsed="1"/>
    <col min="3" max="5" width="15.77734375" style="2" customWidth="1" collapsed="1"/>
    <col min="6" max="6" width="25.77734375" style="2" customWidth="1" collapsed="1"/>
    <col min="7" max="12" width="15.77734375" style="2" customWidth="1" collapsed="1"/>
    <col min="13" max="16384" width="8.88671875" style="2" collapsed="1"/>
  </cols>
  <sheetData>
    <row r="1" spans="1:12" x14ac:dyDescent="0.3">
      <c r="A1" s="67" t="s">
        <v>150</v>
      </c>
      <c r="B1" s="67" t="s">
        <v>151</v>
      </c>
      <c r="C1" s="51" t="s">
        <v>431</v>
      </c>
      <c r="D1" s="51" t="s">
        <v>432</v>
      </c>
      <c r="E1" s="51" t="s">
        <v>433</v>
      </c>
      <c r="F1" s="67" t="s">
        <v>434</v>
      </c>
      <c r="G1" s="51" t="s">
        <v>269</v>
      </c>
      <c r="H1" s="51" t="s">
        <v>132</v>
      </c>
      <c r="I1" s="51" t="s">
        <v>435</v>
      </c>
      <c r="J1" s="51" t="s">
        <v>436</v>
      </c>
      <c r="K1" s="51" t="s">
        <v>437</v>
      </c>
      <c r="L1" s="67" t="s">
        <v>438</v>
      </c>
    </row>
    <row r="2" spans="1:12" x14ac:dyDescent="0.3">
      <c r="A2" s="24" t="str">
        <f>'TC4-Contract Parts Info'!C5</f>
        <v>scenario1220230504004</v>
      </c>
      <c r="B2" s="12" t="str">
        <f>'TC3-Req to Parts Master'!B5</f>
        <v>VN-TTVN-CUS:20230504-004</v>
      </c>
      <c r="C2" s="12" t="s">
        <v>167</v>
      </c>
      <c r="D2" s="12" t="s">
        <v>81</v>
      </c>
      <c r="E2" s="12"/>
      <c r="F2" s="12" t="s">
        <v>28</v>
      </c>
      <c r="G2" s="12" t="s">
        <v>270</v>
      </c>
      <c r="H2" s="12">
        <v>5</v>
      </c>
      <c r="I2" s="12">
        <v>10</v>
      </c>
      <c r="J2" s="31">
        <v>1000</v>
      </c>
      <c r="K2" s="31">
        <v>1000</v>
      </c>
      <c r="L2" s="30">
        <f>'TC18-Forecast Change'!C5</f>
        <v>800</v>
      </c>
    </row>
    <row r="3" spans="1:12" x14ac:dyDescent="0.3">
      <c r="A3" s="24" t="str">
        <f>'TC4-Contract Parts Info'!C6</f>
        <v>scenario1220230504005</v>
      </c>
      <c r="B3" s="12" t="str">
        <f>'TC3-Req to Parts Master'!B6</f>
        <v>VN-TTVN-CUS:20230504-005</v>
      </c>
      <c r="C3" s="12" t="s">
        <v>168</v>
      </c>
      <c r="D3" s="12" t="s">
        <v>81</v>
      </c>
      <c r="E3" s="12"/>
      <c r="F3" s="12" t="s">
        <v>268</v>
      </c>
      <c r="G3" s="12" t="s">
        <v>195</v>
      </c>
      <c r="H3" s="12">
        <v>10</v>
      </c>
      <c r="I3" s="12">
        <v>10</v>
      </c>
      <c r="J3" s="31">
        <v>1000</v>
      </c>
      <c r="K3" s="31">
        <v>1000</v>
      </c>
      <c r="L3" s="30">
        <f>'TC18-Forecast Change'!C6</f>
        <v>800</v>
      </c>
    </row>
  </sheetData>
  <phoneticPr fontId="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06B4-DBD7-428C-B17D-CD86318E0FD8}">
  <dimension ref="A1:K3"/>
  <sheetViews>
    <sheetView workbookViewId="0">
      <selection activeCell="I32" sqref="I32"/>
    </sheetView>
  </sheetViews>
  <sheetFormatPr defaultRowHeight="13.8" x14ac:dyDescent="0.3"/>
  <cols>
    <col min="1" max="2" width="25.77734375" style="2" customWidth="1" collapsed="1"/>
    <col min="3" max="11" width="15.77734375" style="2" customWidth="1" collapsed="1"/>
    <col min="12" max="16384" width="8.88671875" style="2" collapsed="1"/>
  </cols>
  <sheetData>
    <row r="1" spans="1:11" x14ac:dyDescent="0.3">
      <c r="A1" s="92" t="s">
        <v>150</v>
      </c>
      <c r="B1" s="67" t="s">
        <v>155</v>
      </c>
      <c r="C1" s="51" t="s">
        <v>431</v>
      </c>
      <c r="D1" s="51" t="s">
        <v>433</v>
      </c>
      <c r="E1" s="51" t="s">
        <v>434</v>
      </c>
      <c r="F1" s="51" t="s">
        <v>269</v>
      </c>
      <c r="G1" s="51" t="s">
        <v>132</v>
      </c>
      <c r="H1" s="51" t="s">
        <v>435</v>
      </c>
      <c r="I1" s="51" t="s">
        <v>436</v>
      </c>
      <c r="J1" s="51" t="s">
        <v>437</v>
      </c>
      <c r="K1" s="67" t="s">
        <v>438</v>
      </c>
    </row>
    <row r="2" spans="1:11" x14ac:dyDescent="0.3">
      <c r="A2" s="24" t="str">
        <f>'TC4-Contract Parts Info'!C5</f>
        <v>scenario1220230504004</v>
      </c>
      <c r="B2" s="12" t="str">
        <f>'TC7-Contract Parts Info'!B5</f>
        <v>SG-BAFCO:20230504-004</v>
      </c>
      <c r="C2" s="12"/>
      <c r="D2" s="12"/>
      <c r="E2" s="12"/>
      <c r="F2" s="12" t="s">
        <v>270</v>
      </c>
      <c r="G2" s="12">
        <v>5</v>
      </c>
      <c r="H2" s="12">
        <v>10</v>
      </c>
      <c r="I2" s="31">
        <v>1000</v>
      </c>
      <c r="J2" s="31">
        <v>1000</v>
      </c>
      <c r="K2" s="30">
        <f>'TC18-Forecast Change'!C5</f>
        <v>800</v>
      </c>
    </row>
    <row r="3" spans="1:11" x14ac:dyDescent="0.3">
      <c r="A3" s="24" t="str">
        <f>'TC4-Contract Parts Info'!C6</f>
        <v>scenario1220230504005</v>
      </c>
      <c r="B3" s="12" t="str">
        <f>'TC7-Contract Parts Info'!B6</f>
        <v>SG-BAFCO:20230504-005</v>
      </c>
      <c r="C3" s="12"/>
      <c r="D3" s="12"/>
      <c r="E3" s="12"/>
      <c r="F3" s="12" t="s">
        <v>195</v>
      </c>
      <c r="G3" s="12">
        <v>10</v>
      </c>
      <c r="H3" s="12">
        <v>10</v>
      </c>
      <c r="I3" s="31">
        <v>1000</v>
      </c>
      <c r="J3" s="31">
        <v>1000</v>
      </c>
      <c r="K3" s="30">
        <f>'TC18-Forecast Change'!C6</f>
        <v>800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ADA-1D66-4294-B397-0B2BF2F89F68}">
  <dimension ref="A1:H7"/>
  <sheetViews>
    <sheetView workbookViewId="0">
      <selection activeCell="H2" sqref="H2"/>
    </sheetView>
  </sheetViews>
  <sheetFormatPr defaultRowHeight="13.8" x14ac:dyDescent="0.3"/>
  <cols>
    <col min="1" max="2" width="25.77734375" style="2" customWidth="1" collapsed="1"/>
    <col min="3" max="8" width="15.77734375" style="2" customWidth="1" collapsed="1"/>
    <col min="9" max="16384" width="8.88671875" style="2" collapsed="1"/>
  </cols>
  <sheetData>
    <row r="1" spans="1:8" x14ac:dyDescent="0.3">
      <c r="A1" s="67" t="s">
        <v>128</v>
      </c>
      <c r="B1" s="67" t="s">
        <v>439</v>
      </c>
      <c r="C1" s="51" t="s">
        <v>129</v>
      </c>
      <c r="D1" s="67" t="s">
        <v>157</v>
      </c>
      <c r="E1" s="51" t="s">
        <v>158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2" t="str">
        <f>'TC3-Req to Parts Master'!B2</f>
        <v>VN-TTVN-CUS:20230504-001</v>
      </c>
      <c r="C2" s="22" t="s">
        <v>164</v>
      </c>
      <c r="D2" s="22" t="str">
        <f ca="1">'TC14-BU SO'!B2</f>
        <v>sAB11-2311001</v>
      </c>
      <c r="E2" s="12" t="s">
        <v>81</v>
      </c>
      <c r="F2" s="12">
        <v>5</v>
      </c>
      <c r="G2" s="12">
        <v>10</v>
      </c>
      <c r="H2" s="32">
        <f>'TC18-Forecast Change'!C2</f>
        <v>1000</v>
      </c>
    </row>
    <row r="3" spans="1:8" x14ac:dyDescent="0.3">
      <c r="A3" s="21" t="str">
        <f>'TC4-Contract Parts Info'!C3</f>
        <v>scenario1220230504002</v>
      </c>
      <c r="B3" s="12" t="str">
        <f>'TC3-Req to Parts Master'!B3</f>
        <v>VN-TTVN-CUS:20230504-002</v>
      </c>
      <c r="C3" s="22" t="s">
        <v>165</v>
      </c>
      <c r="D3" s="22" t="str">
        <f ca="1">'TC14-BU SO'!B2</f>
        <v>sAB11-2311001</v>
      </c>
      <c r="E3" s="12" t="s">
        <v>81</v>
      </c>
      <c r="F3" s="12">
        <v>5</v>
      </c>
      <c r="G3" s="12">
        <v>10</v>
      </c>
      <c r="H3" s="32">
        <f>'TC18-Forecast Change'!C3</f>
        <v>1000</v>
      </c>
    </row>
    <row r="4" spans="1:8" x14ac:dyDescent="0.3">
      <c r="A4" s="21" t="str">
        <f>'TC4-Contract Parts Info'!C4</f>
        <v>scenario1220230504003</v>
      </c>
      <c r="B4" s="12" t="str">
        <f>'TC3-Req to Parts Master'!B4</f>
        <v>VN-TTVN-CUS:20230504-003</v>
      </c>
      <c r="C4" s="22" t="s">
        <v>166</v>
      </c>
      <c r="D4" s="22" t="str">
        <f ca="1">'TC14-BU SO'!B2</f>
        <v>sAB11-2311001</v>
      </c>
      <c r="E4" s="12" t="s">
        <v>81</v>
      </c>
      <c r="F4" s="12">
        <v>5</v>
      </c>
      <c r="G4" s="12">
        <v>10</v>
      </c>
      <c r="H4" s="32">
        <f>'TC18-Forecast Change'!C4</f>
        <v>1000</v>
      </c>
    </row>
    <row r="5" spans="1:8" x14ac:dyDescent="0.3">
      <c r="A5" s="21" t="str">
        <f>'TC4-Contract Parts Info'!C5</f>
        <v>scenario1220230504004</v>
      </c>
      <c r="B5" s="12" t="str">
        <f>'TC3-Req to Parts Master'!B5</f>
        <v>VN-TTVN-CUS:20230504-004</v>
      </c>
      <c r="C5" s="22" t="s">
        <v>167</v>
      </c>
      <c r="D5" s="22" t="str">
        <f ca="1">'TC14-BU SO'!B2</f>
        <v>sAB11-2311001</v>
      </c>
      <c r="E5" s="12" t="s">
        <v>81</v>
      </c>
      <c r="F5" s="12">
        <v>5</v>
      </c>
      <c r="G5" s="12">
        <v>10</v>
      </c>
      <c r="H5" s="32">
        <f>'TC18-Forecast Change'!C5</f>
        <v>800</v>
      </c>
    </row>
    <row r="6" spans="1:8" x14ac:dyDescent="0.3">
      <c r="A6" s="21" t="str">
        <f>'TC4-Contract Parts Info'!C6</f>
        <v>scenario1220230504005</v>
      </c>
      <c r="B6" s="12" t="str">
        <f>'TC3-Req to Parts Master'!B6</f>
        <v>VN-TTVN-CUS:20230504-005</v>
      </c>
      <c r="C6" s="22" t="s">
        <v>168</v>
      </c>
      <c r="D6" s="22" t="str">
        <f ca="1">'TC14-BU SO'!B2</f>
        <v>sAB11-2311001</v>
      </c>
      <c r="E6" s="12" t="s">
        <v>81</v>
      </c>
      <c r="F6" s="12">
        <v>10</v>
      </c>
      <c r="G6" s="12">
        <v>10</v>
      </c>
      <c r="H6" s="32">
        <f>'TC18-Forecast Change'!C6</f>
        <v>800</v>
      </c>
    </row>
    <row r="7" spans="1:8" x14ac:dyDescent="0.3">
      <c r="A7" s="21" t="str">
        <f>'TC4-Contract Parts Info'!C7</f>
        <v>scenario1220230504006</v>
      </c>
      <c r="B7" s="12" t="str">
        <f>'TC3-Req to Parts Master'!B7</f>
        <v>VN-TTVN-CUS:20230504-006</v>
      </c>
      <c r="C7" s="22" t="s">
        <v>169</v>
      </c>
      <c r="D7" s="22" t="str">
        <f ca="1">'TC14-BU SO'!B2</f>
        <v>sAB11-2311001</v>
      </c>
      <c r="E7" s="12" t="s">
        <v>81</v>
      </c>
      <c r="F7" s="12">
        <v>10</v>
      </c>
      <c r="G7" s="12">
        <v>10</v>
      </c>
      <c r="H7" s="32">
        <f>'TC18-Forecast Change'!C7</f>
        <v>1000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645B-AA5C-4D86-92F7-10E7C2805ED2}">
  <dimension ref="A1:H7"/>
  <sheetViews>
    <sheetView workbookViewId="0">
      <selection activeCell="A2" sqref="A2:A7"/>
    </sheetView>
  </sheetViews>
  <sheetFormatPr defaultRowHeight="13.8" x14ac:dyDescent="0.3"/>
  <cols>
    <col min="1" max="2" width="25.77734375" style="2" customWidth="1" collapsed="1"/>
    <col min="3" max="10" width="15.77734375" style="2" customWidth="1" collapsed="1"/>
    <col min="11" max="16384" width="8.88671875" style="2" collapsed="1"/>
  </cols>
  <sheetData>
    <row r="1" spans="1:8" x14ac:dyDescent="0.3">
      <c r="A1" s="67" t="s">
        <v>128</v>
      </c>
      <c r="B1" s="67" t="s">
        <v>170</v>
      </c>
      <c r="C1" s="51" t="s">
        <v>129</v>
      </c>
      <c r="D1" s="67" t="s">
        <v>130</v>
      </c>
      <c r="E1" s="51" t="s">
        <v>131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 t="s">
        <v>164</v>
      </c>
      <c r="D2" s="22" t="str">
        <f ca="1">'TC11-Customer CO'!B2</f>
        <v>cAB11-2311001</v>
      </c>
      <c r="E2" s="12" t="s">
        <v>34</v>
      </c>
      <c r="F2" s="12">
        <v>5</v>
      </c>
      <c r="G2" s="12">
        <v>10</v>
      </c>
      <c r="H2" s="32">
        <f>'TC18-Forecast Change'!C2</f>
        <v>1000</v>
      </c>
    </row>
    <row r="3" spans="1:8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 t="s">
        <v>165</v>
      </c>
      <c r="D3" s="22" t="str">
        <f ca="1">'TC11-Customer CO'!B2</f>
        <v>cAB11-2311001</v>
      </c>
      <c r="E3" s="12" t="s">
        <v>34</v>
      </c>
      <c r="F3" s="12">
        <v>5</v>
      </c>
      <c r="G3" s="12">
        <v>10</v>
      </c>
      <c r="H3" s="32">
        <f>'TC18-Forecast Change'!C3</f>
        <v>1000</v>
      </c>
    </row>
    <row r="4" spans="1:8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 t="s">
        <v>166</v>
      </c>
      <c r="D4" s="22" t="str">
        <f ca="1">'TC11-Customer CO'!B2</f>
        <v>cAB11-2311001</v>
      </c>
      <c r="E4" s="12" t="s">
        <v>34</v>
      </c>
      <c r="F4" s="12">
        <v>5</v>
      </c>
      <c r="G4" s="12">
        <v>10</v>
      </c>
      <c r="H4" s="32">
        <f>'TC18-Forecast Change'!C4</f>
        <v>1000</v>
      </c>
    </row>
    <row r="5" spans="1:8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 t="s">
        <v>167</v>
      </c>
      <c r="D5" s="22" t="str">
        <f ca="1">'TC11-Customer CO'!B2</f>
        <v>cAB11-2311001</v>
      </c>
      <c r="E5" s="12" t="s">
        <v>34</v>
      </c>
      <c r="F5" s="12">
        <v>5</v>
      </c>
      <c r="G5" s="12">
        <v>10</v>
      </c>
      <c r="H5" s="32">
        <f>'TC18-Forecast Change'!C5</f>
        <v>800</v>
      </c>
    </row>
    <row r="6" spans="1:8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 t="s">
        <v>168</v>
      </c>
      <c r="D6" s="22" t="str">
        <f ca="1">'TC11-Customer CO'!B2</f>
        <v>cAB11-2311001</v>
      </c>
      <c r="E6" s="12" t="s">
        <v>34</v>
      </c>
      <c r="F6" s="12">
        <v>10</v>
      </c>
      <c r="G6" s="12">
        <v>10</v>
      </c>
      <c r="H6" s="32">
        <f>'TC18-Forecast Change'!C6</f>
        <v>800</v>
      </c>
    </row>
    <row r="7" spans="1:8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 t="s">
        <v>169</v>
      </c>
      <c r="D7" s="22" t="str">
        <f ca="1">'TC11-Customer CO'!B2</f>
        <v>cAB11-2311001</v>
      </c>
      <c r="E7" s="12" t="s">
        <v>34</v>
      </c>
      <c r="F7" s="12">
        <v>10</v>
      </c>
      <c r="G7" s="12">
        <v>10</v>
      </c>
      <c r="H7" s="32">
        <f>'TC18-Forecast Change'!C7</f>
        <v>1000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C8B8-8C7D-4890-B23F-D42A4760DD88}">
  <dimension ref="A1:L5"/>
  <sheetViews>
    <sheetView zoomScale="90" zoomScaleNormal="90" workbookViewId="0">
      <selection activeCell="C28" sqref="C28"/>
    </sheetView>
  </sheetViews>
  <sheetFormatPr defaultRowHeight="13.8" x14ac:dyDescent="0.3"/>
  <cols>
    <col min="1" max="1" width="15.77734375" style="2" customWidth="1" collapsed="1"/>
    <col min="2" max="4" width="25.77734375" style="2" customWidth="1" collapsed="1"/>
    <col min="5" max="9" width="15.77734375" style="2" customWidth="1" collapsed="1"/>
    <col min="10" max="10" width="25.77734375" style="2" customWidth="1" collapsed="1"/>
    <col min="11" max="16" width="15.77734375" style="2" customWidth="1" collapsed="1"/>
    <col min="17" max="16384" width="8.88671875" style="2" collapsed="1"/>
  </cols>
  <sheetData>
    <row r="1" spans="1:12" x14ac:dyDescent="0.3">
      <c r="A1" s="12" t="s">
        <v>343</v>
      </c>
      <c r="B1" s="51" t="s">
        <v>360</v>
      </c>
      <c r="C1" s="67" t="s">
        <v>25</v>
      </c>
      <c r="D1" s="12" t="s">
        <v>361</v>
      </c>
      <c r="E1" s="12" t="s">
        <v>366</v>
      </c>
      <c r="F1" s="12" t="s">
        <v>367</v>
      </c>
      <c r="G1" s="12" t="s">
        <v>368</v>
      </c>
      <c r="H1" s="12" t="s">
        <v>269</v>
      </c>
      <c r="I1" s="12" t="s">
        <v>381</v>
      </c>
      <c r="J1" s="12" t="s">
        <v>382</v>
      </c>
      <c r="K1" s="12" t="s">
        <v>380</v>
      </c>
      <c r="L1" s="12" t="s">
        <v>54</v>
      </c>
    </row>
    <row r="2" spans="1:12" x14ac:dyDescent="0.3">
      <c r="A2" s="12" t="s">
        <v>344</v>
      </c>
      <c r="B2" s="12" t="s">
        <v>160</v>
      </c>
      <c r="C2" s="13" t="str">
        <f>'TC1'!B2</f>
        <v>scenario1220230504001</v>
      </c>
      <c r="D2" s="13" t="s">
        <v>362</v>
      </c>
      <c r="E2" s="13" t="s">
        <v>369</v>
      </c>
      <c r="F2" s="13" t="s">
        <v>164</v>
      </c>
      <c r="G2" s="13" t="s">
        <v>370</v>
      </c>
      <c r="H2" s="12" t="s">
        <v>193</v>
      </c>
      <c r="I2" s="12" t="s">
        <v>377</v>
      </c>
      <c r="J2" s="12"/>
      <c r="K2" s="12"/>
      <c r="L2" s="12" t="s">
        <v>76</v>
      </c>
    </row>
    <row r="3" spans="1:12" x14ac:dyDescent="0.3">
      <c r="A3" s="12" t="s">
        <v>344</v>
      </c>
      <c r="B3" s="12" t="s">
        <v>161</v>
      </c>
      <c r="C3" s="13" t="str">
        <f>'TC1'!B3</f>
        <v>scenario1220230504002</v>
      </c>
      <c r="D3" s="13" t="s">
        <v>363</v>
      </c>
      <c r="E3" s="13" t="s">
        <v>371</v>
      </c>
      <c r="F3" s="13" t="s">
        <v>165</v>
      </c>
      <c r="G3" s="13" t="s">
        <v>372</v>
      </c>
      <c r="H3" s="12" t="s">
        <v>194</v>
      </c>
      <c r="I3" s="12" t="s">
        <v>377</v>
      </c>
      <c r="J3" s="12"/>
      <c r="K3" s="12"/>
      <c r="L3" s="12" t="s">
        <v>76</v>
      </c>
    </row>
    <row r="4" spans="1:12" x14ac:dyDescent="0.3">
      <c r="A4" s="12" t="s">
        <v>344</v>
      </c>
      <c r="B4" s="12" t="s">
        <v>162</v>
      </c>
      <c r="C4" s="13" t="str">
        <f>'TC1'!B4</f>
        <v>scenario1220230504003</v>
      </c>
      <c r="D4" s="13" t="s">
        <v>364</v>
      </c>
      <c r="E4" s="13" t="s">
        <v>373</v>
      </c>
      <c r="F4" s="13" t="s">
        <v>166</v>
      </c>
      <c r="G4" s="13" t="s">
        <v>374</v>
      </c>
      <c r="H4" s="12" t="s">
        <v>195</v>
      </c>
      <c r="I4" s="12" t="s">
        <v>378</v>
      </c>
      <c r="J4" s="12" t="s">
        <v>153</v>
      </c>
      <c r="K4" s="12" t="s">
        <v>379</v>
      </c>
      <c r="L4" s="12" t="s">
        <v>76</v>
      </c>
    </row>
    <row r="5" spans="1:12" x14ac:dyDescent="0.3">
      <c r="A5" s="12" t="s">
        <v>344</v>
      </c>
      <c r="B5" s="12" t="s">
        <v>153</v>
      </c>
      <c r="C5" s="13" t="str">
        <f>'TC1'!B5</f>
        <v>scenario1220230504004</v>
      </c>
      <c r="D5" s="13" t="s">
        <v>365</v>
      </c>
      <c r="E5" s="13" t="s">
        <v>375</v>
      </c>
      <c r="F5" s="13" t="s">
        <v>167</v>
      </c>
      <c r="G5" s="13" t="s">
        <v>376</v>
      </c>
      <c r="H5" s="12" t="s">
        <v>270</v>
      </c>
      <c r="I5" s="12" t="s">
        <v>378</v>
      </c>
      <c r="J5" s="12" t="s">
        <v>162</v>
      </c>
      <c r="K5" s="12" t="s">
        <v>379</v>
      </c>
      <c r="L5" s="12" t="s">
        <v>76</v>
      </c>
    </row>
  </sheetData>
  <phoneticPr fontId="6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444C-5B70-4EF5-BD9F-454F98A7A869}">
  <dimension ref="A1:H7"/>
  <sheetViews>
    <sheetView workbookViewId="0">
      <selection activeCell="A2" sqref="A2:A7"/>
    </sheetView>
  </sheetViews>
  <sheetFormatPr defaultRowHeight="13.8" x14ac:dyDescent="0.3"/>
  <cols>
    <col min="1" max="2" width="25.77734375" style="2" customWidth="1" collapsed="1"/>
    <col min="3" max="10" width="15.77734375" style="2" customWidth="1" collapsed="1"/>
    <col min="11" max="16384" width="8.88671875" style="2" collapsed="1"/>
  </cols>
  <sheetData>
    <row r="1" spans="1:8" x14ac:dyDescent="0.3">
      <c r="A1" s="67" t="s">
        <v>128</v>
      </c>
      <c r="B1" s="67" t="s">
        <v>171</v>
      </c>
      <c r="C1" s="51" t="s">
        <v>129</v>
      </c>
      <c r="D1" s="67" t="s">
        <v>157</v>
      </c>
      <c r="E1" s="51" t="s">
        <v>158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/>
      <c r="D2" s="22" t="str">
        <f ca="1">'TC14-BU SO'!B2</f>
        <v>sAB11-2311001</v>
      </c>
      <c r="E2" s="12" t="s">
        <v>81</v>
      </c>
      <c r="F2" s="12">
        <v>5</v>
      </c>
      <c r="G2" s="12">
        <v>10</v>
      </c>
      <c r="H2" s="32">
        <f>'TC18-Forecast Change'!C2</f>
        <v>1000</v>
      </c>
    </row>
    <row r="3" spans="1:8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/>
      <c r="D3" s="22" t="str">
        <f ca="1">'TC14-BU SO'!B2</f>
        <v>sAB11-2311001</v>
      </c>
      <c r="E3" s="12" t="s">
        <v>81</v>
      </c>
      <c r="F3" s="12">
        <v>5</v>
      </c>
      <c r="G3" s="12">
        <v>10</v>
      </c>
      <c r="H3" s="32">
        <f>'TC18-Forecast Change'!C3</f>
        <v>1000</v>
      </c>
    </row>
    <row r="4" spans="1:8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/>
      <c r="D4" s="22" t="str">
        <f ca="1">'TC14-BU SO'!B2</f>
        <v>sAB11-2311001</v>
      </c>
      <c r="E4" s="12" t="s">
        <v>81</v>
      </c>
      <c r="F4" s="12">
        <v>5</v>
      </c>
      <c r="G4" s="12">
        <v>10</v>
      </c>
      <c r="H4" s="32">
        <f>'TC18-Forecast Change'!C4</f>
        <v>1000</v>
      </c>
    </row>
    <row r="5" spans="1:8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/>
      <c r="D5" s="22" t="str">
        <f ca="1">'TC14-BU SO'!B2</f>
        <v>sAB11-2311001</v>
      </c>
      <c r="E5" s="12" t="s">
        <v>81</v>
      </c>
      <c r="F5" s="12">
        <v>5</v>
      </c>
      <c r="G5" s="12">
        <v>10</v>
      </c>
      <c r="H5" s="32">
        <f>'TC18-Forecast Change'!C5</f>
        <v>800</v>
      </c>
    </row>
    <row r="6" spans="1:8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/>
      <c r="D6" s="22" t="str">
        <f ca="1">'TC14-BU SO'!B2</f>
        <v>sAB11-2311001</v>
      </c>
      <c r="E6" s="12" t="s">
        <v>81</v>
      </c>
      <c r="F6" s="12">
        <v>10</v>
      </c>
      <c r="G6" s="12">
        <v>10</v>
      </c>
      <c r="H6" s="32">
        <f>'TC18-Forecast Change'!C6</f>
        <v>800</v>
      </c>
    </row>
    <row r="7" spans="1:8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/>
      <c r="D7" s="22" t="str">
        <f ca="1">'TC14-BU SO'!B2</f>
        <v>sAB11-2311001</v>
      </c>
      <c r="E7" s="12" t="s">
        <v>81</v>
      </c>
      <c r="F7" s="12">
        <v>10</v>
      </c>
      <c r="G7" s="12">
        <v>10</v>
      </c>
      <c r="H7" s="32">
        <f>'TC18-Forecast Change'!C7</f>
        <v>1000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AACE-A996-4FC1-BA95-6FA48F0C2957}">
  <dimension ref="A1:F7"/>
  <sheetViews>
    <sheetView zoomScale="90" zoomScaleNormal="90" workbookViewId="0">
      <selection activeCell="D20" sqref="D20"/>
    </sheetView>
  </sheetViews>
  <sheetFormatPr defaultRowHeight="13.8" x14ac:dyDescent="0.3"/>
  <cols>
    <col min="1" max="1" width="5.77734375" style="2" customWidth="1" collapsed="1"/>
    <col min="2" max="2" width="25.77734375" style="2" customWidth="1" collapsed="1"/>
    <col min="3" max="6" width="15.77734375" style="2" customWidth="1" collapsed="1"/>
    <col min="7" max="7" width="25.77734375" style="2" customWidth="1" collapsed="1"/>
    <col min="8" max="16384" width="8.88671875" style="2" collapsed="1"/>
  </cols>
  <sheetData>
    <row r="1" spans="1:6" x14ac:dyDescent="0.3">
      <c r="A1" s="12" t="s">
        <v>0</v>
      </c>
      <c r="B1" s="67" t="s">
        <v>25</v>
      </c>
      <c r="C1" s="51" t="s">
        <v>172</v>
      </c>
      <c r="D1" s="51" t="s">
        <v>173</v>
      </c>
      <c r="E1" s="51" t="s">
        <v>174</v>
      </c>
      <c r="F1" s="51" t="s">
        <v>175</v>
      </c>
    </row>
    <row r="2" spans="1:6" x14ac:dyDescent="0.3">
      <c r="A2" s="12">
        <v>1</v>
      </c>
      <c r="B2" s="21" t="str">
        <f>'TC4-Contract Parts Info'!C2</f>
        <v>scenario1220230504001</v>
      </c>
      <c r="C2" s="33">
        <v>1100</v>
      </c>
      <c r="D2" s="26">
        <v>500</v>
      </c>
      <c r="E2" s="26">
        <v>500</v>
      </c>
      <c r="F2" s="26">
        <v>100</v>
      </c>
    </row>
    <row r="3" spans="1:6" x14ac:dyDescent="0.3">
      <c r="A3" s="12">
        <v>2</v>
      </c>
      <c r="B3" s="21" t="str">
        <f>'TC4-Contract Parts Info'!C3</f>
        <v>scenario1220230504002</v>
      </c>
      <c r="C3" s="33">
        <v>900</v>
      </c>
      <c r="D3" s="26">
        <v>500</v>
      </c>
      <c r="E3" s="26">
        <v>400</v>
      </c>
      <c r="F3" s="26"/>
    </row>
    <row r="4" spans="1:6" x14ac:dyDescent="0.3">
      <c r="A4" s="12">
        <v>3</v>
      </c>
      <c r="B4" s="21" t="str">
        <f>'TC4-Contract Parts Info'!C4</f>
        <v>scenario1220230504003</v>
      </c>
      <c r="C4" s="33">
        <v>1000</v>
      </c>
      <c r="D4" s="26">
        <v>500</v>
      </c>
      <c r="E4" s="26">
        <v>500</v>
      </c>
      <c r="F4" s="26"/>
    </row>
    <row r="5" spans="1:6" x14ac:dyDescent="0.3">
      <c r="A5" s="12">
        <v>4</v>
      </c>
      <c r="B5" s="21" t="str">
        <f>'TC4-Contract Parts Info'!C5</f>
        <v>scenario1220230504004</v>
      </c>
      <c r="C5" s="33">
        <v>1000</v>
      </c>
      <c r="D5" s="26">
        <v>500</v>
      </c>
      <c r="E5" s="26">
        <v>500</v>
      </c>
      <c r="F5" s="26"/>
    </row>
    <row r="6" spans="1:6" x14ac:dyDescent="0.3">
      <c r="A6" s="12">
        <v>5</v>
      </c>
      <c r="B6" s="21" t="str">
        <f>'TC4-Contract Parts Info'!C6</f>
        <v>scenario1220230504005</v>
      </c>
      <c r="C6" s="33">
        <v>1000</v>
      </c>
      <c r="D6" s="26">
        <v>1000</v>
      </c>
      <c r="E6" s="26"/>
      <c r="F6" s="26"/>
    </row>
    <row r="7" spans="1:6" x14ac:dyDescent="0.3">
      <c r="A7" s="12">
        <v>6</v>
      </c>
      <c r="B7" s="21" t="str">
        <f>'TC4-Contract Parts Info'!C7</f>
        <v>scenario1220230504006</v>
      </c>
      <c r="C7" s="33">
        <v>1000</v>
      </c>
      <c r="D7" s="26"/>
      <c r="E7" s="26">
        <v>1000</v>
      </c>
      <c r="F7" s="26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C6DA-4A25-4D87-9555-75757A39B539}">
  <dimension ref="A1:C2"/>
  <sheetViews>
    <sheetView workbookViewId="0">
      <selection activeCell="D17" sqref="D17"/>
    </sheetView>
  </sheetViews>
  <sheetFormatPr defaultRowHeight="13.8" x14ac:dyDescent="0.3"/>
  <cols>
    <col min="1" max="3" width="25.77734375" style="2" customWidth="1" collapsed="1"/>
    <col min="4" max="16384" width="8.88671875" style="2" collapsed="1"/>
  </cols>
  <sheetData>
    <row r="1" spans="1:3" x14ac:dyDescent="0.3">
      <c r="A1" s="51" t="s">
        <v>176</v>
      </c>
      <c r="B1" s="51" t="s">
        <v>178</v>
      </c>
      <c r="C1" s="51" t="s">
        <v>177</v>
      </c>
    </row>
    <row r="2" spans="1:3" x14ac:dyDescent="0.3">
      <c r="A2" s="12" t="str">
        <f ca="1">TEXT(DATE(YEAR(TODAY()), MONTH(TODAY())+2, DAY(TODAY())), "dd MMM yyyy")</f>
        <v>15 Jan 2024</v>
      </c>
      <c r="B2" s="12" t="str">
        <f ca="1">TEXT(DATE(YEAR(TODAY()), MONTH(TODAY())+3, DAY(TODAY())), "dd MMM yyyy")</f>
        <v>15 Feb 2024</v>
      </c>
      <c r="C2" s="12" t="str">
        <f ca="1">TEXT(DATE(YEAR(TODAY()), MONTH(TODAY())+4, DAY(TODAY())), "dd MMM yyyy")</f>
        <v>15 Mar 2024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E097-22D6-4B00-9E90-9129E84E5DAC}">
  <dimension ref="A1:A2"/>
  <sheetViews>
    <sheetView workbookViewId="0"/>
  </sheetViews>
  <sheetFormatPr defaultRowHeight="13.8" x14ac:dyDescent="0.3"/>
  <cols>
    <col min="1" max="1" width="23.6640625" style="2" customWidth="1" collapsed="1"/>
    <col min="2" max="16384" width="8.88671875" style="2" collapsed="1"/>
  </cols>
  <sheetData>
    <row r="1" spans="1:1" x14ac:dyDescent="0.3">
      <c r="A1" s="79" t="s">
        <v>102</v>
      </c>
    </row>
    <row r="2" spans="1:1" x14ac:dyDescent="0.3">
      <c r="A2" s="12" t="str">
        <f ca="1">"rc"&amp;AutoIncrement!B2&amp;AutoIncrement!A2&amp;"-23"&amp;TEXT(TODAY(),"mm")&amp;"001-02"</f>
        <v>rcAB11-2311001-02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D534-E497-4569-89C5-81CBABA793F3}">
  <dimension ref="A1:S7"/>
  <sheetViews>
    <sheetView zoomScale="90" zoomScaleNormal="90" workbookViewId="0">
      <selection activeCell="H22" sqref="H22"/>
    </sheetView>
  </sheetViews>
  <sheetFormatPr defaultRowHeight="13.8" x14ac:dyDescent="0.3"/>
  <cols>
    <col min="1" max="2" width="25.77734375" style="2" customWidth="1" collapsed="1"/>
    <col min="3" max="5" width="15.77734375" style="2" customWidth="1" collapsed="1"/>
    <col min="6" max="6" width="25.77734375" style="2" customWidth="1" collapsed="1"/>
    <col min="7" max="19" width="15.77734375" style="2" customWidth="1" collapsed="1"/>
    <col min="20" max="16384" width="8.88671875" style="2" collapsed="1"/>
  </cols>
  <sheetData>
    <row r="1" spans="1:19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67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</row>
    <row r="2" spans="1:19" x14ac:dyDescent="0.3">
      <c r="A2" s="21" t="str">
        <f>'TC4-Contract Parts Info'!C2</f>
        <v>scenario1220230504001</v>
      </c>
      <c r="B2" s="15" t="str">
        <f>'TC3-Req to Parts Master'!B2</f>
        <v>VN-TTVN-CUS:20230504-001</v>
      </c>
      <c r="C2" s="22" t="s">
        <v>164</v>
      </c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>
        <f>'TC11-Order Regular'!B2</f>
        <v>1000</v>
      </c>
      <c r="K2" s="33">
        <f>'TC25-Customer Order Change'!C2</f>
        <v>1100</v>
      </c>
      <c r="L2" s="12"/>
      <c r="M2" s="12" t="s">
        <v>196</v>
      </c>
      <c r="N2" s="12"/>
      <c r="O2" s="33">
        <f>'TC11-Order Regular'!D2</f>
        <v>500</v>
      </c>
      <c r="P2" s="33">
        <f>'TC11-Order Regular'!E2</f>
        <v>500</v>
      </c>
      <c r="Q2" s="33">
        <f>'TC25-Customer Order Change'!D2</f>
        <v>500</v>
      </c>
      <c r="R2" s="33">
        <f>'TC25-Customer Order Change'!E2</f>
        <v>500</v>
      </c>
      <c r="S2" s="33">
        <f>'TC25-Customer Order Change'!F2</f>
        <v>100</v>
      </c>
    </row>
    <row r="3" spans="1:19" x14ac:dyDescent="0.3">
      <c r="A3" s="21" t="str">
        <f>'TC4-Contract Parts Info'!C3</f>
        <v>scenario1220230504002</v>
      </c>
      <c r="B3" s="15" t="str">
        <f>'TC3-Req to Parts Master'!B3</f>
        <v>VN-TTVN-CUS:20230504-002</v>
      </c>
      <c r="C3" s="22" t="s">
        <v>165</v>
      </c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>
        <f>'TC11-Order Regular'!B3</f>
        <v>1000</v>
      </c>
      <c r="K3" s="33">
        <f>'TC25-Customer Order Change'!C3</f>
        <v>900</v>
      </c>
      <c r="L3" s="12"/>
      <c r="M3" s="12" t="s">
        <v>196</v>
      </c>
      <c r="N3" s="12"/>
      <c r="O3" s="33">
        <f>'TC11-Order Regular'!D3</f>
        <v>500</v>
      </c>
      <c r="P3" s="33">
        <f>'TC11-Order Regular'!E3</f>
        <v>500</v>
      </c>
      <c r="Q3" s="33">
        <f>'TC25-Customer Order Change'!D3</f>
        <v>500</v>
      </c>
      <c r="R3" s="33">
        <f>'TC25-Customer Order Change'!E3</f>
        <v>400</v>
      </c>
      <c r="S3" s="33"/>
    </row>
    <row r="4" spans="1:19" x14ac:dyDescent="0.3">
      <c r="A4" s="21" t="str">
        <f>'TC4-Contract Parts Info'!C4</f>
        <v>scenario1220230504003</v>
      </c>
      <c r="B4" s="15" t="str">
        <f>'TC3-Req to Parts Master'!B4</f>
        <v>VN-TTVN-CUS:20230504-003</v>
      </c>
      <c r="C4" s="22" t="s">
        <v>166</v>
      </c>
      <c r="D4" s="12" t="s">
        <v>81</v>
      </c>
      <c r="E4" s="12"/>
      <c r="F4" s="12"/>
      <c r="G4" s="12" t="s">
        <v>195</v>
      </c>
      <c r="H4" s="12">
        <v>5</v>
      </c>
      <c r="I4" s="12">
        <v>10</v>
      </c>
      <c r="J4" s="33">
        <f>'TC11-Order Regular'!B4</f>
        <v>1000</v>
      </c>
      <c r="K4" s="33">
        <f>'TC25-Customer Order Change'!C4</f>
        <v>1000</v>
      </c>
      <c r="L4" s="12"/>
      <c r="M4" s="12" t="s">
        <v>196</v>
      </c>
      <c r="N4" s="12"/>
      <c r="O4" s="33">
        <f>'TC11-Order Regular'!D4</f>
        <v>500</v>
      </c>
      <c r="P4" s="33">
        <f>'TC11-Order Regular'!E4</f>
        <v>500</v>
      </c>
      <c r="Q4" s="33">
        <f>'TC25-Customer Order Change'!D4</f>
        <v>500</v>
      </c>
      <c r="R4" s="33">
        <f>'TC25-Customer Order Change'!E4</f>
        <v>500</v>
      </c>
      <c r="S4" s="33"/>
    </row>
    <row r="5" spans="1:19" x14ac:dyDescent="0.3">
      <c r="A5" s="21" t="str">
        <f>'TC4-Contract Parts Info'!C5</f>
        <v>scenario1220230504004</v>
      </c>
      <c r="B5" s="15" t="str">
        <f>'TC3-Req to Parts Master'!B5</f>
        <v>VN-TTVN-CUS:20230504-004</v>
      </c>
      <c r="C5" s="22" t="s">
        <v>167</v>
      </c>
      <c r="D5" s="12" t="s">
        <v>81</v>
      </c>
      <c r="E5" s="12"/>
      <c r="F5" s="21" t="s">
        <v>28</v>
      </c>
      <c r="G5" s="12" t="s">
        <v>270</v>
      </c>
      <c r="H5" s="12">
        <v>5</v>
      </c>
      <c r="I5" s="12">
        <v>10</v>
      </c>
      <c r="J5" s="33">
        <f>'TC11-Order Regular'!B5</f>
        <v>1000</v>
      </c>
      <c r="K5" s="33">
        <f>'TC25-Customer Order Change'!C5</f>
        <v>1000</v>
      </c>
      <c r="L5" s="12"/>
      <c r="M5" s="12" t="s">
        <v>196</v>
      </c>
      <c r="N5" s="12"/>
      <c r="O5" s="33"/>
      <c r="P5" s="33">
        <f>'TC11-Order Regular'!E5</f>
        <v>1000</v>
      </c>
      <c r="Q5" s="33">
        <f>'TC25-Customer Order Change'!D5</f>
        <v>500</v>
      </c>
      <c r="R5" s="33">
        <f>'TC25-Customer Order Change'!E5</f>
        <v>500</v>
      </c>
      <c r="S5" s="12"/>
    </row>
    <row r="6" spans="1:19" x14ac:dyDescent="0.3">
      <c r="A6" s="21" t="str">
        <f>'TC4-Contract Parts Info'!C6</f>
        <v>scenario1220230504005</v>
      </c>
      <c r="B6" s="15" t="str">
        <f>'TC3-Req to Parts Master'!B6</f>
        <v>VN-TTVN-CUS:20230504-005</v>
      </c>
      <c r="C6" s="22" t="s">
        <v>168</v>
      </c>
      <c r="D6" s="12" t="s">
        <v>81</v>
      </c>
      <c r="E6" s="12"/>
      <c r="F6" s="21" t="s">
        <v>31</v>
      </c>
      <c r="G6" s="12" t="s">
        <v>195</v>
      </c>
      <c r="H6" s="12">
        <v>10</v>
      </c>
      <c r="I6" s="12">
        <v>10</v>
      </c>
      <c r="J6" s="33">
        <f>'TC11-Order Regular'!B6</f>
        <v>1000</v>
      </c>
      <c r="K6" s="33">
        <f>'TC25-Customer Order Change'!C6</f>
        <v>1000</v>
      </c>
      <c r="L6" s="12"/>
      <c r="M6" s="12" t="s">
        <v>196</v>
      </c>
      <c r="N6" s="12"/>
      <c r="O6" s="33">
        <f>'TC11-Order Regular'!D6</f>
        <v>500</v>
      </c>
      <c r="P6" s="33">
        <f>'TC11-Order Regular'!E6</f>
        <v>500</v>
      </c>
      <c r="Q6" s="33">
        <f>'TC25-Customer Order Change'!D6</f>
        <v>1000</v>
      </c>
      <c r="R6" s="12"/>
      <c r="S6" s="12"/>
    </row>
    <row r="7" spans="1:19" x14ac:dyDescent="0.3">
      <c r="A7" s="21" t="str">
        <f>'TC4-Contract Parts Info'!C7</f>
        <v>scenario1220230504006</v>
      </c>
      <c r="B7" s="15" t="str">
        <f>'TC3-Req to Parts Master'!B7</f>
        <v>VN-TTVN-CUS:20230504-006</v>
      </c>
      <c r="C7" s="22" t="s">
        <v>169</v>
      </c>
      <c r="D7" s="12" t="s">
        <v>81</v>
      </c>
      <c r="E7" s="12"/>
      <c r="F7" s="21" t="s">
        <v>30</v>
      </c>
      <c r="G7" s="12" t="s">
        <v>195</v>
      </c>
      <c r="H7" s="12">
        <v>10</v>
      </c>
      <c r="I7" s="12">
        <v>10</v>
      </c>
      <c r="J7" s="33">
        <f>'TC11-Order Regular'!B7</f>
        <v>1000</v>
      </c>
      <c r="K7" s="33">
        <f>'TC25-Customer Order Change'!C7</f>
        <v>1000</v>
      </c>
      <c r="L7" s="12"/>
      <c r="M7" s="12" t="s">
        <v>196</v>
      </c>
      <c r="N7" s="12"/>
      <c r="O7" s="33">
        <f>'TC11-Order Regular'!D7</f>
        <v>1000</v>
      </c>
      <c r="P7" s="33"/>
      <c r="Q7" s="12"/>
      <c r="R7" s="33">
        <f>'TC25-Customer Order Change'!E7</f>
        <v>1000</v>
      </c>
      <c r="S7" s="12"/>
    </row>
  </sheetData>
  <phoneticPr fontId="6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0E8-E3D6-4001-B659-6B8372626CDE}">
  <dimension ref="A1:S6"/>
  <sheetViews>
    <sheetView zoomScale="90" zoomScaleNormal="90" workbookViewId="0">
      <selection activeCell="O1" sqref="O1:S1"/>
    </sheetView>
  </sheetViews>
  <sheetFormatPr defaultRowHeight="13.8" x14ac:dyDescent="0.3"/>
  <cols>
    <col min="1" max="1" width="15.77734375" style="2" customWidth="1" collapsed="1"/>
    <col min="2" max="2" width="25.77734375" style="2" customWidth="1" collapsed="1"/>
    <col min="3" max="19" width="15.77734375" style="2" customWidth="1" collapsed="1"/>
    <col min="20" max="16384" width="8.88671875" style="2" collapsed="1"/>
  </cols>
  <sheetData>
    <row r="1" spans="1:19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</row>
    <row r="2" spans="1:19" x14ac:dyDescent="0.3">
      <c r="A2" s="21"/>
      <c r="B2" s="19" t="str">
        <f>'TC4-Contract Parts Info'!B2</f>
        <v>SG-TTVP:20230504-001</v>
      </c>
      <c r="C2" s="22"/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>
        <f>'TC11-Order Regular'!B2</f>
        <v>1000</v>
      </c>
      <c r="K2" s="33">
        <f>'TC25-Customer Order Change'!C2</f>
        <v>1100</v>
      </c>
      <c r="L2" s="12"/>
      <c r="M2" s="12" t="s">
        <v>196</v>
      </c>
      <c r="N2" s="12"/>
      <c r="O2" s="33">
        <f>'TC11-Order Regular'!D2</f>
        <v>500</v>
      </c>
      <c r="P2" s="33">
        <f>'TC11-Order Regular'!E2</f>
        <v>500</v>
      </c>
      <c r="Q2" s="33">
        <f>'TC25-Customer Order Change'!D2</f>
        <v>500</v>
      </c>
      <c r="R2" s="33">
        <f>'TC25-Customer Order Change'!E2</f>
        <v>500</v>
      </c>
      <c r="S2" s="33">
        <f>'TC25-Customer Order Change'!F2</f>
        <v>100</v>
      </c>
    </row>
    <row r="3" spans="1:19" x14ac:dyDescent="0.3">
      <c r="A3" s="21"/>
      <c r="B3" s="19" t="str">
        <f>'TC4-Contract Parts Info'!B3</f>
        <v>SG-TTVP:20230504-002</v>
      </c>
      <c r="C3" s="22"/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>
        <f>'TC11-Order Regular'!B3</f>
        <v>1000</v>
      </c>
      <c r="K3" s="33">
        <f>'TC25-Customer Order Change'!C3</f>
        <v>900</v>
      </c>
      <c r="L3" s="12"/>
      <c r="M3" s="12" t="s">
        <v>196</v>
      </c>
      <c r="N3" s="12"/>
      <c r="O3" s="33">
        <f>'TC11-Order Regular'!D3</f>
        <v>500</v>
      </c>
      <c r="P3" s="33">
        <f>'TC11-Order Regular'!E3</f>
        <v>500</v>
      </c>
      <c r="Q3" s="33">
        <f>'TC25-Customer Order Change'!D3</f>
        <v>500</v>
      </c>
      <c r="R3" s="33">
        <f>'TC25-Customer Order Change'!E3</f>
        <v>400</v>
      </c>
      <c r="S3" s="33"/>
    </row>
    <row r="4" spans="1:19" x14ac:dyDescent="0.3">
      <c r="A4" s="21"/>
      <c r="B4" s="19" t="str">
        <f>'TC4-Contract Parts Info'!B5</f>
        <v>SG-TTVP:20230504-004</v>
      </c>
      <c r="C4" s="22"/>
      <c r="D4" s="12" t="s">
        <v>81</v>
      </c>
      <c r="E4" s="12"/>
      <c r="F4" s="12"/>
      <c r="G4" s="12" t="s">
        <v>270</v>
      </c>
      <c r="H4" s="12">
        <v>5</v>
      </c>
      <c r="I4" s="12">
        <v>10</v>
      </c>
      <c r="J4" s="33">
        <f>'TC11-Order Regular'!B5</f>
        <v>1000</v>
      </c>
      <c r="K4" s="33">
        <f>'TC25-Customer Order Change'!C5</f>
        <v>1000</v>
      </c>
      <c r="L4" s="12"/>
      <c r="M4" s="12" t="s">
        <v>196</v>
      </c>
      <c r="N4" s="12"/>
      <c r="O4" s="33"/>
      <c r="P4" s="33">
        <f>'TC11-Order Regular'!E5</f>
        <v>1000</v>
      </c>
      <c r="Q4" s="33">
        <f>'TC25-Customer Order Change'!D5</f>
        <v>500</v>
      </c>
      <c r="R4" s="33">
        <f>'TC25-Customer Order Change'!E5</f>
        <v>500</v>
      </c>
      <c r="S4" s="12"/>
    </row>
    <row r="5" spans="1:19" x14ac:dyDescent="0.3">
      <c r="A5" s="21"/>
      <c r="B5" s="19" t="str">
        <f>'TC4-Contract Parts Info'!B6</f>
        <v>SG-TTVP:20230504-005</v>
      </c>
      <c r="C5" s="22"/>
      <c r="D5" s="12" t="s">
        <v>81</v>
      </c>
      <c r="E5" s="12"/>
      <c r="F5" s="21"/>
      <c r="G5" s="12" t="s">
        <v>195</v>
      </c>
      <c r="H5" s="12">
        <v>10</v>
      </c>
      <c r="I5" s="12">
        <v>10</v>
      </c>
      <c r="J5" s="33">
        <f>'TC11-Order Regular'!B6</f>
        <v>1000</v>
      </c>
      <c r="K5" s="33">
        <f>'TC25-Customer Order Change'!C6</f>
        <v>1000</v>
      </c>
      <c r="L5" s="12"/>
      <c r="M5" s="12" t="s">
        <v>196</v>
      </c>
      <c r="N5" s="12"/>
      <c r="O5" s="33">
        <f>'TC11-Order Regular'!D6</f>
        <v>500</v>
      </c>
      <c r="P5" s="33">
        <f>'TC11-Order Regular'!E6</f>
        <v>500</v>
      </c>
      <c r="Q5" s="33">
        <f>'TC25-Customer Order Change'!D6</f>
        <v>1000</v>
      </c>
      <c r="R5" s="12"/>
      <c r="S5" s="12"/>
    </row>
    <row r="6" spans="1:19" x14ac:dyDescent="0.3">
      <c r="A6" s="21"/>
      <c r="B6" s="19" t="str">
        <f>'TC4-Contract Parts Info'!B7</f>
        <v>SG-TTVP:20230504-006</v>
      </c>
      <c r="C6" s="22"/>
      <c r="D6" s="12" t="s">
        <v>81</v>
      </c>
      <c r="E6" s="12"/>
      <c r="F6" s="21"/>
      <c r="G6" s="12" t="s">
        <v>195</v>
      </c>
      <c r="H6" s="12">
        <v>10</v>
      </c>
      <c r="I6" s="12">
        <v>10</v>
      </c>
      <c r="J6" s="33">
        <f>'TC11-Order Regular'!B7</f>
        <v>1000</v>
      </c>
      <c r="K6" s="33">
        <f>'TC25-Customer Order Change'!C7</f>
        <v>1000</v>
      </c>
      <c r="L6" s="12"/>
      <c r="M6" s="12" t="s">
        <v>196</v>
      </c>
      <c r="N6" s="12"/>
      <c r="O6" s="33">
        <f>'TC11-Order Regular'!D7</f>
        <v>1000</v>
      </c>
      <c r="P6" s="33"/>
      <c r="Q6" s="12"/>
      <c r="R6" s="33">
        <f>'TC25-Customer Order Change'!E7</f>
        <v>1000</v>
      </c>
      <c r="S6" s="1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7952-0ADD-46CB-BCDD-5633F7A7D19C}">
  <dimension ref="A1:R6"/>
  <sheetViews>
    <sheetView topLeftCell="D1" zoomScale="90" zoomScaleNormal="90" workbookViewId="0">
      <selection activeCell="Q22" sqref="Q22"/>
    </sheetView>
  </sheetViews>
  <sheetFormatPr defaultRowHeight="13.8" x14ac:dyDescent="0.3"/>
  <cols>
    <col min="1" max="2" width="25.77734375" style="2" customWidth="1" collapsed="1"/>
    <col min="3" max="18" width="15.77734375" style="2" customWidth="1" collapsed="1"/>
    <col min="19" max="16384" width="8.88671875" style="2" collapsed="1"/>
  </cols>
  <sheetData>
    <row r="1" spans="1:18" x14ac:dyDescent="0.3">
      <c r="A1" s="67" t="s">
        <v>128</v>
      </c>
      <c r="B1" s="67" t="s">
        <v>197</v>
      </c>
      <c r="C1" s="51" t="s">
        <v>129</v>
      </c>
      <c r="D1" s="51" t="s">
        <v>179</v>
      </c>
      <c r="E1" s="51" t="s">
        <v>192</v>
      </c>
      <c r="F1" s="51" t="s">
        <v>180</v>
      </c>
      <c r="G1" s="51" t="s">
        <v>132</v>
      </c>
      <c r="H1" s="51" t="s">
        <v>133</v>
      </c>
      <c r="I1" s="67" t="s">
        <v>181</v>
      </c>
      <c r="J1" s="67" t="s">
        <v>182</v>
      </c>
      <c r="K1" s="51" t="s">
        <v>183</v>
      </c>
      <c r="L1" s="51" t="s">
        <v>184</v>
      </c>
      <c r="M1" s="51" t="s">
        <v>185</v>
      </c>
      <c r="N1" s="67" t="s">
        <v>186</v>
      </c>
      <c r="O1" s="67" t="s">
        <v>187</v>
      </c>
      <c r="P1" s="67" t="s">
        <v>188</v>
      </c>
      <c r="Q1" s="67" t="s">
        <v>189</v>
      </c>
      <c r="R1" s="67" t="s">
        <v>190</v>
      </c>
    </row>
    <row r="2" spans="1:18" x14ac:dyDescent="0.3">
      <c r="A2" s="21" t="str">
        <f>'TC4-Contract Parts Info'!C2</f>
        <v>scenario1220230504001</v>
      </c>
      <c r="B2" s="19" t="str">
        <f>'TC7-Contract Parts Info'!B2</f>
        <v>SG-BAFCO:20230504-001</v>
      </c>
      <c r="C2" s="22"/>
      <c r="D2" s="12"/>
      <c r="E2" s="12"/>
      <c r="F2" s="12" t="s">
        <v>193</v>
      </c>
      <c r="G2" s="12">
        <v>5</v>
      </c>
      <c r="H2" s="12">
        <v>10</v>
      </c>
      <c r="I2" s="33">
        <f>'TC11-Order Regular'!B2</f>
        <v>1000</v>
      </c>
      <c r="J2" s="33">
        <f>'TC25-Customer Order Change'!C2</f>
        <v>1100</v>
      </c>
      <c r="K2" s="12"/>
      <c r="L2" s="12" t="s">
        <v>196</v>
      </c>
      <c r="M2" s="12"/>
      <c r="N2" s="33">
        <f>'TC11-Order Regular'!D2</f>
        <v>500</v>
      </c>
      <c r="O2" s="33">
        <f>'TC11-Order Regular'!E2</f>
        <v>500</v>
      </c>
      <c r="P2" s="33">
        <f>'TC25-Customer Order Change'!D2</f>
        <v>500</v>
      </c>
      <c r="Q2" s="33">
        <f>'TC25-Customer Order Change'!E2</f>
        <v>500</v>
      </c>
      <c r="R2" s="33">
        <f>'TC25-Customer Order Change'!F2</f>
        <v>100</v>
      </c>
    </row>
    <row r="3" spans="1:18" x14ac:dyDescent="0.3">
      <c r="A3" s="21" t="str">
        <f>'TC4-Contract Parts Info'!C3</f>
        <v>scenario1220230504002</v>
      </c>
      <c r="B3" s="19" t="str">
        <f>'TC7-Contract Parts Info'!B3</f>
        <v>SG-BAFCO:20230504-002</v>
      </c>
      <c r="C3" s="22"/>
      <c r="D3" s="12"/>
      <c r="E3" s="12"/>
      <c r="F3" s="12" t="s">
        <v>194</v>
      </c>
      <c r="G3" s="12">
        <v>5</v>
      </c>
      <c r="H3" s="12">
        <v>10</v>
      </c>
      <c r="I3" s="33">
        <f>'TC11-Order Regular'!B3</f>
        <v>1000</v>
      </c>
      <c r="J3" s="33">
        <f>'TC25-Customer Order Change'!C3</f>
        <v>900</v>
      </c>
      <c r="K3" s="12"/>
      <c r="L3" s="12" t="s">
        <v>196</v>
      </c>
      <c r="M3" s="12"/>
      <c r="N3" s="33">
        <f>'TC11-Order Regular'!D3</f>
        <v>500</v>
      </c>
      <c r="O3" s="33">
        <f>'TC11-Order Regular'!E3</f>
        <v>500</v>
      </c>
      <c r="P3" s="33">
        <f>'TC25-Customer Order Change'!D3</f>
        <v>500</v>
      </c>
      <c r="Q3" s="33">
        <f>'TC25-Customer Order Change'!E3</f>
        <v>400</v>
      </c>
      <c r="R3" s="33"/>
    </row>
    <row r="4" spans="1:18" x14ac:dyDescent="0.3">
      <c r="A4" s="21" t="str">
        <f>'TC4-Contract Parts Info'!C5</f>
        <v>scenario1220230504004</v>
      </c>
      <c r="B4" s="19" t="str">
        <f>'TC7-Contract Parts Info'!B5</f>
        <v>SG-BAFCO:20230504-004</v>
      </c>
      <c r="C4" s="22"/>
      <c r="D4" s="12"/>
      <c r="E4" s="12"/>
      <c r="F4" s="12" t="s">
        <v>270</v>
      </c>
      <c r="G4" s="12">
        <v>5</v>
      </c>
      <c r="H4" s="12">
        <v>10</v>
      </c>
      <c r="I4" s="33">
        <f>'TC11-Order Regular'!B5</f>
        <v>1000</v>
      </c>
      <c r="J4" s="33">
        <f>'TC25-Customer Order Change'!C5</f>
        <v>1000</v>
      </c>
      <c r="K4" s="12"/>
      <c r="L4" s="12" t="s">
        <v>196</v>
      </c>
      <c r="M4" s="12"/>
      <c r="N4" s="33"/>
      <c r="O4" s="33">
        <f>'TC11-Order Regular'!E5</f>
        <v>1000</v>
      </c>
      <c r="P4" s="33">
        <f>'TC25-Customer Order Change'!D5</f>
        <v>500</v>
      </c>
      <c r="Q4" s="33">
        <f>'TC25-Customer Order Change'!E5</f>
        <v>500</v>
      </c>
      <c r="R4" s="33"/>
    </row>
    <row r="5" spans="1:18" x14ac:dyDescent="0.3">
      <c r="A5" s="21" t="str">
        <f>'TC4-Contract Parts Info'!C6</f>
        <v>scenario1220230504005</v>
      </c>
      <c r="B5" s="19" t="str">
        <f>'TC7-Contract Parts Info'!B6</f>
        <v>SG-BAFCO:20230504-005</v>
      </c>
      <c r="C5" s="22"/>
      <c r="D5" s="12"/>
      <c r="E5" s="21"/>
      <c r="F5" s="12" t="s">
        <v>195</v>
      </c>
      <c r="G5" s="12">
        <v>10</v>
      </c>
      <c r="H5" s="12">
        <v>10</v>
      </c>
      <c r="I5" s="33">
        <f>'TC11-Order Regular'!B6</f>
        <v>1000</v>
      </c>
      <c r="J5" s="33">
        <f>'TC25-Customer Order Change'!C6</f>
        <v>1000</v>
      </c>
      <c r="K5" s="12"/>
      <c r="L5" s="12" t="s">
        <v>196</v>
      </c>
      <c r="M5" s="12"/>
      <c r="N5" s="33">
        <f>'TC11-Order Regular'!D6</f>
        <v>500</v>
      </c>
      <c r="O5" s="33">
        <f>'TC11-Order Regular'!E6</f>
        <v>500</v>
      </c>
      <c r="P5" s="33">
        <f>'TC25-Customer Order Change'!D6</f>
        <v>1000</v>
      </c>
      <c r="Q5" s="33"/>
      <c r="R5" s="33"/>
    </row>
    <row r="6" spans="1:18" x14ac:dyDescent="0.3">
      <c r="A6" s="21" t="str">
        <f>'TC4-Contract Parts Info'!C7</f>
        <v>scenario1220230504006</v>
      </c>
      <c r="B6" s="19" t="str">
        <f>'TC7-Contract Parts Info'!B7</f>
        <v>SG-BAFCO:20230504-006</v>
      </c>
      <c r="C6" s="22"/>
      <c r="D6" s="12"/>
      <c r="E6" s="21"/>
      <c r="F6" s="12" t="s">
        <v>195</v>
      </c>
      <c r="G6" s="12">
        <v>10</v>
      </c>
      <c r="H6" s="12">
        <v>10</v>
      </c>
      <c r="I6" s="33">
        <f>'TC11-Order Regular'!B7</f>
        <v>1000</v>
      </c>
      <c r="J6" s="33">
        <f>'TC25-Customer Order Change'!C7</f>
        <v>1000</v>
      </c>
      <c r="K6" s="12"/>
      <c r="L6" s="12" t="s">
        <v>196</v>
      </c>
      <c r="M6" s="12"/>
      <c r="N6" s="33">
        <f>'TC11-Order Regular'!D7</f>
        <v>1000</v>
      </c>
      <c r="O6" s="33"/>
      <c r="P6" s="33"/>
      <c r="Q6" s="33">
        <f>'TC25-Customer Order Change'!E7</f>
        <v>1000</v>
      </c>
      <c r="R6" s="3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616B-F775-4E70-AF8C-CF1D4B0931E0}">
  <dimension ref="A1:S7"/>
  <sheetViews>
    <sheetView topLeftCell="B1" zoomScale="90" zoomScaleNormal="90" workbookViewId="0">
      <selection activeCell="L32" sqref="L32"/>
    </sheetView>
  </sheetViews>
  <sheetFormatPr defaultRowHeight="13.8" x14ac:dyDescent="0.3"/>
  <cols>
    <col min="1" max="2" width="25.77734375" style="2" customWidth="1" collapsed="1"/>
    <col min="3" max="19" width="15.77734375" style="2" customWidth="1" collapsed="1"/>
    <col min="20" max="16384" width="8.88671875" style="2" collapsed="1"/>
  </cols>
  <sheetData>
    <row r="1" spans="1:19" x14ac:dyDescent="0.3">
      <c r="A1" s="67" t="s">
        <v>128</v>
      </c>
      <c r="B1" s="67" t="s">
        <v>156</v>
      </c>
      <c r="C1" s="51" t="s">
        <v>129</v>
      </c>
      <c r="D1" s="67" t="s">
        <v>198</v>
      </c>
      <c r="E1" s="51" t="s">
        <v>158</v>
      </c>
      <c r="F1" s="51" t="s">
        <v>132</v>
      </c>
      <c r="G1" s="51" t="s">
        <v>133</v>
      </c>
      <c r="H1" s="67" t="s">
        <v>199</v>
      </c>
      <c r="I1" s="51" t="s">
        <v>200</v>
      </c>
      <c r="J1" s="51" t="s">
        <v>201</v>
      </c>
      <c r="K1" s="51" t="s">
        <v>10</v>
      </c>
      <c r="L1" s="51" t="s">
        <v>134</v>
      </c>
      <c r="M1" s="51" t="s">
        <v>203</v>
      </c>
      <c r="N1" s="67" t="s">
        <v>204</v>
      </c>
      <c r="O1" s="51" t="s">
        <v>206</v>
      </c>
      <c r="P1" s="67" t="s">
        <v>205</v>
      </c>
      <c r="Q1" s="51" t="s">
        <v>207</v>
      </c>
      <c r="R1" s="67" t="s">
        <v>325</v>
      </c>
      <c r="S1" s="51" t="s">
        <v>326</v>
      </c>
    </row>
    <row r="2" spans="1:19" x14ac:dyDescent="0.3">
      <c r="A2" s="21" t="s">
        <v>191</v>
      </c>
      <c r="B2" s="13" t="s">
        <v>160</v>
      </c>
      <c r="C2" s="22" t="s">
        <v>164</v>
      </c>
      <c r="D2" s="12" t="str">
        <f ca="1">'TC14-BU SO'!B2</f>
        <v>sAB11-2311001</v>
      </c>
      <c r="E2" s="12" t="s">
        <v>81</v>
      </c>
      <c r="F2" s="12">
        <v>5</v>
      </c>
      <c r="G2" s="12">
        <v>10</v>
      </c>
      <c r="H2" s="33">
        <f>'TC25-Customer Order Change'!C2</f>
        <v>1100</v>
      </c>
      <c r="I2" s="12">
        <v>0</v>
      </c>
      <c r="J2" s="12">
        <v>10.5</v>
      </c>
      <c r="K2" s="12" t="s">
        <v>21</v>
      </c>
      <c r="L2" s="12" t="s">
        <v>202</v>
      </c>
      <c r="M2" s="12">
        <v>0</v>
      </c>
      <c r="N2" s="33">
        <f>'TC25-Customer Order Change'!D2</f>
        <v>500</v>
      </c>
      <c r="O2" s="33" t="s">
        <v>138</v>
      </c>
      <c r="P2" s="33">
        <f>'TC25-Customer Order Change'!E2</f>
        <v>500</v>
      </c>
      <c r="Q2" s="33" t="s">
        <v>138</v>
      </c>
      <c r="R2" s="33">
        <f>'TC25-Customer Order Change'!F2</f>
        <v>100</v>
      </c>
      <c r="S2" s="33" t="s">
        <v>138</v>
      </c>
    </row>
    <row r="3" spans="1:19" x14ac:dyDescent="0.3">
      <c r="A3" s="21" t="s">
        <v>27</v>
      </c>
      <c r="B3" s="13" t="s">
        <v>161</v>
      </c>
      <c r="C3" s="22" t="s">
        <v>165</v>
      </c>
      <c r="D3" s="12" t="str">
        <f ca="1">'TC14-BU SO'!B2</f>
        <v>sAB11-2311001</v>
      </c>
      <c r="E3" s="12" t="s">
        <v>81</v>
      </c>
      <c r="F3" s="12">
        <v>5</v>
      </c>
      <c r="G3" s="12">
        <v>10</v>
      </c>
      <c r="H3" s="33">
        <f>'TC25-Customer Order Change'!C3</f>
        <v>900</v>
      </c>
      <c r="I3" s="12">
        <v>0</v>
      </c>
      <c r="J3" s="12">
        <v>10.5</v>
      </c>
      <c r="K3" s="12" t="s">
        <v>21</v>
      </c>
      <c r="L3" s="12" t="s">
        <v>202</v>
      </c>
      <c r="M3" s="12">
        <v>0</v>
      </c>
      <c r="N3" s="33">
        <f>'TC25-Customer Order Change'!D3</f>
        <v>500</v>
      </c>
      <c r="O3" s="33" t="s">
        <v>138</v>
      </c>
      <c r="P3" s="33">
        <f>'TC25-Customer Order Change'!E3</f>
        <v>400</v>
      </c>
      <c r="Q3" s="33" t="s">
        <v>138</v>
      </c>
      <c r="R3" s="12">
        <v>0</v>
      </c>
      <c r="S3" s="33" t="s">
        <v>138</v>
      </c>
    </row>
    <row r="4" spans="1:19" x14ac:dyDescent="0.3">
      <c r="A4" s="21" t="s">
        <v>28</v>
      </c>
      <c r="B4" s="13" t="s">
        <v>162</v>
      </c>
      <c r="C4" s="22" t="s">
        <v>166</v>
      </c>
      <c r="D4" s="12" t="str">
        <f ca="1">'TC14-BU SO'!B2</f>
        <v>sAB11-2311001</v>
      </c>
      <c r="E4" s="12" t="s">
        <v>81</v>
      </c>
      <c r="F4" s="12">
        <v>5</v>
      </c>
      <c r="G4" s="12">
        <v>10</v>
      </c>
      <c r="H4" s="33">
        <f>'TC25-Customer Order Change'!C4</f>
        <v>1000</v>
      </c>
      <c r="I4" s="12">
        <v>0</v>
      </c>
      <c r="J4" s="12">
        <v>10.5</v>
      </c>
      <c r="K4" s="12" t="s">
        <v>21</v>
      </c>
      <c r="L4" s="12" t="s">
        <v>202</v>
      </c>
      <c r="M4" s="12">
        <v>0</v>
      </c>
      <c r="N4" s="33">
        <f>'TC25-Customer Order Change'!D4</f>
        <v>500</v>
      </c>
      <c r="O4" s="33" t="s">
        <v>138</v>
      </c>
      <c r="P4" s="33">
        <f>'TC25-Customer Order Change'!E4</f>
        <v>500</v>
      </c>
      <c r="Q4" s="33" t="s">
        <v>138</v>
      </c>
      <c r="R4" s="12">
        <v>0</v>
      </c>
      <c r="S4" s="33" t="s">
        <v>138</v>
      </c>
    </row>
    <row r="5" spans="1:19" x14ac:dyDescent="0.3">
      <c r="A5" s="21" t="s">
        <v>29</v>
      </c>
      <c r="B5" s="13" t="s">
        <v>153</v>
      </c>
      <c r="C5" s="22" t="s">
        <v>167</v>
      </c>
      <c r="D5" s="12" t="str">
        <f ca="1">'TC14-BU SO'!B2</f>
        <v>sAB11-2311001</v>
      </c>
      <c r="E5" s="12" t="s">
        <v>81</v>
      </c>
      <c r="F5" s="12">
        <v>5</v>
      </c>
      <c r="G5" s="12">
        <v>10</v>
      </c>
      <c r="H5" s="33">
        <f>'TC25-Customer Order Change'!C5</f>
        <v>1000</v>
      </c>
      <c r="I5" s="12">
        <v>0</v>
      </c>
      <c r="J5" s="12">
        <v>10.5</v>
      </c>
      <c r="K5" s="12" t="s">
        <v>21</v>
      </c>
      <c r="L5" s="12" t="s">
        <v>202</v>
      </c>
      <c r="M5" s="12">
        <v>0</v>
      </c>
      <c r="N5" s="33">
        <f>'TC25-Customer Order Change'!D5</f>
        <v>500</v>
      </c>
      <c r="O5" s="33" t="s">
        <v>138</v>
      </c>
      <c r="P5" s="33">
        <f>'TC25-Customer Order Change'!E5</f>
        <v>500</v>
      </c>
      <c r="Q5" s="33" t="s">
        <v>138</v>
      </c>
      <c r="R5" s="12">
        <v>0</v>
      </c>
      <c r="S5" s="33" t="s">
        <v>138</v>
      </c>
    </row>
    <row r="6" spans="1:19" x14ac:dyDescent="0.3">
      <c r="A6" s="21" t="s">
        <v>30</v>
      </c>
      <c r="B6" s="13" t="s">
        <v>154</v>
      </c>
      <c r="C6" s="22" t="s">
        <v>168</v>
      </c>
      <c r="D6" s="12" t="str">
        <f ca="1">'TC14-BU SO'!B2</f>
        <v>sAB11-2311001</v>
      </c>
      <c r="E6" s="12" t="s">
        <v>81</v>
      </c>
      <c r="F6" s="12">
        <v>10</v>
      </c>
      <c r="G6" s="12">
        <v>10</v>
      </c>
      <c r="H6" s="33">
        <f>'TC25-Customer Order Change'!C6</f>
        <v>1000</v>
      </c>
      <c r="I6" s="12">
        <v>0</v>
      </c>
      <c r="J6" s="12">
        <v>10.5</v>
      </c>
      <c r="K6" s="12" t="s">
        <v>21</v>
      </c>
      <c r="L6" s="12" t="s">
        <v>202</v>
      </c>
      <c r="M6" s="12">
        <v>0</v>
      </c>
      <c r="N6" s="33">
        <f>'TC25-Customer Order Change'!D6</f>
        <v>1000</v>
      </c>
      <c r="O6" s="33" t="s">
        <v>138</v>
      </c>
      <c r="P6" s="12">
        <v>0</v>
      </c>
      <c r="Q6" s="33" t="s">
        <v>138</v>
      </c>
      <c r="R6" s="12">
        <v>0</v>
      </c>
      <c r="S6" s="33" t="s">
        <v>138</v>
      </c>
    </row>
    <row r="7" spans="1:19" x14ac:dyDescent="0.3">
      <c r="A7" s="21" t="s">
        <v>31</v>
      </c>
      <c r="B7" s="13" t="s">
        <v>163</v>
      </c>
      <c r="C7" s="22" t="s">
        <v>169</v>
      </c>
      <c r="D7" s="12" t="str">
        <f ca="1">'TC14-BU SO'!B2</f>
        <v>sAB11-2311001</v>
      </c>
      <c r="E7" s="12" t="s">
        <v>81</v>
      </c>
      <c r="F7" s="12">
        <v>10</v>
      </c>
      <c r="G7" s="12">
        <v>10</v>
      </c>
      <c r="H7" s="33">
        <f>'TC25-Customer Order Change'!C7</f>
        <v>1000</v>
      </c>
      <c r="I7" s="12">
        <v>0</v>
      </c>
      <c r="J7" s="12">
        <v>10.5</v>
      </c>
      <c r="K7" s="12" t="s">
        <v>21</v>
      </c>
      <c r="L7" s="12" t="s">
        <v>202</v>
      </c>
      <c r="M7" s="12">
        <v>0</v>
      </c>
      <c r="N7" s="12">
        <v>0</v>
      </c>
      <c r="O7" s="33" t="s">
        <v>138</v>
      </c>
      <c r="P7" s="33">
        <f>'TC25-Customer Order Change'!E7</f>
        <v>1000</v>
      </c>
      <c r="Q7" s="33" t="s">
        <v>138</v>
      </c>
      <c r="R7" s="12">
        <v>0</v>
      </c>
      <c r="S7" s="33" t="s">
        <v>138</v>
      </c>
    </row>
  </sheetData>
  <phoneticPr fontId="6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AF69-CF1C-4F30-B068-83994D54CBFD}">
  <dimension ref="A1:X7"/>
  <sheetViews>
    <sheetView topLeftCell="G1" zoomScale="90" zoomScaleNormal="90" workbookViewId="0">
      <selection activeCell="Q20" sqref="Q20"/>
    </sheetView>
  </sheetViews>
  <sheetFormatPr defaultRowHeight="13.8" x14ac:dyDescent="0.3"/>
  <cols>
    <col min="1" max="2" width="25.77734375" style="2" customWidth="1" collapsed="1"/>
    <col min="3" max="24" width="15.77734375" style="2" customWidth="1" collapsed="1"/>
    <col min="25" max="16384" width="8.88671875" style="2" collapsed="1"/>
  </cols>
  <sheetData>
    <row r="1" spans="1:24" x14ac:dyDescent="0.3">
      <c r="A1" s="67" t="s">
        <v>128</v>
      </c>
      <c r="B1" s="67" t="s">
        <v>208</v>
      </c>
      <c r="C1" s="51" t="s">
        <v>129</v>
      </c>
      <c r="D1" s="67" t="s">
        <v>130</v>
      </c>
      <c r="E1" s="51" t="s">
        <v>209</v>
      </c>
      <c r="F1" s="51" t="s">
        <v>132</v>
      </c>
      <c r="G1" s="51" t="s">
        <v>133</v>
      </c>
      <c r="H1" s="67" t="s">
        <v>199</v>
      </c>
      <c r="I1" s="51" t="s">
        <v>201</v>
      </c>
      <c r="J1" s="51" t="s">
        <v>10</v>
      </c>
      <c r="K1" s="51" t="s">
        <v>134</v>
      </c>
      <c r="L1" s="51" t="s">
        <v>135</v>
      </c>
      <c r="M1" s="51" t="s">
        <v>136</v>
      </c>
      <c r="N1" s="51" t="s">
        <v>137</v>
      </c>
      <c r="O1" s="51" t="s">
        <v>210</v>
      </c>
      <c r="P1" s="51" t="s">
        <v>212</v>
      </c>
      <c r="Q1" s="51" t="s">
        <v>211</v>
      </c>
      <c r="R1" s="51" t="s">
        <v>213</v>
      </c>
      <c r="S1" s="51" t="s">
        <v>327</v>
      </c>
      <c r="T1" s="51" t="s">
        <v>328</v>
      </c>
      <c r="U1" s="51" t="s">
        <v>478</v>
      </c>
      <c r="V1" s="51" t="s">
        <v>479</v>
      </c>
      <c r="W1" s="51" t="s">
        <v>480</v>
      </c>
      <c r="X1" s="51" t="s">
        <v>481</v>
      </c>
    </row>
    <row r="2" spans="1:24" x14ac:dyDescent="0.3">
      <c r="A2" s="21" t="s">
        <v>191</v>
      </c>
      <c r="B2" s="19" t="s">
        <v>145</v>
      </c>
      <c r="C2" s="22" t="s">
        <v>164</v>
      </c>
      <c r="D2" s="12" t="str">
        <f ca="1">'TC11-Customer CO'!B2</f>
        <v>cAB11-2311001</v>
      </c>
      <c r="E2" s="12" t="s">
        <v>34</v>
      </c>
      <c r="F2" s="12">
        <v>5</v>
      </c>
      <c r="G2" s="12">
        <v>10</v>
      </c>
      <c r="H2" s="33">
        <f>'TC25-Customer Order Change'!C2</f>
        <v>1100</v>
      </c>
      <c r="I2" s="12">
        <v>10.5</v>
      </c>
      <c r="J2" s="12" t="s">
        <v>21</v>
      </c>
      <c r="K2" s="12" t="s">
        <v>202</v>
      </c>
      <c r="L2" s="12">
        <v>0</v>
      </c>
      <c r="M2" s="12">
        <v>0</v>
      </c>
      <c r="N2" s="12">
        <v>0</v>
      </c>
      <c r="O2" s="33">
        <v>500</v>
      </c>
      <c r="P2" s="33" t="s">
        <v>138</v>
      </c>
      <c r="Q2" s="33">
        <v>500</v>
      </c>
      <c r="R2" s="33" t="s">
        <v>138</v>
      </c>
      <c r="S2" s="34">
        <v>0</v>
      </c>
      <c r="T2" s="33" t="s">
        <v>138</v>
      </c>
      <c r="U2" s="34">
        <v>0</v>
      </c>
      <c r="V2" s="33" t="s">
        <v>138</v>
      </c>
      <c r="W2" s="33">
        <v>100</v>
      </c>
      <c r="X2" s="33" t="s">
        <v>138</v>
      </c>
    </row>
    <row r="3" spans="1:24" x14ac:dyDescent="0.3">
      <c r="A3" s="21" t="s">
        <v>27</v>
      </c>
      <c r="B3" s="19" t="s">
        <v>40</v>
      </c>
      <c r="C3" s="22" t="s">
        <v>165</v>
      </c>
      <c r="D3" s="12" t="str">
        <f ca="1">'TC11-Customer CO'!B2</f>
        <v>cAB11-2311001</v>
      </c>
      <c r="E3" s="12" t="s">
        <v>34</v>
      </c>
      <c r="F3" s="12">
        <v>5</v>
      </c>
      <c r="G3" s="12">
        <v>10</v>
      </c>
      <c r="H3" s="33">
        <f>'TC25-Customer Order Change'!C3</f>
        <v>900</v>
      </c>
      <c r="I3" s="12">
        <v>10.5</v>
      </c>
      <c r="J3" s="12" t="s">
        <v>21</v>
      </c>
      <c r="K3" s="12" t="s">
        <v>202</v>
      </c>
      <c r="L3" s="12">
        <v>0</v>
      </c>
      <c r="M3" s="12">
        <v>0</v>
      </c>
      <c r="N3" s="12">
        <v>0</v>
      </c>
      <c r="O3" s="33">
        <v>500</v>
      </c>
      <c r="P3" s="33" t="s">
        <v>138</v>
      </c>
      <c r="Q3" s="33">
        <v>400</v>
      </c>
      <c r="R3" s="33" t="s">
        <v>138</v>
      </c>
      <c r="S3" s="34">
        <v>0</v>
      </c>
      <c r="T3" s="33" t="s">
        <v>138</v>
      </c>
      <c r="U3" s="34">
        <v>0</v>
      </c>
      <c r="V3" s="33" t="s">
        <v>138</v>
      </c>
      <c r="W3" s="34">
        <v>0</v>
      </c>
      <c r="X3" s="33" t="s">
        <v>138</v>
      </c>
    </row>
    <row r="4" spans="1:24" x14ac:dyDescent="0.3">
      <c r="A4" s="21" t="s">
        <v>28</v>
      </c>
      <c r="B4" s="19" t="s">
        <v>41</v>
      </c>
      <c r="C4" s="22" t="s">
        <v>166</v>
      </c>
      <c r="D4" s="12" t="str">
        <f ca="1">'TC11-Customer CO'!B2</f>
        <v>cAB11-2311001</v>
      </c>
      <c r="E4" s="12" t="s">
        <v>34</v>
      </c>
      <c r="F4" s="12">
        <v>5</v>
      </c>
      <c r="G4" s="12">
        <v>10</v>
      </c>
      <c r="H4" s="33">
        <f>'TC25-Customer Order Change'!C4</f>
        <v>1000</v>
      </c>
      <c r="I4" s="12">
        <v>10.5</v>
      </c>
      <c r="J4" s="12" t="s">
        <v>21</v>
      </c>
      <c r="K4" s="12" t="s">
        <v>202</v>
      </c>
      <c r="L4" s="12">
        <v>0</v>
      </c>
      <c r="M4" s="12">
        <v>0</v>
      </c>
      <c r="N4" s="12">
        <v>0</v>
      </c>
      <c r="O4" s="33">
        <v>500</v>
      </c>
      <c r="P4" s="33" t="s">
        <v>138</v>
      </c>
      <c r="Q4" s="33">
        <v>500</v>
      </c>
      <c r="R4" s="33" t="s">
        <v>138</v>
      </c>
      <c r="S4" s="34">
        <v>0</v>
      </c>
      <c r="T4" s="33" t="s">
        <v>138</v>
      </c>
      <c r="U4" s="34">
        <v>0</v>
      </c>
      <c r="V4" s="33" t="s">
        <v>138</v>
      </c>
      <c r="W4" s="34">
        <v>0</v>
      </c>
      <c r="X4" s="33" t="s">
        <v>138</v>
      </c>
    </row>
    <row r="5" spans="1:24" x14ac:dyDescent="0.3">
      <c r="A5" s="21" t="s">
        <v>29</v>
      </c>
      <c r="B5" s="19" t="s">
        <v>42</v>
      </c>
      <c r="C5" s="22" t="s">
        <v>167</v>
      </c>
      <c r="D5" s="12" t="str">
        <f ca="1">'TC11-Customer CO'!B2</f>
        <v>cAB11-2311001</v>
      </c>
      <c r="E5" s="12" t="s">
        <v>34</v>
      </c>
      <c r="F5" s="12">
        <v>5</v>
      </c>
      <c r="G5" s="12">
        <v>10</v>
      </c>
      <c r="H5" s="33">
        <f>'TC25-Customer Order Change'!C5</f>
        <v>1000</v>
      </c>
      <c r="I5" s="12">
        <v>10.5</v>
      </c>
      <c r="J5" s="12" t="s">
        <v>21</v>
      </c>
      <c r="K5" s="12" t="s">
        <v>202</v>
      </c>
      <c r="L5" s="12">
        <v>0</v>
      </c>
      <c r="M5" s="12">
        <v>0</v>
      </c>
      <c r="N5" s="12">
        <v>0</v>
      </c>
      <c r="O5" s="12">
        <v>0</v>
      </c>
      <c r="P5" s="33" t="s">
        <v>138</v>
      </c>
      <c r="Q5" s="33">
        <v>500</v>
      </c>
      <c r="R5" s="33" t="s">
        <v>138</v>
      </c>
      <c r="S5" s="33">
        <v>500</v>
      </c>
      <c r="T5" s="33" t="s">
        <v>138</v>
      </c>
      <c r="U5" s="34">
        <v>0</v>
      </c>
      <c r="V5" s="33" t="s">
        <v>138</v>
      </c>
      <c r="W5" s="34">
        <v>0</v>
      </c>
      <c r="X5" s="33" t="s">
        <v>138</v>
      </c>
    </row>
    <row r="6" spans="1:24" x14ac:dyDescent="0.3">
      <c r="A6" s="21" t="s">
        <v>30</v>
      </c>
      <c r="B6" s="19" t="s">
        <v>43</v>
      </c>
      <c r="C6" s="22" t="s">
        <v>168</v>
      </c>
      <c r="D6" s="12" t="str">
        <f ca="1">'TC11-Customer CO'!B2</f>
        <v>cAB11-2311001</v>
      </c>
      <c r="E6" s="12" t="s">
        <v>34</v>
      </c>
      <c r="F6" s="12">
        <v>10</v>
      </c>
      <c r="G6" s="12">
        <v>10</v>
      </c>
      <c r="H6" s="33">
        <f>'TC25-Customer Order Change'!C6</f>
        <v>1000</v>
      </c>
      <c r="I6" s="12">
        <v>10.5</v>
      </c>
      <c r="J6" s="12" t="s">
        <v>21</v>
      </c>
      <c r="K6" s="12" t="s">
        <v>202</v>
      </c>
      <c r="L6" s="12">
        <v>0</v>
      </c>
      <c r="M6" s="12">
        <v>0</v>
      </c>
      <c r="N6" s="12">
        <v>0</v>
      </c>
      <c r="O6" s="33">
        <v>1000</v>
      </c>
      <c r="P6" s="33" t="s">
        <v>138</v>
      </c>
      <c r="Q6" s="12">
        <v>0</v>
      </c>
      <c r="R6" s="33" t="s">
        <v>138</v>
      </c>
      <c r="S6" s="34">
        <v>0</v>
      </c>
      <c r="T6" s="33" t="s">
        <v>138</v>
      </c>
      <c r="U6" s="34">
        <v>0</v>
      </c>
      <c r="V6" s="33" t="s">
        <v>138</v>
      </c>
      <c r="W6" s="34">
        <v>0</v>
      </c>
      <c r="X6" s="33" t="s">
        <v>138</v>
      </c>
    </row>
    <row r="7" spans="1:24" x14ac:dyDescent="0.3">
      <c r="A7" s="21" t="s">
        <v>31</v>
      </c>
      <c r="B7" s="19" t="s">
        <v>44</v>
      </c>
      <c r="C7" s="22" t="s">
        <v>169</v>
      </c>
      <c r="D7" s="12" t="str">
        <f ca="1">'TC11-Customer CO'!B2</f>
        <v>cAB11-2311001</v>
      </c>
      <c r="E7" s="12" t="s">
        <v>34</v>
      </c>
      <c r="F7" s="12">
        <v>10</v>
      </c>
      <c r="G7" s="12">
        <v>10</v>
      </c>
      <c r="H7" s="33">
        <f>'TC25-Customer Order Change'!C7</f>
        <v>1000</v>
      </c>
      <c r="I7" s="12">
        <v>10.5</v>
      </c>
      <c r="J7" s="12" t="s">
        <v>21</v>
      </c>
      <c r="K7" s="12" t="s">
        <v>202</v>
      </c>
      <c r="L7" s="12">
        <v>0</v>
      </c>
      <c r="M7" s="12">
        <v>0</v>
      </c>
      <c r="N7" s="12">
        <v>0</v>
      </c>
      <c r="O7" s="12">
        <v>0</v>
      </c>
      <c r="P7" s="33" t="s">
        <v>138</v>
      </c>
      <c r="Q7" s="12">
        <v>0</v>
      </c>
      <c r="R7" s="33" t="s">
        <v>138</v>
      </c>
      <c r="S7" s="12">
        <v>0</v>
      </c>
      <c r="T7" s="33" t="s">
        <v>138</v>
      </c>
      <c r="U7" s="33">
        <v>1000</v>
      </c>
      <c r="V7" s="33" t="s">
        <v>138</v>
      </c>
      <c r="W7" s="34">
        <v>0</v>
      </c>
      <c r="X7" s="33" t="s">
        <v>138</v>
      </c>
    </row>
  </sheetData>
  <phoneticPr fontId="6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F6D6-565D-4C84-AB8E-51ADA624FC86}">
  <dimension ref="A1:S7"/>
  <sheetViews>
    <sheetView topLeftCell="E1" zoomScale="90" zoomScaleNormal="90" workbookViewId="0">
      <selection activeCell="O20" sqref="O20"/>
    </sheetView>
  </sheetViews>
  <sheetFormatPr defaultRowHeight="13.8" x14ac:dyDescent="0.3"/>
  <cols>
    <col min="1" max="2" width="25.77734375" style="2" customWidth="1" collapsed="1"/>
    <col min="3" max="19" width="15.77734375" style="2" customWidth="1" collapsed="1"/>
    <col min="20" max="16384" width="8.88671875" style="2" collapsed="1"/>
  </cols>
  <sheetData>
    <row r="1" spans="1:19" x14ac:dyDescent="0.3">
      <c r="A1" s="67" t="s">
        <v>128</v>
      </c>
      <c r="B1" s="67" t="s">
        <v>208</v>
      </c>
      <c r="C1" s="51" t="s">
        <v>129</v>
      </c>
      <c r="D1" s="67" t="s">
        <v>198</v>
      </c>
      <c r="E1" s="51" t="s">
        <v>158</v>
      </c>
      <c r="F1" s="51" t="s">
        <v>214</v>
      </c>
      <c r="G1" s="51" t="s">
        <v>132</v>
      </c>
      <c r="H1" s="51" t="s">
        <v>133</v>
      </c>
      <c r="I1" s="67" t="s">
        <v>199</v>
      </c>
      <c r="J1" s="51" t="s">
        <v>201</v>
      </c>
      <c r="K1" s="51" t="s">
        <v>10</v>
      </c>
      <c r="L1" s="51" t="s">
        <v>134</v>
      </c>
      <c r="M1" s="51" t="s">
        <v>203</v>
      </c>
      <c r="N1" s="51" t="s">
        <v>204</v>
      </c>
      <c r="O1" s="51" t="s">
        <v>206</v>
      </c>
      <c r="P1" s="51" t="s">
        <v>205</v>
      </c>
      <c r="Q1" s="51" t="s">
        <v>207</v>
      </c>
      <c r="R1" s="51" t="s">
        <v>325</v>
      </c>
      <c r="S1" s="51" t="s">
        <v>326</v>
      </c>
    </row>
    <row r="2" spans="1:19" x14ac:dyDescent="0.3">
      <c r="A2" s="21" t="s">
        <v>191</v>
      </c>
      <c r="B2" s="19" t="s">
        <v>145</v>
      </c>
      <c r="C2" s="22"/>
      <c r="D2" s="12" t="str">
        <f ca="1">'TC14-BU SO'!B2</f>
        <v>sAB11-2311001</v>
      </c>
      <c r="E2" s="12" t="s">
        <v>81</v>
      </c>
      <c r="F2" s="12" t="s">
        <v>81</v>
      </c>
      <c r="G2" s="12">
        <v>5</v>
      </c>
      <c r="H2" s="12">
        <v>10</v>
      </c>
      <c r="I2" s="33">
        <f>'TC25-Customer Order Change'!C2</f>
        <v>1100</v>
      </c>
      <c r="J2" s="12">
        <v>2</v>
      </c>
      <c r="K2" s="12" t="s">
        <v>21</v>
      </c>
      <c r="L2" s="12" t="s">
        <v>202</v>
      </c>
      <c r="M2" s="12">
        <v>0</v>
      </c>
      <c r="N2" s="33">
        <v>500</v>
      </c>
      <c r="O2" s="33" t="s">
        <v>138</v>
      </c>
      <c r="P2" s="33">
        <v>500</v>
      </c>
      <c r="Q2" s="33" t="s">
        <v>138</v>
      </c>
      <c r="R2" s="34">
        <v>100</v>
      </c>
      <c r="S2" s="33" t="s">
        <v>138</v>
      </c>
    </row>
    <row r="3" spans="1:19" x14ac:dyDescent="0.3">
      <c r="A3" s="21" t="s">
        <v>27</v>
      </c>
      <c r="B3" s="19" t="s">
        <v>40</v>
      </c>
      <c r="C3" s="22"/>
      <c r="D3" s="12" t="str">
        <f ca="1">'TC14-BU SO'!B2</f>
        <v>sAB11-2311001</v>
      </c>
      <c r="E3" s="12" t="s">
        <v>81</v>
      </c>
      <c r="F3" s="12" t="s">
        <v>81</v>
      </c>
      <c r="G3" s="12">
        <v>5</v>
      </c>
      <c r="H3" s="12">
        <v>10</v>
      </c>
      <c r="I3" s="33">
        <f>'TC25-Customer Order Change'!C3</f>
        <v>900</v>
      </c>
      <c r="J3" s="12">
        <v>2</v>
      </c>
      <c r="K3" s="12" t="s">
        <v>21</v>
      </c>
      <c r="L3" s="12" t="s">
        <v>202</v>
      </c>
      <c r="M3" s="12">
        <v>0</v>
      </c>
      <c r="N3" s="33">
        <v>500</v>
      </c>
      <c r="O3" s="33" t="s">
        <v>138</v>
      </c>
      <c r="P3" s="33">
        <v>400</v>
      </c>
      <c r="Q3" s="33" t="s">
        <v>138</v>
      </c>
      <c r="R3" s="12">
        <v>0</v>
      </c>
      <c r="S3" s="33" t="s">
        <v>138</v>
      </c>
    </row>
    <row r="4" spans="1:19" x14ac:dyDescent="0.3">
      <c r="A4" s="21" t="s">
        <v>28</v>
      </c>
      <c r="B4" s="19" t="s">
        <v>41</v>
      </c>
      <c r="C4" s="22"/>
      <c r="D4" s="12" t="str">
        <f ca="1">'TC14-BU SO'!B2</f>
        <v>sAB11-2311001</v>
      </c>
      <c r="E4" s="12" t="s">
        <v>81</v>
      </c>
      <c r="F4" s="12" t="s">
        <v>81</v>
      </c>
      <c r="G4" s="12">
        <v>5</v>
      </c>
      <c r="H4" s="12">
        <v>10</v>
      </c>
      <c r="I4" s="33">
        <f>'TC25-Customer Order Change'!C4</f>
        <v>1000</v>
      </c>
      <c r="J4" s="12">
        <v>2</v>
      </c>
      <c r="K4" s="12" t="s">
        <v>21</v>
      </c>
      <c r="L4" s="12" t="s">
        <v>202</v>
      </c>
      <c r="M4" s="12">
        <v>0</v>
      </c>
      <c r="N4" s="33">
        <v>500</v>
      </c>
      <c r="O4" s="33" t="s">
        <v>138</v>
      </c>
      <c r="P4" s="33">
        <v>500</v>
      </c>
      <c r="Q4" s="33" t="s">
        <v>138</v>
      </c>
      <c r="R4" s="12">
        <v>0</v>
      </c>
      <c r="S4" s="33" t="s">
        <v>138</v>
      </c>
    </row>
    <row r="5" spans="1:19" x14ac:dyDescent="0.3">
      <c r="A5" s="21" t="s">
        <v>29</v>
      </c>
      <c r="B5" s="19" t="s">
        <v>42</v>
      </c>
      <c r="C5" s="22"/>
      <c r="D5" s="12" t="str">
        <f ca="1">'TC14-BU SO'!B2</f>
        <v>sAB11-2311001</v>
      </c>
      <c r="E5" s="12" t="s">
        <v>81</v>
      </c>
      <c r="F5" s="12" t="s">
        <v>81</v>
      </c>
      <c r="G5" s="12">
        <v>5</v>
      </c>
      <c r="H5" s="12">
        <v>10</v>
      </c>
      <c r="I5" s="33">
        <f>'TC25-Customer Order Change'!C5</f>
        <v>1000</v>
      </c>
      <c r="J5" s="12">
        <v>2</v>
      </c>
      <c r="K5" s="12" t="s">
        <v>21</v>
      </c>
      <c r="L5" s="12" t="s">
        <v>202</v>
      </c>
      <c r="M5" s="12">
        <v>0</v>
      </c>
      <c r="N5" s="33">
        <v>500</v>
      </c>
      <c r="O5" s="33" t="s">
        <v>138</v>
      </c>
      <c r="P5" s="33">
        <v>500</v>
      </c>
      <c r="Q5" s="33" t="s">
        <v>138</v>
      </c>
      <c r="R5" s="12">
        <v>0</v>
      </c>
      <c r="S5" s="33" t="s">
        <v>138</v>
      </c>
    </row>
    <row r="6" spans="1:19" x14ac:dyDescent="0.3">
      <c r="A6" s="21" t="s">
        <v>30</v>
      </c>
      <c r="B6" s="19" t="s">
        <v>43</v>
      </c>
      <c r="C6" s="22"/>
      <c r="D6" s="12" t="str">
        <f ca="1">'TC14-BU SO'!B2</f>
        <v>sAB11-2311001</v>
      </c>
      <c r="E6" s="12" t="s">
        <v>81</v>
      </c>
      <c r="F6" s="12" t="s">
        <v>81</v>
      </c>
      <c r="G6" s="12">
        <v>10</v>
      </c>
      <c r="H6" s="12">
        <v>10</v>
      </c>
      <c r="I6" s="33">
        <f>'TC25-Customer Order Change'!C6</f>
        <v>1000</v>
      </c>
      <c r="J6" s="12">
        <v>2</v>
      </c>
      <c r="K6" s="12" t="s">
        <v>21</v>
      </c>
      <c r="L6" s="12" t="s">
        <v>202</v>
      </c>
      <c r="M6" s="12">
        <v>0</v>
      </c>
      <c r="N6" s="33">
        <v>1000</v>
      </c>
      <c r="O6" s="33" t="s">
        <v>138</v>
      </c>
      <c r="P6" s="12">
        <v>0</v>
      </c>
      <c r="Q6" s="33" t="s">
        <v>138</v>
      </c>
      <c r="R6" s="12">
        <v>0</v>
      </c>
      <c r="S6" s="33" t="s">
        <v>138</v>
      </c>
    </row>
    <row r="7" spans="1:19" x14ac:dyDescent="0.3">
      <c r="A7" s="21" t="s">
        <v>31</v>
      </c>
      <c r="B7" s="19" t="s">
        <v>44</v>
      </c>
      <c r="C7" s="22"/>
      <c r="D7" s="12" t="str">
        <f ca="1">'TC14-BU SO'!B2</f>
        <v>sAB11-2311001</v>
      </c>
      <c r="E7" s="12" t="s">
        <v>81</v>
      </c>
      <c r="F7" s="12" t="s">
        <v>81</v>
      </c>
      <c r="G7" s="12">
        <v>10</v>
      </c>
      <c r="H7" s="12">
        <v>10</v>
      </c>
      <c r="I7" s="33">
        <f>'TC25-Customer Order Change'!C7</f>
        <v>1000</v>
      </c>
      <c r="J7" s="12">
        <v>2</v>
      </c>
      <c r="K7" s="12" t="s">
        <v>21</v>
      </c>
      <c r="L7" s="12" t="s">
        <v>202</v>
      </c>
      <c r="M7" s="12">
        <v>0</v>
      </c>
      <c r="N7" s="12">
        <v>0</v>
      </c>
      <c r="O7" s="33" t="s">
        <v>138</v>
      </c>
      <c r="P7" s="33">
        <v>1000</v>
      </c>
      <c r="Q7" s="33" t="s">
        <v>138</v>
      </c>
      <c r="R7" s="12">
        <v>0</v>
      </c>
      <c r="S7" s="33" t="s">
        <v>138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H39" sqref="H39"/>
    </sheetView>
  </sheetViews>
  <sheetFormatPr defaultRowHeight="13.8" x14ac:dyDescent="0.3"/>
  <cols>
    <col min="1" max="1" width="4.77734375" style="2" customWidth="1" collapsed="1"/>
    <col min="2" max="2" width="25.77734375" style="2" customWidth="1" collapsed="1"/>
    <col min="3" max="16384" width="8.88671875" style="2" collapsed="1"/>
  </cols>
  <sheetData>
    <row r="1" spans="1:3" x14ac:dyDescent="0.3">
      <c r="A1" s="12" t="s">
        <v>0</v>
      </c>
      <c r="B1" s="67" t="s">
        <v>1</v>
      </c>
    </row>
    <row r="2" spans="1:3" x14ac:dyDescent="0.3">
      <c r="A2" s="12">
        <v>1</v>
      </c>
      <c r="B2" s="22" t="str">
        <f>"RequestPart-"&amp;'TC4'!H2</f>
        <v>RequestPart-AB-11</v>
      </c>
      <c r="C2" s="5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8027-9DBB-4FB0-90BC-C2CA75E22329}">
  <dimension ref="A1:X7"/>
  <sheetViews>
    <sheetView zoomScale="90" zoomScaleNormal="90" workbookViewId="0">
      <selection activeCell="F32" sqref="F32"/>
    </sheetView>
  </sheetViews>
  <sheetFormatPr defaultRowHeight="13.8" x14ac:dyDescent="0.3"/>
  <cols>
    <col min="1" max="2" width="25.77734375" style="2" customWidth="1" collapsed="1"/>
    <col min="3" max="24" width="15.77734375" style="2" customWidth="1" collapsed="1"/>
    <col min="25" max="16384" width="8.88671875" style="2" collapsed="1"/>
  </cols>
  <sheetData>
    <row r="1" spans="1:24" x14ac:dyDescent="0.3">
      <c r="A1" s="67" t="s">
        <v>128</v>
      </c>
      <c r="B1" s="67" t="s">
        <v>208</v>
      </c>
      <c r="C1" s="51" t="s">
        <v>129</v>
      </c>
      <c r="D1" s="67" t="s">
        <v>130</v>
      </c>
      <c r="E1" s="51" t="s">
        <v>209</v>
      </c>
      <c r="F1" s="51" t="s">
        <v>132</v>
      </c>
      <c r="G1" s="51" t="s">
        <v>133</v>
      </c>
      <c r="H1" s="67" t="s">
        <v>199</v>
      </c>
      <c r="I1" s="51" t="s">
        <v>201</v>
      </c>
      <c r="J1" s="51" t="s">
        <v>10</v>
      </c>
      <c r="K1" s="51" t="s">
        <v>134</v>
      </c>
      <c r="L1" s="51" t="s">
        <v>135</v>
      </c>
      <c r="M1" s="51" t="s">
        <v>136</v>
      </c>
      <c r="N1" s="51" t="s">
        <v>137</v>
      </c>
      <c r="O1" s="51" t="s">
        <v>204</v>
      </c>
      <c r="P1" s="51" t="s">
        <v>206</v>
      </c>
      <c r="Q1" s="51" t="s">
        <v>205</v>
      </c>
      <c r="R1" s="51" t="s">
        <v>207</v>
      </c>
      <c r="S1" s="51" t="s">
        <v>325</v>
      </c>
      <c r="T1" s="51" t="s">
        <v>326</v>
      </c>
      <c r="U1" s="51" t="s">
        <v>440</v>
      </c>
      <c r="V1" s="51" t="s">
        <v>441</v>
      </c>
      <c r="W1" s="51" t="s">
        <v>457</v>
      </c>
      <c r="X1" s="51" t="s">
        <v>458</v>
      </c>
    </row>
    <row r="2" spans="1:24" x14ac:dyDescent="0.3">
      <c r="A2" s="21" t="s">
        <v>191</v>
      </c>
      <c r="B2" s="19" t="s">
        <v>139</v>
      </c>
      <c r="C2" s="12"/>
      <c r="D2" s="12" t="str">
        <f ca="1">'TC15-BU PO'!B2</f>
        <v>pABs11-2311001</v>
      </c>
      <c r="E2" s="22" t="s">
        <v>34</v>
      </c>
      <c r="F2" s="12">
        <v>5</v>
      </c>
      <c r="G2" s="12">
        <v>10</v>
      </c>
      <c r="H2" s="33">
        <f>'TC25-Customer Order Change'!C2</f>
        <v>1100</v>
      </c>
      <c r="I2" s="12">
        <v>2</v>
      </c>
      <c r="J2" s="12" t="s">
        <v>21</v>
      </c>
      <c r="K2" s="12" t="s">
        <v>202</v>
      </c>
      <c r="L2" s="12">
        <v>0</v>
      </c>
      <c r="M2" s="12">
        <v>0</v>
      </c>
      <c r="N2" s="12">
        <v>0</v>
      </c>
      <c r="O2" s="33">
        <v>500</v>
      </c>
      <c r="P2" s="33" t="s">
        <v>138</v>
      </c>
      <c r="Q2" s="34">
        <v>500</v>
      </c>
      <c r="R2" s="33" t="s">
        <v>138</v>
      </c>
      <c r="S2" s="12">
        <v>0</v>
      </c>
      <c r="T2" s="33" t="s">
        <v>138</v>
      </c>
      <c r="U2" s="12">
        <v>0</v>
      </c>
      <c r="V2" s="33" t="s">
        <v>138</v>
      </c>
      <c r="W2" s="12">
        <v>100</v>
      </c>
      <c r="X2" s="33" t="s">
        <v>138</v>
      </c>
    </row>
    <row r="3" spans="1:24" x14ac:dyDescent="0.3">
      <c r="A3" s="21" t="s">
        <v>27</v>
      </c>
      <c r="B3" s="19" t="s">
        <v>140</v>
      </c>
      <c r="C3" s="12"/>
      <c r="D3" s="12" t="str">
        <f ca="1">'TC15-BU PO'!B2</f>
        <v>pABs11-2311001</v>
      </c>
      <c r="E3" s="22" t="s">
        <v>34</v>
      </c>
      <c r="F3" s="12">
        <v>5</v>
      </c>
      <c r="G3" s="12">
        <v>10</v>
      </c>
      <c r="H3" s="33">
        <f>'TC25-Customer Order Change'!C3</f>
        <v>900</v>
      </c>
      <c r="I3" s="12">
        <v>2</v>
      </c>
      <c r="J3" s="12" t="s">
        <v>21</v>
      </c>
      <c r="K3" s="12" t="s">
        <v>202</v>
      </c>
      <c r="L3" s="12">
        <v>0</v>
      </c>
      <c r="M3" s="12">
        <v>0</v>
      </c>
      <c r="N3" s="12">
        <v>0</v>
      </c>
      <c r="O3" s="33">
        <v>500</v>
      </c>
      <c r="P3" s="33" t="s">
        <v>138</v>
      </c>
      <c r="Q3" s="34">
        <v>400</v>
      </c>
      <c r="R3" s="33" t="s">
        <v>138</v>
      </c>
      <c r="S3" s="12">
        <v>0</v>
      </c>
      <c r="T3" s="33" t="s">
        <v>138</v>
      </c>
      <c r="U3" s="12">
        <v>0</v>
      </c>
      <c r="V3" s="33" t="s">
        <v>138</v>
      </c>
      <c r="W3" s="12">
        <v>0</v>
      </c>
      <c r="X3" s="33" t="s">
        <v>138</v>
      </c>
    </row>
    <row r="4" spans="1:24" x14ac:dyDescent="0.3">
      <c r="A4" s="21" t="s">
        <v>28</v>
      </c>
      <c r="B4" s="19" t="s">
        <v>141</v>
      </c>
      <c r="C4" s="12"/>
      <c r="D4" s="12" t="str">
        <f ca="1">'TC15-BU PO'!B2</f>
        <v>pABs11-2311001</v>
      </c>
      <c r="E4" s="22" t="s">
        <v>34</v>
      </c>
      <c r="F4" s="12">
        <v>5</v>
      </c>
      <c r="G4" s="12">
        <v>10</v>
      </c>
      <c r="H4" s="33">
        <f>'TC25-Customer Order Change'!C4</f>
        <v>1000</v>
      </c>
      <c r="I4" s="12">
        <v>2</v>
      </c>
      <c r="J4" s="12" t="s">
        <v>21</v>
      </c>
      <c r="K4" s="12" t="s">
        <v>202</v>
      </c>
      <c r="L4" s="12">
        <v>0</v>
      </c>
      <c r="M4" s="12">
        <v>0</v>
      </c>
      <c r="N4" s="12">
        <v>0</v>
      </c>
      <c r="O4" s="33">
        <v>500</v>
      </c>
      <c r="P4" s="33" t="s">
        <v>138</v>
      </c>
      <c r="Q4" s="34">
        <v>500</v>
      </c>
      <c r="R4" s="33" t="s">
        <v>138</v>
      </c>
      <c r="S4" s="12">
        <v>0</v>
      </c>
      <c r="T4" s="33" t="s">
        <v>138</v>
      </c>
      <c r="U4" s="12">
        <v>0</v>
      </c>
      <c r="V4" s="33" t="s">
        <v>138</v>
      </c>
      <c r="W4" s="12">
        <v>0</v>
      </c>
      <c r="X4" s="33" t="s">
        <v>138</v>
      </c>
    </row>
    <row r="5" spans="1:24" x14ac:dyDescent="0.3">
      <c r="A5" s="21" t="s">
        <v>29</v>
      </c>
      <c r="B5" s="19" t="s">
        <v>142</v>
      </c>
      <c r="C5" s="12"/>
      <c r="D5" s="12" t="str">
        <f ca="1">'TC15-BU PO'!B2</f>
        <v>pABs11-2311001</v>
      </c>
      <c r="E5" s="22" t="s">
        <v>34</v>
      </c>
      <c r="F5" s="12">
        <v>5</v>
      </c>
      <c r="G5" s="12">
        <v>10</v>
      </c>
      <c r="H5" s="33">
        <f>'TC25-Customer Order Change'!C5</f>
        <v>1000</v>
      </c>
      <c r="I5" s="12">
        <v>2</v>
      </c>
      <c r="J5" s="12" t="s">
        <v>21</v>
      </c>
      <c r="K5" s="12" t="s">
        <v>202</v>
      </c>
      <c r="L5" s="12">
        <v>0</v>
      </c>
      <c r="M5" s="12">
        <v>0</v>
      </c>
      <c r="N5" s="12">
        <v>0</v>
      </c>
      <c r="O5" s="12">
        <v>0</v>
      </c>
      <c r="P5" s="33" t="s">
        <v>138</v>
      </c>
      <c r="Q5" s="34">
        <v>500</v>
      </c>
      <c r="R5" s="33" t="s">
        <v>138</v>
      </c>
      <c r="S5" s="34">
        <v>500</v>
      </c>
      <c r="T5" s="33" t="s">
        <v>138</v>
      </c>
      <c r="U5" s="12">
        <v>0</v>
      </c>
      <c r="V5" s="33" t="s">
        <v>138</v>
      </c>
      <c r="W5" s="12">
        <v>0</v>
      </c>
      <c r="X5" s="33" t="s">
        <v>138</v>
      </c>
    </row>
    <row r="6" spans="1:24" x14ac:dyDescent="0.3">
      <c r="A6" s="21" t="s">
        <v>30</v>
      </c>
      <c r="B6" s="19" t="s">
        <v>143</v>
      </c>
      <c r="C6" s="12"/>
      <c r="D6" s="12" t="str">
        <f ca="1">'TC15-BU PO'!B2</f>
        <v>pABs11-2311001</v>
      </c>
      <c r="E6" s="22" t="s">
        <v>34</v>
      </c>
      <c r="F6" s="12">
        <v>10</v>
      </c>
      <c r="G6" s="12">
        <v>10</v>
      </c>
      <c r="H6" s="33">
        <f>'TC25-Customer Order Change'!C6</f>
        <v>1000</v>
      </c>
      <c r="I6" s="12">
        <v>2</v>
      </c>
      <c r="J6" s="12" t="s">
        <v>21</v>
      </c>
      <c r="K6" s="12" t="s">
        <v>202</v>
      </c>
      <c r="L6" s="12">
        <v>0</v>
      </c>
      <c r="M6" s="12">
        <v>0</v>
      </c>
      <c r="N6" s="12">
        <v>0</v>
      </c>
      <c r="O6" s="33">
        <v>1000</v>
      </c>
      <c r="P6" s="33" t="s">
        <v>138</v>
      </c>
      <c r="Q6" s="12">
        <v>0</v>
      </c>
      <c r="R6" s="33" t="s">
        <v>138</v>
      </c>
      <c r="S6" s="12">
        <v>0</v>
      </c>
      <c r="T6" s="33" t="s">
        <v>138</v>
      </c>
      <c r="U6" s="12">
        <v>0</v>
      </c>
      <c r="V6" s="33" t="s">
        <v>138</v>
      </c>
      <c r="W6" s="12">
        <v>0</v>
      </c>
      <c r="X6" s="33" t="s">
        <v>138</v>
      </c>
    </row>
    <row r="7" spans="1:24" x14ac:dyDescent="0.3">
      <c r="A7" s="21" t="s">
        <v>31</v>
      </c>
      <c r="B7" s="19" t="s">
        <v>144</v>
      </c>
      <c r="C7" s="12"/>
      <c r="D7" s="12" t="str">
        <f ca="1">'TC15-BU PO'!B2</f>
        <v>pABs11-2311001</v>
      </c>
      <c r="E7" s="22" t="s">
        <v>34</v>
      </c>
      <c r="F7" s="12">
        <v>10</v>
      </c>
      <c r="G7" s="12">
        <v>10</v>
      </c>
      <c r="H7" s="33">
        <f>'TC25-Customer Order Change'!C7</f>
        <v>1000</v>
      </c>
      <c r="I7" s="12">
        <v>2</v>
      </c>
      <c r="J7" s="12" t="s">
        <v>21</v>
      </c>
      <c r="K7" s="12" t="s">
        <v>202</v>
      </c>
      <c r="L7" s="12">
        <v>0</v>
      </c>
      <c r="M7" s="12">
        <v>0</v>
      </c>
      <c r="N7" s="12">
        <v>0</v>
      </c>
      <c r="O7" s="12">
        <v>0</v>
      </c>
      <c r="P7" s="33" t="s">
        <v>138</v>
      </c>
      <c r="Q7" s="12">
        <v>0</v>
      </c>
      <c r="R7" s="33" t="s">
        <v>138</v>
      </c>
      <c r="S7" s="12">
        <v>0</v>
      </c>
      <c r="T7" s="33" t="s">
        <v>138</v>
      </c>
      <c r="U7" s="33">
        <v>1000</v>
      </c>
      <c r="V7" s="33" t="s">
        <v>138</v>
      </c>
      <c r="W7" s="12">
        <v>0</v>
      </c>
      <c r="X7" s="33" t="s">
        <v>138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D69A-E4E5-4B06-9AF4-8414F30A27D9}">
  <dimension ref="A1:E2"/>
  <sheetViews>
    <sheetView zoomScale="90" zoomScaleNormal="90" workbookViewId="0">
      <selection activeCell="E1" sqref="A1:E1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5" x14ac:dyDescent="0.3">
      <c r="A1" s="51" t="s">
        <v>173</v>
      </c>
      <c r="B1" s="51" t="s">
        <v>174</v>
      </c>
      <c r="C1" s="51" t="s">
        <v>175</v>
      </c>
      <c r="D1" s="51" t="s">
        <v>291</v>
      </c>
      <c r="E1" s="51" t="s">
        <v>459</v>
      </c>
    </row>
    <row r="2" spans="1:5" x14ac:dyDescent="0.3">
      <c r="A2" s="12" t="str">
        <f ca="1">TEXT(DATE(YEAR(TODAY()), MONTH(TODAY())+1, DAY(TODAY())), "dd MMM yyyy")</f>
        <v>15 Dec 2023</v>
      </c>
      <c r="B2" s="12" t="str">
        <f ca="1">TEXT(DATE(YEAR(TODAY()), MONTH(TODAY())+2, DAY(TODAY())), "dd MMM yyyy")</f>
        <v>15 Jan 2024</v>
      </c>
      <c r="C2" s="12" t="str">
        <f ca="1">TEXT(DATE(YEAR(TODAY()), MONTH(TODAY())+3, DAY(TODAY())), "dd MMM yyyy")</f>
        <v>15 Feb 2024</v>
      </c>
      <c r="D2" s="12" t="str">
        <f ca="1">TEXT(DATE(YEAR(TODAY()), MONTH(TODAY())+4, DAY(TODAY())), "dd MMM yyyy")</f>
        <v>15 Mar 2024</v>
      </c>
      <c r="E2" s="12"/>
    </row>
  </sheetData>
  <phoneticPr fontId="6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8B0-8ABC-42B6-BDDD-C373C0238928}">
  <dimension ref="A1:H7"/>
  <sheetViews>
    <sheetView zoomScale="90" zoomScaleNormal="90" workbookViewId="0">
      <selection activeCell="E12" sqref="E12"/>
    </sheetView>
  </sheetViews>
  <sheetFormatPr defaultRowHeight="13.8" x14ac:dyDescent="0.3"/>
  <cols>
    <col min="1" max="1" width="4.77734375" style="2" customWidth="1" collapsed="1"/>
    <col min="2" max="2" width="25.77734375" style="2" customWidth="1" collapsed="1"/>
    <col min="3" max="8" width="15.77734375" style="2" customWidth="1" collapsed="1"/>
    <col min="9" max="16384" width="8.88671875" style="2" collapsed="1"/>
  </cols>
  <sheetData>
    <row r="1" spans="1:8" x14ac:dyDescent="0.3">
      <c r="A1" s="12" t="s">
        <v>0</v>
      </c>
      <c r="B1" s="67" t="s">
        <v>25</v>
      </c>
      <c r="C1" s="51" t="s">
        <v>172</v>
      </c>
      <c r="D1" s="51" t="s">
        <v>173</v>
      </c>
      <c r="E1" s="51" t="s">
        <v>174</v>
      </c>
      <c r="F1" s="51" t="s">
        <v>175</v>
      </c>
      <c r="G1" s="51" t="s">
        <v>291</v>
      </c>
      <c r="H1" s="51" t="s">
        <v>459</v>
      </c>
    </row>
    <row r="2" spans="1:8" x14ac:dyDescent="0.3">
      <c r="A2" s="25">
        <v>1</v>
      </c>
      <c r="B2" s="21" t="s">
        <v>26</v>
      </c>
      <c r="C2" s="33">
        <v>1000</v>
      </c>
      <c r="D2" s="33">
        <v>500</v>
      </c>
      <c r="E2" s="33">
        <v>500</v>
      </c>
      <c r="F2" s="12"/>
      <c r="G2" s="12"/>
      <c r="H2" s="12"/>
    </row>
    <row r="3" spans="1:8" x14ac:dyDescent="0.3">
      <c r="A3" s="25">
        <v>2</v>
      </c>
      <c r="B3" s="21" t="s">
        <v>27</v>
      </c>
      <c r="C3" s="33">
        <v>800</v>
      </c>
      <c r="D3" s="12"/>
      <c r="E3" s="33">
        <v>800</v>
      </c>
      <c r="F3" s="12"/>
      <c r="G3" s="12"/>
      <c r="H3" s="12"/>
    </row>
    <row r="4" spans="1:8" x14ac:dyDescent="0.3">
      <c r="A4" s="12">
        <v>3</v>
      </c>
      <c r="B4" s="21" t="s">
        <v>28</v>
      </c>
      <c r="C4" s="33">
        <v>900</v>
      </c>
      <c r="D4" s="33">
        <v>500</v>
      </c>
      <c r="E4" s="33">
        <v>400</v>
      </c>
      <c r="F4" s="12"/>
      <c r="G4" s="12"/>
      <c r="H4" s="12"/>
    </row>
    <row r="5" spans="1:8" x14ac:dyDescent="0.3">
      <c r="A5" s="25">
        <v>4</v>
      </c>
      <c r="B5" s="21" t="s">
        <v>29</v>
      </c>
      <c r="C5" s="33">
        <v>1200</v>
      </c>
      <c r="D5" s="33">
        <v>1000</v>
      </c>
      <c r="E5" s="12"/>
      <c r="F5" s="12"/>
      <c r="G5" s="33">
        <v>200</v>
      </c>
      <c r="H5" s="33"/>
    </row>
    <row r="6" spans="1:8" x14ac:dyDescent="0.3">
      <c r="A6" s="25">
        <v>5</v>
      </c>
      <c r="B6" s="21" t="s">
        <v>30</v>
      </c>
      <c r="C6" s="33">
        <v>1000</v>
      </c>
      <c r="D6" s="33">
        <v>500</v>
      </c>
      <c r="E6" s="33">
        <v>500</v>
      </c>
      <c r="F6" s="12"/>
      <c r="G6" s="12"/>
      <c r="H6" s="12"/>
    </row>
    <row r="7" spans="1:8" x14ac:dyDescent="0.3">
      <c r="A7" s="25">
        <v>6</v>
      </c>
      <c r="B7" s="21" t="s">
        <v>31</v>
      </c>
      <c r="C7" s="33">
        <v>1100</v>
      </c>
      <c r="D7" s="33">
        <v>500</v>
      </c>
      <c r="E7" s="33">
        <v>500</v>
      </c>
      <c r="F7" s="33">
        <v>100</v>
      </c>
      <c r="G7" s="12"/>
      <c r="H7" s="1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060D-3EB1-4D52-AF9A-FDEBDE974A12}">
  <dimension ref="A1:A2"/>
  <sheetViews>
    <sheetView workbookViewId="0"/>
  </sheetViews>
  <sheetFormatPr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79" t="s">
        <v>102</v>
      </c>
    </row>
    <row r="2" spans="1:1" x14ac:dyDescent="0.3">
      <c r="A2" s="12" t="str">
        <f ca="1">"rs"&amp;AutoIncrement!C2&amp;AutoIncrement!A2&amp;"-23"&amp;TEXT(TODAY(),"mm")&amp;"001-01"</f>
        <v>rsABs11-2311001-01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7D49-70C3-401C-97E6-E9D888543863}">
  <dimension ref="A1:V7"/>
  <sheetViews>
    <sheetView topLeftCell="D1" zoomScale="90" zoomScaleNormal="90" workbookViewId="0">
      <selection activeCell="J2" sqref="J2"/>
    </sheetView>
  </sheetViews>
  <sheetFormatPr defaultRowHeight="13.8" x14ac:dyDescent="0.3"/>
  <cols>
    <col min="1" max="2" width="25.77734375" style="2" customWidth="1" collapsed="1"/>
    <col min="3" max="22" width="15.77734375" style="2" customWidth="1" collapsed="1"/>
    <col min="23" max="16384" width="8.88671875" style="2" collapsed="1"/>
  </cols>
  <sheetData>
    <row r="1" spans="1:22" x14ac:dyDescent="0.3">
      <c r="A1" s="67" t="s">
        <v>128</v>
      </c>
      <c r="B1" s="67" t="s">
        <v>197</v>
      </c>
      <c r="C1" s="51" t="s">
        <v>129</v>
      </c>
      <c r="D1" s="51" t="s">
        <v>179</v>
      </c>
      <c r="E1" s="51" t="s">
        <v>192</v>
      </c>
      <c r="F1" s="51" t="s">
        <v>180</v>
      </c>
      <c r="G1" s="51" t="s">
        <v>132</v>
      </c>
      <c r="H1" s="51" t="s">
        <v>133</v>
      </c>
      <c r="I1" s="67" t="s">
        <v>181</v>
      </c>
      <c r="J1" s="67" t="s">
        <v>182</v>
      </c>
      <c r="K1" s="51" t="s">
        <v>183</v>
      </c>
      <c r="L1" s="51" t="s">
        <v>184</v>
      </c>
      <c r="M1" s="51" t="s">
        <v>185</v>
      </c>
      <c r="N1" s="51" t="s">
        <v>334</v>
      </c>
      <c r="O1" s="51" t="s">
        <v>335</v>
      </c>
      <c r="P1" s="51" t="s">
        <v>336</v>
      </c>
      <c r="Q1" s="51" t="s">
        <v>337</v>
      </c>
      <c r="R1" s="51" t="s">
        <v>460</v>
      </c>
      <c r="S1" s="51" t="s">
        <v>338</v>
      </c>
      <c r="T1" s="51" t="s">
        <v>339</v>
      </c>
      <c r="U1" s="51" t="s">
        <v>340</v>
      </c>
      <c r="V1" s="51" t="s">
        <v>461</v>
      </c>
    </row>
    <row r="2" spans="1:22" x14ac:dyDescent="0.3">
      <c r="A2" s="21" t="s">
        <v>191</v>
      </c>
      <c r="B2" s="13" t="s">
        <v>139</v>
      </c>
      <c r="C2" s="22"/>
      <c r="D2" s="12"/>
      <c r="E2" s="21"/>
      <c r="F2" s="12" t="s">
        <v>193</v>
      </c>
      <c r="G2" s="12">
        <v>5</v>
      </c>
      <c r="H2" s="12">
        <v>10</v>
      </c>
      <c r="I2" s="33">
        <f>'TC25-Customer Order Change'!C2</f>
        <v>1100</v>
      </c>
      <c r="J2" s="33">
        <f>'TC33-New Firm Qty'!C2</f>
        <v>1000</v>
      </c>
      <c r="K2" s="12">
        <v>0</v>
      </c>
      <c r="L2" s="12" t="s">
        <v>196</v>
      </c>
      <c r="M2" s="12"/>
      <c r="N2" s="33">
        <v>500</v>
      </c>
      <c r="O2" s="33">
        <v>500</v>
      </c>
      <c r="P2" s="33"/>
      <c r="Q2" s="33"/>
      <c r="R2" s="33">
        <v>100</v>
      </c>
      <c r="S2" s="33">
        <v>500</v>
      </c>
      <c r="T2" s="33">
        <v>500</v>
      </c>
      <c r="U2" s="12"/>
      <c r="V2" s="12"/>
    </row>
    <row r="3" spans="1:22" x14ac:dyDescent="0.3">
      <c r="A3" s="21" t="s">
        <v>27</v>
      </c>
      <c r="B3" s="13" t="s">
        <v>140</v>
      </c>
      <c r="C3" s="22"/>
      <c r="D3" s="12"/>
      <c r="E3" s="21"/>
      <c r="F3" s="12" t="s">
        <v>194</v>
      </c>
      <c r="G3" s="12">
        <v>5</v>
      </c>
      <c r="H3" s="12">
        <v>10</v>
      </c>
      <c r="I3" s="33">
        <f>'TC25-Customer Order Change'!C3</f>
        <v>900</v>
      </c>
      <c r="J3" s="33">
        <f>'TC33-New Firm Qty'!C3</f>
        <v>800</v>
      </c>
      <c r="K3" s="12">
        <v>0</v>
      </c>
      <c r="L3" s="12" t="s">
        <v>196</v>
      </c>
      <c r="M3" s="12"/>
      <c r="N3" s="33">
        <v>500</v>
      </c>
      <c r="O3" s="33">
        <v>400</v>
      </c>
      <c r="P3" s="33"/>
      <c r="Q3" s="12"/>
      <c r="R3" s="12"/>
      <c r="S3" s="33"/>
      <c r="T3" s="33">
        <v>800</v>
      </c>
      <c r="U3" s="12"/>
      <c r="V3" s="12"/>
    </row>
    <row r="4" spans="1:22" x14ac:dyDescent="0.3">
      <c r="A4" s="21" t="s">
        <v>28</v>
      </c>
      <c r="B4" s="13" t="s">
        <v>141</v>
      </c>
      <c r="C4" s="22"/>
      <c r="D4" s="12"/>
      <c r="E4" s="21"/>
      <c r="F4" s="12" t="s">
        <v>195</v>
      </c>
      <c r="G4" s="12">
        <v>5</v>
      </c>
      <c r="H4" s="12">
        <v>10</v>
      </c>
      <c r="I4" s="33">
        <f>'TC25-Customer Order Change'!C4</f>
        <v>1000</v>
      </c>
      <c r="J4" s="33">
        <f>'TC33-New Firm Qty'!C4</f>
        <v>900</v>
      </c>
      <c r="K4" s="12">
        <v>0</v>
      </c>
      <c r="L4" s="12" t="s">
        <v>196</v>
      </c>
      <c r="M4" s="12"/>
      <c r="N4" s="33">
        <v>500</v>
      </c>
      <c r="O4" s="33">
        <v>500</v>
      </c>
      <c r="P4" s="33"/>
      <c r="Q4" s="33"/>
      <c r="R4" s="33"/>
      <c r="S4" s="33">
        <v>500</v>
      </c>
      <c r="T4" s="33">
        <v>400</v>
      </c>
      <c r="U4" s="12"/>
      <c r="V4" s="12"/>
    </row>
    <row r="5" spans="1:22" x14ac:dyDescent="0.3">
      <c r="A5" s="21" t="s">
        <v>29</v>
      </c>
      <c r="B5" s="13" t="s">
        <v>142</v>
      </c>
      <c r="C5" s="22"/>
      <c r="D5" s="12"/>
      <c r="E5" s="21"/>
      <c r="F5" s="12" t="s">
        <v>270</v>
      </c>
      <c r="G5" s="12">
        <v>5</v>
      </c>
      <c r="H5" s="12">
        <v>10</v>
      </c>
      <c r="I5" s="33">
        <f>'TC25-Customer Order Change'!C5</f>
        <v>1000</v>
      </c>
      <c r="J5" s="33">
        <f>'TC33-New Firm Qty'!C5</f>
        <v>1200</v>
      </c>
      <c r="K5" s="12">
        <v>0</v>
      </c>
      <c r="L5" s="12" t="s">
        <v>196</v>
      </c>
      <c r="M5" s="12"/>
      <c r="N5" s="33"/>
      <c r="O5" s="33">
        <v>500</v>
      </c>
      <c r="P5" s="33">
        <v>500</v>
      </c>
      <c r="Q5" s="33"/>
      <c r="R5" s="33"/>
      <c r="S5" s="33">
        <v>1000</v>
      </c>
      <c r="T5" s="33"/>
      <c r="U5" s="12"/>
      <c r="V5" s="12">
        <v>200</v>
      </c>
    </row>
    <row r="6" spans="1:22" x14ac:dyDescent="0.3">
      <c r="A6" s="21" t="s">
        <v>152</v>
      </c>
      <c r="B6" s="13" t="s">
        <v>143</v>
      </c>
      <c r="C6" s="22"/>
      <c r="D6" s="12"/>
      <c r="E6" s="12"/>
      <c r="F6" s="12" t="s">
        <v>195</v>
      </c>
      <c r="G6" s="12">
        <v>10</v>
      </c>
      <c r="H6" s="12">
        <v>10</v>
      </c>
      <c r="I6" s="33">
        <f>'TC25-Customer Order Change'!C6</f>
        <v>1000</v>
      </c>
      <c r="J6" s="33">
        <f>'TC33-New Firm Qty'!C6</f>
        <v>1000</v>
      </c>
      <c r="K6" s="12">
        <v>0</v>
      </c>
      <c r="L6" s="12" t="s">
        <v>196</v>
      </c>
      <c r="M6" s="12"/>
      <c r="N6" s="33">
        <v>1000</v>
      </c>
      <c r="O6" s="33"/>
      <c r="P6" s="33"/>
      <c r="Q6" s="33"/>
      <c r="R6" s="33"/>
      <c r="S6" s="33">
        <v>500</v>
      </c>
      <c r="T6" s="33">
        <v>500</v>
      </c>
      <c r="U6" s="33"/>
      <c r="V6" s="12"/>
    </row>
    <row r="7" spans="1:22" x14ac:dyDescent="0.3">
      <c r="A7" s="21" t="s">
        <v>268</v>
      </c>
      <c r="B7" s="13" t="s">
        <v>144</v>
      </c>
      <c r="C7" s="22"/>
      <c r="D7" s="12"/>
      <c r="E7" s="12"/>
      <c r="F7" s="12" t="s">
        <v>195</v>
      </c>
      <c r="G7" s="12">
        <v>10</v>
      </c>
      <c r="H7" s="12">
        <v>10</v>
      </c>
      <c r="I7" s="33">
        <f>'TC25-Customer Order Change'!C7</f>
        <v>1000</v>
      </c>
      <c r="J7" s="33">
        <f>'TC33-New Firm Qty'!C7</f>
        <v>1100</v>
      </c>
      <c r="K7" s="12">
        <v>0</v>
      </c>
      <c r="L7" s="12" t="s">
        <v>196</v>
      </c>
      <c r="M7" s="12"/>
      <c r="N7" s="33"/>
      <c r="O7" s="33"/>
      <c r="P7" s="33"/>
      <c r="Q7" s="33">
        <v>1000</v>
      </c>
      <c r="R7" s="33"/>
      <c r="S7" s="33">
        <v>500</v>
      </c>
      <c r="T7" s="33">
        <v>500</v>
      </c>
      <c r="U7" s="33">
        <v>100</v>
      </c>
      <c r="V7" s="12"/>
    </row>
  </sheetData>
  <phoneticPr fontId="6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2DFF-227A-43C8-9477-ADF9903AD82A}">
  <dimension ref="A1:W7"/>
  <sheetViews>
    <sheetView zoomScale="90" zoomScaleNormal="90" workbookViewId="0">
      <selection activeCell="K34" sqref="K34"/>
    </sheetView>
  </sheetViews>
  <sheetFormatPr defaultRowHeight="13.8" x14ac:dyDescent="0.3"/>
  <cols>
    <col min="1" max="2" width="25.77734375" style="2" customWidth="1" collapsed="1"/>
    <col min="3" max="23" width="15.77734375" style="2" customWidth="1" collapsed="1"/>
    <col min="24" max="16384" width="8.88671875" style="2" collapsed="1"/>
  </cols>
  <sheetData>
    <row r="1" spans="1:23" x14ac:dyDescent="0.3">
      <c r="A1" s="67" t="s">
        <v>128</v>
      </c>
      <c r="B1" s="67" t="s">
        <v>197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51" t="s">
        <v>186</v>
      </c>
      <c r="P1" s="51" t="s">
        <v>187</v>
      </c>
      <c r="Q1" s="51" t="s">
        <v>292</v>
      </c>
      <c r="R1" s="51" t="s">
        <v>341</v>
      </c>
      <c r="S1" s="51" t="s">
        <v>342</v>
      </c>
      <c r="T1" s="51" t="s">
        <v>188</v>
      </c>
      <c r="U1" s="51" t="s">
        <v>189</v>
      </c>
      <c r="V1" s="51" t="s">
        <v>190</v>
      </c>
      <c r="W1" s="51" t="s">
        <v>293</v>
      </c>
    </row>
    <row r="2" spans="1:23" x14ac:dyDescent="0.3">
      <c r="A2" s="21" t="s">
        <v>191</v>
      </c>
      <c r="B2" s="13" t="s">
        <v>114</v>
      </c>
      <c r="C2" s="22" t="s">
        <v>164</v>
      </c>
      <c r="D2" s="22" t="s">
        <v>81</v>
      </c>
      <c r="E2" s="12"/>
      <c r="F2" s="21"/>
      <c r="G2" s="12" t="s">
        <v>193</v>
      </c>
      <c r="H2" s="12">
        <v>5</v>
      </c>
      <c r="I2" s="12">
        <v>10</v>
      </c>
      <c r="J2" s="33">
        <f>'TC25-Customer Order Change'!C2</f>
        <v>1100</v>
      </c>
      <c r="K2" s="33">
        <f>'TC33-New Firm Qty'!C2</f>
        <v>1000</v>
      </c>
      <c r="L2" s="12">
        <v>0</v>
      </c>
      <c r="M2" s="12" t="s">
        <v>196</v>
      </c>
      <c r="N2" s="12"/>
      <c r="O2" s="33">
        <v>500</v>
      </c>
      <c r="P2" s="33">
        <v>500</v>
      </c>
      <c r="Q2" s="33"/>
      <c r="R2" s="12"/>
      <c r="S2" s="12">
        <v>100</v>
      </c>
      <c r="T2" s="33">
        <v>500</v>
      </c>
      <c r="U2" s="33">
        <v>500</v>
      </c>
      <c r="V2" s="33"/>
      <c r="W2" s="33"/>
    </row>
    <row r="3" spans="1:23" x14ac:dyDescent="0.3">
      <c r="A3" s="21" t="s">
        <v>27</v>
      </c>
      <c r="B3" s="13" t="s">
        <v>40</v>
      </c>
      <c r="C3" s="22" t="s">
        <v>165</v>
      </c>
      <c r="D3" s="22" t="s">
        <v>81</v>
      </c>
      <c r="E3" s="12"/>
      <c r="F3" s="21"/>
      <c r="G3" s="12" t="s">
        <v>194</v>
      </c>
      <c r="H3" s="12">
        <v>5</v>
      </c>
      <c r="I3" s="12">
        <v>10</v>
      </c>
      <c r="J3" s="33">
        <f>'TC25-Customer Order Change'!C3</f>
        <v>900</v>
      </c>
      <c r="K3" s="33">
        <f>'TC33-New Firm Qty'!C3</f>
        <v>800</v>
      </c>
      <c r="L3" s="12">
        <v>0</v>
      </c>
      <c r="M3" s="12" t="s">
        <v>196</v>
      </c>
      <c r="N3" s="12"/>
      <c r="O3" s="33">
        <v>500</v>
      </c>
      <c r="P3" s="33">
        <v>400</v>
      </c>
      <c r="Q3" s="33"/>
      <c r="R3" s="12"/>
      <c r="S3" s="12"/>
      <c r="T3" s="33"/>
      <c r="U3" s="33">
        <v>800</v>
      </c>
      <c r="V3" s="33"/>
      <c r="W3" s="12"/>
    </row>
    <row r="4" spans="1:23" x14ac:dyDescent="0.3">
      <c r="A4" s="21" t="s">
        <v>28</v>
      </c>
      <c r="B4" s="13" t="s">
        <v>41</v>
      </c>
      <c r="C4" s="22" t="s">
        <v>166</v>
      </c>
      <c r="D4" s="22" t="s">
        <v>81</v>
      </c>
      <c r="E4" s="12"/>
      <c r="F4" s="21"/>
      <c r="G4" s="12" t="s">
        <v>195</v>
      </c>
      <c r="H4" s="12">
        <v>5</v>
      </c>
      <c r="I4" s="12">
        <v>10</v>
      </c>
      <c r="J4" s="33">
        <f>'TC25-Customer Order Change'!C4</f>
        <v>1000</v>
      </c>
      <c r="K4" s="33">
        <f>'TC33-New Firm Qty'!C4</f>
        <v>900</v>
      </c>
      <c r="L4" s="12">
        <v>0</v>
      </c>
      <c r="M4" s="12" t="s">
        <v>196</v>
      </c>
      <c r="N4" s="12"/>
      <c r="O4" s="33">
        <v>500</v>
      </c>
      <c r="P4" s="33">
        <v>500</v>
      </c>
      <c r="Q4" s="33"/>
      <c r="R4" s="12"/>
      <c r="S4" s="12"/>
      <c r="T4" s="33">
        <v>500</v>
      </c>
      <c r="U4" s="33">
        <v>400</v>
      </c>
      <c r="V4" s="33"/>
      <c r="W4" s="12"/>
    </row>
    <row r="5" spans="1:23" x14ac:dyDescent="0.3">
      <c r="A5" s="21" t="s">
        <v>29</v>
      </c>
      <c r="B5" s="13" t="s">
        <v>42</v>
      </c>
      <c r="C5" s="22" t="s">
        <v>167</v>
      </c>
      <c r="D5" s="22" t="s">
        <v>81</v>
      </c>
      <c r="E5" s="12"/>
      <c r="F5" s="21"/>
      <c r="G5" s="12" t="s">
        <v>270</v>
      </c>
      <c r="H5" s="12">
        <v>5</v>
      </c>
      <c r="I5" s="12">
        <v>10</v>
      </c>
      <c r="J5" s="33">
        <f>'TC25-Customer Order Change'!C5</f>
        <v>1000</v>
      </c>
      <c r="K5" s="33">
        <f>'TC33-New Firm Qty'!C5</f>
        <v>1200</v>
      </c>
      <c r="L5" s="12">
        <v>0</v>
      </c>
      <c r="M5" s="12" t="s">
        <v>196</v>
      </c>
      <c r="N5" s="12"/>
      <c r="O5" s="33"/>
      <c r="P5" s="33">
        <v>500</v>
      </c>
      <c r="Q5" s="33">
        <v>500</v>
      </c>
      <c r="R5" s="12"/>
      <c r="S5" s="12"/>
      <c r="T5" s="33">
        <v>1000</v>
      </c>
      <c r="U5" s="33"/>
      <c r="V5" s="33"/>
      <c r="W5" s="12">
        <v>200</v>
      </c>
    </row>
    <row r="6" spans="1:23" x14ac:dyDescent="0.3">
      <c r="A6" s="21" t="s">
        <v>152</v>
      </c>
      <c r="B6" s="13" t="s">
        <v>43</v>
      </c>
      <c r="C6" s="22" t="s">
        <v>168</v>
      </c>
      <c r="D6" s="22" t="s">
        <v>81</v>
      </c>
      <c r="E6" s="12"/>
      <c r="F6" s="12"/>
      <c r="G6" s="12" t="s">
        <v>195</v>
      </c>
      <c r="H6" s="12">
        <v>10</v>
      </c>
      <c r="I6" s="12">
        <v>10</v>
      </c>
      <c r="J6" s="33">
        <f>'TC25-Customer Order Change'!C6</f>
        <v>1000</v>
      </c>
      <c r="K6" s="33">
        <f>'TC33-New Firm Qty'!C6</f>
        <v>1000</v>
      </c>
      <c r="L6" s="12">
        <v>0</v>
      </c>
      <c r="M6" s="12" t="s">
        <v>196</v>
      </c>
      <c r="N6" s="12"/>
      <c r="O6" s="33">
        <v>1000</v>
      </c>
      <c r="P6" s="33"/>
      <c r="Q6" s="33"/>
      <c r="R6" s="12"/>
      <c r="S6" s="12"/>
      <c r="T6" s="33">
        <v>500</v>
      </c>
      <c r="U6" s="33">
        <v>500</v>
      </c>
      <c r="V6" s="33"/>
      <c r="W6" s="12"/>
    </row>
    <row r="7" spans="1:23" x14ac:dyDescent="0.3">
      <c r="A7" s="21" t="s">
        <v>268</v>
      </c>
      <c r="B7" s="13" t="s">
        <v>44</v>
      </c>
      <c r="C7" s="22" t="s">
        <v>169</v>
      </c>
      <c r="D7" s="22" t="s">
        <v>81</v>
      </c>
      <c r="E7" s="12"/>
      <c r="F7" s="12"/>
      <c r="G7" s="12" t="s">
        <v>195</v>
      </c>
      <c r="H7" s="12">
        <v>10</v>
      </c>
      <c r="I7" s="12">
        <v>10</v>
      </c>
      <c r="J7" s="33">
        <f>'TC25-Customer Order Change'!C7</f>
        <v>1000</v>
      </c>
      <c r="K7" s="33">
        <f>'TC33-New Firm Qty'!C7</f>
        <v>1100</v>
      </c>
      <c r="L7" s="12">
        <v>0</v>
      </c>
      <c r="M7" s="12" t="s">
        <v>196</v>
      </c>
      <c r="N7" s="12"/>
      <c r="O7" s="33"/>
      <c r="P7" s="33"/>
      <c r="Q7" s="33"/>
      <c r="R7" s="33">
        <v>1000</v>
      </c>
      <c r="S7" s="12"/>
      <c r="T7" s="33">
        <v>500</v>
      </c>
      <c r="U7" s="33">
        <v>500</v>
      </c>
      <c r="V7" s="33">
        <v>100</v>
      </c>
      <c r="W7" s="12"/>
    </row>
  </sheetData>
  <phoneticPr fontId="6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D75-D8FC-4DC9-9657-3CCEA1DADDC8}">
  <dimension ref="A1:AD7"/>
  <sheetViews>
    <sheetView topLeftCell="J1" zoomScale="80" zoomScaleNormal="80" workbookViewId="0">
      <selection activeCell="J30" sqref="J30"/>
    </sheetView>
  </sheetViews>
  <sheetFormatPr defaultRowHeight="13.8" x14ac:dyDescent="0.3"/>
  <cols>
    <col min="1" max="2" width="25.77734375" style="2" customWidth="1" collapsed="1"/>
    <col min="3" max="5" width="15.77734375" style="2" customWidth="1" collapsed="1"/>
    <col min="6" max="6" width="25.77734375" style="2" customWidth="1" collapsed="1"/>
    <col min="7" max="30" width="15.77734375" style="2" customWidth="1" collapsed="1"/>
    <col min="31" max="16384" width="8.88671875" style="2" collapsed="1"/>
  </cols>
  <sheetData>
    <row r="1" spans="1:30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51" t="s">
        <v>186</v>
      </c>
      <c r="P1" s="51" t="s">
        <v>187</v>
      </c>
      <c r="Q1" s="51" t="s">
        <v>292</v>
      </c>
      <c r="R1" s="51" t="s">
        <v>188</v>
      </c>
      <c r="S1" s="51" t="s">
        <v>189</v>
      </c>
      <c r="T1" s="51" t="s">
        <v>190</v>
      </c>
      <c r="U1" s="51" t="s">
        <v>293</v>
      </c>
      <c r="V1" s="51" t="s">
        <v>294</v>
      </c>
      <c r="W1" s="51" t="s">
        <v>295</v>
      </c>
      <c r="X1" s="51" t="s">
        <v>296</v>
      </c>
      <c r="Y1" s="51" t="s">
        <v>462</v>
      </c>
      <c r="Z1" s="51" t="s">
        <v>463</v>
      </c>
      <c r="AA1" s="51" t="s">
        <v>297</v>
      </c>
      <c r="AB1" s="51" t="s">
        <v>298</v>
      </c>
      <c r="AC1" s="51" t="s">
        <v>299</v>
      </c>
      <c r="AD1" s="51" t="s">
        <v>300</v>
      </c>
    </row>
    <row r="2" spans="1:30" x14ac:dyDescent="0.3">
      <c r="A2" s="21" t="s">
        <v>191</v>
      </c>
      <c r="B2" s="13" t="s">
        <v>160</v>
      </c>
      <c r="C2" s="22" t="s">
        <v>164</v>
      </c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>
        <f>'TC25-Customer Order Change'!C2</f>
        <v>1100</v>
      </c>
      <c r="K2" s="33">
        <f>'TC33-New Firm Qty'!C2</f>
        <v>1000</v>
      </c>
      <c r="L2" s="12">
        <v>0</v>
      </c>
      <c r="M2" s="12" t="s">
        <v>196</v>
      </c>
      <c r="N2" s="12"/>
      <c r="O2" s="33">
        <v>500</v>
      </c>
      <c r="P2" s="33">
        <v>500</v>
      </c>
      <c r="Q2" s="33">
        <v>100</v>
      </c>
      <c r="R2" s="33">
        <v>500</v>
      </c>
      <c r="S2" s="33">
        <v>500</v>
      </c>
      <c r="T2" s="33"/>
      <c r="U2" s="33"/>
      <c r="V2" s="33">
        <v>500</v>
      </c>
      <c r="W2" s="33">
        <v>500</v>
      </c>
      <c r="X2" s="33"/>
      <c r="Y2" s="33"/>
      <c r="Z2" s="12">
        <v>100</v>
      </c>
      <c r="AA2" s="33">
        <v>500</v>
      </c>
      <c r="AB2" s="33">
        <v>500</v>
      </c>
      <c r="AC2" s="33"/>
      <c r="AD2" s="33"/>
    </row>
    <row r="3" spans="1:30" x14ac:dyDescent="0.3">
      <c r="A3" s="21" t="s">
        <v>27</v>
      </c>
      <c r="B3" s="13" t="s">
        <v>161</v>
      </c>
      <c r="C3" s="22" t="s">
        <v>165</v>
      </c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>
        <f>'TC25-Customer Order Change'!C3</f>
        <v>900</v>
      </c>
      <c r="K3" s="33">
        <f>'TC33-New Firm Qty'!C3</f>
        <v>800</v>
      </c>
      <c r="L3" s="12">
        <v>0</v>
      </c>
      <c r="M3" s="12" t="s">
        <v>196</v>
      </c>
      <c r="N3" s="12"/>
      <c r="O3" s="33">
        <v>500</v>
      </c>
      <c r="P3" s="33">
        <v>400</v>
      </c>
      <c r="Q3" s="33"/>
      <c r="R3" s="33"/>
      <c r="S3" s="33">
        <v>800</v>
      </c>
      <c r="T3" s="33"/>
      <c r="U3" s="12"/>
      <c r="V3" s="33">
        <v>500</v>
      </c>
      <c r="W3" s="33">
        <v>400</v>
      </c>
      <c r="X3" s="12"/>
      <c r="Y3" s="12"/>
      <c r="Z3" s="12"/>
      <c r="AA3" s="12"/>
      <c r="AB3" s="33">
        <v>800</v>
      </c>
      <c r="AC3" s="12"/>
      <c r="AD3" s="33"/>
    </row>
    <row r="4" spans="1:30" x14ac:dyDescent="0.3">
      <c r="A4" s="21" t="s">
        <v>28</v>
      </c>
      <c r="B4" s="13" t="s">
        <v>162</v>
      </c>
      <c r="C4" s="22" t="s">
        <v>166</v>
      </c>
      <c r="D4" s="12" t="s">
        <v>81</v>
      </c>
      <c r="E4" s="12"/>
      <c r="F4" s="12" t="s">
        <v>153</v>
      </c>
      <c r="G4" s="12" t="s">
        <v>195</v>
      </c>
      <c r="H4" s="12">
        <v>5</v>
      </c>
      <c r="I4" s="12">
        <v>10</v>
      </c>
      <c r="J4" s="33">
        <f>'TC25-Customer Order Change'!C4</f>
        <v>1000</v>
      </c>
      <c r="K4" s="33">
        <f>'TC33-New Firm Qty'!C4</f>
        <v>900</v>
      </c>
      <c r="L4" s="12">
        <v>0</v>
      </c>
      <c r="M4" s="12" t="s">
        <v>196</v>
      </c>
      <c r="N4" s="12"/>
      <c r="O4" s="33">
        <v>500</v>
      </c>
      <c r="P4" s="33">
        <v>500</v>
      </c>
      <c r="Q4" s="33"/>
      <c r="R4" s="33">
        <v>500</v>
      </c>
      <c r="S4" s="33">
        <v>400</v>
      </c>
      <c r="T4" s="33"/>
      <c r="U4" s="12"/>
      <c r="V4" s="33">
        <v>500</v>
      </c>
      <c r="W4" s="33">
        <v>500</v>
      </c>
      <c r="X4" s="12"/>
      <c r="Y4" s="12"/>
      <c r="Z4" s="12"/>
      <c r="AA4" s="33">
        <v>500</v>
      </c>
      <c r="AB4" s="33">
        <v>400</v>
      </c>
      <c r="AC4" s="33"/>
      <c r="AD4" s="33"/>
    </row>
    <row r="5" spans="1:30" x14ac:dyDescent="0.3">
      <c r="A5" s="21" t="s">
        <v>29</v>
      </c>
      <c r="B5" s="13" t="s">
        <v>153</v>
      </c>
      <c r="C5" s="22" t="s">
        <v>167</v>
      </c>
      <c r="D5" s="12" t="s">
        <v>81</v>
      </c>
      <c r="E5" s="12"/>
      <c r="F5" s="21" t="s">
        <v>162</v>
      </c>
      <c r="G5" s="12" t="s">
        <v>270</v>
      </c>
      <c r="H5" s="12">
        <v>5</v>
      </c>
      <c r="I5" s="12">
        <v>10</v>
      </c>
      <c r="J5" s="33">
        <f>'TC25-Customer Order Change'!C5</f>
        <v>1000</v>
      </c>
      <c r="K5" s="33">
        <f>'TC33-New Firm Qty'!C5</f>
        <v>1200</v>
      </c>
      <c r="L5" s="12">
        <v>0</v>
      </c>
      <c r="M5" s="12" t="s">
        <v>196</v>
      </c>
      <c r="N5" s="12"/>
      <c r="O5" s="33">
        <v>500</v>
      </c>
      <c r="P5" s="33">
        <v>500</v>
      </c>
      <c r="Q5" s="33"/>
      <c r="R5" s="33">
        <v>1000</v>
      </c>
      <c r="S5" s="12"/>
      <c r="T5" s="33"/>
      <c r="U5" s="12">
        <v>200</v>
      </c>
      <c r="V5" s="33"/>
      <c r="W5" s="33">
        <v>500</v>
      </c>
      <c r="X5" s="33">
        <v>500</v>
      </c>
      <c r="Y5" s="33"/>
      <c r="Z5" s="33"/>
      <c r="AA5" s="33">
        <v>1000</v>
      </c>
      <c r="AB5" s="12"/>
      <c r="AC5" s="33"/>
      <c r="AD5" s="33">
        <v>200</v>
      </c>
    </row>
    <row r="6" spans="1:30" x14ac:dyDescent="0.3">
      <c r="A6" s="21" t="s">
        <v>30</v>
      </c>
      <c r="B6" s="13" t="s">
        <v>154</v>
      </c>
      <c r="C6" s="22" t="s">
        <v>168</v>
      </c>
      <c r="D6" s="12" t="s">
        <v>81</v>
      </c>
      <c r="E6" s="12"/>
      <c r="F6" s="21" t="s">
        <v>163</v>
      </c>
      <c r="G6" s="12" t="s">
        <v>195</v>
      </c>
      <c r="H6" s="12">
        <v>10</v>
      </c>
      <c r="I6" s="12">
        <v>10</v>
      </c>
      <c r="J6" s="33">
        <f>'TC25-Customer Order Change'!C6</f>
        <v>1000</v>
      </c>
      <c r="K6" s="33">
        <f>'TC33-New Firm Qty'!C6</f>
        <v>1000</v>
      </c>
      <c r="L6" s="12">
        <v>0</v>
      </c>
      <c r="M6" s="12" t="s">
        <v>196</v>
      </c>
      <c r="N6" s="12"/>
      <c r="O6" s="33">
        <v>1000</v>
      </c>
      <c r="P6" s="33"/>
      <c r="Q6" s="33"/>
      <c r="R6" s="33">
        <v>500</v>
      </c>
      <c r="S6" s="33">
        <v>500</v>
      </c>
      <c r="T6" s="33"/>
      <c r="U6" s="12"/>
      <c r="V6" s="33">
        <v>1000</v>
      </c>
      <c r="W6" s="12"/>
      <c r="X6" s="12"/>
      <c r="Y6" s="12"/>
      <c r="Z6" s="12"/>
      <c r="AA6" s="33">
        <v>500</v>
      </c>
      <c r="AB6" s="33">
        <v>500</v>
      </c>
      <c r="AC6" s="33"/>
      <c r="AD6" s="12"/>
    </row>
    <row r="7" spans="1:30" x14ac:dyDescent="0.3">
      <c r="A7" s="21" t="s">
        <v>31</v>
      </c>
      <c r="B7" s="13" t="s">
        <v>163</v>
      </c>
      <c r="C7" s="22" t="s">
        <v>169</v>
      </c>
      <c r="D7" s="12" t="s">
        <v>81</v>
      </c>
      <c r="E7" s="12"/>
      <c r="F7" s="21" t="s">
        <v>154</v>
      </c>
      <c r="G7" s="12" t="s">
        <v>195</v>
      </c>
      <c r="H7" s="12">
        <v>10</v>
      </c>
      <c r="I7" s="12">
        <v>10</v>
      </c>
      <c r="J7" s="33">
        <f>'TC25-Customer Order Change'!C7</f>
        <v>1000</v>
      </c>
      <c r="K7" s="33">
        <f>'TC33-New Firm Qty'!C7</f>
        <v>1100</v>
      </c>
      <c r="L7" s="12">
        <v>0</v>
      </c>
      <c r="M7" s="12" t="s">
        <v>196</v>
      </c>
      <c r="N7" s="12"/>
      <c r="O7" s="33"/>
      <c r="P7" s="33">
        <v>1000</v>
      </c>
      <c r="Q7" s="12"/>
      <c r="R7" s="33">
        <v>500</v>
      </c>
      <c r="S7" s="33">
        <v>500</v>
      </c>
      <c r="T7" s="33">
        <v>100</v>
      </c>
      <c r="U7" s="33"/>
      <c r="V7" s="12"/>
      <c r="W7" s="33"/>
      <c r="X7" s="12"/>
      <c r="Y7" s="33">
        <v>1000</v>
      </c>
      <c r="Z7" s="12"/>
      <c r="AA7" s="33">
        <v>500</v>
      </c>
      <c r="AB7" s="33">
        <v>500</v>
      </c>
      <c r="AC7" s="12">
        <v>100</v>
      </c>
      <c r="AD7" s="33"/>
    </row>
  </sheetData>
  <phoneticPr fontId="6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F6EF-C79A-4E20-806A-C9305FB64608}">
  <dimension ref="A1:W8"/>
  <sheetViews>
    <sheetView zoomScale="90" zoomScaleNormal="90" workbookViewId="0">
      <selection activeCell="D21" sqref="D21"/>
    </sheetView>
  </sheetViews>
  <sheetFormatPr defaultRowHeight="13.8" x14ac:dyDescent="0.3"/>
  <cols>
    <col min="1" max="1" width="25.77734375" style="8" customWidth="1" collapsed="1"/>
    <col min="2" max="2" width="15.77734375" style="8" customWidth="1" collapsed="1"/>
    <col min="3" max="3" width="25.77734375" style="8" customWidth="1" collapsed="1"/>
    <col min="4" max="23" width="15.77734375" style="8" customWidth="1" collapsed="1"/>
    <col min="24" max="24" width="20.77734375" style="8" customWidth="1" collapsed="1"/>
    <col min="25" max="16384" width="8.88671875" style="8" collapsed="1"/>
  </cols>
  <sheetData>
    <row r="1" spans="1:23" ht="13.8" customHeight="1" x14ac:dyDescent="0.3">
      <c r="A1" s="81" t="s">
        <v>215</v>
      </c>
      <c r="B1" s="37" t="s">
        <v>250</v>
      </c>
      <c r="C1" s="81" t="s">
        <v>216</v>
      </c>
      <c r="D1" s="82" t="s">
        <v>251</v>
      </c>
      <c r="E1" s="37" t="s">
        <v>225</v>
      </c>
      <c r="F1" s="37" t="s">
        <v>226</v>
      </c>
      <c r="G1" s="82" t="s">
        <v>217</v>
      </c>
      <c r="H1" s="37" t="s">
        <v>227</v>
      </c>
      <c r="I1" s="37" t="s">
        <v>228</v>
      </c>
      <c r="J1" s="37" t="s">
        <v>229</v>
      </c>
      <c r="K1" s="37" t="s">
        <v>247</v>
      </c>
      <c r="L1" s="37" t="s">
        <v>248</v>
      </c>
      <c r="M1" s="37" t="s">
        <v>249</v>
      </c>
      <c r="N1" s="37" t="s">
        <v>218</v>
      </c>
      <c r="O1" s="37" t="s">
        <v>219</v>
      </c>
      <c r="P1" s="37" t="s">
        <v>244</v>
      </c>
      <c r="Q1" s="37" t="s">
        <v>245</v>
      </c>
      <c r="R1" s="37" t="s">
        <v>246</v>
      </c>
      <c r="S1" s="37" t="s">
        <v>230</v>
      </c>
      <c r="T1" s="37" t="s">
        <v>231</v>
      </c>
      <c r="U1" s="37" t="s">
        <v>243</v>
      </c>
      <c r="V1" s="37" t="s">
        <v>241</v>
      </c>
      <c r="W1" s="37" t="s">
        <v>242</v>
      </c>
    </row>
    <row r="2" spans="1:23" x14ac:dyDescent="0.3">
      <c r="A2" s="35">
        <v>3</v>
      </c>
      <c r="B2" s="35">
        <v>4</v>
      </c>
      <c r="C2" s="35">
        <v>6</v>
      </c>
      <c r="D2" s="35">
        <v>9</v>
      </c>
      <c r="E2" s="35">
        <v>14</v>
      </c>
      <c r="F2" s="35">
        <v>15</v>
      </c>
      <c r="G2" s="35">
        <v>16</v>
      </c>
      <c r="H2" s="35">
        <v>17</v>
      </c>
      <c r="I2" s="35">
        <v>18</v>
      </c>
      <c r="J2" s="35">
        <v>19</v>
      </c>
      <c r="K2" s="35">
        <v>20</v>
      </c>
      <c r="L2" s="35">
        <v>21</v>
      </c>
      <c r="M2" s="35">
        <v>22</v>
      </c>
      <c r="N2" s="35">
        <v>23</v>
      </c>
      <c r="O2" s="35">
        <v>24</v>
      </c>
      <c r="P2" s="35">
        <v>25</v>
      </c>
      <c r="Q2" s="35">
        <v>26</v>
      </c>
      <c r="R2" s="35">
        <v>27</v>
      </c>
      <c r="S2" s="35">
        <v>28</v>
      </c>
      <c r="T2" s="35">
        <v>29</v>
      </c>
      <c r="U2" s="35">
        <v>30</v>
      </c>
      <c r="V2" s="35">
        <v>31</v>
      </c>
      <c r="W2" s="35">
        <v>32</v>
      </c>
    </row>
    <row r="3" spans="1:23" x14ac:dyDescent="0.3">
      <c r="A3" s="36" t="str">
        <f ca="1">"o-SG-BAFCO-"&amp;TEXT(TODAY(),"yymm")&amp;"-"&amp;AutoIncrement!B2&amp;"-"&amp;AutoIncrement!A2&amp;"-001"</f>
        <v>o-SG-BAFCO-2311-AB-11-001</v>
      </c>
      <c r="B3" s="37" t="str">
        <f ca="1">TEXT(DATE(YEAR(TODAY()), MONTH(TODAY()), DAY(TODAY())-1), "dd MMM yyyy")</f>
        <v>14 Nov 2023</v>
      </c>
      <c r="C3" s="37" t="str">
        <f ca="1">"B-"&amp;TEXT(TODAY(),"yymm")&amp;"-"&amp;AutoIncrement!B2&amp; "-01-0"&amp;AutoIncrement!A2</f>
        <v>B-2311-AB-01-011</v>
      </c>
      <c r="D3" s="38">
        <v>1000</v>
      </c>
      <c r="E3" s="37" t="str">
        <f t="shared" ref="E3:E8" ca="1" si="0">TEXT(DATE(YEAR(TODAY()), MONTH(TODAY()), DAY(TODAY())+2), "dd MMM yyyy")</f>
        <v>17 Nov 2023</v>
      </c>
      <c r="F3" s="37" t="str">
        <f ca="1">TEXT(DATE(YEAR(TODAY()), MONTH(TODAY()), DAY(TODAY())+10), "dd MMM yyyy")</f>
        <v>25 Nov 2023</v>
      </c>
      <c r="G3" s="39"/>
      <c r="H3" s="28"/>
      <c r="I3" s="28"/>
      <c r="J3" s="28"/>
      <c r="K3" s="40"/>
      <c r="L3" s="40"/>
      <c r="M3" s="40"/>
      <c r="N3" s="37" t="str">
        <f ca="1">"OP-"&amp;TEXT(TODAY(),"yymmdd")&amp; "-01-0"&amp;AutoIncrement!A2</f>
        <v>OP-231115-01-011</v>
      </c>
      <c r="O3" s="28" t="s">
        <v>222</v>
      </c>
      <c r="P3" s="41">
        <v>50.000999999999998</v>
      </c>
      <c r="Q3" s="41">
        <v>50</v>
      </c>
      <c r="R3" s="41">
        <v>51.000999999999998</v>
      </c>
      <c r="S3" s="37" t="str">
        <f ca="1">"IP-"&amp;TEXT(TODAY(),"yymmdd")&amp; "-01-0"&amp;AutoIncrement!A2</f>
        <v>IP-231115-01-011</v>
      </c>
      <c r="T3" s="42"/>
      <c r="U3" s="41">
        <v>1</v>
      </c>
      <c r="V3" s="41">
        <v>2</v>
      </c>
      <c r="W3" s="41">
        <v>3</v>
      </c>
    </row>
    <row r="4" spans="1:23" x14ac:dyDescent="0.3">
      <c r="A4" s="36" t="str">
        <f ca="1">"o-SG-BAFCO-"&amp;TEXT(TODAY(),"yymm")&amp;"-"&amp;AutoIncrement!B2&amp;"-"&amp;AutoIncrement!A2&amp;"-001"</f>
        <v>o-SG-BAFCO-2311-AB-11-001</v>
      </c>
      <c r="B4" s="37" t="str">
        <f t="shared" ref="B4:B8" ca="1" si="1">TEXT(DATE(YEAR(TODAY()), MONTH(TODAY()), DAY(TODAY())-1), "dd MMM yyyy")</f>
        <v>14 Nov 2023</v>
      </c>
      <c r="C4" s="37" t="str">
        <f ca="1">"B-"&amp;TEXT(TODAY(),"yymm")&amp;"-"&amp;AutoIncrement!B2&amp; "-01-0"&amp;AutoIncrement!A2</f>
        <v>B-2311-AB-01-011</v>
      </c>
      <c r="D4" s="38">
        <v>800</v>
      </c>
      <c r="E4" s="37" t="str">
        <f t="shared" ca="1" si="0"/>
        <v>17 Nov 2023</v>
      </c>
      <c r="F4" s="37" t="str">
        <f t="shared" ref="F4:F8" ca="1" si="2">TEXT(DATE(YEAR(TODAY()), MONTH(TODAY()), DAY(TODAY())+10), "dd MMM yyyy")</f>
        <v>25 Nov 2023</v>
      </c>
      <c r="G4" s="39" t="s">
        <v>240</v>
      </c>
      <c r="H4" s="28"/>
      <c r="I4" s="28"/>
      <c r="J4" s="28"/>
      <c r="K4" s="40"/>
      <c r="L4" s="40"/>
      <c r="M4" s="40"/>
      <c r="N4" s="37" t="str">
        <f ca="1">"OP-"&amp;TEXT(TODAY(),"yymmdd")&amp; "-01-0"&amp;AutoIncrement!A2</f>
        <v>OP-231115-01-011</v>
      </c>
      <c r="O4" s="28" t="s">
        <v>223</v>
      </c>
      <c r="P4" s="41">
        <v>50.000999999999998</v>
      </c>
      <c r="Q4" s="41">
        <v>50</v>
      </c>
      <c r="R4" s="41">
        <v>51.000999999999998</v>
      </c>
      <c r="S4" s="37" t="str">
        <f ca="1">"IP-"&amp;TEXT(TODAY(),"yymmdd")&amp; "-02-0"&amp;AutoIncrement!A2</f>
        <v>IP-231115-02-011</v>
      </c>
      <c r="T4" s="42" t="s">
        <v>232</v>
      </c>
      <c r="U4" s="41">
        <v>1</v>
      </c>
      <c r="V4" s="41">
        <v>2</v>
      </c>
      <c r="W4" s="41">
        <v>3</v>
      </c>
    </row>
    <row r="5" spans="1:23" x14ac:dyDescent="0.3">
      <c r="A5" s="36" t="str">
        <f ca="1">"o-SG-BAFCO-"&amp;TEXT(TODAY(),"yymm")&amp;"-"&amp;AutoIncrement!B2&amp;"-"&amp;AutoIncrement!A2&amp;"-001"</f>
        <v>o-SG-BAFCO-2311-AB-11-001</v>
      </c>
      <c r="B5" s="37" t="str">
        <f t="shared" ca="1" si="1"/>
        <v>14 Nov 2023</v>
      </c>
      <c r="C5" s="37" t="str">
        <f ca="1">"B-"&amp;TEXT(TODAY(),"yymm")&amp;"-"&amp;AutoIncrement!B2&amp; "-01-0"&amp;AutoIncrement!A2</f>
        <v>B-2311-AB-01-011</v>
      </c>
      <c r="D5" s="38">
        <v>900</v>
      </c>
      <c r="E5" s="37" t="str">
        <f t="shared" ca="1" si="0"/>
        <v>17 Nov 2023</v>
      </c>
      <c r="F5" s="37" t="str">
        <f t="shared" ca="1" si="2"/>
        <v>25 Nov 2023</v>
      </c>
      <c r="G5" s="39" t="s">
        <v>220</v>
      </c>
      <c r="H5" s="28" t="s">
        <v>233</v>
      </c>
      <c r="I5" s="28" t="s">
        <v>234</v>
      </c>
      <c r="J5" s="28"/>
      <c r="K5" s="41">
        <v>1000.11</v>
      </c>
      <c r="L5" s="41">
        <v>1001.11</v>
      </c>
      <c r="M5" s="41">
        <v>1005.001</v>
      </c>
      <c r="N5" s="37" t="str">
        <f ca="1">"OP-"&amp;TEXT(TODAY(),"yymmdd")&amp; "-02-0"&amp;AutoIncrement!A2</f>
        <v>OP-231115-02-011</v>
      </c>
      <c r="O5" s="28" t="s">
        <v>223</v>
      </c>
      <c r="P5" s="41">
        <v>50.000999999999998</v>
      </c>
      <c r="Q5" s="41">
        <v>50</v>
      </c>
      <c r="R5" s="41">
        <v>51.000999999999998</v>
      </c>
      <c r="S5" s="28"/>
      <c r="T5" s="42"/>
      <c r="U5" s="41"/>
      <c r="V5" s="41"/>
      <c r="W5" s="41"/>
    </row>
    <row r="6" spans="1:23" x14ac:dyDescent="0.3">
      <c r="A6" s="36" t="str">
        <f ca="1">"o-SG-BAFCO-"&amp;TEXT(TODAY(),"yymm")&amp;"-"&amp;AutoIncrement!B2&amp;"-"&amp;AutoIncrement!A2&amp;"-001"</f>
        <v>o-SG-BAFCO-2311-AB-11-001</v>
      </c>
      <c r="B6" s="37" t="str">
        <f t="shared" ca="1" si="1"/>
        <v>14 Nov 2023</v>
      </c>
      <c r="C6" s="37" t="str">
        <f ca="1">"B-"&amp;TEXT(TODAY(),"yymm")&amp;"-"&amp;AutoIncrement!B2&amp; "-01-0"&amp;AutoIncrement!A2</f>
        <v>B-2311-AB-01-011</v>
      </c>
      <c r="D6" s="38">
        <v>1200</v>
      </c>
      <c r="E6" s="37" t="str">
        <f t="shared" ca="1" si="0"/>
        <v>17 Nov 2023</v>
      </c>
      <c r="F6" s="37" t="str">
        <f t="shared" ca="1" si="2"/>
        <v>25 Nov 2023</v>
      </c>
      <c r="G6" s="39" t="s">
        <v>220</v>
      </c>
      <c r="H6" s="28" t="s">
        <v>233</v>
      </c>
      <c r="I6" s="28" t="s">
        <v>234</v>
      </c>
      <c r="J6" s="28" t="s">
        <v>235</v>
      </c>
      <c r="K6" s="41">
        <v>1000.11</v>
      </c>
      <c r="L6" s="41">
        <v>1001.11</v>
      </c>
      <c r="M6" s="41">
        <v>1005.001</v>
      </c>
      <c r="N6" s="37" t="str">
        <f ca="1">"OP-"&amp;TEXT(TODAY(),"yymmdd")&amp; "-02-0"&amp;AutoIncrement!A2</f>
        <v>OP-231115-02-011</v>
      </c>
      <c r="O6" s="28" t="s">
        <v>223</v>
      </c>
      <c r="P6" s="41">
        <v>50.000999999999998</v>
      </c>
      <c r="Q6" s="41">
        <v>50</v>
      </c>
      <c r="R6" s="41">
        <v>51.000999999999998</v>
      </c>
      <c r="S6" s="28"/>
      <c r="T6" s="42"/>
      <c r="U6" s="41"/>
      <c r="V6" s="41"/>
      <c r="W6" s="41"/>
    </row>
    <row r="7" spans="1:23" x14ac:dyDescent="0.3">
      <c r="A7" s="36" t="str">
        <f ca="1">"o-SG-BAFCO-"&amp;TEXT(TODAY(),"yymm")&amp;"-"&amp;AutoIncrement!B2&amp;"-"&amp;AutoIncrement!A2&amp;"-001"</f>
        <v>o-SG-BAFCO-2311-AB-11-001</v>
      </c>
      <c r="B7" s="37" t="str">
        <f t="shared" ca="1" si="1"/>
        <v>14 Nov 2023</v>
      </c>
      <c r="C7" s="37" t="str">
        <f ca="1">"B-"&amp;TEXT(TODAY(),"yymm")&amp;"-"&amp;AutoIncrement!B2&amp; "-01-0"&amp;AutoIncrement!A2</f>
        <v>B-2311-AB-01-011</v>
      </c>
      <c r="D7" s="38">
        <v>1000</v>
      </c>
      <c r="E7" s="37" t="str">
        <f t="shared" ca="1" si="0"/>
        <v>17 Nov 2023</v>
      </c>
      <c r="F7" s="37" t="str">
        <f t="shared" ca="1" si="2"/>
        <v>25 Nov 2023</v>
      </c>
      <c r="G7" s="39" t="s">
        <v>221</v>
      </c>
      <c r="H7" s="28" t="s">
        <v>236</v>
      </c>
      <c r="I7" s="28" t="s">
        <v>237</v>
      </c>
      <c r="J7" s="28" t="s">
        <v>238</v>
      </c>
      <c r="K7" s="41">
        <v>1010.11</v>
      </c>
      <c r="L7" s="41">
        <v>1011.11</v>
      </c>
      <c r="M7" s="41">
        <v>1015.001</v>
      </c>
      <c r="N7" s="37" t="str">
        <f ca="1">"OP-"&amp;TEXT(TODAY(),"yymmdd")&amp; "-03-0"&amp;AutoIncrement!A2</f>
        <v>OP-231115-03-011</v>
      </c>
      <c r="O7" s="28" t="s">
        <v>224</v>
      </c>
      <c r="P7" s="41">
        <v>40</v>
      </c>
      <c r="Q7" s="41">
        <v>41.005000000000003</v>
      </c>
      <c r="R7" s="41">
        <v>45</v>
      </c>
      <c r="S7" s="37" t="str">
        <f ca="1">"IP-"&amp;TEXT(TODAY(),"yymmdd")&amp; "-01-0"&amp;AutoIncrement!A2</f>
        <v>IP-231115-01-011</v>
      </c>
      <c r="T7" s="42" t="s">
        <v>232</v>
      </c>
      <c r="U7" s="41">
        <v>1</v>
      </c>
      <c r="V7" s="41">
        <v>2</v>
      </c>
      <c r="W7" s="41">
        <v>3</v>
      </c>
    </row>
    <row r="8" spans="1:23" x14ac:dyDescent="0.3">
      <c r="A8" s="36" t="str">
        <f ca="1">"o-SG-BAFCO-"&amp;TEXT(TODAY(),"yymm")&amp;"-"&amp;AutoIncrement!B2&amp;"-"&amp;AutoIncrement!A2&amp;"-001"</f>
        <v>o-SG-BAFCO-2311-AB-11-001</v>
      </c>
      <c r="B8" s="37" t="str">
        <f t="shared" ca="1" si="1"/>
        <v>14 Nov 2023</v>
      </c>
      <c r="C8" s="37" t="str">
        <f ca="1">"B-"&amp;TEXT(TODAY(),"yymm")&amp;"-"&amp;AutoIncrement!B2&amp; "-01-0"&amp;AutoIncrement!A2</f>
        <v>B-2311-AB-01-011</v>
      </c>
      <c r="D8" s="38">
        <v>1100</v>
      </c>
      <c r="E8" s="37" t="str">
        <f t="shared" ca="1" si="0"/>
        <v>17 Nov 2023</v>
      </c>
      <c r="F8" s="37" t="str">
        <f t="shared" ca="1" si="2"/>
        <v>25 Nov 2023</v>
      </c>
      <c r="G8" s="39" t="s">
        <v>221</v>
      </c>
      <c r="H8" s="28" t="s">
        <v>236</v>
      </c>
      <c r="I8" s="28" t="s">
        <v>237</v>
      </c>
      <c r="J8" s="28" t="s">
        <v>238</v>
      </c>
      <c r="K8" s="41">
        <v>1010.11</v>
      </c>
      <c r="L8" s="41">
        <v>1011.11</v>
      </c>
      <c r="M8" s="41">
        <v>1015.001</v>
      </c>
      <c r="N8" s="37" t="str">
        <f ca="1">"OP-"&amp;TEXT(TODAY(),"yymmdd")&amp; "-03-0"&amp;AutoIncrement!A2</f>
        <v>OP-231115-03-011</v>
      </c>
      <c r="O8" s="28" t="s">
        <v>224</v>
      </c>
      <c r="P8" s="41">
        <v>40</v>
      </c>
      <c r="Q8" s="41">
        <v>41.005000000000003</v>
      </c>
      <c r="R8" s="41">
        <v>45</v>
      </c>
      <c r="S8" s="37" t="str">
        <f ca="1">"IP-"&amp;TEXT(TODAY(),"yymmdd")&amp; "-02-0"&amp;AutoIncrement!A2</f>
        <v>IP-231115-02-011</v>
      </c>
      <c r="T8" s="42" t="s">
        <v>239</v>
      </c>
      <c r="U8" s="41">
        <v>1</v>
      </c>
      <c r="V8" s="41">
        <v>2</v>
      </c>
      <c r="W8" s="41">
        <v>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EF40-2C7B-4D0B-9DC6-89273BF3A1A0}">
  <dimension ref="A1:AM9"/>
  <sheetViews>
    <sheetView zoomScale="90" zoomScaleNormal="90" workbookViewId="0">
      <selection activeCell="AH29" sqref="AH29"/>
    </sheetView>
  </sheetViews>
  <sheetFormatPr defaultRowHeight="13.8" x14ac:dyDescent="0.3"/>
  <cols>
    <col min="1" max="1" width="5.77734375" style="8" customWidth="1" collapsed="1"/>
    <col min="2" max="2" width="15.77734375" style="8" customWidth="1" collapsed="1"/>
    <col min="3" max="3" width="25.77734375" style="8" customWidth="1" collapsed="1"/>
    <col min="4" max="4" width="15.77734375" style="8" customWidth="1" collapsed="1"/>
    <col min="5" max="6" width="25.77734375" style="8" customWidth="1" collapsed="1"/>
    <col min="7" max="33" width="15.77734375" style="8" customWidth="1" collapsed="1"/>
    <col min="34" max="36" width="25.77734375" style="8" customWidth="1" collapsed="1"/>
    <col min="37" max="42" width="15.77734375" style="8" customWidth="1" collapsed="1"/>
    <col min="43" max="16384" width="8.88671875" style="8" collapsed="1"/>
  </cols>
  <sheetData>
    <row r="1" spans="1:39" ht="13.8" customHeight="1" x14ac:dyDescent="0.3">
      <c r="A1" s="37" t="s">
        <v>0</v>
      </c>
      <c r="B1" s="82" t="s">
        <v>214</v>
      </c>
      <c r="C1" s="81" t="s">
        <v>215</v>
      </c>
      <c r="D1" s="37" t="s">
        <v>250</v>
      </c>
      <c r="E1" s="81" t="s">
        <v>216</v>
      </c>
      <c r="F1" s="82" t="s">
        <v>25</v>
      </c>
      <c r="G1" s="82" t="s">
        <v>269</v>
      </c>
      <c r="H1" s="82" t="s">
        <v>251</v>
      </c>
      <c r="I1" s="82" t="s">
        <v>55</v>
      </c>
      <c r="J1" s="82" t="s">
        <v>271</v>
      </c>
      <c r="K1" s="82" t="s">
        <v>272</v>
      </c>
      <c r="L1" s="82" t="s">
        <v>45</v>
      </c>
      <c r="M1" s="37" t="s">
        <v>225</v>
      </c>
      <c r="N1" s="37" t="s">
        <v>226</v>
      </c>
      <c r="O1" s="82" t="s">
        <v>217</v>
      </c>
      <c r="P1" s="37" t="s">
        <v>227</v>
      </c>
      <c r="Q1" s="37" t="s">
        <v>228</v>
      </c>
      <c r="R1" s="37" t="s">
        <v>229</v>
      </c>
      <c r="S1" s="37" t="s">
        <v>247</v>
      </c>
      <c r="T1" s="37" t="s">
        <v>248</v>
      </c>
      <c r="U1" s="37" t="s">
        <v>249</v>
      </c>
      <c r="V1" s="37" t="s">
        <v>218</v>
      </c>
      <c r="W1" s="37" t="s">
        <v>219</v>
      </c>
      <c r="X1" s="37" t="s">
        <v>244</v>
      </c>
      <c r="Y1" s="37" t="s">
        <v>245</v>
      </c>
      <c r="Z1" s="37" t="s">
        <v>246</v>
      </c>
      <c r="AA1" s="37" t="s">
        <v>230</v>
      </c>
      <c r="AB1" s="37" t="s">
        <v>231</v>
      </c>
      <c r="AC1" s="37" t="s">
        <v>243</v>
      </c>
      <c r="AD1" s="37" t="s">
        <v>241</v>
      </c>
      <c r="AE1" s="37" t="s">
        <v>242</v>
      </c>
      <c r="AF1" s="81" t="s">
        <v>274</v>
      </c>
      <c r="AG1" s="82" t="s">
        <v>275</v>
      </c>
      <c r="AH1" s="82" t="s">
        <v>276</v>
      </c>
      <c r="AI1" s="82" t="s">
        <v>277</v>
      </c>
      <c r="AJ1" s="82" t="s">
        <v>278</v>
      </c>
      <c r="AK1" s="82" t="s">
        <v>279</v>
      </c>
      <c r="AL1" s="82" t="s">
        <v>280</v>
      </c>
      <c r="AM1" s="82" t="s">
        <v>281</v>
      </c>
    </row>
    <row r="2" spans="1:39" x14ac:dyDescent="0.3">
      <c r="A2" s="37">
        <v>1</v>
      </c>
      <c r="B2" s="37" t="s">
        <v>81</v>
      </c>
      <c r="C2" s="36" t="str">
        <f ca="1">"o-SG-BAFCO-"&amp;TEXT(TODAY(),"yymm")&amp;"-"&amp;AutoIncrement!B2&amp;"-"&amp;AutoIncrement!A2&amp;"-002"</f>
        <v>o-SG-BAFCO-2311-AB-11-002</v>
      </c>
      <c r="D2" s="37" t="str">
        <f ca="1">TEXT(DATE(YEAR(TODAY()), MONTH(TODAY()), DAY(TODAY())-1), "dd MMM yyyy")</f>
        <v>14 Nov 2023</v>
      </c>
      <c r="E2" s="37"/>
      <c r="F2" s="21" t="s">
        <v>191</v>
      </c>
      <c r="G2" s="19" t="s">
        <v>193</v>
      </c>
      <c r="H2" s="43">
        <v>60</v>
      </c>
      <c r="I2" s="43" t="s">
        <v>78</v>
      </c>
      <c r="J2" s="43" t="s">
        <v>273</v>
      </c>
      <c r="K2" s="43" t="s">
        <v>37</v>
      </c>
      <c r="L2" s="43" t="s">
        <v>34</v>
      </c>
      <c r="M2" s="37" t="str">
        <f t="shared" ref="M2:M9" ca="1" si="0">TEXT(DATE(YEAR(TODAY()), MONTH(TODAY()), DAY(TODAY())+2), "dd MMM yyyy")</f>
        <v>17 Nov 2023</v>
      </c>
      <c r="N2" s="37" t="str">
        <f ca="1">TEXT(DATE(YEAR(TODAY()), MONTH(TODAY()), DAY(TODAY())+10), "dd MMM yyyy")</f>
        <v>25 Nov 2023</v>
      </c>
      <c r="O2" s="19" t="s">
        <v>252</v>
      </c>
      <c r="P2" s="19"/>
      <c r="Q2" s="19"/>
      <c r="R2" s="19"/>
      <c r="S2" s="44"/>
      <c r="T2" s="44"/>
      <c r="U2" s="44"/>
      <c r="V2" s="37" t="str">
        <f ca="1">"OP-"&amp;TEXT(TODAY(),"yymmdd")&amp; "-02-0"&amp;AutoIncrement!A2</f>
        <v>OP-231115-02-011</v>
      </c>
      <c r="W2" s="19" t="s">
        <v>253</v>
      </c>
      <c r="X2" s="44"/>
      <c r="Y2" s="44"/>
      <c r="Z2" s="44"/>
      <c r="AA2" s="37" t="str">
        <f ca="1">"IP-"&amp;TEXT(TODAY(),"yymmdd")&amp; "-01-0"&amp;AutoIncrement!A2</f>
        <v>IP-231115-01-011</v>
      </c>
      <c r="AB2" s="45" t="s">
        <v>254</v>
      </c>
      <c r="AC2" s="44"/>
      <c r="AD2" s="44"/>
      <c r="AE2" s="44"/>
      <c r="AF2" s="37" t="str">
        <f ca="1">'TC16-Supplier SO'!C2</f>
        <v>sABs11-2311002</v>
      </c>
      <c r="AG2" s="37" t="s">
        <v>81</v>
      </c>
      <c r="AH2" s="46" t="str">
        <f>'TC6'!A2</f>
        <v>scenario1220230504001</v>
      </c>
      <c r="AI2" s="37" t="str">
        <f>'TC7-Contract Parts Info'!C2</f>
        <v>scenario12:SG-BAFCO:20230504-001</v>
      </c>
      <c r="AJ2" s="37"/>
      <c r="AK2" s="37"/>
      <c r="AL2" s="37">
        <v>5</v>
      </c>
      <c r="AM2" s="37">
        <v>100</v>
      </c>
    </row>
    <row r="3" spans="1:39" x14ac:dyDescent="0.3">
      <c r="A3" s="37">
        <v>2</v>
      </c>
      <c r="B3" s="37" t="s">
        <v>81</v>
      </c>
      <c r="C3" s="36" t="str">
        <f ca="1">"o-SG-BAFCO-"&amp;TEXT(TODAY(),"yymm")&amp;"-"&amp;AutoIncrement!B2&amp;"-"&amp;AutoIncrement!A2&amp;"-002"</f>
        <v>o-SG-BAFCO-2311-AB-11-002</v>
      </c>
      <c r="D3" s="37" t="str">
        <f t="shared" ref="D3:D9" ca="1" si="1">TEXT(DATE(YEAR(TODAY()), MONTH(TODAY()), DAY(TODAY())-1), "dd MMM yyyy")</f>
        <v>14 Nov 2023</v>
      </c>
      <c r="E3" s="37"/>
      <c r="F3" s="21" t="s">
        <v>191</v>
      </c>
      <c r="G3" s="19" t="s">
        <v>193</v>
      </c>
      <c r="H3" s="43">
        <v>40</v>
      </c>
      <c r="I3" s="43" t="s">
        <v>78</v>
      </c>
      <c r="J3" s="43" t="s">
        <v>273</v>
      </c>
      <c r="K3" s="43" t="s">
        <v>37</v>
      </c>
      <c r="L3" s="43" t="s">
        <v>34</v>
      </c>
      <c r="M3" s="37" t="str">
        <f t="shared" ca="1" si="0"/>
        <v>17 Nov 2023</v>
      </c>
      <c r="N3" s="37" t="str">
        <f t="shared" ref="N3:N9" ca="1" si="2">TEXT(DATE(YEAR(TODAY()), MONTH(TODAY()), DAY(TODAY())+10), "dd MMM yyyy")</f>
        <v>25 Nov 2023</v>
      </c>
      <c r="O3" s="19" t="s">
        <v>252</v>
      </c>
      <c r="P3" s="19"/>
      <c r="Q3" s="19"/>
      <c r="R3" s="19"/>
      <c r="S3" s="44"/>
      <c r="T3" s="44"/>
      <c r="U3" s="44"/>
      <c r="V3" s="37" t="str">
        <f ca="1">"OP-"&amp;TEXT(TODAY(),"yymmdd")&amp; "-02-0"&amp;AutoIncrement!A2</f>
        <v>OP-231115-02-011</v>
      </c>
      <c r="W3" s="19" t="s">
        <v>253</v>
      </c>
      <c r="X3" s="44"/>
      <c r="Y3" s="44"/>
      <c r="Z3" s="44"/>
      <c r="AA3" s="37" t="str">
        <f ca="1">"IP-"&amp;TEXT(TODAY(),"yymmdd")&amp; "-02-0"&amp;AutoIncrement!A2</f>
        <v>IP-231115-02-011</v>
      </c>
      <c r="AB3" s="45" t="s">
        <v>255</v>
      </c>
      <c r="AC3" s="44"/>
      <c r="AD3" s="44"/>
      <c r="AE3" s="44"/>
      <c r="AF3" s="37" t="str">
        <f ca="1">'TC16-Supplier SO'!C2</f>
        <v>sABs11-2311002</v>
      </c>
      <c r="AG3" s="37" t="s">
        <v>81</v>
      </c>
      <c r="AH3" s="46" t="str">
        <f>'TC6'!A2</f>
        <v>scenario1220230504001</v>
      </c>
      <c r="AI3" s="37" t="str">
        <f>'TC7-Contract Parts Info'!C2</f>
        <v>scenario12:SG-BAFCO:20230504-001</v>
      </c>
      <c r="AJ3" s="37"/>
      <c r="AK3" s="37"/>
      <c r="AL3" s="37">
        <v>5</v>
      </c>
      <c r="AM3" s="37">
        <v>100</v>
      </c>
    </row>
    <row r="4" spans="1:39" x14ac:dyDescent="0.3">
      <c r="A4" s="37">
        <v>3</v>
      </c>
      <c r="B4" s="37" t="s">
        <v>81</v>
      </c>
      <c r="C4" s="36" t="str">
        <f ca="1">"o-SG-BAFCO-"&amp;TEXT(TODAY(),"yymm")&amp;"-"&amp;AutoIncrement!B2&amp;"-"&amp;AutoIncrement!A2&amp;"-002"</f>
        <v>o-SG-BAFCO-2311-AB-11-002</v>
      </c>
      <c r="D4" s="37" t="str">
        <f t="shared" ca="1" si="1"/>
        <v>14 Nov 2023</v>
      </c>
      <c r="E4" s="37"/>
      <c r="F4" s="21" t="s">
        <v>27</v>
      </c>
      <c r="G4" s="19" t="s">
        <v>194</v>
      </c>
      <c r="H4" s="47">
        <v>100</v>
      </c>
      <c r="I4" s="43" t="s">
        <v>78</v>
      </c>
      <c r="J4" s="43" t="s">
        <v>273</v>
      </c>
      <c r="K4" s="43" t="s">
        <v>37</v>
      </c>
      <c r="L4" s="43" t="s">
        <v>34</v>
      </c>
      <c r="M4" s="37" t="str">
        <f t="shared" ca="1" si="0"/>
        <v>17 Nov 2023</v>
      </c>
      <c r="N4" s="37" t="str">
        <f t="shared" ca="1" si="2"/>
        <v>25 Nov 2023</v>
      </c>
      <c r="O4" s="39" t="s">
        <v>252</v>
      </c>
      <c r="P4" s="28"/>
      <c r="Q4" s="28"/>
      <c r="R4" s="28"/>
      <c r="S4" s="40"/>
      <c r="T4" s="40"/>
      <c r="U4" s="40"/>
      <c r="V4" s="37" t="str">
        <f ca="1">"OP-"&amp;TEXT(TODAY(),"yymmdd")&amp; "-01-0"&amp;AutoIncrement!A2</f>
        <v>OP-231115-01-011</v>
      </c>
      <c r="W4" s="28" t="s">
        <v>256</v>
      </c>
      <c r="X4" s="40">
        <v>50.000999999999998</v>
      </c>
      <c r="Y4" s="40">
        <v>50</v>
      </c>
      <c r="Z4" s="40">
        <v>51.000999999999998</v>
      </c>
      <c r="AA4" s="37" t="str">
        <f ca="1">"IP-"&amp;TEXT(TODAY(),"yymmdd")&amp; "-02-0"&amp;AutoIncrement!A2</f>
        <v>IP-231115-02-011</v>
      </c>
      <c r="AB4" s="42" t="s">
        <v>257</v>
      </c>
      <c r="AC4" s="40"/>
      <c r="AD4" s="40"/>
      <c r="AE4" s="40"/>
      <c r="AF4" s="37" t="str">
        <f ca="1">'TC16-Supplier SO'!C2</f>
        <v>sABs11-2311002</v>
      </c>
      <c r="AG4" s="37" t="s">
        <v>81</v>
      </c>
      <c r="AH4" s="46" t="str">
        <f>'TC6'!A3</f>
        <v>scenario1220230504002</v>
      </c>
      <c r="AI4" s="37" t="str">
        <f>'TC7-Contract Parts Info'!C3</f>
        <v>scenario12:SG-BAFCO:20230504-002</v>
      </c>
      <c r="AJ4" s="37"/>
      <c r="AK4" s="37"/>
      <c r="AL4" s="37">
        <v>5</v>
      </c>
      <c r="AM4" s="37">
        <v>100</v>
      </c>
    </row>
    <row r="5" spans="1:39" x14ac:dyDescent="0.3">
      <c r="A5" s="37">
        <v>4</v>
      </c>
      <c r="B5" s="37" t="s">
        <v>81</v>
      </c>
      <c r="C5" s="36" t="str">
        <f ca="1">"o-SG-BAFCO-"&amp;TEXT(TODAY(),"yymm")&amp;"-"&amp;AutoIncrement!B2&amp;"-"&amp;AutoIncrement!A2&amp;"-002"</f>
        <v>o-SG-BAFCO-2311-AB-11-002</v>
      </c>
      <c r="D5" s="37" t="str">
        <f t="shared" ca="1" si="1"/>
        <v>14 Nov 2023</v>
      </c>
      <c r="E5" s="37"/>
      <c r="F5" s="21" t="s">
        <v>28</v>
      </c>
      <c r="G5" s="19" t="s">
        <v>195</v>
      </c>
      <c r="H5" s="43">
        <v>100</v>
      </c>
      <c r="I5" s="43" t="s">
        <v>78</v>
      </c>
      <c r="J5" s="43" t="s">
        <v>273</v>
      </c>
      <c r="K5" s="43" t="s">
        <v>37</v>
      </c>
      <c r="L5" s="43" t="s">
        <v>34</v>
      </c>
      <c r="M5" s="37" t="str">
        <f t="shared" ca="1" si="0"/>
        <v>17 Nov 2023</v>
      </c>
      <c r="N5" s="37" t="str">
        <f t="shared" ca="1" si="2"/>
        <v>25 Nov 2023</v>
      </c>
      <c r="O5" s="21" t="s">
        <v>258</v>
      </c>
      <c r="P5" s="19" t="s">
        <v>259</v>
      </c>
      <c r="Q5" s="19" t="s">
        <v>260</v>
      </c>
      <c r="R5" s="19" t="s">
        <v>261</v>
      </c>
      <c r="S5" s="44">
        <v>1000.11</v>
      </c>
      <c r="T5" s="44">
        <v>1001.11</v>
      </c>
      <c r="U5" s="44">
        <v>1005.001</v>
      </c>
      <c r="V5" s="37" t="str">
        <f ca="1">"OP-"&amp;TEXT(TODAY(),"yymmdd")&amp; "-01-0"&amp;AutoIncrement!A2</f>
        <v>OP-231115-01-011</v>
      </c>
      <c r="W5" s="19" t="s">
        <v>262</v>
      </c>
      <c r="X5" s="44"/>
      <c r="Y5" s="44"/>
      <c r="Z5" s="44"/>
      <c r="AA5" s="37" t="str">
        <f ca="1">"IP-"&amp;TEXT(TODAY(),"yymmdd")&amp; "-01-0"&amp;AutoIncrement!A2</f>
        <v>IP-231115-01-011</v>
      </c>
      <c r="AB5" s="45"/>
      <c r="AC5" s="44"/>
      <c r="AD5" s="44"/>
      <c r="AE5" s="44"/>
      <c r="AF5" s="37" t="str">
        <f ca="1">'TC16-Supplier SO'!C2</f>
        <v>sABs11-2311002</v>
      </c>
      <c r="AG5" s="37" t="s">
        <v>81</v>
      </c>
      <c r="AH5" s="46" t="str">
        <f>'TC6'!A4</f>
        <v>scenario1220230504003</v>
      </c>
      <c r="AI5" s="37" t="str">
        <f>'TC7-Contract Parts Info'!C4</f>
        <v>scenario12:SG-BAFCO:20230504-003</v>
      </c>
      <c r="AJ5" s="37"/>
      <c r="AK5" s="37"/>
      <c r="AL5" s="37">
        <v>5</v>
      </c>
      <c r="AM5" s="37">
        <v>100</v>
      </c>
    </row>
    <row r="6" spans="1:39" x14ac:dyDescent="0.3">
      <c r="A6" s="37">
        <v>5</v>
      </c>
      <c r="B6" s="37" t="s">
        <v>81</v>
      </c>
      <c r="C6" s="36" t="str">
        <f ca="1">"o-SG-BAFCO-"&amp;TEXT(TODAY(),"yymm")&amp;"-"&amp;AutoIncrement!B2&amp;"-"&amp;AutoIncrement!A2&amp;"-003"</f>
        <v>o-SG-BAFCO-2311-AB-11-003</v>
      </c>
      <c r="D6" s="37" t="str">
        <f t="shared" ca="1" si="1"/>
        <v>14 Nov 2023</v>
      </c>
      <c r="E6" s="37" t="str">
        <f ca="1">"B-"&amp;TEXT(TODAY(),"yymm")&amp;"-"&amp;AutoIncrement!B2&amp; "-02-0"&amp;AutoIncrement!A2</f>
        <v>B-2311-AB-02-011</v>
      </c>
      <c r="F6" s="21" t="s">
        <v>29</v>
      </c>
      <c r="G6" s="19" t="s">
        <v>270</v>
      </c>
      <c r="H6" s="43">
        <v>100</v>
      </c>
      <c r="I6" s="43" t="s">
        <v>78</v>
      </c>
      <c r="J6" s="43" t="s">
        <v>273</v>
      </c>
      <c r="K6" s="43" t="s">
        <v>37</v>
      </c>
      <c r="L6" s="43" t="s">
        <v>34</v>
      </c>
      <c r="M6" s="37" t="str">
        <f t="shared" ca="1" si="0"/>
        <v>17 Nov 2023</v>
      </c>
      <c r="N6" s="37" t="str">
        <f t="shared" ca="1" si="2"/>
        <v>25 Nov 2023</v>
      </c>
      <c r="O6" s="21" t="s">
        <v>263</v>
      </c>
      <c r="P6" s="19" t="s">
        <v>264</v>
      </c>
      <c r="Q6" s="19" t="s">
        <v>260</v>
      </c>
      <c r="R6" s="19"/>
      <c r="S6" s="44"/>
      <c r="T6" s="44"/>
      <c r="U6" s="44"/>
      <c r="V6" s="37" t="str">
        <f ca="1">"OP-"&amp;TEXT(TODAY(),"yymmdd")&amp; "-01-0"&amp;AutoIncrement!A2</f>
        <v>OP-231115-01-011</v>
      </c>
      <c r="W6" s="19" t="s">
        <v>262</v>
      </c>
      <c r="X6" s="44"/>
      <c r="Y6" s="44"/>
      <c r="Z6" s="44"/>
      <c r="AA6" s="28"/>
      <c r="AB6" s="45"/>
      <c r="AC6" s="44"/>
      <c r="AD6" s="44"/>
      <c r="AE6" s="44"/>
      <c r="AF6" s="37" t="str">
        <f ca="1">'TC16-Supplier SO'!C2</f>
        <v>sABs11-2311002</v>
      </c>
      <c r="AG6" s="37" t="s">
        <v>81</v>
      </c>
      <c r="AH6" s="46" t="str">
        <f>'TC6'!A5</f>
        <v>scenario1220230504004</v>
      </c>
      <c r="AI6" s="37" t="str">
        <f>'TC7-Contract Parts Info'!C5</f>
        <v>scenario12:SG-BAFCO:20230504-004</v>
      </c>
      <c r="AJ6" s="37"/>
      <c r="AK6" s="37"/>
      <c r="AL6" s="37">
        <v>5</v>
      </c>
      <c r="AM6" s="37">
        <v>100</v>
      </c>
    </row>
    <row r="7" spans="1:39" x14ac:dyDescent="0.3">
      <c r="A7" s="37">
        <v>6</v>
      </c>
      <c r="B7" s="37" t="s">
        <v>81</v>
      </c>
      <c r="C7" s="36" t="str">
        <f ca="1">"o-SG-BAFCO-"&amp;TEXT(TODAY(),"yymm")&amp;"-"&amp;AutoIncrement!B2&amp;"-"&amp;AutoIncrement!A2&amp;"-003"</f>
        <v>o-SG-BAFCO-2311-AB-11-003</v>
      </c>
      <c r="D7" s="37" t="str">
        <f t="shared" ca="1" si="1"/>
        <v>14 Nov 2023</v>
      </c>
      <c r="E7" s="37" t="str">
        <f ca="1">"B-"&amp;TEXT(TODAY(),"yymm")&amp;"-"&amp;AutoIncrement!B2&amp; "-02-0"&amp;AutoIncrement!A2</f>
        <v>B-2311-AB-02-011</v>
      </c>
      <c r="F7" s="21" t="s">
        <v>152</v>
      </c>
      <c r="G7" s="19" t="s">
        <v>195</v>
      </c>
      <c r="H7" s="43">
        <v>100</v>
      </c>
      <c r="I7" s="43" t="s">
        <v>78</v>
      </c>
      <c r="J7" s="43" t="s">
        <v>273</v>
      </c>
      <c r="K7" s="43" t="s">
        <v>37</v>
      </c>
      <c r="L7" s="43" t="s">
        <v>34</v>
      </c>
      <c r="M7" s="37" t="str">
        <f t="shared" ca="1" si="0"/>
        <v>17 Nov 2023</v>
      </c>
      <c r="N7" s="37" t="str">
        <f t="shared" ca="1" si="2"/>
        <v>25 Nov 2023</v>
      </c>
      <c r="O7" s="21" t="s">
        <v>263</v>
      </c>
      <c r="P7" s="19" t="s">
        <v>264</v>
      </c>
      <c r="Q7" s="19" t="s">
        <v>260</v>
      </c>
      <c r="R7" s="19"/>
      <c r="S7" s="44"/>
      <c r="T7" s="44"/>
      <c r="U7" s="44"/>
      <c r="V7" s="37" t="str">
        <f ca="1">"OP-"&amp;TEXT(TODAY(),"yymmdd")&amp; "-02-0"&amp;AutoIncrement!A2</f>
        <v>OP-231115-02-011</v>
      </c>
      <c r="W7" s="19" t="s">
        <v>256</v>
      </c>
      <c r="X7" s="44"/>
      <c r="Y7" s="44"/>
      <c r="Z7" s="44"/>
      <c r="AA7" s="28"/>
      <c r="AB7" s="45"/>
      <c r="AC7" s="44"/>
      <c r="AD7" s="44"/>
      <c r="AE7" s="44"/>
      <c r="AF7" s="37" t="str">
        <f ca="1">'TC16-Supplier SO'!C2</f>
        <v>sABs11-2311002</v>
      </c>
      <c r="AG7" s="37" t="s">
        <v>81</v>
      </c>
      <c r="AH7" s="46" t="str">
        <f>'TC6'!A6</f>
        <v>scenario1220230504005</v>
      </c>
      <c r="AI7" s="37" t="str">
        <f>'TC7-Contract Parts Info'!C6</f>
        <v>scenario12:SG-BAFCO:20230504-005</v>
      </c>
      <c r="AJ7" s="37"/>
      <c r="AK7" s="37"/>
      <c r="AL7" s="37">
        <v>10</v>
      </c>
      <c r="AM7" s="37">
        <v>100</v>
      </c>
    </row>
    <row r="8" spans="1:39" x14ac:dyDescent="0.3">
      <c r="A8" s="37">
        <v>7</v>
      </c>
      <c r="B8" s="37" t="s">
        <v>81</v>
      </c>
      <c r="C8" s="36" t="str">
        <f ca="1">"o-SG-BAFCO-"&amp;TEXT(TODAY(),"yymm")&amp;"-"&amp;AutoIncrement!B2&amp;"-"&amp;AutoIncrement!A2&amp;"-003"</f>
        <v>o-SG-BAFCO-2311-AB-11-003</v>
      </c>
      <c r="D8" s="37" t="str">
        <f t="shared" ca="1" si="1"/>
        <v>14 Nov 2023</v>
      </c>
      <c r="E8" s="37" t="str">
        <f ca="1">"B-"&amp;TEXT(TODAY(),"yymm")&amp;"-"&amp;AutoIncrement!B2&amp; "-02-0"&amp;AutoIncrement!A2</f>
        <v>B-2311-AB-02-011</v>
      </c>
      <c r="F8" s="21" t="s">
        <v>268</v>
      </c>
      <c r="G8" s="19" t="s">
        <v>195</v>
      </c>
      <c r="H8" s="43">
        <v>40</v>
      </c>
      <c r="I8" s="43" t="s">
        <v>78</v>
      </c>
      <c r="J8" s="43" t="s">
        <v>273</v>
      </c>
      <c r="K8" s="43" t="s">
        <v>37</v>
      </c>
      <c r="L8" s="43" t="s">
        <v>34</v>
      </c>
      <c r="M8" s="37" t="str">
        <f t="shared" ca="1" si="0"/>
        <v>17 Nov 2023</v>
      </c>
      <c r="N8" s="37" t="str">
        <f t="shared" ca="1" si="2"/>
        <v>25 Nov 2023</v>
      </c>
      <c r="O8" s="21" t="s">
        <v>265</v>
      </c>
      <c r="P8" s="19" t="s">
        <v>259</v>
      </c>
      <c r="Q8" s="19" t="s">
        <v>266</v>
      </c>
      <c r="R8" s="19" t="s">
        <v>267</v>
      </c>
      <c r="S8" s="44">
        <v>1010.11</v>
      </c>
      <c r="T8" s="44">
        <v>1011.11</v>
      </c>
      <c r="U8" s="44">
        <v>1015.001</v>
      </c>
      <c r="V8" s="37" t="str">
        <f ca="1">"OP-"&amp;TEXT(TODAY(),"yymmdd")&amp; "-03-0"&amp;AutoIncrement!A2</f>
        <v>OP-231115-03-011</v>
      </c>
      <c r="W8" s="19" t="s">
        <v>256</v>
      </c>
      <c r="X8" s="44">
        <v>40</v>
      </c>
      <c r="Y8" s="44">
        <v>41.005000000000003</v>
      </c>
      <c r="Z8" s="44">
        <v>45</v>
      </c>
      <c r="AA8" s="37" t="str">
        <f ca="1">"IP-"&amp;TEXT(TODAY(),"yymmdd")&amp; "-01-0"&amp;AutoIncrement!A2</f>
        <v>IP-231115-01-011</v>
      </c>
      <c r="AB8" s="45" t="s">
        <v>257</v>
      </c>
      <c r="AC8" s="44">
        <v>1</v>
      </c>
      <c r="AD8" s="44">
        <v>2.0009999999999999</v>
      </c>
      <c r="AE8" s="44">
        <v>3</v>
      </c>
      <c r="AF8" s="37" t="str">
        <f ca="1">'TC16-Supplier SO'!C2</f>
        <v>sABs11-2311002</v>
      </c>
      <c r="AG8" s="37" t="s">
        <v>81</v>
      </c>
      <c r="AH8" s="46" t="str">
        <f>'TC6'!A7</f>
        <v>scenario1220230504006</v>
      </c>
      <c r="AI8" s="37" t="str">
        <f>'TC7-Contract Parts Info'!C7</f>
        <v>scenario12:SG-BAFCO:20230504-006</v>
      </c>
      <c r="AJ8" s="37"/>
      <c r="AK8" s="37"/>
      <c r="AL8" s="37">
        <v>10</v>
      </c>
      <c r="AM8" s="37">
        <v>100</v>
      </c>
    </row>
    <row r="9" spans="1:39" x14ac:dyDescent="0.3">
      <c r="A9" s="37">
        <v>8</v>
      </c>
      <c r="B9" s="37" t="s">
        <v>81</v>
      </c>
      <c r="C9" s="36" t="str">
        <f ca="1">"o-SG-BAFCO-"&amp;TEXT(TODAY(),"yymm")&amp;"-"&amp;AutoIncrement!B2&amp;"-"&amp;AutoIncrement!A2&amp;"-004"</f>
        <v>o-SG-BAFCO-2311-AB-11-004</v>
      </c>
      <c r="D9" s="37" t="str">
        <f t="shared" ca="1" si="1"/>
        <v>14 Nov 2023</v>
      </c>
      <c r="E9" s="37" t="str">
        <f ca="1">"B-"&amp;TEXT(TODAY(),"yymm")&amp;"-"&amp;AutoIncrement!B2&amp; "-03-0"&amp;AutoIncrement!A2</f>
        <v>B-2311-AB-03-011</v>
      </c>
      <c r="F9" s="21" t="s">
        <v>268</v>
      </c>
      <c r="G9" s="19" t="s">
        <v>195</v>
      </c>
      <c r="H9" s="43">
        <v>60</v>
      </c>
      <c r="I9" s="43" t="s">
        <v>78</v>
      </c>
      <c r="J9" s="43" t="s">
        <v>273</v>
      </c>
      <c r="K9" s="43" t="s">
        <v>37</v>
      </c>
      <c r="L9" s="43" t="s">
        <v>34</v>
      </c>
      <c r="M9" s="37" t="str">
        <f t="shared" ca="1" si="0"/>
        <v>17 Nov 2023</v>
      </c>
      <c r="N9" s="37" t="str">
        <f t="shared" ca="1" si="2"/>
        <v>25 Nov 2023</v>
      </c>
      <c r="O9" s="19"/>
      <c r="P9" s="19"/>
      <c r="Q9" s="19"/>
      <c r="R9" s="19"/>
      <c r="S9" s="44"/>
      <c r="T9" s="44"/>
      <c r="U9" s="44"/>
      <c r="V9" s="37" t="str">
        <f ca="1">"OP-"&amp;TEXT(TODAY(),"yymmdd")&amp; "-03-0"&amp;AutoIncrement!A2</f>
        <v>OP-231115-03-011</v>
      </c>
      <c r="W9" s="19" t="s">
        <v>256</v>
      </c>
      <c r="X9" s="44">
        <v>40</v>
      </c>
      <c r="Y9" s="44">
        <v>41.005000000000003</v>
      </c>
      <c r="Z9" s="44">
        <v>45</v>
      </c>
      <c r="AA9" s="37" t="str">
        <f ca="1">"IP-"&amp;TEXT(TODAY(),"yymmdd")&amp; "-01-0"&amp;AutoIncrement!A2</f>
        <v>IP-231115-01-011</v>
      </c>
      <c r="AB9" s="45" t="s">
        <v>257</v>
      </c>
      <c r="AC9" s="44">
        <v>1</v>
      </c>
      <c r="AD9" s="44">
        <v>2.0009999999999999</v>
      </c>
      <c r="AE9" s="44">
        <v>3</v>
      </c>
      <c r="AF9" s="37" t="str">
        <f ca="1">'TC16-Supplier SO'!C2</f>
        <v>sABs11-2311002</v>
      </c>
      <c r="AG9" s="37" t="s">
        <v>81</v>
      </c>
      <c r="AH9" s="46" t="str">
        <f>'TC6'!A7</f>
        <v>scenario1220230504006</v>
      </c>
      <c r="AI9" s="37" t="str">
        <f>'TC7-Contract Parts Info'!C7</f>
        <v>scenario12:SG-BAFCO:20230504-006</v>
      </c>
      <c r="AJ9" s="37"/>
      <c r="AK9" s="37"/>
      <c r="AL9" s="37">
        <v>10</v>
      </c>
      <c r="AM9" s="37">
        <v>100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1BC3-E043-40F5-9D6D-99B7C2A9BBC7}">
  <dimension ref="A1:C5"/>
  <sheetViews>
    <sheetView workbookViewId="0"/>
  </sheetViews>
  <sheetFormatPr defaultRowHeight="13.8" x14ac:dyDescent="0.3"/>
  <cols>
    <col min="1" max="1" width="5.77734375" style="2" customWidth="1" collapsed="1"/>
    <col min="2" max="3" width="25.77734375" style="2" customWidth="1" collapsed="1"/>
    <col min="4" max="16384" width="8.88671875" style="2" collapsed="1"/>
  </cols>
  <sheetData>
    <row r="1" spans="1:3" x14ac:dyDescent="0.3">
      <c r="A1" s="12" t="s">
        <v>0</v>
      </c>
      <c r="B1" s="67" t="s">
        <v>282</v>
      </c>
      <c r="C1" s="79" t="s">
        <v>215</v>
      </c>
    </row>
    <row r="2" spans="1:3" x14ac:dyDescent="0.3">
      <c r="A2" s="12">
        <v>1</v>
      </c>
      <c r="B2" s="12" t="str">
        <f ca="1">'TC44-Supplier Outbound -Regular'!A3</f>
        <v>o-SG-BAFCO-2311-AB-11-001</v>
      </c>
      <c r="C2" t="s">
        <v>483</v>
      </c>
    </row>
    <row r="3" spans="1:3" x14ac:dyDescent="0.3">
      <c r="A3" s="12">
        <v>2</v>
      </c>
      <c r="B3" s="12" t="str">
        <f ca="1">'TC44-Supplier Outbound -Spot'!C2</f>
        <v>o-SG-BAFCO-2311-AB-11-002</v>
      </c>
      <c r="C3" t="s">
        <v>484</v>
      </c>
    </row>
    <row r="4" spans="1:3" x14ac:dyDescent="0.3">
      <c r="A4" s="12">
        <v>3</v>
      </c>
      <c r="B4" s="12" t="str">
        <f ca="1">'TC44-Supplier Outbound -Spot'!C6</f>
        <v>o-SG-BAFCO-2311-AB-11-003</v>
      </c>
      <c r="C4" t="s">
        <v>485</v>
      </c>
    </row>
    <row r="5" spans="1:3" x14ac:dyDescent="0.3">
      <c r="A5" s="12">
        <v>4</v>
      </c>
      <c r="B5" s="12" t="str">
        <f ca="1">'TC44-Supplier Outbound -Spot'!C9</f>
        <v>o-SG-BAFCO-2311-AB-11-004</v>
      </c>
      <c r="C5" t="s">
        <v>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C2CD-E70A-41BD-8891-E7DD5B5CEC38}">
  <dimension ref="A1:Q7"/>
  <sheetViews>
    <sheetView zoomScale="90" zoomScaleNormal="90" workbookViewId="0">
      <selection activeCell="E14" sqref="E14"/>
    </sheetView>
  </sheetViews>
  <sheetFormatPr defaultColWidth="8.88671875" defaultRowHeight="13.8" x14ac:dyDescent="0.3"/>
  <cols>
    <col min="1" max="1" width="5.77734375" style="3" customWidth="1" collapsed="1"/>
    <col min="2" max="5" width="25.77734375" style="4" customWidth="1" collapsed="1"/>
    <col min="6" max="9" width="15.77734375" style="4" customWidth="1" collapsed="1"/>
    <col min="10" max="10" width="25.77734375" style="4" customWidth="1" collapsed="1"/>
    <col min="11" max="17" width="15.77734375" style="4" customWidth="1" collapsed="1"/>
    <col min="18" max="16384" width="8.88671875" style="4" collapsed="1"/>
  </cols>
  <sheetData>
    <row r="1" spans="1:17" s="1" customFormat="1" x14ac:dyDescent="0.3">
      <c r="A1" s="14" t="s">
        <v>0</v>
      </c>
      <c r="B1" s="69" t="s">
        <v>360</v>
      </c>
      <c r="C1" s="88" t="s">
        <v>25</v>
      </c>
      <c r="D1" s="19" t="s">
        <v>361</v>
      </c>
      <c r="E1" s="19" t="s">
        <v>366</v>
      </c>
      <c r="F1" s="19" t="s">
        <v>367</v>
      </c>
      <c r="G1" s="19" t="s">
        <v>383</v>
      </c>
      <c r="H1" s="19" t="s">
        <v>384</v>
      </c>
      <c r="I1" s="19" t="s">
        <v>381</v>
      </c>
      <c r="J1" s="19" t="s">
        <v>385</v>
      </c>
      <c r="K1" s="19" t="s">
        <v>380</v>
      </c>
      <c r="L1" s="19" t="s">
        <v>386</v>
      </c>
      <c r="M1" s="19" t="s">
        <v>132</v>
      </c>
      <c r="N1" s="19" t="s">
        <v>331</v>
      </c>
      <c r="O1" s="19" t="s">
        <v>332</v>
      </c>
      <c r="P1" s="19" t="s">
        <v>333</v>
      </c>
      <c r="Q1" s="19" t="s">
        <v>276</v>
      </c>
    </row>
    <row r="2" spans="1:17" s="1" customFormat="1" x14ac:dyDescent="0.3">
      <c r="A2" s="14">
        <v>1</v>
      </c>
      <c r="B2" s="12" t="str">
        <f>'TC2'!B2</f>
        <v>VN-TTVN-CUS:20230504-001</v>
      </c>
      <c r="C2" s="13" t="str">
        <f>'TC1'!B2</f>
        <v>scenario1220230504001</v>
      </c>
      <c r="D2" s="12" t="s">
        <v>362</v>
      </c>
      <c r="E2" s="13" t="s">
        <v>369</v>
      </c>
      <c r="F2" s="13" t="s">
        <v>164</v>
      </c>
      <c r="G2" s="13" t="s">
        <v>370</v>
      </c>
      <c r="H2" s="13" t="s">
        <v>193</v>
      </c>
      <c r="I2" s="13" t="s">
        <v>377</v>
      </c>
      <c r="J2" s="13"/>
      <c r="K2" s="13"/>
      <c r="L2" s="16">
        <v>10</v>
      </c>
      <c r="M2" s="16">
        <v>5</v>
      </c>
      <c r="N2" s="17">
        <v>1.1000000000000001</v>
      </c>
      <c r="O2" s="18">
        <v>1.1000000000000001</v>
      </c>
      <c r="P2" s="18">
        <v>1.1000000000000001</v>
      </c>
      <c r="Q2" s="19"/>
    </row>
    <row r="3" spans="1:17" s="1" customFormat="1" x14ac:dyDescent="0.3">
      <c r="A3" s="14">
        <v>2</v>
      </c>
      <c r="B3" s="12" t="str">
        <f>'TC2'!B3</f>
        <v>VN-TTVN-CUS:20230504-002</v>
      </c>
      <c r="C3" s="13" t="str">
        <f>'TC1'!B3</f>
        <v>scenario1220230504002</v>
      </c>
      <c r="D3" s="12" t="s">
        <v>363</v>
      </c>
      <c r="E3" s="13" t="s">
        <v>371</v>
      </c>
      <c r="F3" s="13" t="s">
        <v>165</v>
      </c>
      <c r="G3" s="13" t="s">
        <v>372</v>
      </c>
      <c r="H3" s="13" t="s">
        <v>194</v>
      </c>
      <c r="I3" s="13" t="s">
        <v>377</v>
      </c>
      <c r="J3" s="13"/>
      <c r="K3" s="13"/>
      <c r="L3" s="16">
        <v>10</v>
      </c>
      <c r="M3" s="16">
        <v>5</v>
      </c>
      <c r="N3" s="17">
        <v>1.1000000000000001</v>
      </c>
      <c r="O3" s="18">
        <v>1.1000000000000001</v>
      </c>
      <c r="P3" s="18">
        <v>1.1000000000000001</v>
      </c>
      <c r="Q3" s="19"/>
    </row>
    <row r="4" spans="1:17" s="1" customFormat="1" x14ac:dyDescent="0.3">
      <c r="A4" s="14">
        <v>3</v>
      </c>
      <c r="B4" s="12" t="str">
        <f>'TC2'!B4</f>
        <v>VN-TTVN-CUS:20230504-003</v>
      </c>
      <c r="C4" s="13" t="str">
        <f>'TC1'!B4</f>
        <v>scenario1220230504003</v>
      </c>
      <c r="D4" s="12" t="s">
        <v>364</v>
      </c>
      <c r="E4" s="13" t="s">
        <v>373</v>
      </c>
      <c r="F4" s="13" t="s">
        <v>166</v>
      </c>
      <c r="G4" s="13" t="s">
        <v>374</v>
      </c>
      <c r="H4" s="13" t="s">
        <v>195</v>
      </c>
      <c r="I4" s="13" t="s">
        <v>378</v>
      </c>
      <c r="J4" s="13" t="s">
        <v>153</v>
      </c>
      <c r="K4" s="13" t="s">
        <v>379</v>
      </c>
      <c r="L4" s="16">
        <v>10</v>
      </c>
      <c r="M4" s="16">
        <v>5</v>
      </c>
      <c r="N4" s="17">
        <v>1.1000000000000001</v>
      </c>
      <c r="O4" s="18">
        <v>1.1000000000000001</v>
      </c>
      <c r="P4" s="18">
        <v>1.1000000000000001</v>
      </c>
      <c r="Q4" s="19"/>
    </row>
    <row r="5" spans="1:17" s="1" customFormat="1" x14ac:dyDescent="0.3">
      <c r="A5" s="14">
        <v>4</v>
      </c>
      <c r="B5" s="12" t="str">
        <f>'TC2'!B5</f>
        <v>VN-TTVN-CUS:20230504-004</v>
      </c>
      <c r="C5" s="13" t="str">
        <f>'TC1'!B5</f>
        <v>scenario1220230504004</v>
      </c>
      <c r="D5" s="12" t="s">
        <v>365</v>
      </c>
      <c r="E5" s="13" t="s">
        <v>375</v>
      </c>
      <c r="F5" s="13" t="s">
        <v>167</v>
      </c>
      <c r="G5" s="13" t="s">
        <v>376</v>
      </c>
      <c r="H5" s="13" t="s">
        <v>270</v>
      </c>
      <c r="I5" s="13" t="s">
        <v>378</v>
      </c>
      <c r="J5" s="13" t="s">
        <v>162</v>
      </c>
      <c r="K5" s="13" t="s">
        <v>379</v>
      </c>
      <c r="L5" s="16">
        <v>10</v>
      </c>
      <c r="M5" s="16">
        <v>5</v>
      </c>
      <c r="N5" s="17">
        <v>1.1000000000000001</v>
      </c>
      <c r="O5" s="18">
        <v>1.1000000000000001</v>
      </c>
      <c r="P5" s="18">
        <v>1.1000000000000001</v>
      </c>
      <c r="Q5" s="19"/>
    </row>
    <row r="6" spans="1:17" s="1" customFormat="1" x14ac:dyDescent="0.3">
      <c r="A6" s="14">
        <v>5</v>
      </c>
      <c r="B6" s="12" t="s">
        <v>154</v>
      </c>
      <c r="C6" s="15"/>
      <c r="D6" s="12" t="s">
        <v>388</v>
      </c>
      <c r="E6" s="13" t="s">
        <v>389</v>
      </c>
      <c r="F6" s="13" t="s">
        <v>168</v>
      </c>
      <c r="G6" s="13" t="s">
        <v>390</v>
      </c>
      <c r="H6" s="13" t="s">
        <v>195</v>
      </c>
      <c r="I6" s="13" t="s">
        <v>378</v>
      </c>
      <c r="J6" s="13" t="s">
        <v>163</v>
      </c>
      <c r="K6" s="13" t="s">
        <v>387</v>
      </c>
      <c r="L6" s="16">
        <v>10</v>
      </c>
      <c r="M6" s="16">
        <v>10</v>
      </c>
      <c r="N6" s="17">
        <v>1.1000000000000001</v>
      </c>
      <c r="O6" s="18">
        <v>1.1000000000000001</v>
      </c>
      <c r="P6" s="18">
        <v>1.1000000000000001</v>
      </c>
      <c r="Q6" s="19"/>
    </row>
    <row r="7" spans="1:17" s="1" customFormat="1" x14ac:dyDescent="0.3">
      <c r="A7" s="14">
        <v>6</v>
      </c>
      <c r="B7" s="12" t="s">
        <v>163</v>
      </c>
      <c r="C7" s="15"/>
      <c r="D7" s="12" t="s">
        <v>391</v>
      </c>
      <c r="E7" s="13" t="s">
        <v>392</v>
      </c>
      <c r="F7" s="13" t="s">
        <v>169</v>
      </c>
      <c r="G7" s="13" t="s">
        <v>393</v>
      </c>
      <c r="H7" s="13" t="s">
        <v>195</v>
      </c>
      <c r="I7" s="13" t="s">
        <v>378</v>
      </c>
      <c r="J7" s="13" t="s">
        <v>154</v>
      </c>
      <c r="K7" s="13" t="s">
        <v>387</v>
      </c>
      <c r="L7" s="16">
        <v>10</v>
      </c>
      <c r="M7" s="16">
        <v>10</v>
      </c>
      <c r="N7" s="17">
        <v>1.1000000000000001</v>
      </c>
      <c r="O7" s="18">
        <v>1.1000000000000001</v>
      </c>
      <c r="P7" s="18">
        <v>1.1000000000000001</v>
      </c>
      <c r="Q7" s="19"/>
    </row>
  </sheetData>
  <dataValidations count="3">
    <dataValidation type="list" allowBlank="1" showErrorMessage="1" sqref="I2:I7" xr:uid="{0E91B3D6-9299-430D-A4F2-2FD0E946DA1C}">
      <formula1>PAIRED_FLAG</formula1>
    </dataValidation>
    <dataValidation type="list" allowBlank="1" showErrorMessage="1" sqref="K2:K6" xr:uid="{C5FFB457-24FD-46EF-A22A-756CEE443DDF}">
      <formula1>PAIRED_ORDER_FLAG</formula1>
    </dataValidation>
    <dataValidation type="list" allowBlank="1" showErrorMessage="1" sqref="H2:H7" xr:uid="{C18C6561-5DC9-4062-8CB8-5E10E79AE2DB}">
      <formula1>UOM_CODE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61E3-2B05-4C91-8724-D21919B54379}">
  <dimension ref="A1:D6"/>
  <sheetViews>
    <sheetView workbookViewId="0"/>
  </sheetViews>
  <sheetFormatPr defaultRowHeight="13.8" x14ac:dyDescent="0.3"/>
  <cols>
    <col min="1" max="1" width="5.77734375" style="2" customWidth="1" collapsed="1"/>
    <col min="2" max="4" width="25.77734375" style="2" customWidth="1" collapsed="1"/>
    <col min="5" max="16384" width="8.88671875" style="2" collapsed="1"/>
  </cols>
  <sheetData>
    <row r="1" spans="1:4" x14ac:dyDescent="0.3">
      <c r="A1" s="12" t="s">
        <v>0</v>
      </c>
      <c r="B1" s="67" t="s">
        <v>215</v>
      </c>
      <c r="C1" s="79" t="s">
        <v>283</v>
      </c>
    </row>
    <row r="2" spans="1:4" x14ac:dyDescent="0.3">
      <c r="A2" s="12">
        <v>1</v>
      </c>
      <c r="B2" s="12" t="str">
        <f>'TC44-Outbound No'!C2</f>
        <v>o-SG-BAFCO-231108009</v>
      </c>
      <c r="C2" t="s">
        <v>487</v>
      </c>
      <c r="D2" s="2" t="s">
        <v>464</v>
      </c>
    </row>
    <row r="3" spans="1:4" x14ac:dyDescent="0.3">
      <c r="A3" s="12">
        <v>2</v>
      </c>
      <c r="B3" s="12" t="str">
        <f>'TC44-Outbound No'!C3</f>
        <v>o-SG-BAFCO-231108010</v>
      </c>
      <c r="C3" t="s">
        <v>488</v>
      </c>
      <c r="D3" s="2" t="s">
        <v>465</v>
      </c>
    </row>
    <row r="4" spans="1:4" x14ac:dyDescent="0.3">
      <c r="A4" s="12">
        <v>3</v>
      </c>
      <c r="B4" s="12" t="str">
        <f>'TC44-Outbound No'!C4</f>
        <v>o-SG-BAFCO-231108011</v>
      </c>
      <c r="C4" t="s">
        <v>489</v>
      </c>
    </row>
    <row r="5" spans="1:4" x14ac:dyDescent="0.3">
      <c r="A5" s="12">
        <v>4</v>
      </c>
      <c r="B5" s="12" t="str">
        <f>'TC44-Outbound No'!C5</f>
        <v>o-SG-BAFCO-231108012</v>
      </c>
      <c r="C5" t="s">
        <v>490</v>
      </c>
    </row>
    <row r="6" spans="1:4" x14ac:dyDescent="0.3">
      <c r="C6" t="s">
        <v>491</v>
      </c>
      <c r="D6" s="2" t="s">
        <v>466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ABF-3A14-4153-8AE3-9C0D9DAAE757}">
  <dimension ref="A1:Z5"/>
  <sheetViews>
    <sheetView workbookViewId="0">
      <selection activeCell="B8" sqref="B8"/>
    </sheetView>
  </sheetViews>
  <sheetFormatPr defaultRowHeight="13.8" x14ac:dyDescent="0.3"/>
  <cols>
    <col min="1" max="2" width="25.77734375" style="2" customWidth="1" collapsed="1"/>
    <col min="3" max="26" width="15.77734375" style="2" customWidth="1" collapsed="1"/>
    <col min="27" max="16384" width="8.88671875" style="2" collapsed="1"/>
  </cols>
  <sheetData>
    <row r="1" spans="1:26" s="8" customFormat="1" x14ac:dyDescent="0.3">
      <c r="A1" s="83" t="s">
        <v>301</v>
      </c>
      <c r="B1" s="83" t="s">
        <v>217</v>
      </c>
      <c r="C1" s="84" t="s">
        <v>302</v>
      </c>
      <c r="D1" s="84" t="s">
        <v>303</v>
      </c>
      <c r="E1" s="84" t="s">
        <v>304</v>
      </c>
      <c r="F1" s="84" t="s">
        <v>305</v>
      </c>
      <c r="G1" s="84" t="s">
        <v>306</v>
      </c>
      <c r="H1" s="84" t="s">
        <v>307</v>
      </c>
      <c r="I1" s="84" t="s">
        <v>308</v>
      </c>
      <c r="J1" s="84" t="s">
        <v>309</v>
      </c>
      <c r="K1" s="84" t="s">
        <v>310</v>
      </c>
      <c r="L1" s="84" t="s">
        <v>311</v>
      </c>
      <c r="M1" s="84" t="s">
        <v>312</v>
      </c>
      <c r="N1" s="84" t="s">
        <v>313</v>
      </c>
      <c r="O1" s="84" t="s">
        <v>314</v>
      </c>
      <c r="P1" s="84" t="s">
        <v>315</v>
      </c>
      <c r="Q1" s="84" t="s">
        <v>314</v>
      </c>
      <c r="R1" s="84" t="s">
        <v>315</v>
      </c>
      <c r="S1" s="84" t="s">
        <v>316</v>
      </c>
      <c r="T1" s="84" t="s">
        <v>317</v>
      </c>
      <c r="U1" s="84" t="s">
        <v>316</v>
      </c>
      <c r="V1" s="84" t="s">
        <v>317</v>
      </c>
      <c r="W1" s="84" t="s">
        <v>318</v>
      </c>
      <c r="X1" s="84" t="s">
        <v>319</v>
      </c>
      <c r="Y1" s="84" t="s">
        <v>320</v>
      </c>
      <c r="Z1" s="84" t="s">
        <v>321</v>
      </c>
    </row>
    <row r="2" spans="1:26" s="11" customFormat="1" x14ac:dyDescent="0.3">
      <c r="A2" s="48" t="str">
        <f ca="1">'TC44-Supplier Outbound -Regular'!C3</f>
        <v>B-2311-AB-01-011</v>
      </c>
      <c r="B2" s="48"/>
      <c r="C2" s="48" t="s">
        <v>322</v>
      </c>
      <c r="D2" s="48" t="s">
        <v>323</v>
      </c>
      <c r="E2" s="48" t="s">
        <v>324</v>
      </c>
      <c r="F2" s="48" t="s">
        <v>324</v>
      </c>
      <c r="G2" s="48" t="s">
        <v>324</v>
      </c>
      <c r="H2" s="48" t="s">
        <v>324</v>
      </c>
      <c r="I2" s="48" t="s">
        <v>324</v>
      </c>
      <c r="J2" s="48" t="s">
        <v>324</v>
      </c>
      <c r="K2" s="48" t="s">
        <v>324</v>
      </c>
      <c r="L2" s="48" t="s">
        <v>324</v>
      </c>
      <c r="M2" s="48" t="s">
        <v>324</v>
      </c>
      <c r="N2" s="48" t="s">
        <v>324</v>
      </c>
      <c r="O2" s="48" t="s">
        <v>324</v>
      </c>
      <c r="P2" s="48" t="s">
        <v>324</v>
      </c>
      <c r="Q2" s="48" t="s">
        <v>324</v>
      </c>
      <c r="R2" s="48" t="s">
        <v>324</v>
      </c>
      <c r="S2" s="48" t="s">
        <v>324</v>
      </c>
      <c r="T2" s="48" t="s">
        <v>324</v>
      </c>
      <c r="U2" s="48" t="s">
        <v>324</v>
      </c>
      <c r="V2" s="48" t="s">
        <v>324</v>
      </c>
      <c r="W2" s="48" t="s">
        <v>324</v>
      </c>
      <c r="X2" s="48" t="s">
        <v>324</v>
      </c>
      <c r="Y2" s="48" t="s">
        <v>324</v>
      </c>
      <c r="Z2" s="48" t="s">
        <v>324</v>
      </c>
    </row>
    <row r="3" spans="1:26" s="11" customFormat="1" x14ac:dyDescent="0.3">
      <c r="A3" s="48" t="str">
        <f ca="1">'TC44-Supplier Outbound -Regular'!C3</f>
        <v>B-2311-AB-01-011</v>
      </c>
      <c r="B3" s="53" t="str">
        <f>'TC44-Supplier Outbound -Regular'!G4</f>
        <v>KKFU1726110</v>
      </c>
      <c r="C3" s="48" t="s">
        <v>322</v>
      </c>
      <c r="D3" s="48" t="s">
        <v>323</v>
      </c>
      <c r="E3" s="48" t="s">
        <v>324</v>
      </c>
      <c r="F3" s="48" t="s">
        <v>324</v>
      </c>
      <c r="G3" s="48" t="s">
        <v>324</v>
      </c>
      <c r="H3" s="48" t="s">
        <v>324</v>
      </c>
      <c r="I3" s="48" t="s">
        <v>324</v>
      </c>
      <c r="J3" s="48" t="s">
        <v>324</v>
      </c>
      <c r="K3" s="48" t="s">
        <v>324</v>
      </c>
      <c r="L3" s="48" t="s">
        <v>324</v>
      </c>
      <c r="M3" s="48" t="s">
        <v>324</v>
      </c>
      <c r="N3" s="48" t="s">
        <v>324</v>
      </c>
      <c r="O3" s="48" t="s">
        <v>324</v>
      </c>
      <c r="P3" s="48" t="s">
        <v>324</v>
      </c>
      <c r="Q3" s="48" t="s">
        <v>324</v>
      </c>
      <c r="R3" s="48" t="s">
        <v>324</v>
      </c>
      <c r="S3" s="48" t="s">
        <v>324</v>
      </c>
      <c r="T3" s="48" t="s">
        <v>324</v>
      </c>
      <c r="U3" s="48" t="s">
        <v>324</v>
      </c>
      <c r="V3" s="48" t="s">
        <v>324</v>
      </c>
      <c r="W3" s="48" t="s">
        <v>324</v>
      </c>
      <c r="X3" s="48" t="s">
        <v>324</v>
      </c>
      <c r="Y3" s="48" t="s">
        <v>324</v>
      </c>
      <c r="Z3" s="48" t="s">
        <v>324</v>
      </c>
    </row>
    <row r="4" spans="1:26" s="11" customFormat="1" x14ac:dyDescent="0.3">
      <c r="A4" s="48" t="str">
        <f ca="1">'TC44-Supplier Outbound -Regular'!C3</f>
        <v>B-2311-AB-01-011</v>
      </c>
      <c r="B4" s="53" t="str">
        <f>'TC44-Supplier Outbound -Regular'!G5</f>
        <v>NYKU8417026</v>
      </c>
      <c r="C4" s="48" t="s">
        <v>322</v>
      </c>
      <c r="D4" s="48" t="s">
        <v>323</v>
      </c>
      <c r="E4" s="48" t="s">
        <v>324</v>
      </c>
      <c r="F4" s="48" t="s">
        <v>324</v>
      </c>
      <c r="G4" s="48" t="s">
        <v>324</v>
      </c>
      <c r="H4" s="48" t="s">
        <v>324</v>
      </c>
      <c r="I4" s="48" t="s">
        <v>324</v>
      </c>
      <c r="J4" s="48" t="s">
        <v>324</v>
      </c>
      <c r="K4" s="48" t="s">
        <v>324</v>
      </c>
      <c r="L4" s="48" t="s">
        <v>324</v>
      </c>
      <c r="M4" s="48" t="s">
        <v>324</v>
      </c>
      <c r="N4" s="48" t="s">
        <v>324</v>
      </c>
      <c r="O4" s="48" t="s">
        <v>324</v>
      </c>
      <c r="P4" s="48" t="s">
        <v>324</v>
      </c>
      <c r="Q4" s="48" t="s">
        <v>324</v>
      </c>
      <c r="R4" s="48" t="s">
        <v>324</v>
      </c>
      <c r="S4" s="48" t="s">
        <v>324</v>
      </c>
      <c r="T4" s="48" t="s">
        <v>324</v>
      </c>
      <c r="U4" s="48" t="s">
        <v>324</v>
      </c>
      <c r="V4" s="48" t="s">
        <v>324</v>
      </c>
      <c r="W4" s="48" t="s">
        <v>324</v>
      </c>
      <c r="X4" s="48" t="s">
        <v>324</v>
      </c>
      <c r="Y4" s="48" t="s">
        <v>324</v>
      </c>
      <c r="Z4" s="48" t="s">
        <v>324</v>
      </c>
    </row>
    <row r="5" spans="1:26" x14ac:dyDescent="0.3">
      <c r="A5" s="48" t="str">
        <f ca="1">'TC44-Supplier Outbound -Regular'!C3</f>
        <v>B-2311-AB-01-011</v>
      </c>
      <c r="B5" s="53" t="str">
        <f>'TC44-Supplier Outbound -Regular'!G7</f>
        <v>C-230506001-001</v>
      </c>
      <c r="C5" s="48" t="s">
        <v>322</v>
      </c>
      <c r="D5" s="48" t="s">
        <v>323</v>
      </c>
      <c r="E5" s="48" t="s">
        <v>324</v>
      </c>
      <c r="F5" s="48" t="s">
        <v>324</v>
      </c>
      <c r="G5" s="48" t="s">
        <v>324</v>
      </c>
      <c r="H5" s="48" t="s">
        <v>324</v>
      </c>
      <c r="I5" s="48" t="s">
        <v>324</v>
      </c>
      <c r="J5" s="48" t="s">
        <v>324</v>
      </c>
      <c r="K5" s="48" t="s">
        <v>324</v>
      </c>
      <c r="L5" s="48" t="s">
        <v>324</v>
      </c>
      <c r="M5" s="48" t="s">
        <v>324</v>
      </c>
      <c r="N5" s="48" t="s">
        <v>324</v>
      </c>
      <c r="O5" s="48" t="s">
        <v>324</v>
      </c>
      <c r="P5" s="48" t="s">
        <v>324</v>
      </c>
      <c r="Q5" s="48" t="s">
        <v>324</v>
      </c>
      <c r="R5" s="48" t="s">
        <v>324</v>
      </c>
      <c r="S5" s="48" t="s">
        <v>324</v>
      </c>
      <c r="T5" s="48" t="s">
        <v>324</v>
      </c>
      <c r="U5" s="48" t="s">
        <v>324</v>
      </c>
      <c r="V5" s="48" t="s">
        <v>324</v>
      </c>
      <c r="W5" s="48" t="s">
        <v>324</v>
      </c>
      <c r="X5" s="48" t="s">
        <v>324</v>
      </c>
      <c r="Y5" s="48" t="s">
        <v>324</v>
      </c>
      <c r="Z5" s="48" t="s">
        <v>324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21EE-23C3-4FCA-9C9B-9CEB31F6088E}">
  <dimension ref="A1:Z6"/>
  <sheetViews>
    <sheetView workbookViewId="0">
      <selection activeCell="C1" sqref="C1"/>
    </sheetView>
  </sheetViews>
  <sheetFormatPr defaultRowHeight="13.8" x14ac:dyDescent="0.3"/>
  <cols>
    <col min="1" max="2" width="25.77734375" style="2" customWidth="1" collapsed="1"/>
    <col min="3" max="26" width="15.77734375" style="2" customWidth="1" collapsed="1"/>
    <col min="27" max="16384" width="8.88671875" style="2" collapsed="1"/>
  </cols>
  <sheetData>
    <row r="1" spans="1:26" s="8" customFormat="1" x14ac:dyDescent="0.3">
      <c r="A1" s="83" t="s">
        <v>301</v>
      </c>
      <c r="B1" s="83" t="s">
        <v>217</v>
      </c>
      <c r="C1" s="84" t="s">
        <v>302</v>
      </c>
      <c r="D1" s="84" t="s">
        <v>303</v>
      </c>
      <c r="E1" s="84" t="s">
        <v>304</v>
      </c>
      <c r="F1" s="84" t="s">
        <v>305</v>
      </c>
      <c r="G1" s="84" t="s">
        <v>306</v>
      </c>
      <c r="H1" s="84" t="s">
        <v>307</v>
      </c>
      <c r="I1" s="84" t="s">
        <v>308</v>
      </c>
      <c r="J1" s="84" t="s">
        <v>309</v>
      </c>
      <c r="K1" s="84" t="s">
        <v>310</v>
      </c>
      <c r="L1" s="84" t="s">
        <v>311</v>
      </c>
      <c r="M1" s="84" t="s">
        <v>312</v>
      </c>
      <c r="N1" s="84" t="s">
        <v>313</v>
      </c>
      <c r="O1" s="84" t="s">
        <v>314</v>
      </c>
      <c r="P1" s="84" t="s">
        <v>315</v>
      </c>
      <c r="Q1" s="84" t="s">
        <v>314</v>
      </c>
      <c r="R1" s="84" t="s">
        <v>315</v>
      </c>
      <c r="S1" s="84" t="s">
        <v>316</v>
      </c>
      <c r="T1" s="84" t="s">
        <v>317</v>
      </c>
      <c r="U1" s="84" t="s">
        <v>316</v>
      </c>
      <c r="V1" s="84" t="s">
        <v>317</v>
      </c>
      <c r="W1" s="84" t="s">
        <v>318</v>
      </c>
      <c r="X1" s="84" t="s">
        <v>319</v>
      </c>
      <c r="Y1" s="84" t="s">
        <v>320</v>
      </c>
      <c r="Z1" s="84" t="s">
        <v>321</v>
      </c>
    </row>
    <row r="2" spans="1:26" s="11" customFormat="1" x14ac:dyDescent="0.3">
      <c r="A2" s="48" t="str">
        <f ca="1">'TC44-Supplier Outbound -Spot'!E6</f>
        <v>B-2311-AB-02-011</v>
      </c>
      <c r="B2" s="53" t="str">
        <f>'TC44-Supplier Outbound -Spot'!O8</f>
        <v>C-230506001-001</v>
      </c>
      <c r="C2" s="48" t="s">
        <v>322</v>
      </c>
      <c r="D2" s="48" t="s">
        <v>323</v>
      </c>
      <c r="E2" s="48" t="s">
        <v>324</v>
      </c>
      <c r="F2" s="48" t="s">
        <v>324</v>
      </c>
      <c r="G2" s="48" t="s">
        <v>324</v>
      </c>
      <c r="H2" s="48" t="s">
        <v>324</v>
      </c>
      <c r="I2" s="48" t="s">
        <v>324</v>
      </c>
      <c r="J2" s="48" t="s">
        <v>324</v>
      </c>
      <c r="K2" s="48" t="s">
        <v>324</v>
      </c>
      <c r="L2" s="48" t="s">
        <v>324</v>
      </c>
      <c r="M2" s="48" t="s">
        <v>324</v>
      </c>
      <c r="N2" s="48" t="s">
        <v>324</v>
      </c>
      <c r="O2" s="48" t="s">
        <v>324</v>
      </c>
      <c r="P2" s="48" t="s">
        <v>324</v>
      </c>
      <c r="Q2" s="48" t="s">
        <v>324</v>
      </c>
      <c r="R2" s="48" t="s">
        <v>324</v>
      </c>
      <c r="S2" s="48" t="s">
        <v>324</v>
      </c>
      <c r="T2" s="48" t="s">
        <v>324</v>
      </c>
      <c r="U2" s="48" t="s">
        <v>324</v>
      </c>
      <c r="V2" s="48" t="s">
        <v>324</v>
      </c>
      <c r="W2" s="48" t="s">
        <v>324</v>
      </c>
      <c r="X2" s="48" t="s">
        <v>324</v>
      </c>
      <c r="Y2" s="48" t="s">
        <v>324</v>
      </c>
      <c r="Z2" s="48" t="s">
        <v>324</v>
      </c>
    </row>
    <row r="3" spans="1:26" s="11" customFormat="1" x14ac:dyDescent="0.3">
      <c r="A3" s="48"/>
      <c r="B3" s="53" t="str">
        <f>'TC44-Supplier Outbound -Spot'!O5</f>
        <v>C-230508001-001</v>
      </c>
      <c r="C3" s="48" t="s">
        <v>322</v>
      </c>
      <c r="D3" s="48" t="s">
        <v>323</v>
      </c>
      <c r="E3" s="48" t="s">
        <v>324</v>
      </c>
      <c r="F3" s="48" t="s">
        <v>324</v>
      </c>
      <c r="G3" s="48" t="s">
        <v>324</v>
      </c>
      <c r="H3" s="48" t="s">
        <v>324</v>
      </c>
      <c r="I3" s="48" t="s">
        <v>324</v>
      </c>
      <c r="J3" s="48" t="s">
        <v>324</v>
      </c>
      <c r="K3" s="48" t="s">
        <v>324</v>
      </c>
      <c r="L3" s="48" t="s">
        <v>324</v>
      </c>
      <c r="M3" s="48" t="s">
        <v>324</v>
      </c>
      <c r="N3" s="48" t="s">
        <v>324</v>
      </c>
      <c r="O3" s="48" t="s">
        <v>324</v>
      </c>
      <c r="P3" s="48" t="s">
        <v>324</v>
      </c>
      <c r="Q3" s="48" t="s">
        <v>324</v>
      </c>
      <c r="R3" s="48" t="s">
        <v>324</v>
      </c>
      <c r="S3" s="48" t="s">
        <v>324</v>
      </c>
      <c r="T3" s="48" t="s">
        <v>324</v>
      </c>
      <c r="U3" s="48" t="s">
        <v>324</v>
      </c>
      <c r="V3" s="48" t="s">
        <v>324</v>
      </c>
      <c r="W3" s="48" t="s">
        <v>324</v>
      </c>
      <c r="X3" s="48" t="s">
        <v>324</v>
      </c>
      <c r="Y3" s="48" t="s">
        <v>324</v>
      </c>
      <c r="Z3" s="48" t="s">
        <v>324</v>
      </c>
    </row>
    <row r="4" spans="1:26" s="11" customFormat="1" x14ac:dyDescent="0.3">
      <c r="A4" s="48" t="str">
        <f ca="1">'TC44-Supplier Outbound -Spot'!E7</f>
        <v>B-2311-AB-02-011</v>
      </c>
      <c r="B4" s="53" t="str">
        <f>'TC44-Supplier Outbound -Spot'!O6</f>
        <v>NYKU8417026</v>
      </c>
      <c r="C4" s="48" t="s">
        <v>322</v>
      </c>
      <c r="D4" s="48" t="s">
        <v>323</v>
      </c>
      <c r="E4" s="48" t="s">
        <v>324</v>
      </c>
      <c r="F4" s="48" t="s">
        <v>324</v>
      </c>
      <c r="G4" s="48" t="s">
        <v>324</v>
      </c>
      <c r="H4" s="48" t="s">
        <v>324</v>
      </c>
      <c r="I4" s="48" t="s">
        <v>324</v>
      </c>
      <c r="J4" s="48" t="s">
        <v>324</v>
      </c>
      <c r="K4" s="48" t="s">
        <v>324</v>
      </c>
      <c r="L4" s="48" t="s">
        <v>324</v>
      </c>
      <c r="M4" s="48" t="s">
        <v>324</v>
      </c>
      <c r="N4" s="48" t="s">
        <v>324</v>
      </c>
      <c r="O4" s="48" t="s">
        <v>324</v>
      </c>
      <c r="P4" s="48" t="s">
        <v>324</v>
      </c>
      <c r="Q4" s="48" t="s">
        <v>324</v>
      </c>
      <c r="R4" s="48" t="s">
        <v>324</v>
      </c>
      <c r="S4" s="48" t="s">
        <v>324</v>
      </c>
      <c r="T4" s="48" t="s">
        <v>324</v>
      </c>
      <c r="U4" s="48" t="s">
        <v>324</v>
      </c>
      <c r="V4" s="48" t="s">
        <v>324</v>
      </c>
      <c r="W4" s="48" t="s">
        <v>324</v>
      </c>
      <c r="X4" s="48" t="s">
        <v>324</v>
      </c>
      <c r="Y4" s="48" t="s">
        <v>324</v>
      </c>
      <c r="Z4" s="48" t="s">
        <v>324</v>
      </c>
    </row>
    <row r="5" spans="1:26" x14ac:dyDescent="0.3">
      <c r="A5" s="48" t="str">
        <f ca="1">'TC44-Supplier Outbound -Spot'!E9</f>
        <v>B-2311-AB-03-011</v>
      </c>
      <c r="B5" s="12"/>
      <c r="C5" s="48" t="s">
        <v>322</v>
      </c>
      <c r="D5" s="48" t="s">
        <v>323</v>
      </c>
      <c r="E5" s="48" t="s">
        <v>324</v>
      </c>
      <c r="F5" s="48" t="s">
        <v>324</v>
      </c>
      <c r="G5" s="48" t="s">
        <v>324</v>
      </c>
      <c r="H5" s="48" t="s">
        <v>324</v>
      </c>
      <c r="I5" s="48" t="s">
        <v>324</v>
      </c>
      <c r="J5" s="48" t="s">
        <v>324</v>
      </c>
      <c r="K5" s="48" t="s">
        <v>324</v>
      </c>
      <c r="L5" s="48" t="s">
        <v>324</v>
      </c>
      <c r="M5" s="48" t="s">
        <v>324</v>
      </c>
      <c r="N5" s="48" t="s">
        <v>324</v>
      </c>
      <c r="O5" s="48" t="s">
        <v>324</v>
      </c>
      <c r="P5" s="48" t="s">
        <v>324</v>
      </c>
      <c r="Q5" s="48" t="s">
        <v>324</v>
      </c>
      <c r="R5" s="48" t="s">
        <v>324</v>
      </c>
      <c r="S5" s="48" t="s">
        <v>324</v>
      </c>
      <c r="T5" s="48" t="s">
        <v>324</v>
      </c>
      <c r="U5" s="48" t="s">
        <v>324</v>
      </c>
      <c r="V5" s="48" t="s">
        <v>324</v>
      </c>
      <c r="W5" s="48" t="s">
        <v>324</v>
      </c>
      <c r="X5" s="48" t="s">
        <v>324</v>
      </c>
      <c r="Y5" s="48" t="s">
        <v>324</v>
      </c>
      <c r="Z5" s="48" t="s">
        <v>324</v>
      </c>
    </row>
    <row r="6" spans="1:26" x14ac:dyDescent="0.3">
      <c r="A6" s="12"/>
      <c r="B6" s="48" t="str">
        <f>'TC44-Supplier Outbound -Spot'!O3</f>
        <v>KKFU1726110</v>
      </c>
      <c r="C6" s="48" t="s">
        <v>322</v>
      </c>
      <c r="D6" s="48" t="s">
        <v>323</v>
      </c>
      <c r="E6" s="48" t="s">
        <v>324</v>
      </c>
      <c r="F6" s="48" t="s">
        <v>324</v>
      </c>
      <c r="G6" s="48" t="s">
        <v>324</v>
      </c>
      <c r="H6" s="48" t="s">
        <v>324</v>
      </c>
      <c r="I6" s="48" t="s">
        <v>324</v>
      </c>
      <c r="J6" s="48" t="s">
        <v>324</v>
      </c>
      <c r="K6" s="48" t="s">
        <v>324</v>
      </c>
      <c r="L6" s="48" t="s">
        <v>324</v>
      </c>
      <c r="M6" s="48" t="s">
        <v>324</v>
      </c>
      <c r="N6" s="48" t="s">
        <v>324</v>
      </c>
      <c r="O6" s="48" t="s">
        <v>324</v>
      </c>
      <c r="P6" s="48" t="s">
        <v>324</v>
      </c>
      <c r="Q6" s="48" t="s">
        <v>324</v>
      </c>
      <c r="R6" s="48" t="s">
        <v>324</v>
      </c>
      <c r="S6" s="48" t="s">
        <v>324</v>
      </c>
      <c r="T6" s="48" t="s">
        <v>324</v>
      </c>
      <c r="U6" s="48" t="s">
        <v>324</v>
      </c>
      <c r="V6" s="48" t="s">
        <v>324</v>
      </c>
      <c r="W6" s="48" t="s">
        <v>324</v>
      </c>
      <c r="X6" s="48" t="s">
        <v>324</v>
      </c>
      <c r="Y6" s="48" t="s">
        <v>324</v>
      </c>
      <c r="Z6" s="48" t="s">
        <v>324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12FA-01A2-4B2F-8178-C7A1C83AE86A}">
  <dimension ref="A1:B10"/>
  <sheetViews>
    <sheetView workbookViewId="0">
      <selection activeCell="J38" sqref="J38"/>
    </sheetView>
  </sheetViews>
  <sheetFormatPr defaultRowHeight="13.8" x14ac:dyDescent="0.3"/>
  <cols>
    <col min="1" max="2" width="25.77734375" style="2" customWidth="1" collapsed="1"/>
    <col min="3" max="4" width="20.77734375" style="2" customWidth="1" collapsed="1"/>
    <col min="5" max="16384" width="8.88671875" style="2" collapsed="1"/>
  </cols>
  <sheetData>
    <row r="1" spans="1:2" x14ac:dyDescent="0.3">
      <c r="A1" s="67" t="s">
        <v>216</v>
      </c>
      <c r="B1" s="67" t="s">
        <v>217</v>
      </c>
    </row>
    <row r="2" spans="1:2" x14ac:dyDescent="0.3">
      <c r="A2" s="12" t="str">
        <f ca="1">'TC44-Supplier Outbound -Regular'!C3</f>
        <v>B-2311-AB-01-011</v>
      </c>
      <c r="B2" s="12"/>
    </row>
    <row r="3" spans="1:2" x14ac:dyDescent="0.3">
      <c r="A3" s="22" t="str">
        <f ca="1">'TC44-Supplier Outbound -Regular'!C8</f>
        <v>B-2311-AB-01-011</v>
      </c>
      <c r="B3" s="24" t="str">
        <f>'TC44-Supplier Outbound -Regular'!G8</f>
        <v>C-230506001-001</v>
      </c>
    </row>
    <row r="4" spans="1:2" x14ac:dyDescent="0.3">
      <c r="A4" s="22" t="str">
        <f ca="1">'TC44-Supplier Outbound -Regular'!C4</f>
        <v>B-2311-AB-01-011</v>
      </c>
      <c r="B4" s="49" t="str">
        <f>'TC44-Supplier Outbound -Regular'!G4</f>
        <v>KKFU1726110</v>
      </c>
    </row>
    <row r="5" spans="1:2" x14ac:dyDescent="0.3">
      <c r="A5" s="22" t="str">
        <f ca="1">'TC44-Supplier Outbound -Regular'!C6</f>
        <v>B-2311-AB-01-011</v>
      </c>
      <c r="B5" s="49" t="str">
        <f>'TC44-Supplier Outbound -Regular'!G6</f>
        <v>NYKU8417026</v>
      </c>
    </row>
    <row r="6" spans="1:2" x14ac:dyDescent="0.3">
      <c r="A6" s="22"/>
      <c r="B6" s="24" t="str">
        <f>'TC44-Supplier Outbound -Spot'!O5</f>
        <v>C-230508001-001</v>
      </c>
    </row>
    <row r="7" spans="1:2" x14ac:dyDescent="0.3">
      <c r="A7" s="12"/>
      <c r="B7" s="24" t="str">
        <f>'TC44-Supplier Outbound -Spot'!O4</f>
        <v>KKFU1726110</v>
      </c>
    </row>
    <row r="8" spans="1:2" x14ac:dyDescent="0.3">
      <c r="A8" s="12" t="str">
        <f ca="1">'TC44-Supplier Outbound -Spot'!E8</f>
        <v>B-2311-AB-02-011</v>
      </c>
      <c r="B8" s="24" t="str">
        <f>'TC44-Supplier Outbound -Spot'!O8</f>
        <v>C-230506001-001</v>
      </c>
    </row>
    <row r="9" spans="1:2" x14ac:dyDescent="0.3">
      <c r="A9" s="12" t="str">
        <f ca="1">'TC44-Supplier Outbound -Spot'!E7</f>
        <v>B-2311-AB-02-011</v>
      </c>
      <c r="B9" s="24" t="str">
        <f>'TC44-Supplier Outbound -Spot'!O7</f>
        <v>NYKU8417026</v>
      </c>
    </row>
    <row r="10" spans="1:2" x14ac:dyDescent="0.3">
      <c r="A10" s="12" t="str">
        <f ca="1">'TC44-Supplier Outbound -Spot'!E9</f>
        <v>B-2311-AB-03-011</v>
      </c>
      <c r="B10" s="1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B652-996F-421B-A9AA-FD39761C01AA}">
  <dimension ref="A1:C5"/>
  <sheetViews>
    <sheetView workbookViewId="0"/>
  </sheetViews>
  <sheetFormatPr defaultRowHeight="13.8" x14ac:dyDescent="0.3"/>
  <cols>
    <col min="1" max="1" width="5.77734375" style="2" customWidth="1" collapsed="1"/>
    <col min="2" max="4" width="25.77734375" style="2" customWidth="1" collapsed="1"/>
    <col min="5" max="16384" width="8.88671875" style="2" collapsed="1"/>
  </cols>
  <sheetData>
    <row r="1" spans="1:3" x14ac:dyDescent="0.3">
      <c r="A1" s="12" t="s">
        <v>0</v>
      </c>
      <c r="B1" s="67" t="s">
        <v>215</v>
      </c>
      <c r="C1" s="79" t="s">
        <v>283</v>
      </c>
    </row>
    <row r="2" spans="1:3" x14ac:dyDescent="0.3">
      <c r="A2" s="12">
        <v>1</v>
      </c>
      <c r="B2" s="12" t="str">
        <f>'TC44-Outbound No'!C2</f>
        <v>o-SG-BAFCO-231108009</v>
      </c>
      <c r="C2" t="s">
        <v>492</v>
      </c>
    </row>
    <row r="3" spans="1:3" x14ac:dyDescent="0.3">
      <c r="A3" s="12">
        <v>2</v>
      </c>
      <c r="B3" s="12" t="str">
        <f>'TC44-Outbound No'!C3</f>
        <v>o-SG-BAFCO-231108010</v>
      </c>
      <c r="C3" t="s">
        <v>493</v>
      </c>
    </row>
    <row r="4" spans="1:3" x14ac:dyDescent="0.3">
      <c r="A4" s="12">
        <v>3</v>
      </c>
      <c r="B4" s="12" t="str">
        <f>'TC44-Outbound No'!C4</f>
        <v>o-SG-BAFCO-231108011</v>
      </c>
      <c r="C4" t="s">
        <v>494</v>
      </c>
    </row>
    <row r="5" spans="1:3" x14ac:dyDescent="0.3">
      <c r="A5" s="12">
        <v>4</v>
      </c>
      <c r="B5" s="12" t="str">
        <f>'TC44-Outbound No'!C5</f>
        <v>o-SG-BAFCO-231108012</v>
      </c>
      <c r="C5" t="s">
        <v>495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6599-8CB1-4B13-A4F1-65D4DF22C5CF}">
  <dimension ref="A1:F15"/>
  <sheetViews>
    <sheetView workbookViewId="0"/>
  </sheetViews>
  <sheetFormatPr defaultRowHeight="13.8" x14ac:dyDescent="0.3"/>
  <cols>
    <col min="1" max="1" width="5.77734375" style="2" customWidth="1" collapsed="1"/>
    <col min="2" max="2" width="25.77734375" style="2" customWidth="1" collapsed="1"/>
    <col min="3" max="6" width="15.77734375" style="2" customWidth="1" collapsed="1"/>
    <col min="7" max="16384" width="8.88671875" style="2" collapsed="1"/>
  </cols>
  <sheetData>
    <row r="1" spans="1:6" x14ac:dyDescent="0.3">
      <c r="A1" s="12" t="s">
        <v>0</v>
      </c>
      <c r="B1" s="51" t="s">
        <v>329</v>
      </c>
      <c r="C1" s="12" t="s">
        <v>330</v>
      </c>
      <c r="D1" s="12" t="s">
        <v>331</v>
      </c>
      <c r="E1" s="12" t="s">
        <v>332</v>
      </c>
      <c r="F1" s="12" t="s">
        <v>333</v>
      </c>
    </row>
    <row r="2" spans="1:6" x14ac:dyDescent="0.3">
      <c r="A2" s="12">
        <v>1</v>
      </c>
      <c r="B2" s="12" t="str">
        <f ca="1">"i-VN-AKIRA-"&amp;TEXT(TODAY(),"yymmdd")&amp;"-"&amp;AutoIncrement!B2&amp;"-"&amp;AutoIncrement!A2&amp;"-001"</f>
        <v>i-VN-AKIRA-231115-AB-11-001</v>
      </c>
      <c r="C2" s="37" t="str">
        <f ca="1">TEXT(DATE(YEAR(TODAY()), MONTH(TODAY()), DAY(TODAY())), "dd MMM yyyy")</f>
        <v>15 Nov 2023</v>
      </c>
      <c r="D2" s="12"/>
      <c r="E2" s="12"/>
      <c r="F2" s="12"/>
    </row>
    <row r="3" spans="1:6" x14ac:dyDescent="0.3">
      <c r="A3" s="12">
        <v>2</v>
      </c>
      <c r="B3" s="12" t="str">
        <f ca="1">"i-VN-AKIRA-"&amp;TEXT(TODAY(),"yymmdd")&amp;"-"&amp;AutoIncrement!B2&amp;"-"&amp;AutoIncrement!A2&amp;"-001"</f>
        <v>i-VN-AKIRA-231115-AB-11-001</v>
      </c>
      <c r="C3" s="37" t="str">
        <f t="shared" ref="C3:C15" ca="1" si="0">TEXT(DATE(YEAR(TODAY()), MONTH(TODAY()), DAY(TODAY())), "dd MMM yyyy")</f>
        <v>15 Nov 2023</v>
      </c>
      <c r="D3" s="12"/>
      <c r="E3" s="12"/>
      <c r="F3" s="12"/>
    </row>
    <row r="4" spans="1:6" x14ac:dyDescent="0.3">
      <c r="A4" s="12">
        <v>3</v>
      </c>
      <c r="B4" s="12" t="str">
        <f ca="1">"i-VN-AKIRA-"&amp;TEXT(TODAY(),"yymmdd")&amp;"-"&amp;AutoIncrement!B2&amp;"-"&amp;AutoIncrement!A2&amp;"-001"</f>
        <v>i-VN-AKIRA-231115-AB-11-001</v>
      </c>
      <c r="C4" s="37" t="str">
        <f t="shared" ca="1" si="0"/>
        <v>15 Nov 2023</v>
      </c>
      <c r="D4" s="12"/>
      <c r="E4" s="12"/>
      <c r="F4" s="12"/>
    </row>
    <row r="5" spans="1:6" x14ac:dyDescent="0.3">
      <c r="A5" s="12">
        <v>4</v>
      </c>
      <c r="B5" s="12" t="str">
        <f ca="1">"i-VN-AKIRA-"&amp;TEXT(TODAY(),"yymmdd")&amp;"-"&amp;AutoIncrement!B2&amp;"-"&amp;AutoIncrement!A2&amp;"-001"</f>
        <v>i-VN-AKIRA-231115-AB-11-001</v>
      </c>
      <c r="C5" s="37" t="str">
        <f t="shared" ca="1" si="0"/>
        <v>15 Nov 2023</v>
      </c>
      <c r="D5" s="12"/>
      <c r="E5" s="12"/>
      <c r="F5" s="12"/>
    </row>
    <row r="6" spans="1:6" x14ac:dyDescent="0.3">
      <c r="A6" s="12">
        <v>5</v>
      </c>
      <c r="B6" s="12" t="str">
        <f ca="1">"i-VN-AKIRA-"&amp;TEXT(TODAY(),"yymmdd")&amp;"-"&amp;AutoIncrement!B2&amp;"-"&amp;AutoIncrement!A2&amp;"-001"</f>
        <v>i-VN-AKIRA-231115-AB-11-001</v>
      </c>
      <c r="C6" s="37" t="str">
        <f t="shared" ca="1" si="0"/>
        <v>15 Nov 2023</v>
      </c>
      <c r="D6" s="12"/>
      <c r="E6" s="12"/>
      <c r="F6" s="12"/>
    </row>
    <row r="7" spans="1:6" x14ac:dyDescent="0.3">
      <c r="A7" s="12">
        <v>6</v>
      </c>
      <c r="B7" s="12" t="str">
        <f ca="1">"i-VN-AKIRA-"&amp;TEXT(TODAY(),"yymmdd")&amp;"-"&amp;AutoIncrement!B2&amp;"-"&amp;AutoIncrement!A2&amp;"-001"</f>
        <v>i-VN-AKIRA-231115-AB-11-001</v>
      </c>
      <c r="C7" s="37" t="str">
        <f t="shared" ca="1" si="0"/>
        <v>15 Nov 2023</v>
      </c>
      <c r="D7" s="12"/>
      <c r="E7" s="12"/>
      <c r="F7" s="12"/>
    </row>
    <row r="8" spans="1:6" x14ac:dyDescent="0.3">
      <c r="A8" s="12">
        <v>7</v>
      </c>
      <c r="B8" s="12" t="str">
        <f ca="1">"i-VN-AKIRA-"&amp;TEXT(TODAY(),"yymmdd")&amp;"-"&amp;AutoIncrement!B2&amp;"-"&amp;AutoIncrement!A2&amp;"-001"</f>
        <v>i-VN-AKIRA-231115-AB-11-001</v>
      </c>
      <c r="C8" s="37" t="str">
        <f t="shared" ca="1" si="0"/>
        <v>15 Nov 2023</v>
      </c>
      <c r="D8" s="12"/>
      <c r="E8" s="12"/>
      <c r="F8" s="12"/>
    </row>
    <row r="9" spans="1:6" x14ac:dyDescent="0.3">
      <c r="A9" s="12">
        <v>8</v>
      </c>
      <c r="B9" s="12" t="str">
        <f ca="1">"i-VN-AKIRA-"&amp;TEXT(TODAY(),"yymmdd")&amp;"-"&amp;AutoIncrement!B2&amp;"-"&amp;AutoIncrement!A2&amp;"-001"</f>
        <v>i-VN-AKIRA-231115-AB-11-001</v>
      </c>
      <c r="C9" s="37" t="str">
        <f t="shared" ca="1" si="0"/>
        <v>15 Nov 2023</v>
      </c>
      <c r="D9" s="12"/>
      <c r="E9" s="12"/>
      <c r="F9" s="12"/>
    </row>
    <row r="10" spans="1:6" x14ac:dyDescent="0.3">
      <c r="A10" s="12">
        <v>9</v>
      </c>
      <c r="B10" s="12" t="str">
        <f ca="1">"i-VN-AKIRA-"&amp;TEXT(TODAY(),"yymmdd")&amp;"-"&amp;AutoIncrement!B2&amp;"-"&amp;AutoIncrement!A2&amp;"-001"</f>
        <v>i-VN-AKIRA-231115-AB-11-001</v>
      </c>
      <c r="C10" s="37" t="str">
        <f t="shared" ca="1" si="0"/>
        <v>15 Nov 2023</v>
      </c>
      <c r="D10" s="12"/>
      <c r="E10" s="12"/>
      <c r="F10" s="12"/>
    </row>
    <row r="11" spans="1:6" x14ac:dyDescent="0.3">
      <c r="A11" s="12">
        <v>10</v>
      </c>
      <c r="B11" s="12" t="str">
        <f ca="1">"i-VN-AKIRA-"&amp;TEXT(TODAY(),"yymmdd")&amp;"-"&amp;AutoIncrement!B2&amp;"-"&amp;AutoIncrement!A2&amp;"-001"</f>
        <v>i-VN-AKIRA-231115-AB-11-001</v>
      </c>
      <c r="C11" s="37" t="str">
        <f t="shared" ca="1" si="0"/>
        <v>15 Nov 2023</v>
      </c>
      <c r="D11" s="12"/>
      <c r="E11" s="12"/>
      <c r="F11" s="12"/>
    </row>
    <row r="12" spans="1:6" x14ac:dyDescent="0.3">
      <c r="A12" s="12">
        <v>11</v>
      </c>
      <c r="B12" s="12" t="str">
        <f ca="1">"i-VN-AKIRA-"&amp;TEXT(TODAY(),"yymmdd")&amp;"-"&amp;AutoIncrement!B2&amp;"-"&amp;AutoIncrement!A2&amp;"-001"</f>
        <v>i-VN-AKIRA-231115-AB-11-001</v>
      </c>
      <c r="C12" s="37" t="str">
        <f t="shared" ca="1" si="0"/>
        <v>15 Nov 2023</v>
      </c>
      <c r="D12" s="12"/>
      <c r="E12" s="12"/>
      <c r="F12" s="12"/>
    </row>
    <row r="13" spans="1:6" x14ac:dyDescent="0.3">
      <c r="A13" s="12">
        <v>12</v>
      </c>
      <c r="B13" s="12" t="str">
        <f ca="1">"i-VN-AKIRA-"&amp;TEXT(TODAY(),"yymmdd")&amp;"-"&amp;AutoIncrement!B2&amp;"-"&amp;AutoIncrement!A2&amp;"-001"</f>
        <v>i-VN-AKIRA-231115-AB-11-001</v>
      </c>
      <c r="C13" s="37" t="str">
        <f t="shared" ca="1" si="0"/>
        <v>15 Nov 2023</v>
      </c>
      <c r="D13" s="50">
        <v>1</v>
      </c>
      <c r="E13" s="50">
        <v>1</v>
      </c>
      <c r="F13" s="50">
        <v>1</v>
      </c>
    </row>
    <row r="14" spans="1:6" x14ac:dyDescent="0.3">
      <c r="A14" s="12">
        <v>13</v>
      </c>
      <c r="B14" s="12" t="str">
        <f ca="1">"i-VN-AKIRA-"&amp;TEXT(TODAY(),"yymmdd")&amp;"-"&amp;AutoIncrement!B2&amp;"-"&amp;AutoIncrement!A2&amp;"-002"</f>
        <v>i-VN-AKIRA-231115-AB-11-002</v>
      </c>
      <c r="C14" s="37" t="str">
        <f t="shared" ca="1" si="0"/>
        <v>15 Nov 2023</v>
      </c>
      <c r="D14" s="50">
        <v>1</v>
      </c>
      <c r="E14" s="50">
        <v>1</v>
      </c>
      <c r="F14" s="50">
        <v>1</v>
      </c>
    </row>
    <row r="15" spans="1:6" x14ac:dyDescent="0.3">
      <c r="A15" s="12">
        <v>14</v>
      </c>
      <c r="B15" s="12" t="str">
        <f ca="1">"i-VN-AKIRA-"&amp;TEXT(TODAY(),"yymmdd")&amp;"-"&amp;AutoIncrement!B2&amp;"-"&amp;AutoIncrement!A2&amp;"-002"</f>
        <v>i-VN-AKIRA-231115-AB-11-002</v>
      </c>
      <c r="C15" s="37" t="str">
        <f t="shared" ca="1" si="0"/>
        <v>15 Nov 2023</v>
      </c>
      <c r="D15" s="12"/>
      <c r="E15" s="12"/>
      <c r="F15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3F06-3444-450C-B9FC-28670DC14D6B}">
  <dimension ref="A1:G2"/>
  <sheetViews>
    <sheetView workbookViewId="0"/>
  </sheetViews>
  <sheetFormatPr defaultRowHeight="13.8" x14ac:dyDescent="0.3"/>
  <cols>
    <col min="1" max="2" width="15.77734375" style="2" customWidth="1" collapsed="1"/>
    <col min="3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12" t="s">
        <v>343</v>
      </c>
      <c r="B1" s="51" t="s">
        <v>394</v>
      </c>
      <c r="C1" s="12" t="s">
        <v>1</v>
      </c>
      <c r="D1" s="12" t="s">
        <v>395</v>
      </c>
      <c r="E1" s="12" t="s">
        <v>396</v>
      </c>
      <c r="F1" s="12" t="s">
        <v>397</v>
      </c>
      <c r="G1" s="12" t="s">
        <v>398</v>
      </c>
    </row>
    <row r="2" spans="1:7" x14ac:dyDescent="0.3">
      <c r="A2" s="12" t="s">
        <v>344</v>
      </c>
      <c r="B2" s="12" t="s">
        <v>399</v>
      </c>
      <c r="C2" s="12" t="s">
        <v>400</v>
      </c>
      <c r="D2" s="12" t="s">
        <v>401</v>
      </c>
      <c r="E2" s="12">
        <v>1</v>
      </c>
      <c r="F2" s="12">
        <v>30</v>
      </c>
      <c r="G2" s="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D8D-1685-4FEA-8687-C031EDEBEDAF}">
  <dimension ref="A1:P7"/>
  <sheetViews>
    <sheetView workbookViewId="0"/>
  </sheetViews>
  <sheetFormatPr defaultRowHeight="13.8" x14ac:dyDescent="0.3"/>
  <cols>
    <col min="1" max="1" width="4.77734375" style="2" customWidth="1" collapsed="1"/>
    <col min="2" max="4" width="25.77734375" style="2" customWidth="1" collapsed="1"/>
    <col min="5" max="5" width="26.77734375" style="2" customWidth="1" collapsed="1"/>
    <col min="6" max="18" width="15.77734375" style="2" customWidth="1" collapsed="1"/>
    <col min="19" max="16384" width="8.88671875" style="2" collapsed="1"/>
  </cols>
  <sheetData>
    <row r="1" spans="1:16" x14ac:dyDescent="0.3">
      <c r="A1" s="12" t="s">
        <v>0</v>
      </c>
      <c r="B1" s="51" t="s">
        <v>402</v>
      </c>
      <c r="C1" s="51" t="s">
        <v>25</v>
      </c>
      <c r="D1" s="12" t="s">
        <v>409</v>
      </c>
      <c r="E1" s="67" t="s">
        <v>2</v>
      </c>
      <c r="F1" s="12" t="s">
        <v>410</v>
      </c>
      <c r="G1" s="12" t="s">
        <v>414</v>
      </c>
      <c r="H1" s="12" t="s">
        <v>415</v>
      </c>
      <c r="I1" s="12" t="s">
        <v>416</v>
      </c>
      <c r="J1" s="12" t="s">
        <v>417</v>
      </c>
      <c r="K1" s="12" t="s">
        <v>418</v>
      </c>
      <c r="L1" s="12" t="s">
        <v>419</v>
      </c>
      <c r="M1" s="12" t="s">
        <v>10</v>
      </c>
      <c r="N1" s="12" t="s">
        <v>420</v>
      </c>
      <c r="O1" s="12" t="s">
        <v>421</v>
      </c>
      <c r="P1" s="12" t="s">
        <v>422</v>
      </c>
    </row>
    <row r="2" spans="1:16" x14ac:dyDescent="0.3">
      <c r="A2" s="12">
        <v>1</v>
      </c>
      <c r="B2" s="19" t="s">
        <v>114</v>
      </c>
      <c r="C2" s="21" t="str">
        <f>'TC3-Req to Parts Master'!C2</f>
        <v>scenario1220230504001</v>
      </c>
      <c r="D2" s="19" t="s">
        <v>408</v>
      </c>
      <c r="E2" s="12" t="str">
        <f>'TC4'!C2</f>
        <v>SGTTAP-VNTTVN-AB-11-011</v>
      </c>
      <c r="F2" s="12" t="s">
        <v>411</v>
      </c>
      <c r="G2" s="12">
        <v>10</v>
      </c>
      <c r="H2" s="12">
        <v>20</v>
      </c>
      <c r="I2" s="12">
        <v>0.1</v>
      </c>
      <c r="J2" s="12">
        <v>1</v>
      </c>
      <c r="K2" s="12" t="s">
        <v>193</v>
      </c>
      <c r="L2" s="12">
        <v>1</v>
      </c>
      <c r="M2" s="12" t="s">
        <v>21</v>
      </c>
      <c r="N2" s="12">
        <v>10.5</v>
      </c>
      <c r="O2" s="12" t="s">
        <v>81</v>
      </c>
      <c r="P2" s="12"/>
    </row>
    <row r="3" spans="1:16" x14ac:dyDescent="0.3">
      <c r="A3" s="12">
        <v>2</v>
      </c>
      <c r="B3" s="19" t="s">
        <v>40</v>
      </c>
      <c r="C3" s="21" t="str">
        <f>'TC3-Req to Parts Master'!C3</f>
        <v>scenario1220230504002</v>
      </c>
      <c r="D3" s="19" t="s">
        <v>403</v>
      </c>
      <c r="E3" s="52" t="str">
        <f>'TC4'!C2</f>
        <v>SGTTAP-VNTTVN-AB-11-011</v>
      </c>
      <c r="F3" s="12" t="s">
        <v>411</v>
      </c>
      <c r="G3" s="12">
        <v>10</v>
      </c>
      <c r="H3" s="12">
        <v>20</v>
      </c>
      <c r="I3" s="12">
        <v>0.1</v>
      </c>
      <c r="J3" s="12">
        <v>1</v>
      </c>
      <c r="K3" s="12" t="s">
        <v>194</v>
      </c>
      <c r="L3" s="12">
        <v>1</v>
      </c>
      <c r="M3" s="12" t="s">
        <v>21</v>
      </c>
      <c r="N3" s="12">
        <v>10.5</v>
      </c>
      <c r="O3" s="12" t="s">
        <v>81</v>
      </c>
      <c r="P3" s="12"/>
    </row>
    <row r="4" spans="1:16" x14ac:dyDescent="0.3">
      <c r="A4" s="12">
        <v>3</v>
      </c>
      <c r="B4" s="19" t="s">
        <v>41</v>
      </c>
      <c r="C4" s="21" t="str">
        <f>'TC3-Req to Parts Master'!C4</f>
        <v>scenario1220230504003</v>
      </c>
      <c r="D4" s="19" t="s">
        <v>404</v>
      </c>
      <c r="E4" s="52" t="str">
        <f>'TC4'!C2</f>
        <v>SGTTAP-VNTTVN-AB-11-011</v>
      </c>
      <c r="F4" s="12" t="s">
        <v>412</v>
      </c>
      <c r="G4" s="12">
        <v>10</v>
      </c>
      <c r="H4" s="12">
        <v>20</v>
      </c>
      <c r="I4" s="12">
        <v>0.1</v>
      </c>
      <c r="J4" s="12">
        <v>1</v>
      </c>
      <c r="K4" s="12" t="s">
        <v>195</v>
      </c>
      <c r="L4" s="12">
        <v>1</v>
      </c>
      <c r="M4" s="12" t="s">
        <v>21</v>
      </c>
      <c r="N4" s="12">
        <v>10.5</v>
      </c>
      <c r="O4" s="12" t="s">
        <v>81</v>
      </c>
      <c r="P4" s="12"/>
    </row>
    <row r="5" spans="1:16" x14ac:dyDescent="0.3">
      <c r="A5" s="12">
        <v>4</v>
      </c>
      <c r="B5" s="19" t="s">
        <v>42</v>
      </c>
      <c r="C5" s="21" t="str">
        <f>'TC3-Req to Parts Master'!C5</f>
        <v>scenario1220230504004</v>
      </c>
      <c r="D5" s="19" t="s">
        <v>405</v>
      </c>
      <c r="E5" s="52" t="str">
        <f>'TC4'!C2</f>
        <v>SGTTAP-VNTTVN-AB-11-011</v>
      </c>
      <c r="F5" s="12" t="s">
        <v>412</v>
      </c>
      <c r="G5" s="12">
        <v>10</v>
      </c>
      <c r="H5" s="12">
        <v>20</v>
      </c>
      <c r="I5" s="12">
        <v>0.1</v>
      </c>
      <c r="J5" s="12">
        <v>1</v>
      </c>
      <c r="K5" s="12" t="s">
        <v>270</v>
      </c>
      <c r="L5" s="12">
        <v>1</v>
      </c>
      <c r="M5" s="12" t="s">
        <v>21</v>
      </c>
      <c r="N5" s="12">
        <v>10.5</v>
      </c>
      <c r="O5" s="12" t="s">
        <v>81</v>
      </c>
      <c r="P5" s="12"/>
    </row>
    <row r="6" spans="1:16" x14ac:dyDescent="0.3">
      <c r="A6" s="12">
        <v>5</v>
      </c>
      <c r="B6" s="19" t="s">
        <v>43</v>
      </c>
      <c r="C6" s="19" t="s">
        <v>30</v>
      </c>
      <c r="D6" s="19" t="s">
        <v>406</v>
      </c>
      <c r="E6" s="52" t="str">
        <f>'TC4'!C2</f>
        <v>SGTTAP-VNTTVN-AB-11-011</v>
      </c>
      <c r="F6" s="12" t="s">
        <v>413</v>
      </c>
      <c r="G6" s="12">
        <v>10</v>
      </c>
      <c r="H6" s="12">
        <v>20</v>
      </c>
      <c r="I6" s="12">
        <v>0.1</v>
      </c>
      <c r="J6" s="12">
        <v>1</v>
      </c>
      <c r="K6" s="12" t="s">
        <v>195</v>
      </c>
      <c r="L6" s="12">
        <v>1</v>
      </c>
      <c r="M6" s="12" t="s">
        <v>21</v>
      </c>
      <c r="N6" s="12">
        <v>10.5</v>
      </c>
      <c r="O6" s="12" t="s">
        <v>81</v>
      </c>
      <c r="P6" s="12"/>
    </row>
    <row r="7" spans="1:16" x14ac:dyDescent="0.3">
      <c r="A7" s="12">
        <v>6</v>
      </c>
      <c r="B7" s="19" t="s">
        <v>44</v>
      </c>
      <c r="C7" s="19" t="s">
        <v>31</v>
      </c>
      <c r="D7" s="19" t="s">
        <v>407</v>
      </c>
      <c r="E7" s="52" t="str">
        <f>'TC4'!C2</f>
        <v>SGTTAP-VNTTVN-AB-11-011</v>
      </c>
      <c r="F7" s="12" t="s">
        <v>413</v>
      </c>
      <c r="G7" s="12">
        <v>10</v>
      </c>
      <c r="H7" s="12">
        <v>20</v>
      </c>
      <c r="I7" s="12">
        <v>0.1</v>
      </c>
      <c r="J7" s="12">
        <v>1</v>
      </c>
      <c r="K7" s="12" t="s">
        <v>195</v>
      </c>
      <c r="L7" s="12">
        <v>1</v>
      </c>
      <c r="M7" s="12" t="s">
        <v>21</v>
      </c>
      <c r="N7" s="12">
        <v>10.5</v>
      </c>
      <c r="O7" s="12" t="s">
        <v>81</v>
      </c>
      <c r="P7" s="1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79E1-079F-435E-B8ED-F61B35FCE9C4}">
  <dimension ref="A1:W2"/>
  <sheetViews>
    <sheetView zoomScale="90" zoomScaleNormal="90" workbookViewId="0">
      <selection activeCell="K27" sqref="K27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9" width="15.77734375" customWidth="1" collapsed="1"/>
    <col min="10" max="10" width="25.77734375" customWidth="1" collapsed="1"/>
    <col min="11" max="20" width="15.77734375" customWidth="1" collapsed="1"/>
    <col min="21" max="21" width="25.77734375" customWidth="1" collapsed="1"/>
    <col min="22" max="22" width="15.77734375" customWidth="1" collapsed="1"/>
    <col min="23" max="23" width="8.88671875" customWidth="1" collapsed="1"/>
  </cols>
  <sheetData>
    <row r="1" spans="1:22" x14ac:dyDescent="0.3">
      <c r="A1" s="20" t="s">
        <v>0</v>
      </c>
      <c r="B1" s="70" t="s">
        <v>102</v>
      </c>
      <c r="C1" s="71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71" t="s">
        <v>7</v>
      </c>
      <c r="I1" s="71" t="s">
        <v>8</v>
      </c>
      <c r="J1" s="71" t="s">
        <v>9</v>
      </c>
      <c r="K1" s="20" t="s">
        <v>10</v>
      </c>
      <c r="L1" s="20" t="s">
        <v>11</v>
      </c>
      <c r="M1" s="20" t="s">
        <v>38</v>
      </c>
      <c r="N1" s="72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73" t="s">
        <v>19</v>
      </c>
      <c r="V1" s="20" t="s">
        <v>45</v>
      </c>
    </row>
    <row r="2" spans="1:22" x14ac:dyDescent="0.3">
      <c r="A2" s="20">
        <v>1</v>
      </c>
      <c r="B2" t="s">
        <v>498</v>
      </c>
      <c r="C2" s="20" t="str">
        <f>"SGTTAP-VNTTVN-"&amp;'TC4'!H2&amp;"-0"&amp;AutoIncrement!A2</f>
        <v>SGTTAP-VNTTVN-AB-11-011</v>
      </c>
      <c r="D2" s="20" t="s">
        <v>20</v>
      </c>
      <c r="E2" s="20" t="s">
        <v>32</v>
      </c>
      <c r="F2" s="20">
        <v>1</v>
      </c>
      <c r="G2" s="20">
        <v>2</v>
      </c>
      <c r="H2" s="20" t="str">
        <f>AutoIncrement!B2&amp;"-"&amp;AutoIncrement!A2</f>
        <v>AB-11</v>
      </c>
      <c r="I2" s="20" t="str">
        <f>"CD-"&amp;H2</f>
        <v>CD-AB-11</v>
      </c>
      <c r="J2" s="20" t="str">
        <f>'TC3.1'!B2&amp;"("&amp;'TC3.1'!C2&amp;")"</f>
        <v>TT60BL(T/T REMITTANCE AT 60 DAYS FROM THE END OF B/L MONTH)</v>
      </c>
      <c r="K2" s="20" t="s">
        <v>21</v>
      </c>
      <c r="L2" s="20" t="s">
        <v>22</v>
      </c>
      <c r="M2" s="20" t="s">
        <v>37</v>
      </c>
      <c r="N2" s="20" t="str">
        <f>"RD-"&amp;H2</f>
        <v>RD-AB-11</v>
      </c>
      <c r="O2" s="20" t="s">
        <v>23</v>
      </c>
      <c r="P2" s="20" t="s">
        <v>33</v>
      </c>
      <c r="Q2" s="20" t="s">
        <v>34</v>
      </c>
      <c r="R2" s="20" t="s">
        <v>24</v>
      </c>
      <c r="S2" s="20" t="s">
        <v>35</v>
      </c>
      <c r="T2" s="20" t="s">
        <v>36</v>
      </c>
      <c r="U2" t="s">
        <v>499</v>
      </c>
      <c r="V2" s="20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662FE2-EAA5-4D8B-B946-6554FA1D8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E8E0C0-5F6A-4B9A-ADE6-103C7424D8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Indicator</vt:lpstr>
      <vt:lpstr>AutoIncrement</vt:lpstr>
      <vt:lpstr>TC1</vt:lpstr>
      <vt:lpstr>TC2</vt:lpstr>
      <vt:lpstr>TC3</vt:lpstr>
      <vt:lpstr>TC3-Req to Parts Master</vt:lpstr>
      <vt:lpstr>TC3.1</vt:lpstr>
      <vt:lpstr>TC4-Contract Parts Info</vt:lpstr>
      <vt:lpstr>TC4</vt:lpstr>
      <vt:lpstr>TC5</vt:lpstr>
      <vt:lpstr>TC6</vt:lpstr>
      <vt:lpstr>TC6.1</vt:lpstr>
      <vt:lpstr>TC6.2</vt:lpstr>
      <vt:lpstr>TC6.2_ETAnWeek</vt:lpstr>
      <vt:lpstr>TC7-Contract Parts Info</vt:lpstr>
      <vt:lpstr>TC7</vt:lpstr>
      <vt:lpstr>TC8</vt:lpstr>
      <vt:lpstr>TC9</vt:lpstr>
      <vt:lpstr>TC10</vt:lpstr>
      <vt:lpstr>TC11-Order Regular</vt:lpstr>
      <vt:lpstr>TC11-Inbound Dates Regular</vt:lpstr>
      <vt:lpstr>TC11-Order Spot</vt:lpstr>
      <vt:lpstr>TC11-Inbound Dates Spot</vt:lpstr>
      <vt:lpstr>TC11-Customer CO</vt:lpstr>
      <vt:lpstr>TC11- Period Generator</vt:lpstr>
      <vt:lpstr>TC12</vt:lpstr>
      <vt:lpstr>TC14-BU SO</vt:lpstr>
      <vt:lpstr>TC15-BU PO</vt:lpstr>
      <vt:lpstr>TC16-Supplier SO</vt:lpstr>
      <vt:lpstr>TC17.1-Sup SO Delivery Plan</vt:lpstr>
      <vt:lpstr>TC17.1-Sup SODeliveryPlan(Date)</vt:lpstr>
      <vt:lpstr>TC17.2-Sup SO Delivery Plan</vt:lpstr>
      <vt:lpstr>TC17.2-Sup SODeliveryPlan(Date)</vt:lpstr>
      <vt:lpstr>TC18-Forecast Change</vt:lpstr>
      <vt:lpstr>TC20-BU Change Request</vt:lpstr>
      <vt:lpstr>TC19-Customer Change Request</vt:lpstr>
      <vt:lpstr>TC21-Supplier Approve Change </vt:lpstr>
      <vt:lpstr>TC22-Customer Forecast CO </vt:lpstr>
      <vt:lpstr>TC23-BU Forecast SO</vt:lpstr>
      <vt:lpstr>TC24-BU Forecast PO</vt:lpstr>
      <vt:lpstr>TC25-Customer Order Change</vt:lpstr>
      <vt:lpstr>TC25-Change Inbound Date</vt:lpstr>
      <vt:lpstr>TC25-Change Request No</vt:lpstr>
      <vt:lpstr>TC26-Customer AutoGen Change</vt:lpstr>
      <vt:lpstr>TC27-BU AutoGen Change</vt:lpstr>
      <vt:lpstr>TC28-Supplier Approve Change</vt:lpstr>
      <vt:lpstr>TC29-Customer Check CO</vt:lpstr>
      <vt:lpstr>TC30-BU Check SO</vt:lpstr>
      <vt:lpstr>TC31-BU Check PO</vt:lpstr>
      <vt:lpstr>TC32-Supplier Check SO</vt:lpstr>
      <vt:lpstr>TC33-New Outbound Date</vt:lpstr>
      <vt:lpstr>TC33-New Firm Qty</vt:lpstr>
      <vt:lpstr>TC33-Change Request No</vt:lpstr>
      <vt:lpstr>TC34</vt:lpstr>
      <vt:lpstr>TC35</vt:lpstr>
      <vt:lpstr>TC36</vt:lpstr>
      <vt:lpstr>TC44-Supplier Outbound -Regular</vt:lpstr>
      <vt:lpstr>TC44-Supplier Outbound -Spot</vt:lpstr>
      <vt:lpstr>TC44-Outbound No</vt:lpstr>
      <vt:lpstr>TC45-Supplier SellerGI Invoice</vt:lpstr>
      <vt:lpstr>TC50.1-Customer Cargo -Regular</vt:lpstr>
      <vt:lpstr>TC50.2-Customer Cargo -Spot</vt:lpstr>
      <vt:lpstr>TC53-Shipping Detail</vt:lpstr>
      <vt:lpstr>TC61-BU SellerGI Invoice</vt:lpstr>
      <vt:lpstr>TC68-DC 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Testbits</dc:creator>
  <cp:lastModifiedBy>Muhammad Nasarudin Mohd Razali</cp:lastModifiedBy>
  <dcterms:created xsi:type="dcterms:W3CDTF">2015-06-05T18:17:20Z</dcterms:created>
  <dcterms:modified xsi:type="dcterms:W3CDTF">2023-11-15T08:04:33Z</dcterms:modified>
</cp:coreProperties>
</file>