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uqma\git\tb-ttap-brivge\Excel Files\Scenario 1\"/>
    </mc:Choice>
  </mc:AlternateContent>
  <xr:revisionPtr revIDLastSave="0" documentId="13_ncr:1_{004A811B-5E68-49E2-B49D-37AD18571D48}" xr6:coauthVersionLast="47" xr6:coauthVersionMax="47" xr10:uidLastSave="{00000000-0000-0000-0000-000000000000}"/>
  <bookViews>
    <workbookView xWindow="28680" yWindow="-120" windowWidth="15600" windowHeight="11040" firstSheet="50" activeTab="50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24" r:id="rId6"/>
    <sheet name="TC2-BU1 to Customer Contract" sheetId="25" r:id="rId7"/>
    <sheet name="TC002.1" sheetId="6" r:id="rId8"/>
    <sheet name="TC3-Contract Parts Info" sheetId="27" r:id="rId9"/>
    <sheet name="TC3-BU2 to BU1 Contract" sheetId="28" r:id="rId10"/>
    <sheet name="TC003.1" sheetId="7" r:id="rId11"/>
    <sheet name="TC4-Contract Parts Info" sheetId="30" r:id="rId12"/>
    <sheet name="TC4-Sup2 to BU2 Contract" sheetId="31" r:id="rId13"/>
    <sheet name="TC005.1" sheetId="8" r:id="rId14"/>
    <sheet name="TC006.1" sheetId="9" r:id="rId15"/>
    <sheet name="TC6-Contract Parts Info" sheetId="33" r:id="rId16"/>
    <sheet name="TC6-BU3 to BU1 Contract" sheetId="34" r:id="rId17"/>
    <sheet name="TC7-Contract Parts Info" sheetId="36" r:id="rId18"/>
    <sheet name="TC7-Sup1 to BU3 Contract" sheetId="37" r:id="rId19"/>
    <sheet name="S1_TC010" sheetId="10" r:id="rId20"/>
    <sheet name="TC10-Supplier2 Cargo Status" sheetId="38" r:id="rId21"/>
    <sheet name="TC11-BU2 Cargo Status" sheetId="39" r:id="rId22"/>
    <sheet name="TC12-Supplier1 Cargo Status" sheetId="40" r:id="rId23"/>
    <sheet name="TC13-BU3 Cargo Status" sheetId="41" r:id="rId24"/>
    <sheet name="TC14-BU1 Cargo Status" sheetId="42" r:id="rId25"/>
    <sheet name="TC15-Inbound Date" sheetId="44" r:id="rId26"/>
    <sheet name="TC15-Customer Place Order" sheetId="43" r:id="rId27"/>
    <sheet name="TC15-AutoGen CO" sheetId="45" r:id="rId28"/>
    <sheet name="TC17-Customer Change Order" sheetId="46" r:id="rId29"/>
    <sheet name="TC17-Inbound Date Change" sheetId="47" r:id="rId30"/>
    <sheet name="TC17-AutoGen ChangeRequestNo" sheetId="48" r:id="rId31"/>
    <sheet name="TC20-Autogen SOPO" sheetId="49" r:id="rId32"/>
    <sheet name="TC022" sheetId="11" r:id="rId33"/>
    <sheet name="TC024" sheetId="12" r:id="rId34"/>
    <sheet name="TC026" sheetId="13" r:id="rId35"/>
    <sheet name="TC027" sheetId="14" r:id="rId36"/>
    <sheet name="TC028" sheetId="15" r:id="rId37"/>
    <sheet name="TC31-AutoGen ChangeRequestNo" sheetId="50" r:id="rId38"/>
    <sheet name="TC34-BU1 Check Change1" sheetId="51" r:id="rId39"/>
    <sheet name="TC34-BU1 Check Change2" sheetId="52" r:id="rId40"/>
    <sheet name="TC35-BU2 Check Change" sheetId="53" r:id="rId41"/>
    <sheet name="TC36-BU3 Check Change" sheetId="54" r:id="rId42"/>
    <sheet name="TC37-Sup1 Check Change" sheetId="55" r:id="rId43"/>
    <sheet name="TC38-Sup2 Check Change" sheetId="56" r:id="rId44"/>
    <sheet name="TC43-BU1-Check Purchase Order2" sheetId="57" r:id="rId45"/>
    <sheet name="TC43-BU1-Check Purchase Order3" sheetId="58" r:id="rId46"/>
    <sheet name="TC44-BU1-Check Sales Order" sheetId="59" r:id="rId47"/>
    <sheet name="TC45-Cus Check Customer Order" sheetId="60" r:id="rId48"/>
    <sheet name="TC45-Cus Spot Order" sheetId="61" r:id="rId49"/>
    <sheet name="TC45-Spot Date" sheetId="62" r:id="rId50"/>
    <sheet name="TC046" sheetId="78" r:id="rId51"/>
    <sheet name="TC47-Autogen OrderNo Spot" sheetId="63" r:id="rId52"/>
    <sheet name="TC048" sheetId="16" r:id="rId53"/>
    <sheet name="TC049" sheetId="17" r:id="rId54"/>
    <sheet name="TC054" sheetId="18" r:id="rId55"/>
    <sheet name="TC54-Sup2 Order Change Reg" sheetId="64" r:id="rId56"/>
    <sheet name="TC54-Change Date" sheetId="65" r:id="rId57"/>
    <sheet name="TC54-Change RequestNo" sheetId="66" r:id="rId58"/>
    <sheet name="TC068-BU2" sheetId="74" r:id="rId59"/>
    <sheet name="TC070-BU1" sheetId="75" r:id="rId60"/>
    <sheet name="TC072-Cus" sheetId="77" r:id="rId61"/>
    <sheet name="TC74-Sup1 Outbound Details" sheetId="67" r:id="rId62"/>
    <sheet name="TC74-OutboundNo" sheetId="68" r:id="rId63"/>
    <sheet name="TC75-Sup1 Cargo Tracking" sheetId="69" r:id="rId64"/>
    <sheet name="TC82-Sup1 SO" sheetId="70" r:id="rId65"/>
    <sheet name="TC83-BU3 PO" sheetId="71" r:id="rId66"/>
    <sheet name="TC84-BU3 SO" sheetId="72" r:id="rId67"/>
    <sheet name="TC88-Sup1 SellerGI Invoice" sheetId="73" r:id="rId68"/>
  </sheets>
  <externalReferences>
    <externalReference r:id="rId69"/>
    <externalReference r:id="rId70"/>
    <externalReference r:id="rId71"/>
  </externalReferences>
  <definedNames>
    <definedName name="activeFlagListArr" localSheetId="20">[1]activeFlagListArr!$A$1:$A$2</definedName>
    <definedName name="activeFlagListArr" localSheetId="21">[1]activeFlagListArr!$A$1:$A$2</definedName>
    <definedName name="activeFlagListArr" localSheetId="22">[1]activeFlagListArr!$A$1:$A$2</definedName>
    <definedName name="activeFlagListArr" localSheetId="23">[1]activeFlagListArr!$A$1:$A$2</definedName>
    <definedName name="activeFlagListArr" localSheetId="24">[1]activeFlagListArr!$A$1:$A$2</definedName>
    <definedName name="activeFlagListArr" localSheetId="63">[1]activeFlagListArr!$A$1:$A$2</definedName>
    <definedName name="activeFlagListArr">#REF!</definedName>
    <definedName name="activeFlagStrArr" localSheetId="20">[2]activeFlagStrArr!$A$1:$A$2</definedName>
    <definedName name="activeFlagStrArr" localSheetId="21">[2]activeFlagStrArr!$A$1:$A$2</definedName>
    <definedName name="activeFlagStrArr" localSheetId="22">[2]activeFlagStrArr!$A$1:$A$2</definedName>
    <definedName name="activeFlagStrArr" localSheetId="23">[2]activeFlagStrArr!$A$1:$A$2</definedName>
    <definedName name="activeFlagStrArr" localSheetId="24">[2]activeFlagStrArr!$A$1:$A$2</definedName>
    <definedName name="activeFlagStrArr" localSheetId="63">[2]activeFlagStrArr!$A$1:$A$2</definedName>
    <definedName name="activeFlagStrArr">#REF!</definedName>
    <definedName name="CURRENCY_CODE" localSheetId="20">[3]CURRENCY_CODE!$A$1:$A$13</definedName>
    <definedName name="CURRENCY_CODE" localSheetId="21">[3]CURRENCY_CODE!$A$1:$A$13</definedName>
    <definedName name="CURRENCY_CODE" localSheetId="22">[3]CURRENCY_CODE!$A$1:$A$13</definedName>
    <definedName name="CURRENCY_CODE" localSheetId="23">[3]CURRENCY_CODE!$A$1:$A$13</definedName>
    <definedName name="CURRENCY_CODE" localSheetId="24">[3]CURRENCY_CODE!$A$1:$A$13</definedName>
    <definedName name="CURRENCY_CODE" localSheetId="63">[3]CURRENCY_CODE!$A$1:$A$13</definedName>
    <definedName name="CURRENCY_CODE">#REF!</definedName>
    <definedName name="findAllUomArr" localSheetId="20">[1]findAllUomArr!$A$1:$A$29</definedName>
    <definedName name="findAllUomArr" localSheetId="21">[1]findAllUomArr!$A$1:$A$29</definedName>
    <definedName name="findAllUomArr" localSheetId="22">[1]findAllUomArr!$A$1:$A$29</definedName>
    <definedName name="findAllUomArr" localSheetId="23">[1]findAllUomArr!$A$1:$A$29</definedName>
    <definedName name="findAllUomArr" localSheetId="24">[1]findAllUomArr!$A$1:$A$29</definedName>
    <definedName name="findAllUomArr" localSheetId="63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4">#REF!</definedName>
    <definedName name="PAIRED_FLAG" localSheetId="20">#REF!</definedName>
    <definedName name="PAIRED_FLAG" localSheetId="21">#REF!</definedName>
    <definedName name="PAIRED_FLAG" localSheetId="22">#REF!</definedName>
    <definedName name="PAIRED_FLAG" localSheetId="23">#REF!</definedName>
    <definedName name="PAIRED_FLAG" localSheetId="24">#REF!</definedName>
    <definedName name="PAIRED_FLAG" localSheetId="63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4">#REF!</definedName>
    <definedName name="PAIRED_ORDER_FLAG" localSheetId="20">#REF!</definedName>
    <definedName name="PAIRED_ORDER_FLAG" localSheetId="21">#REF!</definedName>
    <definedName name="PAIRED_ORDER_FLAG" localSheetId="22">#REF!</definedName>
    <definedName name="PAIRED_ORDER_FLAG" localSheetId="23">#REF!</definedName>
    <definedName name="PAIRED_ORDER_FLAG" localSheetId="24">#REF!</definedName>
    <definedName name="PAIRED_ORDER_FLAG" localSheetId="63">#REF!</definedName>
    <definedName name="PAIRED_ORDER_FLAG">#REF!</definedName>
    <definedName name="pairedPartsFlagStrArr" localSheetId="20">[2]pairedPartsFlagStrArr!$A$1:$A$2</definedName>
    <definedName name="pairedPartsFlagStrArr" localSheetId="21">[2]pairedPartsFlagStrArr!$A$1:$A$2</definedName>
    <definedName name="pairedPartsFlagStrArr" localSheetId="22">[2]pairedPartsFlagStrArr!$A$1:$A$2</definedName>
    <definedName name="pairedPartsFlagStrArr" localSheetId="23">[2]pairedPartsFlagStrArr!$A$1:$A$2</definedName>
    <definedName name="pairedPartsFlagStrArr" localSheetId="24">[2]pairedPartsFlagStrArr!$A$1:$A$2</definedName>
    <definedName name="pairedPartsFlagStrArr" localSheetId="63">[2]pairedPartsFlagStrArr!$A$1:$A$2</definedName>
    <definedName name="pairedPartsFlagStrArr">#REF!</definedName>
    <definedName name="partsTypeArr" localSheetId="20">[1]partsTypeArr!$A$1:$A$4</definedName>
    <definedName name="partsTypeArr" localSheetId="21">[1]partsTypeArr!$A$1:$A$4</definedName>
    <definedName name="partsTypeArr" localSheetId="22">[1]partsTypeArr!$A$1:$A$4</definedName>
    <definedName name="partsTypeArr" localSheetId="23">[1]partsTypeArr!$A$1:$A$4</definedName>
    <definedName name="partsTypeArr" localSheetId="24">[1]partsTypeArr!$A$1:$A$4</definedName>
    <definedName name="partsTypeArr" localSheetId="63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4">#REF!</definedName>
    <definedName name="REPACKING_TYPE" localSheetId="20">#REF!</definedName>
    <definedName name="REPACKING_TYPE" localSheetId="21">#REF!</definedName>
    <definedName name="REPACKING_TYPE" localSheetId="22">#REF!</definedName>
    <definedName name="REPACKING_TYPE" localSheetId="23">#REF!</definedName>
    <definedName name="REPACKING_TYPE" localSheetId="24">#REF!</definedName>
    <definedName name="REPACKING_TYPE" localSheetId="63">#REF!</definedName>
    <definedName name="REPACKING_TYPE">#REF!</definedName>
    <definedName name="rolledPartsFlagArr" localSheetId="20">[1]rolledPartsFlagArr!$A$1:$A$2</definedName>
    <definedName name="rolledPartsFlagArr" localSheetId="21">[1]rolledPartsFlagArr!$A$1:$A$2</definedName>
    <definedName name="rolledPartsFlagArr" localSheetId="22">[1]rolledPartsFlagArr!$A$1:$A$2</definedName>
    <definedName name="rolledPartsFlagArr" localSheetId="23">[1]rolledPartsFlagArr!$A$1:$A$2</definedName>
    <definedName name="rolledPartsFlagArr" localSheetId="24">[1]rolledPartsFlagArr!$A$1:$A$2</definedName>
    <definedName name="rolledPartsFlagArr" localSheetId="63">[1]rolledPartsFlagArr!$A$1:$A$2</definedName>
    <definedName name="rolledPartsFlagArr">#REF!</definedName>
    <definedName name="rolledPartsUomArr" localSheetId="20">[1]rolledPartsUomArr!$A$1:$A$29</definedName>
    <definedName name="rolledPartsUomArr" localSheetId="21">[1]rolledPartsUomArr!$A$1:$A$29</definedName>
    <definedName name="rolledPartsUomArr" localSheetId="22">[1]rolledPartsUomArr!$A$1:$A$29</definedName>
    <definedName name="rolledPartsUomArr" localSheetId="23">[1]rolledPartsUomArr!$A$1:$A$29</definedName>
    <definedName name="rolledPartsUomArr" localSheetId="24">[1]rolledPartsUomArr!$A$1:$A$29</definedName>
    <definedName name="rolledPartsUomArr" localSheetId="63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4">#REF!</definedName>
    <definedName name="UOM_CODE" localSheetId="20">#REF!</definedName>
    <definedName name="UOM_CODE" localSheetId="21">#REF!</definedName>
    <definedName name="UOM_CODE" localSheetId="22">#REF!</definedName>
    <definedName name="UOM_CODE" localSheetId="23">#REF!</definedName>
    <definedName name="UOM_CODE" localSheetId="24">#REF!</definedName>
    <definedName name="UOM_CODE" localSheetId="63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2" l="1"/>
  <c r="A4" i="72"/>
  <c r="B3" i="72"/>
  <c r="A3" i="72"/>
  <c r="B2" i="72"/>
  <c r="A2" i="72"/>
  <c r="B4" i="71"/>
  <c r="A4" i="71"/>
  <c r="B3" i="71"/>
  <c r="A3" i="71"/>
  <c r="B2" i="71"/>
  <c r="A2" i="71"/>
  <c r="B4" i="70"/>
  <c r="A4" i="70"/>
  <c r="B3" i="70"/>
  <c r="A3" i="70"/>
  <c r="B2" i="70"/>
  <c r="A2" i="70"/>
  <c r="B5" i="69"/>
  <c r="B4" i="69"/>
  <c r="B3" i="69"/>
  <c r="B2" i="69"/>
  <c r="A3" i="68"/>
  <c r="A2" i="68"/>
  <c r="D5" i="67"/>
  <c r="D4" i="67"/>
  <c r="D3" i="67"/>
  <c r="D2" i="67"/>
  <c r="C1" i="66"/>
  <c r="A2" i="66" s="1"/>
  <c r="B5" i="65"/>
  <c r="A5" i="65"/>
  <c r="A1" i="65"/>
  <c r="G1" i="63"/>
  <c r="C2" i="63" s="1"/>
  <c r="B5" i="62"/>
  <c r="A5" i="62"/>
  <c r="A1" i="62"/>
  <c r="R7" i="60"/>
  <c r="P7" i="60"/>
  <c r="N7" i="60"/>
  <c r="K7" i="60"/>
  <c r="J7" i="60"/>
  <c r="H7" i="60"/>
  <c r="G7" i="60"/>
  <c r="F7" i="60"/>
  <c r="C7" i="60"/>
  <c r="B7" i="60"/>
  <c r="A7" i="60"/>
  <c r="R6" i="60"/>
  <c r="P6" i="60"/>
  <c r="N6" i="60"/>
  <c r="K6" i="60"/>
  <c r="J6" i="60"/>
  <c r="H6" i="60"/>
  <c r="G6" i="60"/>
  <c r="F6" i="60"/>
  <c r="C6" i="60"/>
  <c r="B6" i="60"/>
  <c r="A6" i="60"/>
  <c r="R5" i="60"/>
  <c r="P5" i="60"/>
  <c r="N5" i="60"/>
  <c r="K5" i="60"/>
  <c r="J5" i="60"/>
  <c r="H5" i="60"/>
  <c r="G5" i="60"/>
  <c r="F5" i="60"/>
  <c r="C5" i="60"/>
  <c r="B5" i="60"/>
  <c r="A5" i="60"/>
  <c r="R4" i="60"/>
  <c r="P4" i="60"/>
  <c r="N4" i="60"/>
  <c r="K4" i="60"/>
  <c r="J4" i="60"/>
  <c r="H4" i="60"/>
  <c r="G4" i="60"/>
  <c r="F4" i="60"/>
  <c r="C4" i="60"/>
  <c r="B4" i="60"/>
  <c r="A4" i="60"/>
  <c r="R3" i="60"/>
  <c r="P3" i="60"/>
  <c r="N3" i="60"/>
  <c r="K3" i="60"/>
  <c r="J3" i="60"/>
  <c r="H3" i="60"/>
  <c r="G3" i="60"/>
  <c r="F3" i="60"/>
  <c r="C3" i="60"/>
  <c r="B3" i="60"/>
  <c r="A3" i="60"/>
  <c r="R2" i="60"/>
  <c r="P2" i="60"/>
  <c r="N2" i="60"/>
  <c r="K2" i="60"/>
  <c r="J2" i="60"/>
  <c r="H2" i="60"/>
  <c r="G2" i="60"/>
  <c r="F2" i="60"/>
  <c r="C2" i="60"/>
  <c r="B2" i="60"/>
  <c r="A2" i="60"/>
  <c r="S7" i="59"/>
  <c r="Q7" i="59"/>
  <c r="O7" i="59"/>
  <c r="J7" i="59"/>
  <c r="I7" i="59"/>
  <c r="H7" i="59"/>
  <c r="G7" i="59"/>
  <c r="F7" i="59"/>
  <c r="C7" i="59"/>
  <c r="B7" i="59"/>
  <c r="A7" i="59"/>
  <c r="S6" i="59"/>
  <c r="Q6" i="59"/>
  <c r="O6" i="59"/>
  <c r="J6" i="59"/>
  <c r="I6" i="59"/>
  <c r="H6" i="59"/>
  <c r="G6" i="59"/>
  <c r="F6" i="59"/>
  <c r="C6" i="59"/>
  <c r="B6" i="59"/>
  <c r="A6" i="59"/>
  <c r="S5" i="59"/>
  <c r="Q5" i="59"/>
  <c r="O5" i="59"/>
  <c r="J5" i="59"/>
  <c r="I5" i="59"/>
  <c r="H5" i="59"/>
  <c r="G5" i="59"/>
  <c r="F5" i="59"/>
  <c r="C5" i="59"/>
  <c r="B5" i="59"/>
  <c r="A5" i="59"/>
  <c r="S4" i="59"/>
  <c r="Q4" i="59"/>
  <c r="O4" i="59"/>
  <c r="J4" i="59"/>
  <c r="I4" i="59"/>
  <c r="H4" i="59"/>
  <c r="G4" i="59"/>
  <c r="F4" i="59"/>
  <c r="C4" i="59"/>
  <c r="B4" i="59"/>
  <c r="A4" i="59"/>
  <c r="S3" i="59"/>
  <c r="Q3" i="59"/>
  <c r="O3" i="59"/>
  <c r="J3" i="59"/>
  <c r="I3" i="59"/>
  <c r="H3" i="59"/>
  <c r="G3" i="59"/>
  <c r="F3" i="59"/>
  <c r="C3" i="59"/>
  <c r="B3" i="59"/>
  <c r="A3" i="59"/>
  <c r="S2" i="59"/>
  <c r="Q2" i="59"/>
  <c r="O2" i="59"/>
  <c r="J2" i="59"/>
  <c r="I2" i="59"/>
  <c r="H2" i="59"/>
  <c r="G2" i="59"/>
  <c r="F2" i="59"/>
  <c r="C2" i="59"/>
  <c r="B2" i="59"/>
  <c r="A2" i="59"/>
  <c r="P4" i="58"/>
  <c r="N4" i="58"/>
  <c r="K4" i="58"/>
  <c r="I4" i="58"/>
  <c r="H4" i="58"/>
  <c r="G4" i="58"/>
  <c r="B4" i="58"/>
  <c r="A4" i="58"/>
  <c r="P3" i="58"/>
  <c r="N3" i="58"/>
  <c r="K3" i="58"/>
  <c r="I3" i="58"/>
  <c r="H3" i="58"/>
  <c r="G3" i="58"/>
  <c r="B3" i="58"/>
  <c r="A3" i="58"/>
  <c r="P2" i="58"/>
  <c r="N2" i="58"/>
  <c r="K2" i="58"/>
  <c r="I2" i="58"/>
  <c r="H2" i="58"/>
  <c r="G2" i="58"/>
  <c r="B2" i="58"/>
  <c r="A2" i="58"/>
  <c r="P4" i="57"/>
  <c r="N4" i="57"/>
  <c r="I4" i="57"/>
  <c r="H4" i="57"/>
  <c r="G4" i="57"/>
  <c r="B4" i="57"/>
  <c r="A4" i="57"/>
  <c r="P3" i="57"/>
  <c r="N3" i="57"/>
  <c r="I3" i="57"/>
  <c r="H3" i="57"/>
  <c r="G3" i="57"/>
  <c r="B3" i="57"/>
  <c r="A3" i="57"/>
  <c r="P2" i="57"/>
  <c r="N2" i="57"/>
  <c r="I2" i="57"/>
  <c r="H2" i="57"/>
  <c r="G2" i="57"/>
  <c r="B2" i="57"/>
  <c r="A2" i="57"/>
  <c r="O4" i="56"/>
  <c r="K4" i="56"/>
  <c r="J4" i="56"/>
  <c r="C4" i="56"/>
  <c r="B4" i="56"/>
  <c r="O3" i="56"/>
  <c r="K3" i="56"/>
  <c r="J3" i="56"/>
  <c r="C3" i="56"/>
  <c r="B3" i="56"/>
  <c r="O2" i="56"/>
  <c r="K2" i="56"/>
  <c r="J2" i="56"/>
  <c r="C2" i="56"/>
  <c r="B2" i="56"/>
  <c r="P4" i="55"/>
  <c r="O4" i="55"/>
  <c r="K4" i="55"/>
  <c r="J4" i="55"/>
  <c r="C4" i="55"/>
  <c r="B4" i="55"/>
  <c r="O3" i="55"/>
  <c r="K3" i="55"/>
  <c r="J3" i="55"/>
  <c r="C3" i="55"/>
  <c r="B3" i="55"/>
  <c r="O2" i="55"/>
  <c r="K2" i="55"/>
  <c r="J2" i="55"/>
  <c r="C2" i="55"/>
  <c r="B2" i="55"/>
  <c r="Q4" i="54"/>
  <c r="P4" i="54"/>
  <c r="L4" i="54"/>
  <c r="K4" i="54"/>
  <c r="C4" i="54"/>
  <c r="P3" i="54"/>
  <c r="L3" i="54"/>
  <c r="K3" i="54"/>
  <c r="C3" i="54"/>
  <c r="P2" i="54"/>
  <c r="L2" i="54"/>
  <c r="K2" i="54"/>
  <c r="C2" i="54"/>
  <c r="P4" i="53"/>
  <c r="L4" i="53"/>
  <c r="K4" i="53"/>
  <c r="C4" i="53"/>
  <c r="P3" i="53"/>
  <c r="L3" i="53"/>
  <c r="K3" i="53"/>
  <c r="C3" i="53"/>
  <c r="P2" i="53"/>
  <c r="L2" i="53"/>
  <c r="K2" i="53"/>
  <c r="C2" i="53"/>
  <c r="P4" i="52"/>
  <c r="L4" i="52"/>
  <c r="K4" i="52"/>
  <c r="C4" i="52"/>
  <c r="P3" i="52"/>
  <c r="L3" i="52"/>
  <c r="K3" i="52"/>
  <c r="C3" i="52"/>
  <c r="P2" i="52"/>
  <c r="L2" i="52"/>
  <c r="K2" i="52"/>
  <c r="C2" i="52"/>
  <c r="Q4" i="51"/>
  <c r="P4" i="51"/>
  <c r="L4" i="51"/>
  <c r="K4" i="51"/>
  <c r="C4" i="51"/>
  <c r="P3" i="51"/>
  <c r="L3" i="51"/>
  <c r="K3" i="51"/>
  <c r="C3" i="51"/>
  <c r="P2" i="51"/>
  <c r="L2" i="51"/>
  <c r="K2" i="51"/>
  <c r="C2" i="51"/>
  <c r="I1" i="49"/>
  <c r="D2" i="49" s="1"/>
  <c r="B1" i="48"/>
  <c r="A2" i="48" s="1"/>
  <c r="B2" i="47"/>
  <c r="B1" i="45"/>
  <c r="A2" i="45" s="1"/>
  <c r="A2" i="44"/>
  <c r="A2" i="47" s="1"/>
  <c r="A2" i="43"/>
  <c r="V2" i="37"/>
  <c r="T2" i="37"/>
  <c r="K2" i="37"/>
  <c r="V2" i="34"/>
  <c r="Q2" i="34"/>
  <c r="H2" i="34"/>
  <c r="Y2" i="31"/>
  <c r="S2" i="31"/>
  <c r="K2" i="31"/>
  <c r="V2" i="28"/>
  <c r="Q2" i="28"/>
  <c r="H2" i="28"/>
  <c r="T2" i="25"/>
  <c r="K2" i="25"/>
  <c r="C5" i="39"/>
  <c r="C5" i="42"/>
  <c r="C3" i="36"/>
  <c r="H2" i="37"/>
  <c r="E3" i="67"/>
  <c r="A3" i="69" s="1"/>
  <c r="C2" i="37" l="1"/>
  <c r="C4" i="36"/>
  <c r="B2" i="49"/>
  <c r="A2" i="63"/>
  <c r="A2" i="49"/>
  <c r="D6" i="60" s="1"/>
  <c r="B3" i="49"/>
  <c r="B2" i="66"/>
  <c r="C2" i="28"/>
  <c r="C4" i="27"/>
  <c r="C3" i="27"/>
  <c r="F3" i="42"/>
  <c r="F3" i="39"/>
  <c r="C2" i="27"/>
  <c r="F2" i="39"/>
  <c r="F5" i="42"/>
  <c r="D6" i="59"/>
  <c r="D4" i="59"/>
  <c r="D2" i="59"/>
  <c r="D7" i="59"/>
  <c r="D5" i="59"/>
  <c r="D3" i="59"/>
  <c r="D6" i="24"/>
  <c r="D5" i="24"/>
  <c r="D4" i="24"/>
  <c r="D3" i="24"/>
  <c r="D2" i="24"/>
  <c r="F2" i="42"/>
  <c r="C2" i="25"/>
  <c r="D7" i="24"/>
  <c r="C4" i="41"/>
  <c r="C2" i="41"/>
  <c r="C3" i="41"/>
  <c r="I2" i="37"/>
  <c r="J2" i="37"/>
  <c r="P2" i="37" s="1"/>
  <c r="D3" i="72"/>
  <c r="D2" i="72"/>
  <c r="D4" i="72"/>
  <c r="E2" i="28"/>
  <c r="D2" i="63"/>
  <c r="F2" i="49"/>
  <c r="E2" i="63"/>
  <c r="S3" i="67"/>
  <c r="N5" i="67"/>
  <c r="F4" i="41"/>
  <c r="E2" i="49"/>
  <c r="N3" i="67"/>
  <c r="E5" i="67"/>
  <c r="A5" i="69" s="1"/>
  <c r="E2" i="34"/>
  <c r="C2" i="39"/>
  <c r="C2" i="40"/>
  <c r="C2" i="42"/>
  <c r="C6" i="42"/>
  <c r="H2" i="25"/>
  <c r="C2" i="36"/>
  <c r="F2" i="40"/>
  <c r="G2" i="49"/>
  <c r="F2" i="63"/>
  <c r="E2" i="67"/>
  <c r="A2" i="69" s="1"/>
  <c r="S5" i="67"/>
  <c r="C3" i="39"/>
  <c r="C3" i="42"/>
  <c r="H2" i="49"/>
  <c r="N2" i="67"/>
  <c r="S2" i="67"/>
  <c r="E4" i="67"/>
  <c r="A4" i="69" s="1"/>
  <c r="H2" i="31"/>
  <c r="C4" i="39"/>
  <c r="C4" i="42"/>
  <c r="N4" i="67"/>
  <c r="C2" i="49"/>
  <c r="B2" i="63"/>
  <c r="D2" i="57" l="1"/>
  <c r="D7" i="60"/>
  <c r="D2" i="58"/>
  <c r="D4" i="60"/>
  <c r="D5" i="60"/>
  <c r="D2" i="60"/>
  <c r="D4" i="58"/>
  <c r="D3" i="60"/>
  <c r="D4" i="57"/>
  <c r="D3" i="58"/>
  <c r="D3" i="57"/>
  <c r="J2" i="31"/>
  <c r="P2" i="31" s="1"/>
  <c r="I2" i="31"/>
  <c r="D4" i="71"/>
  <c r="D3" i="71"/>
  <c r="D2" i="71"/>
  <c r="F4" i="39"/>
  <c r="F2" i="38"/>
  <c r="C2" i="31"/>
  <c r="C4" i="30"/>
  <c r="C3" i="30"/>
  <c r="C2" i="30"/>
  <c r="F5" i="39"/>
  <c r="F3" i="38"/>
  <c r="W2" i="28"/>
  <c r="G2" i="28"/>
  <c r="M2" i="28" s="1"/>
  <c r="F2" i="28"/>
  <c r="C3" i="38"/>
  <c r="C2" i="38"/>
  <c r="X4" i="67"/>
  <c r="X2" i="67"/>
  <c r="X5" i="67"/>
  <c r="X3" i="67"/>
  <c r="D4" i="70"/>
  <c r="D3" i="70"/>
  <c r="D2" i="70"/>
  <c r="J2" i="25"/>
  <c r="P2" i="25" s="1"/>
  <c r="I2" i="25"/>
  <c r="Z2" i="25"/>
  <c r="Y2" i="25"/>
  <c r="V2" i="25"/>
  <c r="G2" i="34"/>
  <c r="M2" i="34" s="1"/>
  <c r="F2" i="34"/>
  <c r="W2" i="34"/>
  <c r="C4" i="33"/>
  <c r="F4" i="42"/>
  <c r="F3" i="41"/>
  <c r="C3" i="33"/>
  <c r="C2" i="33"/>
  <c r="F2" i="41"/>
  <c r="F6" i="42"/>
  <c r="C2" i="34"/>
  <c r="A2" i="3" l="1"/>
  <c r="A2" i="9"/>
  <c r="B2" i="9" s="1"/>
  <c r="A2" i="8"/>
  <c r="B2" i="8" s="1"/>
  <c r="A2" i="7"/>
  <c r="B2" i="7"/>
  <c r="A2" i="6"/>
  <c r="B2" i="6" s="1"/>
  <c r="A2" i="5"/>
  <c r="B2" i="5" s="1"/>
  <c r="B7" i="2"/>
  <c r="D7" i="2" s="1"/>
  <c r="B6" i="2"/>
  <c r="E6" i="2" s="1"/>
  <c r="B5" i="2"/>
  <c r="D5" i="2" s="1"/>
  <c r="B4" i="2"/>
  <c r="E4" i="2" s="1"/>
  <c r="B3" i="2"/>
  <c r="E3" i="2" s="1"/>
  <c r="B2" i="2"/>
  <c r="D2" i="2" s="1"/>
  <c r="D2" i="1"/>
  <c r="C2" i="1"/>
  <c r="J5" i="2" l="1"/>
  <c r="D6" i="2"/>
  <c r="E7" i="2"/>
  <c r="J4" i="2"/>
  <c r="E5" i="2"/>
  <c r="D4" i="2"/>
  <c r="D3" i="2"/>
  <c r="J2" i="2"/>
  <c r="J3" i="2"/>
  <c r="E2" i="2"/>
</calcChain>
</file>

<file path=xl/sharedStrings.xml><?xml version="1.0" encoding="utf-8"?>
<sst xmlns="http://schemas.openxmlformats.org/spreadsheetml/2006/main" count="1438" uniqueCount="402">
  <si>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</si>
  <si>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</si>
  <si>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</si>
  <si>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</si>
  <si>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</si>
  <si>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</si>
  <si>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</si>
  <si>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</si>
  <si>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</si>
  <si>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</si>
  <si>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</si>
  <si>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</si>
  <si>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</si>
  <si>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</si>
  <si>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</si>
  <si>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</si>
  <si>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</si>
  <si>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</si>
  <si>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</si>
  <si>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</si>
  <si>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</si>
  <si>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</si>
  <si>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</si>
  <si>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</si>
  <si>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</si>
  <si>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</si>
  <si>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</si>
  <si>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</si>
  <si>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</si>
  <si>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</si>
  <si>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</si>
  <si>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</si>
  <si>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</si>
  <si>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BU</t>
  </si>
  <si>
    <t>SUP1</t>
  </si>
  <si>
    <t>SUP2</t>
  </si>
  <si>
    <t>b00002</t>
    <phoneticPr fontId="0" type="noConversion"/>
  </si>
  <si>
    <t>HSCode.002</t>
    <phoneticPr fontId="0" type="noConversion"/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</si>
  <si>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</si>
  <si>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</si>
  <si>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</si>
  <si>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</si>
  <si>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</si>
  <si>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</si>
  <si>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</si>
  <si>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</si>
  <si>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</si>
  <si>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</si>
  <si>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</si>
  <si>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</si>
  <si>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</si>
  <si>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</si>
  <si>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</si>
  <si>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</si>
  <si>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</si>
  <si>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</si>
  <si>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</si>
  <si>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</si>
  <si>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</si>
  <si>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</si>
  <si>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</si>
  <si>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</si>
  <si>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</si>
  <si>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</si>
  <si>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</si>
  <si>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</si>
  <si>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</si>
  <si>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</si>
  <si>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</si>
  <si>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</si>
  <si>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</si>
  <si>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</si>
  <si>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</si>
  <si>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</si>
  <si>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</si>
  <si>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</si>
  <si>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</si>
  <si>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</si>
  <si>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</si>
  <si>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</si>
  <si>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</si>
  <si>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</si>
  <si>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</si>
  <si>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</si>
  <si>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</si>
  <si>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</si>
  <si>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S2</t>
  </si>
  <si>
    <t>R-PK-CUS-POC-2310017</t>
  </si>
  <si>
    <t>supplier_code</t>
  </si>
  <si>
    <t>supplier_name</t>
  </si>
  <si>
    <t>status_name</t>
  </si>
  <si>
    <t>customer_code</t>
  </si>
  <si>
    <t>status_role</t>
  </si>
  <si>
    <t>contract_id</t>
  </si>
  <si>
    <t>CNTW-SUP-POC</t>
  </si>
  <si>
    <t>CNTW-SUP by Upload</t>
  </si>
  <si>
    <t>EXP Shipping</t>
  </si>
  <si>
    <t>OrderType</t>
  </si>
  <si>
    <t>OrderNo</t>
  </si>
  <si>
    <t>pFB25-2310001</t>
  </si>
  <si>
    <t>Regular</t>
  </si>
  <si>
    <t>Status</t>
  </si>
  <si>
    <t>Received</t>
  </si>
  <si>
    <t>OrderFrequency</t>
  </si>
  <si>
    <t>Weekly</t>
  </si>
  <si>
    <t>Seller</t>
  </si>
  <si>
    <t>SG-TTAP</t>
  </si>
  <si>
    <t>Receiver</t>
  </si>
  <si>
    <t>OrderDate</t>
  </si>
  <si>
    <t>Oct 9, 2023</t>
  </si>
  <si>
    <t>ContractNo</t>
  </si>
  <si>
    <t>Cargo Status Setting for PK-CUS-POC-TB4-04</t>
  </si>
  <si>
    <t>CNTWSUP-PKCUS-TB4-004</t>
  </si>
  <si>
    <t>SGTTAP-PKTTAP-FB2-5</t>
  </si>
  <si>
    <t>CNTWSUP-SGTTAP-JS2-1</t>
  </si>
  <si>
    <t>pJS11-2310001</t>
  </si>
  <si>
    <t>MYELASUP-MYPNA-JS1-1</t>
  </si>
  <si>
    <t>pJS21-2310001</t>
  </si>
  <si>
    <t>ContractRouteCode</t>
  </si>
  <si>
    <t>sJS11-2310001</t>
  </si>
  <si>
    <t>CR-PK-CUS-POC-2310030</t>
  </si>
  <si>
    <t>sJS21-2310001</t>
  </si>
  <si>
    <t>SalesOrder</t>
  </si>
  <si>
    <t>PKTTAP-PKCUS BU1-CUS 001</t>
  </si>
  <si>
    <t>sBS2BS1-2310001</t>
  </si>
  <si>
    <t>Confirmed</t>
  </si>
  <si>
    <t>SalesOrderNo</t>
  </si>
  <si>
    <t>sFS25-2310001</t>
  </si>
  <si>
    <t>FirmQTY</t>
  </si>
  <si>
    <t>Customer</t>
  </si>
  <si>
    <t>PK-CUS-TTAP</t>
  </si>
  <si>
    <t>MY-PNA-BU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</si>
  <si>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</si>
  <si>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</si>
  <si>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</si>
  <si>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</si>
  <si>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</si>
  <si>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</si>
  <si>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</si>
  <si>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</si>
  <si>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</si>
  <si>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</si>
  <si>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</si>
  <si>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</si>
  <si>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</si>
  <si>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</si>
  <si>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Currency</t>
  </si>
  <si>
    <t>Unit Price</t>
  </si>
  <si>
    <t>Next Seller</t>
  </si>
  <si>
    <t>PK-TTAP-s1-001</t>
  </si>
  <si>
    <t>s1001</t>
  </si>
  <si>
    <t>Inner Repacking</t>
  </si>
  <si>
    <t>USD</t>
  </si>
  <si>
    <t>SG-TTAP</t>
    <phoneticPr fontId="6" type="noConversion"/>
  </si>
  <si>
    <t>PK-TTAP-s1-002</t>
  </si>
  <si>
    <t>s1002</t>
  </si>
  <si>
    <t>Outer Repacking</t>
  </si>
  <si>
    <t>PK-TTAP-s1-003</t>
  </si>
  <si>
    <t>s1003</t>
  </si>
  <si>
    <t>MY-PNA-BU</t>
    <phoneticPr fontId="6" type="noConversion"/>
  </si>
  <si>
    <t>PK-TTAP-s1-004</t>
  </si>
  <si>
    <t>s1004</t>
  </si>
  <si>
    <t>PK-TTAP-s1-005</t>
  </si>
  <si>
    <t>s1005</t>
  </si>
  <si>
    <t>Non Repacking</t>
  </si>
  <si>
    <t>PK-TTAP-s1-006</t>
  </si>
  <si>
    <t>s1006</t>
  </si>
  <si>
    <t>BusinessType</t>
  </si>
  <si>
    <t>ForecastNumber</t>
  </si>
  <si>
    <t>TargetLeadtime</t>
  </si>
  <si>
    <t>ContractShortCode</t>
  </si>
  <si>
    <t>ContractDescription</t>
  </si>
  <si>
    <t>InputPaymentTerm</t>
  </si>
  <si>
    <t>PaymentTermDescription</t>
  </si>
  <si>
    <t>TermsType</t>
  </si>
  <si>
    <t>FromMonth</t>
  </si>
  <si>
    <t>Days</t>
  </si>
  <si>
    <t>FromDay</t>
  </si>
  <si>
    <t>PaymentTermCode</t>
  </si>
  <si>
    <t>PriceBasis</t>
  </si>
  <si>
    <t>ShipperDC</t>
  </si>
  <si>
    <t>AutoDIFlag</t>
  </si>
  <si>
    <t>RouteDescription</t>
  </si>
  <si>
    <t>CustomsFlag</t>
  </si>
  <si>
    <t>BU2 Description</t>
  </si>
  <si>
    <t>BU3 Description</t>
  </si>
  <si>
    <t>R-PK-CUS-POC-2310048</t>
  </si>
  <si>
    <t>Firm</t>
  </si>
  <si>
    <t>By Invoice Date</t>
  </si>
  <si>
    <t>Basis Order</t>
  </si>
  <si>
    <t>N</t>
  </si>
  <si>
    <t>CR-PK-CUS-POC-2310035</t>
  </si>
  <si>
    <t>SG-TTAP-s1-001</t>
  </si>
  <si>
    <t>SGD</t>
  </si>
  <si>
    <t>CNTW-SUP-POC</t>
    <phoneticPr fontId="6" type="noConversion"/>
  </si>
  <si>
    <t>SG-TTAP-s1-002</t>
  </si>
  <si>
    <t>SG-TTAP-s1-005</t>
  </si>
  <si>
    <t>DeliveryTo</t>
  </si>
  <si>
    <t>ExportCustomParty</t>
  </si>
  <si>
    <t>ImportCustomParty</t>
  </si>
  <si>
    <t>HSCodeFlag</t>
  </si>
  <si>
    <t>SP2 Description</t>
  </si>
  <si>
    <t>R-MY-PNA-BU-2310030</t>
  </si>
  <si>
    <t>Y</t>
  </si>
  <si>
    <t>CNTW-SUP-POC-s1-001</t>
  </si>
  <si>
    <t>CNY</t>
  </si>
  <si>
    <t>CNTW-SUP-POC-s1-002</t>
  </si>
  <si>
    <t>CNTW-SUP-POC-s1-005</t>
  </si>
  <si>
    <t>ConfirmOrderLeadTime</t>
  </si>
  <si>
    <t>LeadTime</t>
  </si>
  <si>
    <t>DeliveryPlanStartDate</t>
  </si>
  <si>
    <t>ReceiveDC</t>
  </si>
  <si>
    <t>R-PK-CUS-TTAP-2310027</t>
  </si>
  <si>
    <t>MY-PNA-BU-s1-003</t>
  </si>
  <si>
    <t>MY-ELA-SUP</t>
    <phoneticPr fontId="6" type="noConversion"/>
  </si>
  <si>
    <t>MY-PNA-BU-s1-004</t>
  </si>
  <si>
    <t>MY-PNA-BU-s1-006</t>
  </si>
  <si>
    <t>SP1 Description</t>
  </si>
  <si>
    <t>R-PK-CUS-TTAP-2310045</t>
  </si>
  <si>
    <t>Basis Latest</t>
  </si>
  <si>
    <t>MY-ELA-SUP-s1-003</t>
  </si>
  <si>
    <t>MYR</t>
  </si>
  <si>
    <t>MY-ELA-SUP-s1-004</t>
  </si>
  <si>
    <t>MY-ELA-SUP-s1-006</t>
  </si>
  <si>
    <t>Price Basis</t>
  </si>
  <si>
    <t>By Free</t>
  </si>
  <si>
    <t>EXP Customs</t>
  </si>
  <si>
    <t>TOYOTA TSUSHO ASIA PACIFIC PTE. LTD.</t>
  </si>
  <si>
    <t>IMP Shipping</t>
  </si>
  <si>
    <t>IMP Customs</t>
  </si>
  <si>
    <t>ELAMP PRECISION IND (M) SB</t>
  </si>
  <si>
    <t>PNA Technologies Sdn Bhd</t>
  </si>
  <si>
    <t>ContractID</t>
  </si>
  <si>
    <t>PartNo</t>
  </si>
  <si>
    <t>Forecast_N+1</t>
  </si>
  <si>
    <t>Inbound_Date1_Qty</t>
  </si>
  <si>
    <t>Date</t>
  </si>
  <si>
    <t>CO_number</t>
  </si>
  <si>
    <t>InboundDate_1</t>
  </si>
  <si>
    <t>InboundDate_2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</si>
  <si>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</si>
  <si>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</si>
  <si>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</si>
  <si>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</si>
  <si>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</si>
  <si>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</si>
  <si>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</si>
  <si>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</si>
  <si>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rcPB102-2310001-02</t>
  </si>
  <si>
    <t>No.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</si>
  <si>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</si>
  <si>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</si>
  <si>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</si>
  <si>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</si>
  <si>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</si>
  <si>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</si>
  <si>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</si>
  <si>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Fluctuation</t>
  </si>
  <si>
    <t>ReasonForFluctuation</t>
  </si>
  <si>
    <t>OldInboundDate_1</t>
  </si>
  <si>
    <t>OldInboundDate_2</t>
  </si>
  <si>
    <t>N/A</t>
  </si>
  <si>
    <t>SOParts No</t>
  </si>
  <si>
    <t>Supplier</t>
  </si>
  <si>
    <t>Shipper</t>
  </si>
  <si>
    <t>OrderQty</t>
  </si>
  <si>
    <t>UnitPrice</t>
  </si>
  <si>
    <t>InboundedQty</t>
  </si>
  <si>
    <t>Inbound Plan Qty</t>
  </si>
  <si>
    <t>Inbound Plan Status</t>
  </si>
  <si>
    <t>EstimatedQty</t>
  </si>
  <si>
    <t>OK</t>
  </si>
  <si>
    <t>Inbound Plan Qty_1</t>
  </si>
  <si>
    <t>Inbound Plan Status_1</t>
  </si>
  <si>
    <t>Inbound Plan Qty_2</t>
  </si>
  <si>
    <t>Inbound Plan Status_2</t>
  </si>
  <si>
    <t>Cancelled</t>
  </si>
  <si>
    <t>PurchaseOrderNo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</si>
  <si>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</si>
  <si>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</si>
  <si>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</si>
  <si>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</si>
  <si>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</si>
  <si>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</si>
  <si>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</si>
  <si>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ForceCompletedQty</t>
  </si>
  <si>
    <t>Inbound Qty 1</t>
  </si>
  <si>
    <t>Inbound Qty 2</t>
  </si>
  <si>
    <t>CO</t>
  </si>
  <si>
    <t>OutboundDate_1</t>
  </si>
  <si>
    <t>OutboundDate_2</t>
  </si>
  <si>
    <t>Sup1 RequestNo</t>
  </si>
  <si>
    <t>Sup2 RequestNo</t>
  </si>
  <si>
    <t>Outbound No</t>
  </si>
  <si>
    <t>Outbound Date</t>
  </si>
  <si>
    <t>Booking No</t>
  </si>
  <si>
    <t>UOM</t>
  </si>
  <si>
    <t>Outbound Qty</t>
  </si>
  <si>
    <t>Shipping Mode</t>
  </si>
  <si>
    <t>Outbound Type</t>
  </si>
  <si>
    <t>Buyer</t>
  </si>
  <si>
    <t>Container No</t>
  </si>
  <si>
    <t>Outer Package No</t>
  </si>
  <si>
    <t>Outer Package Type</t>
  </si>
  <si>
    <t>OP M3</t>
  </si>
  <si>
    <t>OP Net Weight</t>
  </si>
  <si>
    <t>OP Gross Weight</t>
  </si>
  <si>
    <t>Inner Package No</t>
  </si>
  <si>
    <t>Inner Package Type</t>
  </si>
  <si>
    <t>IP M3</t>
  </si>
  <si>
    <t>IP Net Weight</t>
  </si>
  <si>
    <t>IP Gross Weight</t>
  </si>
  <si>
    <t>Sales Order No</t>
  </si>
  <si>
    <t>Seller Code</t>
  </si>
  <si>
    <t>Seller Parts Description</t>
  </si>
  <si>
    <t>SRBQ</t>
  </si>
  <si>
    <t>Remaining Qty Available</t>
  </si>
  <si>
    <t>o-MY-ELA-SUP-230717001</t>
  </si>
  <si>
    <t>Outbound</t>
  </si>
  <si>
    <t>CAIU9500009</t>
  </si>
  <si>
    <t>PALLET-1</t>
  </si>
  <si>
    <t>MY-ELA-C-230704001</t>
  </si>
  <si>
    <t>PALLET2</t>
  </si>
  <si>
    <t>TCLU4249350</t>
  </si>
  <si>
    <t>PALLET3</t>
  </si>
  <si>
    <t>o-MY-ELA-SUP-230717002</t>
  </si>
  <si>
    <t>OutboundRefNo</t>
  </si>
  <si>
    <t>OutboundNo</t>
  </si>
  <si>
    <t>o-MY-ELA-SUP-231016001</t>
  </si>
  <si>
    <t>o-MY-ELA-SUP-231016002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</si>
  <si>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</si>
  <si>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</si>
  <si>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</si>
  <si>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</si>
  <si>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</si>
  <si>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</si>
  <si>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</si>
  <si>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</si>
  <si>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</si>
  <si>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</si>
  <si>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</si>
  <si>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</si>
  <si>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</si>
  <si>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</si>
  <si>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</si>
  <si>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</si>
  <si>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</si>
  <si>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</si>
  <si>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</si>
  <si>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</si>
  <si>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</si>
  <si>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</si>
  <si>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</si>
  <si>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</si>
  <si>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</si>
  <si>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</si>
  <si>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</si>
  <si>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</si>
  <si>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</si>
  <si>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</si>
  <si>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</si>
  <si>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</si>
  <si>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</si>
  <si>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</si>
  <si>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</si>
  <si>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</si>
  <si>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</si>
  <si>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</si>
  <si>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</si>
  <si>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</si>
  <si>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</si>
  <si>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</si>
  <si>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</si>
  <si>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</si>
  <si>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Processing</t>
  </si>
  <si>
    <t>Estimated Qty</t>
  </si>
  <si>
    <t>InvoiceNo</t>
  </si>
  <si>
    <t>ELA2310001</t>
  </si>
  <si>
    <t>ELA2310002</t>
  </si>
  <si>
    <t>pPS205-2310001</t>
  </si>
  <si>
    <t>CNTWSUP-SGTTAP-PS2-05</t>
  </si>
  <si>
    <t>SGTTAP-PKTTAP-PB2-05</t>
  </si>
  <si>
    <t>pPB205-2310001</t>
  </si>
  <si>
    <t>PKTTAP-PKCUS-PB1-05</t>
  </si>
  <si>
    <t>cPB105-2310002</t>
  </si>
  <si>
    <t>ContractRouteNo</t>
  </si>
  <si>
    <t>FirmQty1</t>
  </si>
  <si>
    <t>FirmQty2</t>
  </si>
  <si>
    <t>FirmQty3</t>
  </si>
  <si>
    <t>CR-PK-CUS-POC-2310036</t>
  </si>
  <si>
    <t>SpotOrderReason</t>
  </si>
  <si>
    <t>CustContractNo</t>
  </si>
  <si>
    <t>InboundDate1</t>
  </si>
  <si>
    <t>InboundDate2</t>
  </si>
  <si>
    <t>inboundQty1</t>
  </si>
  <si>
    <t>inboundQty2</t>
  </si>
  <si>
    <t>inboundQty3</t>
  </si>
  <si>
    <t>inboundQty4</t>
  </si>
  <si>
    <t>Just for testing :)</t>
  </si>
  <si>
    <t>FirmQty4</t>
  </si>
  <si>
    <t>FirmQty6</t>
  </si>
  <si>
    <t>FirmQty5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</si>
</sst>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10" fillId="0" borderId="0">
      <alignment vertical="center"/>
    </xf>
    <xf numFmtId="0" fontId="3" fillId="0" borderId="0"/>
    <xf numFmtId="0" fontId="10" fillId="0" borderId="0">
      <alignment vertical="center"/>
    </xf>
    <xf numFmtId="43" fontId="10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/>
    <xf numFmtId="49" fontId="1" fillId="0" borderId="0" xfId="0" applyNumberFormat="1" applyFont="1"/>
    <xf numFmtId="49" fontId="2" fillId="2" borderId="1" xfId="0" applyNumberFormat="1" applyFont="1" applyFill="1" applyBorder="1" applyAlignment="1">
      <alignment horizontal="left" wrapText="1"/>
    </xf>
    <xf numFmtId="49" fontId="2" fillId="2" borderId="2" xfId="0" applyNumberFormat="1" applyFont="1" applyFill="1" applyBorder="1" applyAlignment="1">
      <alignment horizontal="left" wrapText="1"/>
    </xf>
    <xf numFmtId="3" fontId="3" fillId="0" borderId="2" xfId="0" applyNumberFormat="1" applyFont="1" applyBorder="1" applyAlignment="1">
      <alignment horizontal="right" vertical="center"/>
    </xf>
    <xf numFmtId="164" fontId="3" fillId="0" borderId="2" xfId="0" applyNumberFormat="1" applyFont="1" applyBorder="1" applyAlignment="1">
      <alignment horizontal="right" vertical="center"/>
    </xf>
    <xf numFmtId="4" fontId="3" fillId="0" borderId="2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5" xfId="0" applyBorder="1"/>
    <xf numFmtId="3" fontId="7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4" fontId="7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66" fontId="7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0" fontId="11" fillId="0" borderId="0" xfId="0" applyFont="1"/>
    <xf numFmtId="0" fontId="10" fillId="0" borderId="0" xfId="2">
      <alignment vertical="center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0" fontId="12" fillId="0" borderId="0" xfId="0" applyFont="1"/>
    <xf numFmtId="0" fontId="1" fillId="0" borderId="0" xfId="0" applyFont="1" applyAlignment="1">
      <alignment wrapText="1"/>
    </xf>
    <xf numFmtId="49" fontId="7" fillId="0" borderId="0" xfId="3" applyNumberFormat="1" applyFont="1" applyAlignment="1">
      <alignment horizontal="left" vertical="center" wrapText="1"/>
    </xf>
    <xf numFmtId="168" fontId="1" fillId="0" borderId="0" xfId="4" applyNumberFormat="1" applyFont="1" applyAlignment="1" applyProtection="1">
      <alignment vertical="center" wrapText="1"/>
      <protection locked="0"/>
    </xf>
    <xf numFmtId="169" fontId="0" fillId="0" borderId="0" xfId="0" applyNumberFormat="1"/>
    <xf numFmtId="0" fontId="0" fillId="3" borderId="0" xfId="0" applyFill="1" applyAlignment="1">
      <alignment horizontal="center"/>
    </xf>
    <xf numFmtId="168" fontId="1" fillId="0" borderId="0" xfId="4" applyNumberFormat="1" applyFont="1" applyProtection="1">
      <alignment vertical="center"/>
      <protection locked="0"/>
    </xf>
    <xf numFmtId="169" fontId="1" fillId="0" borderId="0" xfId="0" applyNumberFormat="1" applyFont="1"/>
    <xf numFmtId="170" fontId="0" fillId="0" borderId="0" xfId="5" applyNumberFormat="1" applyFont="1"/>
    <xf numFmtId="49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43" fontId="0" fillId="0" borderId="0" xfId="5" applyFont="1"/>
    <xf numFmtId="169" fontId="7" fillId="0" borderId="0" xfId="3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5" fillId="0" borderId="0" xfId="0" applyFont="1"/>
    <xf numFmtId="0" fontId="5" fillId="0" borderId="0" xfId="0" applyFont="1" applyAlignment="1">
      <alignment wrapText="1"/>
    </xf>
    <xf numFmtId="171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Comma 2" xfId="5" xr:uid="{361D2823-70B5-47BF-888A-14CC8D0CF1CC}"/>
    <cellStyle name="Hyperlink 2" xfId="1" xr:uid="{5DDC284F-6DE0-4840-BBBF-4F7780A81C17}"/>
    <cellStyle name="Normal" xfId="0" builtinId="0"/>
    <cellStyle name="Normal 2" xfId="2" xr:uid="{6F4F7725-FC98-4E81-8E99-7E2849D5110F}"/>
    <cellStyle name="Normal 6 2" xfId="3" xr:uid="{DCB437F4-612A-48C8-AF52-9FEE0DF612D5}"/>
    <cellStyle name="常规 2" xfId="4" xr:uid="{2CEBA899-A038-4DD9-AD9E-5C2CD5ED36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2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B10" sqref="B10"/>
    </sheetView>
  </sheetViews>
  <sheetFormatPr defaultRowHeight="14.4" x14ac:dyDescent="0.3"/>
  <cols>
    <col min="1" max="1" width="20.77734375" customWidth="1" collapsed="1"/>
  </cols>
  <sheetData>
    <row r="1" spans="1:4" x14ac:dyDescent="0.3">
      <c r="A1" s="6" t="s">
        <v>32</v>
      </c>
      <c r="B1" s="6" t="s">
        <v>33</v>
      </c>
      <c r="C1" s="6" t="s">
        <v>34</v>
      </c>
      <c r="D1" s="6" t="s">
        <v>35</v>
      </c>
    </row>
    <row r="2" spans="1:4" x14ac:dyDescent="0.3">
      <c r="A2" s="7" t="s">
        <v>86</v>
      </c>
      <c r="B2" s="6" t="s">
        <v>86</v>
      </c>
      <c r="C2" s="6" t="str">
        <f>B2&amp;"s1"</f>
        <v>S2s1</v>
      </c>
      <c r="D2" s="6" t="str">
        <f>B2&amp;"s2"</f>
        <v>S2s2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AF94-0883-4FE2-806D-1E5F85E27B7B}">
  <dimension ref="A1:W6"/>
  <sheetViews>
    <sheetView topLeftCell="O1" zoomScale="90" zoomScaleNormal="90" workbookViewId="0">
      <selection activeCell="A2" sqref="A2:B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110</v>
      </c>
      <c r="D1" t="s">
        <v>197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146</v>
      </c>
      <c r="O1" t="s">
        <v>179</v>
      </c>
      <c r="P1" t="s">
        <v>180</v>
      </c>
      <c r="Q1" t="s">
        <v>41</v>
      </c>
      <c r="R1" t="s">
        <v>183</v>
      </c>
      <c r="S1" t="s">
        <v>198</v>
      </c>
      <c r="T1" t="s">
        <v>199</v>
      </c>
      <c r="U1" t="s">
        <v>200</v>
      </c>
      <c r="V1" s="42" t="s">
        <v>118</v>
      </c>
      <c r="W1" t="s">
        <v>201</v>
      </c>
    </row>
    <row r="2" spans="1:23" x14ac:dyDescent="0.3">
      <c r="A2">
        <v>1</v>
      </c>
      <c r="B2" t="s">
        <v>202</v>
      </c>
      <c r="C2" t="e">
        <f>#REF!</f>
        <v>#REF!</v>
      </c>
      <c r="D2" t="s">
        <v>72</v>
      </c>
      <c r="E2" t="e">
        <f>#REF!</f>
        <v>#REF!</v>
      </c>
      <c r="F2" t="e">
        <f>"CD-"&amp;E2</f>
        <v>#REF!</v>
      </c>
      <c r="G2" t="e">
        <f>"Payment-"&amp;E2</f>
        <v>#REF!</v>
      </c>
      <c r="H2" t="str">
        <f>I2</f>
        <v>By Invoice Date</v>
      </c>
      <c r="I2" t="s">
        <v>188</v>
      </c>
      <c r="J2">
        <v>0</v>
      </c>
      <c r="K2">
        <v>30</v>
      </c>
      <c r="L2">
        <v>0</v>
      </c>
      <c r="M2" t="e">
        <f>G2&amp;"(" &amp;H2&amp;")"</f>
        <v>#REF!</v>
      </c>
      <c r="N2" t="s">
        <v>193</v>
      </c>
      <c r="O2" t="s">
        <v>189</v>
      </c>
      <c r="P2" t="s">
        <v>76</v>
      </c>
      <c r="Q2" t="e">
        <f>#REF!&amp;"(" &amp;#REF! &amp; ")"</f>
        <v>#REF!</v>
      </c>
      <c r="R2" t="s">
        <v>203</v>
      </c>
      <c r="S2" t="s">
        <v>106</v>
      </c>
      <c r="T2" t="s">
        <v>130</v>
      </c>
      <c r="U2" t="s">
        <v>190</v>
      </c>
      <c r="V2" t="str">
        <f>'TC2-BU1 to Customer Contract'!X2</f>
        <v>CR-PK-CUS-POC-2310035</v>
      </c>
      <c r="W2" t="e">
        <f>"SP2toBU2-"&amp;E2</f>
        <v>#REF!</v>
      </c>
    </row>
    <row r="5" spans="1:23" x14ac:dyDescent="0.3">
      <c r="W5" s="43"/>
    </row>
    <row r="6" spans="1:23" x14ac:dyDescent="0.3">
      <c r="W6" s="4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dimension ref="A1:X2"/>
  <sheetViews>
    <sheetView topLeftCell="D1" zoomScale="90" zoomScaleNormal="90" workbookViewId="0">
      <selection activeCell="X1" sqref="X1"/>
    </sheetView>
  </sheetViews>
  <sheetFormatPr defaultColWidth="8.88671875" defaultRowHeight="13.8" x14ac:dyDescent="0.3"/>
  <cols>
    <col min="1" max="24" width="20.77734375" style="6" customWidth="1" collapsed="1"/>
    <col min="25" max="16384" width="8.88671875" style="6" collapsed="1"/>
  </cols>
  <sheetData>
    <row r="1" spans="1:24" x14ac:dyDescent="0.3">
      <c r="A1" s="14" t="s">
        <v>41</v>
      </c>
      <c r="B1" s="14" t="s">
        <v>42</v>
      </c>
      <c r="C1" s="14" t="s">
        <v>43</v>
      </c>
      <c r="D1" s="14" t="s">
        <v>44</v>
      </c>
      <c r="E1" s="14" t="s">
        <v>45</v>
      </c>
      <c r="F1" s="14" t="s">
        <v>46</v>
      </c>
      <c r="G1" s="17" t="s">
        <v>47</v>
      </c>
      <c r="H1" s="17" t="s">
        <v>48</v>
      </c>
      <c r="I1" s="14" t="s">
        <v>49</v>
      </c>
      <c r="J1" s="14" t="s">
        <v>50</v>
      </c>
      <c r="K1" s="14" t="s">
        <v>51</v>
      </c>
      <c r="L1" s="14" t="s">
        <v>52</v>
      </c>
      <c r="M1" s="14" t="s">
        <v>53</v>
      </c>
      <c r="N1" s="14" t="s">
        <v>54</v>
      </c>
      <c r="O1" s="15" t="s">
        <v>55</v>
      </c>
      <c r="P1" s="14" t="s">
        <v>56</v>
      </c>
      <c r="Q1" s="14" t="s">
        <v>57</v>
      </c>
      <c r="R1" s="14" t="s">
        <v>58</v>
      </c>
      <c r="S1" s="14" t="s">
        <v>59</v>
      </c>
      <c r="T1" s="14" t="s">
        <v>60</v>
      </c>
      <c r="U1" s="14" t="s">
        <v>61</v>
      </c>
      <c r="V1" s="14" t="s">
        <v>62</v>
      </c>
      <c r="W1" s="14" t="s">
        <v>63</v>
      </c>
      <c r="X1" s="15" t="s">
        <v>64</v>
      </c>
    </row>
    <row r="2" spans="1:24" s="16" customFormat="1" x14ac:dyDescent="0.3">
      <c r="A2" s="14" t="str">
        <f>"CNTW-SGDC2-"&amp;AutoIncrement!B2</f>
        <v>CNTW-SGDC2-S2</v>
      </c>
      <c r="B2" s="14" t="str">
        <f>A2</f>
        <v>CNTW-SGDC2-S2</v>
      </c>
      <c r="C2" s="14" t="s">
        <v>65</v>
      </c>
      <c r="D2" s="14" t="s">
        <v>74</v>
      </c>
      <c r="E2" s="14" t="s">
        <v>78</v>
      </c>
      <c r="F2" s="14" t="s">
        <v>75</v>
      </c>
      <c r="G2" s="14"/>
      <c r="H2" s="14"/>
      <c r="I2" s="16" t="s">
        <v>76</v>
      </c>
      <c r="J2" s="14" t="s">
        <v>76</v>
      </c>
      <c r="K2" s="1" t="s">
        <v>79</v>
      </c>
      <c r="L2" s="1" t="s">
        <v>77</v>
      </c>
      <c r="M2" s="14">
        <v>2</v>
      </c>
      <c r="N2" s="14">
        <v>1</v>
      </c>
      <c r="O2" s="14" t="s">
        <v>69</v>
      </c>
      <c r="P2" s="14">
        <v>2</v>
      </c>
      <c r="Q2" s="14">
        <v>0</v>
      </c>
      <c r="R2" s="14">
        <v>12</v>
      </c>
      <c r="S2" s="14">
        <v>6</v>
      </c>
      <c r="T2" s="14">
        <v>2023</v>
      </c>
      <c r="U2" s="14">
        <v>31</v>
      </c>
      <c r="V2" s="14">
        <v>12</v>
      </c>
      <c r="W2" s="14">
        <v>2024</v>
      </c>
      <c r="X2" s="14" t="s">
        <v>70</v>
      </c>
    </row>
  </sheetData>
  <hyperlinks>
    <hyperlink ref="O1" location="RANGE!A1" display="ETDWeekDay (click here to set ETD days)" xr:uid="{40C95CE5-D1B9-43D1-B669-7942EBF470C9}"/>
    <hyperlink ref="X1" location="RANGE!A1" display="Shipping Frequency Weeks (Click here to add week)" xr:uid="{B3C6CE21-CFA0-473B-9D8A-4D9FA6FFB82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9C10-F14C-497D-9EE2-D1A6A7380047}">
  <dimension ref="A1:F4"/>
  <sheetViews>
    <sheetView zoomScale="90" zoomScaleNormal="90" workbookViewId="0">
      <selection activeCell="A2" sqref="A2:B2"/>
    </sheetView>
  </sheetViews>
  <sheetFormatPr defaultRowHeight="13.8" x14ac:dyDescent="0.3"/>
  <cols>
    <col min="1" max="1" width="35.5546875" style="6" customWidth="1" collapsed="1"/>
    <col min="2" max="3" width="25.77734375" style="6" customWidth="1" collapsed="1"/>
    <col min="4" max="6" width="15.77734375" style="6" customWidth="1" collapsed="1"/>
    <col min="7" max="16384" width="8.88671875" style="6" collapsed="1"/>
  </cols>
  <sheetData>
    <row r="1" spans="1:6" x14ac:dyDescent="0.3">
      <c r="A1" s="6" t="s">
        <v>132</v>
      </c>
      <c r="B1" s="6" t="s">
        <v>134</v>
      </c>
      <c r="C1" s="6" t="s">
        <v>135</v>
      </c>
      <c r="D1" s="6" t="s">
        <v>141</v>
      </c>
      <c r="E1" s="6" t="s">
        <v>146</v>
      </c>
      <c r="F1" s="6" t="s">
        <v>147</v>
      </c>
    </row>
    <row r="2" spans="1:6" x14ac:dyDescent="0.3">
      <c r="A2" s="2" t="s">
        <v>204</v>
      </c>
      <c r="B2" s="2" t="s">
        <v>204</v>
      </c>
      <c r="C2" s="36" t="e">
        <f>#REF!</f>
        <v>#REF!</v>
      </c>
      <c r="D2" s="1" t="s">
        <v>29</v>
      </c>
      <c r="E2" s="1" t="s">
        <v>205</v>
      </c>
      <c r="F2" s="45">
        <v>9.01</v>
      </c>
    </row>
    <row r="3" spans="1:6" x14ac:dyDescent="0.3">
      <c r="A3" s="2" t="s">
        <v>206</v>
      </c>
      <c r="B3" s="2" t="s">
        <v>206</v>
      </c>
      <c r="C3" s="36" t="e">
        <f>#REF!</f>
        <v>#REF!</v>
      </c>
      <c r="D3" s="1" t="s">
        <v>29</v>
      </c>
      <c r="E3" s="1" t="s">
        <v>205</v>
      </c>
      <c r="F3" s="45">
        <v>10</v>
      </c>
    </row>
    <row r="4" spans="1:6" x14ac:dyDescent="0.3">
      <c r="A4" s="2" t="s">
        <v>207</v>
      </c>
      <c r="B4" s="2" t="s">
        <v>207</v>
      </c>
      <c r="C4" s="36" t="e">
        <f>#REF!</f>
        <v>#REF!</v>
      </c>
      <c r="D4" s="1" t="s">
        <v>21</v>
      </c>
      <c r="E4" s="1" t="s">
        <v>205</v>
      </c>
      <c r="F4" s="45">
        <v>10</v>
      </c>
    </row>
  </sheetData>
  <dataValidations count="1">
    <dataValidation type="list" allowBlank="1" showErrorMessage="1" sqref="E2:E4" xr:uid="{EA7EF7C8-EB0D-45BE-8607-AB45EB90D764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BCF9-7199-494C-B464-9A4923525561}">
  <dimension ref="A1:Y2"/>
  <sheetViews>
    <sheetView zoomScale="90" zoomScaleNormal="90" workbookViewId="0">
      <selection activeCell="A2" sqref="A2:B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x14ac:dyDescent="0.3">
      <c r="A1" t="s">
        <v>0</v>
      </c>
      <c r="B1" t="s">
        <v>31</v>
      </c>
      <c r="C1" t="s">
        <v>110</v>
      </c>
      <c r="D1" t="s">
        <v>197</v>
      </c>
      <c r="E1" t="s">
        <v>208</v>
      </c>
      <c r="F1" t="s">
        <v>209</v>
      </c>
      <c r="G1" t="s">
        <v>210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  <c r="Q1" t="s">
        <v>146</v>
      </c>
      <c r="R1" t="s">
        <v>211</v>
      </c>
      <c r="S1" t="s">
        <v>41</v>
      </c>
      <c r="T1" t="s">
        <v>181</v>
      </c>
      <c r="U1" t="s">
        <v>183</v>
      </c>
      <c r="V1" t="s">
        <v>198</v>
      </c>
      <c r="W1" t="s">
        <v>199</v>
      </c>
      <c r="X1" t="s">
        <v>200</v>
      </c>
      <c r="Y1" s="42" t="s">
        <v>118</v>
      </c>
    </row>
    <row r="2" spans="1:25" x14ac:dyDescent="0.3">
      <c r="A2">
        <v>1</v>
      </c>
      <c r="B2" t="s">
        <v>212</v>
      </c>
      <c r="C2" t="e">
        <f>#REF!</f>
        <v>#REF!</v>
      </c>
      <c r="D2" t="s">
        <v>76</v>
      </c>
      <c r="E2">
        <v>1</v>
      </c>
      <c r="F2">
        <v>1</v>
      </c>
      <c r="G2">
        <v>1</v>
      </c>
      <c r="H2" t="e">
        <f>#REF!</f>
        <v>#REF!</v>
      </c>
      <c r="I2" t="e">
        <f>"CD-"&amp;H2</f>
        <v>#REF!</v>
      </c>
      <c r="J2" t="e">
        <f>"Payment-"&amp;H2</f>
        <v>#REF!</v>
      </c>
      <c r="K2" t="str">
        <f>L2</f>
        <v>By Invoice Date</v>
      </c>
      <c r="L2" t="s">
        <v>188</v>
      </c>
      <c r="M2">
        <v>0</v>
      </c>
      <c r="N2">
        <v>30</v>
      </c>
      <c r="O2">
        <v>0</v>
      </c>
      <c r="P2" t="e">
        <f>J2&amp;"(" &amp;K2&amp;")"</f>
        <v>#REF!</v>
      </c>
      <c r="Q2" t="s">
        <v>205</v>
      </c>
      <c r="R2" t="s">
        <v>76</v>
      </c>
      <c r="S2" t="e">
        <f>#REF!&amp;"(" &amp;#REF! &amp; ")"</f>
        <v>#REF!</v>
      </c>
      <c r="T2" t="s">
        <v>190</v>
      </c>
      <c r="U2" t="s">
        <v>203</v>
      </c>
      <c r="V2" t="s">
        <v>94</v>
      </c>
      <c r="W2" t="s">
        <v>106</v>
      </c>
      <c r="X2" t="s">
        <v>203</v>
      </c>
      <c r="Y2" t="str">
        <f>'TC2-BU1 to Customer Contract'!X2</f>
        <v>CR-PK-CUS-POC-2310035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dimension ref="A1:X2"/>
  <sheetViews>
    <sheetView topLeftCell="N1" zoomScale="90" zoomScaleNormal="90" workbookViewId="0">
      <selection activeCell="X1" sqref="X1"/>
    </sheetView>
  </sheetViews>
  <sheetFormatPr defaultColWidth="8.88671875" defaultRowHeight="13.8" x14ac:dyDescent="0.3"/>
  <cols>
    <col min="1" max="24" width="20.77734375" style="6" customWidth="1" collapsed="1"/>
    <col min="25" max="16384" width="8.88671875" style="6" collapsed="1"/>
  </cols>
  <sheetData>
    <row r="1" spans="1:24" x14ac:dyDescent="0.3">
      <c r="A1" s="14" t="s">
        <v>41</v>
      </c>
      <c r="B1" s="14" t="s">
        <v>42</v>
      </c>
      <c r="C1" s="14" t="s">
        <v>43</v>
      </c>
      <c r="D1" s="14" t="s">
        <v>44</v>
      </c>
      <c r="E1" s="14" t="s">
        <v>45</v>
      </c>
      <c r="F1" s="14" t="s">
        <v>46</v>
      </c>
      <c r="G1" s="17" t="s">
        <v>47</v>
      </c>
      <c r="H1" s="17" t="s">
        <v>48</v>
      </c>
      <c r="I1" s="14" t="s">
        <v>49</v>
      </c>
      <c r="J1" s="14" t="s">
        <v>50</v>
      </c>
      <c r="K1" s="14" t="s">
        <v>51</v>
      </c>
      <c r="L1" s="14" t="s">
        <v>52</v>
      </c>
      <c r="M1" s="14" t="s">
        <v>53</v>
      </c>
      <c r="N1" s="14" t="s">
        <v>54</v>
      </c>
      <c r="O1" s="15" t="s">
        <v>55</v>
      </c>
      <c r="P1" s="14" t="s">
        <v>56</v>
      </c>
      <c r="Q1" s="14" t="s">
        <v>57</v>
      </c>
      <c r="R1" s="14" t="s">
        <v>58</v>
      </c>
      <c r="S1" s="14" t="s">
        <v>59</v>
      </c>
      <c r="T1" s="14" t="s">
        <v>60</v>
      </c>
      <c r="U1" s="14" t="s">
        <v>61</v>
      </c>
      <c r="V1" s="14" t="s">
        <v>62</v>
      </c>
      <c r="W1" s="14" t="s">
        <v>63</v>
      </c>
      <c r="X1" s="15" t="s">
        <v>64</v>
      </c>
    </row>
    <row r="2" spans="1:24" s="16" customFormat="1" x14ac:dyDescent="0.3">
      <c r="A2" s="14" t="str">
        <f>"MYDC3-PKDC1-"&amp;AutoIncrement!B2</f>
        <v>MYDC3-PKDC1-S2</v>
      </c>
      <c r="B2" s="14" t="str">
        <f>A2</f>
        <v>MYDC3-PKDC1-S2</v>
      </c>
      <c r="C2" s="14" t="s">
        <v>65</v>
      </c>
      <c r="D2" s="14" t="s">
        <v>74</v>
      </c>
      <c r="E2" s="14" t="s">
        <v>67</v>
      </c>
      <c r="F2" s="14" t="s">
        <v>71</v>
      </c>
      <c r="G2" s="14"/>
      <c r="H2" s="14"/>
      <c r="I2" s="16" t="s">
        <v>68</v>
      </c>
      <c r="J2" s="14" t="s">
        <v>72</v>
      </c>
      <c r="K2" s="1" t="s">
        <v>80</v>
      </c>
      <c r="L2" s="1" t="s">
        <v>71</v>
      </c>
      <c r="M2" s="14">
        <v>2</v>
      </c>
      <c r="N2" s="14">
        <v>1</v>
      </c>
      <c r="O2" s="14" t="s">
        <v>69</v>
      </c>
      <c r="P2" s="14">
        <v>2</v>
      </c>
      <c r="Q2" s="14">
        <v>0</v>
      </c>
      <c r="R2" s="14">
        <v>12</v>
      </c>
      <c r="S2" s="14">
        <v>6</v>
      </c>
      <c r="T2" s="14">
        <v>2023</v>
      </c>
      <c r="U2" s="14">
        <v>31</v>
      </c>
      <c r="V2" s="14">
        <v>12</v>
      </c>
      <c r="W2" s="14">
        <v>2024</v>
      </c>
      <c r="X2" s="14" t="s">
        <v>70</v>
      </c>
    </row>
  </sheetData>
  <hyperlinks>
    <hyperlink ref="O1" location="RANGE!A1" display="ETDWeekDay (click here to set ETD days)" xr:uid="{F7E2036F-C58E-4308-AF0E-911CA440EBC8}"/>
    <hyperlink ref="X1" location="RANGE!A1" display="Shipping Frequency Weeks (Click here to add week)" xr:uid="{36593B97-C592-4F4A-8947-A4BD38967816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dimension ref="A1:Z2"/>
  <sheetViews>
    <sheetView zoomScale="90" zoomScaleNormal="90" workbookViewId="0">
      <selection activeCell="Z1" sqref="Z1"/>
    </sheetView>
  </sheetViews>
  <sheetFormatPr defaultColWidth="8.88671875" defaultRowHeight="13.8" x14ac:dyDescent="0.3"/>
  <cols>
    <col min="1" max="26" width="20.77734375" style="6" customWidth="1" collapsed="1"/>
    <col min="27" max="16384" width="8.88671875" style="6" collapsed="1"/>
  </cols>
  <sheetData>
    <row r="1" spans="1:26" x14ac:dyDescent="0.3">
      <c r="A1" s="14" t="s">
        <v>41</v>
      </c>
      <c r="B1" s="14" t="s">
        <v>42</v>
      </c>
      <c r="C1" s="14" t="s">
        <v>43</v>
      </c>
      <c r="D1" s="14" t="s">
        <v>44</v>
      </c>
      <c r="E1" s="14" t="s">
        <v>45</v>
      </c>
      <c r="F1" s="14" t="s">
        <v>46</v>
      </c>
      <c r="G1" s="17" t="s">
        <v>47</v>
      </c>
      <c r="H1" s="17" t="s">
        <v>48</v>
      </c>
      <c r="I1" s="14" t="s">
        <v>49</v>
      </c>
      <c r="J1" s="14" t="s">
        <v>50</v>
      </c>
      <c r="K1" s="14" t="s">
        <v>51</v>
      </c>
      <c r="L1" s="14" t="s">
        <v>52</v>
      </c>
      <c r="M1" s="14" t="s">
        <v>53</v>
      </c>
      <c r="N1" s="14" t="s">
        <v>54</v>
      </c>
      <c r="O1" s="15" t="s">
        <v>55</v>
      </c>
      <c r="P1" s="14" t="s">
        <v>56</v>
      </c>
      <c r="Q1" s="14" t="s">
        <v>57</v>
      </c>
      <c r="R1" s="14" t="s">
        <v>81</v>
      </c>
      <c r="S1" s="14" t="s">
        <v>82</v>
      </c>
      <c r="T1" s="14" t="s">
        <v>58</v>
      </c>
      <c r="U1" s="14" t="s">
        <v>59</v>
      </c>
      <c r="V1" s="14" t="s">
        <v>60</v>
      </c>
      <c r="W1" s="14" t="s">
        <v>61</v>
      </c>
      <c r="X1" s="14" t="s">
        <v>62</v>
      </c>
      <c r="Y1" s="14" t="s">
        <v>63</v>
      </c>
      <c r="Z1" s="15" t="s">
        <v>64</v>
      </c>
    </row>
    <row r="2" spans="1:26" s="16" customFormat="1" x14ac:dyDescent="0.3">
      <c r="A2" s="14" t="str">
        <f>"MYELA-MYDC3-"&amp;AutoIncrement!B2</f>
        <v>MYELA-MYDC3-S2</v>
      </c>
      <c r="B2" s="14" t="str">
        <f>A2</f>
        <v>MYELA-MYDC3-S2</v>
      </c>
      <c r="C2" s="14" t="s">
        <v>65</v>
      </c>
      <c r="D2" s="14" t="s">
        <v>66</v>
      </c>
      <c r="E2" s="14" t="s">
        <v>67</v>
      </c>
      <c r="F2" s="14" t="s">
        <v>67</v>
      </c>
      <c r="G2" s="14"/>
      <c r="H2" s="14"/>
      <c r="I2" s="16" t="s">
        <v>83</v>
      </c>
      <c r="J2" s="14" t="s">
        <v>68</v>
      </c>
      <c r="K2" s="1"/>
      <c r="L2" s="1"/>
      <c r="M2" s="14">
        <v>2</v>
      </c>
      <c r="N2" s="14">
        <v>1</v>
      </c>
      <c r="O2" s="14" t="s">
        <v>69</v>
      </c>
      <c r="P2" s="14">
        <v>0</v>
      </c>
      <c r="Q2" s="14">
        <v>0</v>
      </c>
      <c r="R2" s="14" t="s">
        <v>84</v>
      </c>
      <c r="S2" s="14" t="s">
        <v>85</v>
      </c>
      <c r="T2" s="14">
        <v>12</v>
      </c>
      <c r="U2" s="14">
        <v>6</v>
      </c>
      <c r="V2" s="14">
        <v>2023</v>
      </c>
      <c r="W2" s="14">
        <v>31</v>
      </c>
      <c r="X2" s="14">
        <v>12</v>
      </c>
      <c r="Y2" s="14">
        <v>2024</v>
      </c>
      <c r="Z2" s="14" t="s">
        <v>70</v>
      </c>
    </row>
  </sheetData>
  <hyperlinks>
    <hyperlink ref="O1" location="RANGE!A1" display="ETDWeekDay (click here to set ETD days)" xr:uid="{F266F912-04E0-4F82-8EB6-08E6AD959479}"/>
    <hyperlink ref="Z1" location="RANGE!A1" display="Shipping Frequency Weeks (Click here to add week)" xr:uid="{0E888FF2-BD46-41EB-ADB7-63F044108969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0964F-8AEB-44CB-BE40-A30216997589}">
  <dimension ref="A1:I4"/>
  <sheetViews>
    <sheetView zoomScale="90" zoomScaleNormal="90" workbookViewId="0">
      <selection activeCell="A2" sqref="A2:B2"/>
    </sheetView>
  </sheetViews>
  <sheetFormatPr defaultRowHeight="13.8" x14ac:dyDescent="0.3"/>
  <cols>
    <col min="1" max="1" width="39.77734375" style="6" customWidth="1" collapsed="1"/>
    <col min="2" max="3" width="25.77734375" style="6" customWidth="1" collapsed="1"/>
    <col min="4" max="8" width="15.77734375" style="6" customWidth="1" collapsed="1"/>
    <col min="9" max="9" width="26.6640625" style="6" customWidth="1" collapsed="1"/>
    <col min="10" max="16384" width="8.88671875" style="6" collapsed="1"/>
  </cols>
  <sheetData>
    <row r="1" spans="1:9" x14ac:dyDescent="0.3">
      <c r="A1" s="6" t="s">
        <v>132</v>
      </c>
      <c r="B1" s="6" t="s">
        <v>134</v>
      </c>
      <c r="C1" s="6" t="s">
        <v>135</v>
      </c>
      <c r="D1" s="6" t="s">
        <v>136</v>
      </c>
      <c r="E1" s="6" t="s">
        <v>141</v>
      </c>
      <c r="F1" s="6" t="s">
        <v>142</v>
      </c>
      <c r="G1" s="6" t="s">
        <v>146</v>
      </c>
      <c r="H1" s="6" t="s">
        <v>147</v>
      </c>
      <c r="I1" s="6" t="s">
        <v>148</v>
      </c>
    </row>
    <row r="2" spans="1:9" x14ac:dyDescent="0.3">
      <c r="A2" s="2" t="s">
        <v>213</v>
      </c>
      <c r="B2" s="2" t="s">
        <v>213</v>
      </c>
      <c r="C2" s="36" t="e">
        <f>#REF!</f>
        <v>#REF!</v>
      </c>
      <c r="D2" s="6" t="s">
        <v>151</v>
      </c>
      <c r="E2" s="2" t="s">
        <v>21</v>
      </c>
      <c r="F2" s="33">
        <v>1</v>
      </c>
      <c r="G2" s="6" t="s">
        <v>152</v>
      </c>
      <c r="H2" s="37">
        <v>100</v>
      </c>
      <c r="I2" s="41" t="s">
        <v>214</v>
      </c>
    </row>
    <row r="3" spans="1:9" x14ac:dyDescent="0.3">
      <c r="A3" s="2" t="s">
        <v>215</v>
      </c>
      <c r="B3" s="2" t="s">
        <v>215</v>
      </c>
      <c r="C3" s="36" t="e">
        <f>#REF!</f>
        <v>#REF!</v>
      </c>
      <c r="D3" s="6" t="s">
        <v>151</v>
      </c>
      <c r="E3" s="2" t="s">
        <v>21</v>
      </c>
      <c r="F3" s="33">
        <v>1</v>
      </c>
      <c r="G3" s="6" t="s">
        <v>152</v>
      </c>
      <c r="H3" s="37">
        <v>100</v>
      </c>
      <c r="I3" s="41" t="s">
        <v>214</v>
      </c>
    </row>
    <row r="4" spans="1:9" x14ac:dyDescent="0.3">
      <c r="A4" s="2" t="s">
        <v>216</v>
      </c>
      <c r="B4" s="2" t="s">
        <v>216</v>
      </c>
      <c r="C4" s="36" t="e">
        <f>#REF!</f>
        <v>#REF!</v>
      </c>
      <c r="D4" s="6" t="s">
        <v>164</v>
      </c>
      <c r="E4" s="2" t="s">
        <v>21</v>
      </c>
      <c r="F4" s="33">
        <v>1</v>
      </c>
      <c r="G4" s="6" t="s">
        <v>152</v>
      </c>
      <c r="H4" s="37">
        <v>100</v>
      </c>
      <c r="I4" s="41" t="s">
        <v>214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810C5-795E-4D0D-BD5C-AB01E92228B8}">
  <dimension ref="A1:W6"/>
  <sheetViews>
    <sheetView topLeftCell="K1" zoomScale="90" zoomScaleNormal="90" workbookViewId="0">
      <selection activeCell="A2" sqref="A2:B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110</v>
      </c>
      <c r="D1" t="s">
        <v>197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146</v>
      </c>
      <c r="O1" t="s">
        <v>179</v>
      </c>
      <c r="P1" t="s">
        <v>180</v>
      </c>
      <c r="Q1" t="s">
        <v>41</v>
      </c>
      <c r="R1" t="s">
        <v>183</v>
      </c>
      <c r="S1" t="s">
        <v>198</v>
      </c>
      <c r="T1" t="s">
        <v>199</v>
      </c>
      <c r="U1" t="s">
        <v>200</v>
      </c>
      <c r="V1" s="42" t="s">
        <v>118</v>
      </c>
      <c r="W1" t="s">
        <v>217</v>
      </c>
    </row>
    <row r="2" spans="1:23" x14ac:dyDescent="0.3">
      <c r="A2">
        <v>1</v>
      </c>
      <c r="B2" t="s">
        <v>218</v>
      </c>
      <c r="C2" t="e">
        <f>#REF!</f>
        <v>#REF!</v>
      </c>
      <c r="D2" t="s">
        <v>72</v>
      </c>
      <c r="E2" t="e">
        <f>#REF!</f>
        <v>#REF!</v>
      </c>
      <c r="F2" t="e">
        <f>"CD-"&amp;E2</f>
        <v>#REF!</v>
      </c>
      <c r="G2" t="e">
        <f>"Payment-"&amp;E2</f>
        <v>#REF!</v>
      </c>
      <c r="H2" t="str">
        <f>I2</f>
        <v>By Invoice Date</v>
      </c>
      <c r="I2" t="s">
        <v>188</v>
      </c>
      <c r="J2">
        <v>0</v>
      </c>
      <c r="K2">
        <v>30</v>
      </c>
      <c r="L2">
        <v>0</v>
      </c>
      <c r="M2" t="e">
        <f>G2&amp;"(" &amp;H2&amp;")"</f>
        <v>#REF!</v>
      </c>
      <c r="N2" t="s">
        <v>152</v>
      </c>
      <c r="O2" t="s">
        <v>219</v>
      </c>
      <c r="P2" t="s">
        <v>68</v>
      </c>
      <c r="Q2" t="e">
        <f>#REF!&amp;"(" &amp;#REF! &amp; ")"</f>
        <v>#REF!</v>
      </c>
      <c r="R2" t="s">
        <v>203</v>
      </c>
      <c r="S2" t="s">
        <v>131</v>
      </c>
      <c r="T2" t="s">
        <v>130</v>
      </c>
      <c r="U2" t="s">
        <v>203</v>
      </c>
      <c r="V2" t="str">
        <f>'TC2-BU1 to Customer Contract'!X2</f>
        <v>CR-PK-CUS-POC-2310035</v>
      </c>
      <c r="W2" t="e">
        <f>"SP1toBU3-"&amp;E2</f>
        <v>#REF!</v>
      </c>
    </row>
    <row r="5" spans="1:23" x14ac:dyDescent="0.3">
      <c r="W5" s="43"/>
    </row>
    <row r="6" spans="1:23" x14ac:dyDescent="0.3">
      <c r="W6" s="4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5B4D-EAD5-4212-8E4B-D806DB8264D2}">
  <dimension ref="A1:G4"/>
  <sheetViews>
    <sheetView zoomScale="90" zoomScaleNormal="90" workbookViewId="0">
      <selection activeCell="A2" sqref="A2:B2"/>
    </sheetView>
  </sheetViews>
  <sheetFormatPr defaultRowHeight="13.8" x14ac:dyDescent="0.3"/>
  <cols>
    <col min="1" max="1" width="35.5546875" style="6" customWidth="1" collapsed="1"/>
    <col min="2" max="3" width="25.77734375" style="6" customWidth="1" collapsed="1"/>
    <col min="4" max="7" width="15.77734375" style="6" customWidth="1" collapsed="1"/>
    <col min="8" max="16384" width="8.88671875" style="6" collapsed="1"/>
  </cols>
  <sheetData>
    <row r="1" spans="1:7" x14ac:dyDescent="0.3">
      <c r="A1" s="6" t="s">
        <v>132</v>
      </c>
      <c r="B1" s="6" t="s">
        <v>134</v>
      </c>
      <c r="C1" s="6" t="s">
        <v>135</v>
      </c>
      <c r="D1" s="6" t="s">
        <v>141</v>
      </c>
      <c r="E1" s="6" t="s">
        <v>142</v>
      </c>
      <c r="F1" s="6" t="s">
        <v>146</v>
      </c>
      <c r="G1" s="6" t="s">
        <v>147</v>
      </c>
    </row>
    <row r="2" spans="1:7" x14ac:dyDescent="0.3">
      <c r="A2" s="2" t="s">
        <v>220</v>
      </c>
      <c r="B2" s="2" t="s">
        <v>220</v>
      </c>
      <c r="C2" s="36" t="e">
        <f>#REF!</f>
        <v>#REF!</v>
      </c>
      <c r="D2" s="2" t="s">
        <v>21</v>
      </c>
      <c r="E2" s="33">
        <v>1</v>
      </c>
      <c r="F2" s="2" t="s">
        <v>221</v>
      </c>
      <c r="G2" s="37">
        <v>2</v>
      </c>
    </row>
    <row r="3" spans="1:7" x14ac:dyDescent="0.3">
      <c r="A3" s="2" t="s">
        <v>222</v>
      </c>
      <c r="B3" s="2" t="s">
        <v>222</v>
      </c>
      <c r="C3" s="36" t="e">
        <f>#REF!</f>
        <v>#REF!</v>
      </c>
      <c r="D3" s="2" t="s">
        <v>21</v>
      </c>
      <c r="E3" s="33">
        <v>1</v>
      </c>
      <c r="F3" s="2" t="s">
        <v>221</v>
      </c>
      <c r="G3" s="37">
        <v>2</v>
      </c>
    </row>
    <row r="4" spans="1:7" x14ac:dyDescent="0.3">
      <c r="A4" s="2" t="s">
        <v>223</v>
      </c>
      <c r="B4" s="2" t="s">
        <v>223</v>
      </c>
      <c r="C4" s="36" t="e">
        <f>#REF!</f>
        <v>#REF!</v>
      </c>
      <c r="D4" s="2" t="s">
        <v>21</v>
      </c>
      <c r="E4" s="33">
        <v>1</v>
      </c>
      <c r="F4" s="2" t="s">
        <v>221</v>
      </c>
      <c r="G4" s="37">
        <v>2</v>
      </c>
    </row>
  </sheetData>
  <dataValidations count="1">
    <dataValidation type="list" allowBlank="1" showErrorMessage="1" sqref="F2:F4" xr:uid="{9E4DAF84-B94E-44ED-A83F-86991BBA5F5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795A-2F40-4B99-BAFC-7CAF3ABFA53C}">
  <dimension ref="A1:V2"/>
  <sheetViews>
    <sheetView zoomScale="90" zoomScaleNormal="90" workbookViewId="0">
      <selection activeCell="A2" sqref="A2:B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x14ac:dyDescent="0.3">
      <c r="A1" t="s">
        <v>0</v>
      </c>
      <c r="B1" t="s">
        <v>31</v>
      </c>
      <c r="C1" t="s">
        <v>110</v>
      </c>
      <c r="D1" t="s">
        <v>197</v>
      </c>
      <c r="E1" t="s">
        <v>208</v>
      </c>
      <c r="F1" t="s">
        <v>209</v>
      </c>
      <c r="G1" t="s">
        <v>210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  <c r="Q1" t="s">
        <v>146</v>
      </c>
      <c r="R1" t="s">
        <v>224</v>
      </c>
      <c r="S1" t="s">
        <v>211</v>
      </c>
      <c r="T1" t="s">
        <v>41</v>
      </c>
      <c r="U1" t="s">
        <v>183</v>
      </c>
      <c r="V1" s="42" t="s">
        <v>118</v>
      </c>
    </row>
    <row r="2" spans="1:22" x14ac:dyDescent="0.3">
      <c r="A2">
        <v>1</v>
      </c>
      <c r="B2" t="s">
        <v>212</v>
      </c>
      <c r="C2" t="e">
        <f>#REF!</f>
        <v>#REF!</v>
      </c>
      <c r="D2" t="s">
        <v>68</v>
      </c>
      <c r="E2">
        <v>1</v>
      </c>
      <c r="F2">
        <v>1</v>
      </c>
      <c r="G2">
        <v>1</v>
      </c>
      <c r="H2" t="e">
        <f>#REF!</f>
        <v>#REF!</v>
      </c>
      <c r="I2" t="e">
        <f>"CD-"&amp;H2</f>
        <v>#REF!</v>
      </c>
      <c r="J2" t="e">
        <f>"Payment-"&amp;H2</f>
        <v>#REF!</v>
      </c>
      <c r="K2" t="str">
        <f>L2</f>
        <v>By Free</v>
      </c>
      <c r="L2" t="s">
        <v>225</v>
      </c>
      <c r="M2">
        <v>0</v>
      </c>
      <c r="N2">
        <v>30</v>
      </c>
      <c r="O2">
        <v>0</v>
      </c>
      <c r="P2" t="e">
        <f>J2&amp;"(" &amp;K2&amp;")"</f>
        <v>#REF!</v>
      </c>
      <c r="Q2" t="s">
        <v>221</v>
      </c>
      <c r="R2" t="s">
        <v>189</v>
      </c>
      <c r="S2" t="s">
        <v>68</v>
      </c>
      <c r="T2" t="e">
        <f>#REF!&amp;"(" &amp;#REF! &amp; ")"</f>
        <v>#REF!</v>
      </c>
      <c r="U2" t="s">
        <v>190</v>
      </c>
      <c r="V2" t="str">
        <f>'TC2-BU1 to Customer Contract'!X2</f>
        <v>CR-PK-CUS-POC-2310035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dimension ref="A1:Q7"/>
  <sheetViews>
    <sheetView zoomScale="90" zoomScaleNormal="90" workbookViewId="0">
      <selection activeCell="K5" sqref="K5"/>
    </sheetView>
  </sheetViews>
  <sheetFormatPr defaultColWidth="8.88671875" defaultRowHeight="13.8" x14ac:dyDescent="0.3"/>
  <cols>
    <col min="1" max="1" width="5.77734375" style="1" customWidth="1" collapsed="1"/>
    <col min="2" max="3" width="30.77734375" style="5" customWidth="1" collapsed="1"/>
    <col min="4" max="4" width="57.33203125" style="5" customWidth="1" collapsed="1"/>
    <col min="5" max="5" width="51.109375" style="5" customWidth="1" collapsed="1"/>
    <col min="6" max="9" width="15.77734375" style="5" customWidth="1" collapsed="1"/>
    <col min="10" max="10" width="30.77734375" style="5" customWidth="1" collapsed="1"/>
    <col min="11" max="17" width="15.77734375" style="5" customWidth="1" collapsed="1"/>
    <col min="18" max="16384" width="8.88671875" style="5" collapsed="1"/>
  </cols>
  <sheetData>
    <row r="1" spans="1:17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s="2" customFormat="1" ht="16.8" customHeight="1" x14ac:dyDescent="0.3">
      <c r="A2" s="1">
        <v>1</v>
      </c>
      <c r="B2" s="13" t="str">
        <f>"PK-CUS-"&amp;AutoIncrement!$A$2&amp;"-20230615-001"</f>
        <v>PK-CUS-S2-20230615-001</v>
      </c>
      <c r="C2" s="3"/>
      <c r="D2" s="4" t="str">
        <f>$B2</f>
        <v>PK-CUS-S2-20230615-001</v>
      </c>
      <c r="E2" s="4" t="str">
        <f>$B2</f>
        <v>PK-CUS-S2-20230615-001</v>
      </c>
      <c r="F2" s="8" t="s">
        <v>19</v>
      </c>
      <c r="G2" s="9" t="s">
        <v>20</v>
      </c>
      <c r="H2" s="8" t="s">
        <v>29</v>
      </c>
      <c r="I2" s="8" t="s">
        <v>17</v>
      </c>
      <c r="J2" s="4" t="str">
        <f>B3</f>
        <v>PK-CUS-S2-20230615-002</v>
      </c>
      <c r="K2" s="8" t="s">
        <v>40</v>
      </c>
      <c r="L2" s="10">
        <v>10</v>
      </c>
      <c r="M2" s="10">
        <v>10</v>
      </c>
      <c r="N2" s="11">
        <v>1</v>
      </c>
      <c r="O2" s="12">
        <v>10</v>
      </c>
      <c r="P2" s="12">
        <v>10</v>
      </c>
    </row>
    <row r="3" spans="1:17" s="2" customFormat="1" x14ac:dyDescent="0.3">
      <c r="A3" s="1">
        <v>2</v>
      </c>
      <c r="B3" s="13" t="str">
        <f>"PK-CUS-"&amp;AutoIncrement!$A$2&amp;"-20230615-002"</f>
        <v>PK-CUS-S2-20230615-002</v>
      </c>
      <c r="C3" s="3"/>
      <c r="D3" s="4" t="str">
        <f t="shared" ref="D3:E7" si="0">$B3</f>
        <v>PK-CUS-S2-20230615-002</v>
      </c>
      <c r="E3" s="4" t="str">
        <f t="shared" si="0"/>
        <v>PK-CUS-S2-20230615-002</v>
      </c>
      <c r="F3" s="8" t="s">
        <v>36</v>
      </c>
      <c r="G3" s="9" t="s">
        <v>37</v>
      </c>
      <c r="H3" s="8" t="s">
        <v>29</v>
      </c>
      <c r="I3" s="8" t="s">
        <v>17</v>
      </c>
      <c r="J3" s="4" t="str">
        <f>B2</f>
        <v>PK-CUS-S2-20230615-001</v>
      </c>
      <c r="K3" s="8" t="s">
        <v>40</v>
      </c>
      <c r="L3" s="10">
        <v>10</v>
      </c>
      <c r="M3" s="10">
        <v>10</v>
      </c>
      <c r="N3" s="11">
        <v>1</v>
      </c>
      <c r="O3" s="12">
        <v>10</v>
      </c>
      <c r="P3" s="12">
        <v>10</v>
      </c>
    </row>
    <row r="4" spans="1:17" s="2" customFormat="1" x14ac:dyDescent="0.3">
      <c r="A4" s="1">
        <v>3</v>
      </c>
      <c r="B4" s="13" t="str">
        <f>"PK-CUS-"&amp;AutoIncrement!$A$2&amp;"-20230615-003"</f>
        <v>PK-CUS-S2-20230615-003</v>
      </c>
      <c r="C4" s="3"/>
      <c r="D4" s="4" t="str">
        <f t="shared" si="0"/>
        <v>PK-CUS-S2-20230615-003</v>
      </c>
      <c r="E4" s="4" t="str">
        <f t="shared" si="0"/>
        <v>PK-CUS-S2-20230615-003</v>
      </c>
      <c r="F4" s="8" t="s">
        <v>23</v>
      </c>
      <c r="G4" s="9" t="s">
        <v>24</v>
      </c>
      <c r="H4" s="8" t="s">
        <v>21</v>
      </c>
      <c r="I4" s="8" t="s">
        <v>17</v>
      </c>
      <c r="J4" s="4" t="str">
        <f>B5</f>
        <v>PK-CUS-S2-20230615-004</v>
      </c>
      <c r="K4" s="8" t="s">
        <v>18</v>
      </c>
      <c r="L4" s="10">
        <v>10</v>
      </c>
      <c r="M4" s="10">
        <v>5</v>
      </c>
      <c r="N4" s="11">
        <v>1.0009999999999999</v>
      </c>
      <c r="O4" s="12">
        <v>10</v>
      </c>
      <c r="P4" s="12">
        <v>10</v>
      </c>
    </row>
    <row r="5" spans="1:17" s="2" customFormat="1" x14ac:dyDescent="0.3">
      <c r="A5" s="1">
        <v>4</v>
      </c>
      <c r="B5" s="13" t="str">
        <f>"PK-CUS-"&amp;AutoIncrement!$A$2&amp;"-20230615-004"</f>
        <v>PK-CUS-S2-20230615-004</v>
      </c>
      <c r="C5" s="3"/>
      <c r="D5" s="4" t="str">
        <f t="shared" si="0"/>
        <v>PK-CUS-S2-20230615-004</v>
      </c>
      <c r="E5" s="4" t="str">
        <f t="shared" si="0"/>
        <v>PK-CUS-S2-20230615-004</v>
      </c>
      <c r="F5" s="8" t="s">
        <v>25</v>
      </c>
      <c r="G5" s="9" t="s">
        <v>26</v>
      </c>
      <c r="H5" s="8" t="s">
        <v>21</v>
      </c>
      <c r="I5" s="8" t="s">
        <v>17</v>
      </c>
      <c r="J5" s="3" t="str">
        <f>B4</f>
        <v>PK-CUS-S2-20230615-003</v>
      </c>
      <c r="K5" s="8" t="s">
        <v>18</v>
      </c>
      <c r="L5" s="10">
        <v>10</v>
      </c>
      <c r="M5" s="10">
        <v>5</v>
      </c>
      <c r="N5" s="11">
        <v>1.0009999999999999</v>
      </c>
      <c r="O5" s="12">
        <v>10</v>
      </c>
      <c r="P5" s="12">
        <v>10</v>
      </c>
    </row>
    <row r="6" spans="1:17" s="2" customFormat="1" x14ac:dyDescent="0.3">
      <c r="A6" s="1">
        <v>5</v>
      </c>
      <c r="B6" s="13" t="str">
        <f>"PK-CUS-"&amp;AutoIncrement!$A$2&amp;"-20230615-005"</f>
        <v>PK-CUS-S2-20230615-005</v>
      </c>
      <c r="C6" s="3"/>
      <c r="D6" s="4" t="str">
        <f t="shared" si="0"/>
        <v>PK-CUS-S2-20230615-005</v>
      </c>
      <c r="E6" s="4" t="str">
        <f t="shared" si="0"/>
        <v>PK-CUS-S2-20230615-005</v>
      </c>
      <c r="F6" s="8" t="s">
        <v>27</v>
      </c>
      <c r="G6" s="9" t="s">
        <v>28</v>
      </c>
      <c r="H6" s="8" t="s">
        <v>21</v>
      </c>
      <c r="I6" s="8" t="s">
        <v>22</v>
      </c>
      <c r="J6" s="4"/>
      <c r="K6" s="4"/>
      <c r="L6" s="10">
        <v>10</v>
      </c>
      <c r="M6" s="10">
        <v>5</v>
      </c>
      <c r="N6" s="11">
        <v>1.0009999999999999</v>
      </c>
      <c r="O6" s="12">
        <v>10</v>
      </c>
      <c r="P6" s="12">
        <v>10</v>
      </c>
    </row>
    <row r="7" spans="1:17" s="2" customFormat="1" x14ac:dyDescent="0.3">
      <c r="A7" s="1">
        <v>6</v>
      </c>
      <c r="B7" s="13" t="str">
        <f>"PK-CUS-"&amp;AutoIncrement!$A$2&amp;"-20230615-006"</f>
        <v>PK-CUS-S2-20230615-006</v>
      </c>
      <c r="C7" s="3"/>
      <c r="D7" s="4" t="str">
        <f t="shared" si="0"/>
        <v>PK-CUS-S2-20230615-006</v>
      </c>
      <c r="E7" s="4" t="str">
        <f t="shared" si="0"/>
        <v>PK-CUS-S2-20230615-006</v>
      </c>
      <c r="F7" s="8" t="s">
        <v>38</v>
      </c>
      <c r="G7" s="9" t="s">
        <v>39</v>
      </c>
      <c r="H7" s="8" t="s">
        <v>21</v>
      </c>
      <c r="I7" s="8" t="s">
        <v>22</v>
      </c>
      <c r="J7" s="4"/>
      <c r="K7" s="4"/>
      <c r="L7" s="10">
        <v>10</v>
      </c>
      <c r="M7" s="10">
        <v>5</v>
      </c>
      <c r="N7" s="11">
        <v>1.0009999999999999</v>
      </c>
      <c r="O7" s="12">
        <v>10</v>
      </c>
      <c r="P7" s="12">
        <v>10</v>
      </c>
    </row>
  </sheetData>
  <dataValidations count="3">
    <dataValidation type="list" allowBlank="1" showErrorMessage="1" sqref="H2:H7" xr:uid="{CDFAE042-CB78-4948-A53E-DB1D20A888E0}">
      <formula1>UOM_CODE</formula1>
    </dataValidation>
    <dataValidation type="list" allowBlank="1" showErrorMessage="1" sqref="K2:K7" xr:uid="{2D723666-0761-45D7-93E4-7D25D3B71390}">
      <formula1>PAIRED_ORDER_FLAG</formula1>
    </dataValidation>
    <dataValidation type="list" allowBlank="1" showErrorMessage="1" sqref="I2:I7" xr:uid="{73E17695-6C24-4AB5-A727-B05C7864BF96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E571-BD8F-4F33-9048-CC8CEA926B82}">
  <dimension ref="A1:F2"/>
  <sheetViews>
    <sheetView workbookViewId="0">
      <selection activeCell="C14" sqref="C14"/>
    </sheetView>
  </sheetViews>
  <sheetFormatPr defaultRowHeight="14.4" x14ac:dyDescent="0.3"/>
  <cols>
    <col min="1" max="1" width="34" customWidth="1" collapsed="1"/>
    <col min="2" max="2" width="28.6640625" customWidth="1" collapsed="1"/>
    <col min="3" max="3" width="43.21875" customWidth="1" collapsed="1"/>
    <col min="4" max="4" width="31" customWidth="1" collapsed="1"/>
    <col min="5" max="5" width="30.5546875" customWidth="1" collapsed="1"/>
    <col min="6" max="6" width="38" customWidth="1" collapsed="1"/>
  </cols>
  <sheetData>
    <row r="1" spans="1:6" x14ac:dyDescent="0.3">
      <c r="A1" s="18" t="s">
        <v>88</v>
      </c>
      <c r="B1" s="18" t="s">
        <v>89</v>
      </c>
      <c r="C1" s="18" t="s">
        <v>90</v>
      </c>
      <c r="D1" s="18" t="s">
        <v>91</v>
      </c>
      <c r="E1" s="18" t="s">
        <v>92</v>
      </c>
      <c r="F1" s="18" t="s">
        <v>93</v>
      </c>
    </row>
    <row r="2" spans="1:6" x14ac:dyDescent="0.3">
      <c r="A2" s="18" t="s">
        <v>94</v>
      </c>
      <c r="B2" s="18" t="s">
        <v>95</v>
      </c>
      <c r="C2" s="18" t="s">
        <v>111</v>
      </c>
      <c r="D2" s="18" t="s">
        <v>73</v>
      </c>
      <c r="E2" s="18" t="s">
        <v>96</v>
      </c>
      <c r="F2" s="18" t="s">
        <v>112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6C58-AB31-4213-9164-B222444A6F1F}">
  <dimension ref="A1:F3"/>
  <sheetViews>
    <sheetView workbookViewId="0">
      <selection activeCell="A2" sqref="A2:B2"/>
    </sheetView>
  </sheetViews>
  <sheetFormatPr defaultRowHeight="13.8" x14ac:dyDescent="0.3"/>
  <cols>
    <col min="1" max="6" width="20.77734375" style="6" customWidth="1" collapsed="1"/>
    <col min="7" max="16384" width="8.88671875" style="6" collapsed="1"/>
  </cols>
  <sheetData>
    <row r="1" spans="1:6" x14ac:dyDescent="0.3">
      <c r="A1" s="46" t="s">
        <v>88</v>
      </c>
      <c r="B1" s="46" t="s">
        <v>89</v>
      </c>
      <c r="C1" s="46" t="s">
        <v>90</v>
      </c>
      <c r="D1" s="46" t="s">
        <v>91</v>
      </c>
      <c r="E1" s="46" t="s">
        <v>92</v>
      </c>
      <c r="F1" s="46" t="s">
        <v>93</v>
      </c>
    </row>
    <row r="2" spans="1:6" x14ac:dyDescent="0.3">
      <c r="A2" s="46" t="s">
        <v>94</v>
      </c>
      <c r="B2" s="46" t="s">
        <v>95</v>
      </c>
      <c r="C2" s="46" t="e">
        <f>#REF!</f>
        <v>#REF!</v>
      </c>
      <c r="D2" s="46" t="s">
        <v>73</v>
      </c>
      <c r="E2" s="46" t="s">
        <v>96</v>
      </c>
      <c r="F2" s="46" t="e">
        <f>#REF!</f>
        <v>#REF!</v>
      </c>
    </row>
    <row r="3" spans="1:6" x14ac:dyDescent="0.3">
      <c r="A3" s="46" t="s">
        <v>94</v>
      </c>
      <c r="B3" s="46" t="s">
        <v>95</v>
      </c>
      <c r="C3" s="46" t="e">
        <f>#REF!</f>
        <v>#REF!</v>
      </c>
      <c r="D3" s="46" t="s">
        <v>73</v>
      </c>
      <c r="E3" s="6" t="s">
        <v>226</v>
      </c>
      <c r="F3" s="46" t="e">
        <f>#REF!</f>
        <v>#REF!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FA54-9F92-47E7-8AAC-F92E300648B5}">
  <dimension ref="A1:F5"/>
  <sheetViews>
    <sheetView workbookViewId="0">
      <selection activeCell="A2" sqref="A2:B2"/>
    </sheetView>
  </sheetViews>
  <sheetFormatPr defaultRowHeight="14.4" x14ac:dyDescent="0.3"/>
  <cols>
    <col min="1" max="6" width="20.77734375" style="6" customWidth="1" collapsed="1"/>
  </cols>
  <sheetData>
    <row r="1" spans="1:6" x14ac:dyDescent="0.3">
      <c r="A1" s="46" t="s">
        <v>88</v>
      </c>
      <c r="B1" s="46" t="s">
        <v>89</v>
      </c>
      <c r="C1" s="46" t="s">
        <v>90</v>
      </c>
      <c r="D1" s="46" t="s">
        <v>91</v>
      </c>
      <c r="E1" s="46" t="s">
        <v>92</v>
      </c>
      <c r="F1" s="46" t="s">
        <v>93</v>
      </c>
    </row>
    <row r="2" spans="1:6" x14ac:dyDescent="0.3">
      <c r="A2" s="46" t="s">
        <v>106</v>
      </c>
      <c r="B2" s="46" t="s">
        <v>227</v>
      </c>
      <c r="C2" s="46" t="e">
        <f>#REF!</f>
        <v>#REF!</v>
      </c>
      <c r="D2" s="46" t="s">
        <v>73</v>
      </c>
      <c r="E2" s="46" t="s">
        <v>96</v>
      </c>
      <c r="F2" s="46" t="e">
        <f>#REF!</f>
        <v>#REF!</v>
      </c>
    </row>
    <row r="3" spans="1:6" x14ac:dyDescent="0.3">
      <c r="A3" s="46" t="s">
        <v>106</v>
      </c>
      <c r="B3" s="46" t="s">
        <v>227</v>
      </c>
      <c r="C3" s="46" t="e">
        <f>#REF!</f>
        <v>#REF!</v>
      </c>
      <c r="D3" s="46" t="s">
        <v>73</v>
      </c>
      <c r="E3" s="6" t="s">
        <v>226</v>
      </c>
      <c r="F3" s="46" t="e">
        <f>#REF!</f>
        <v>#REF!</v>
      </c>
    </row>
    <row r="4" spans="1:6" x14ac:dyDescent="0.3">
      <c r="A4" s="46" t="s">
        <v>106</v>
      </c>
      <c r="B4" s="46" t="s">
        <v>227</v>
      </c>
      <c r="C4" s="46" t="e">
        <f>#REF!</f>
        <v>#REF!</v>
      </c>
      <c r="D4" s="46" t="s">
        <v>73</v>
      </c>
      <c r="E4" s="46" t="s">
        <v>228</v>
      </c>
      <c r="F4" s="6" t="e">
        <f>#REF!</f>
        <v>#REF!</v>
      </c>
    </row>
    <row r="5" spans="1:6" x14ac:dyDescent="0.3">
      <c r="A5" s="46" t="s">
        <v>106</v>
      </c>
      <c r="B5" s="46" t="s">
        <v>227</v>
      </c>
      <c r="C5" s="46" t="e">
        <f>#REF!</f>
        <v>#REF!</v>
      </c>
      <c r="D5" s="46" t="s">
        <v>73</v>
      </c>
      <c r="E5" s="6" t="s">
        <v>229</v>
      </c>
      <c r="F5" s="6" t="e">
        <f>#REF!</f>
        <v>#REF!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BC58A-9786-43C4-9D5E-B72C726F1FF6}">
  <dimension ref="A1:F2"/>
  <sheetViews>
    <sheetView workbookViewId="0">
      <selection activeCell="A2" sqref="A2:B2"/>
    </sheetView>
  </sheetViews>
  <sheetFormatPr defaultRowHeight="14.4" x14ac:dyDescent="0.3"/>
  <cols>
    <col min="1" max="6" width="20.77734375" style="6" customWidth="1" collapsed="1"/>
  </cols>
  <sheetData>
    <row r="1" spans="1:6" x14ac:dyDescent="0.3">
      <c r="A1" s="46" t="s">
        <v>88</v>
      </c>
      <c r="B1" s="46" t="s">
        <v>89</v>
      </c>
      <c r="C1" s="46" t="s">
        <v>90</v>
      </c>
      <c r="D1" s="46" t="s">
        <v>91</v>
      </c>
      <c r="E1" s="46" t="s">
        <v>92</v>
      </c>
      <c r="F1" s="46" t="s">
        <v>93</v>
      </c>
    </row>
    <row r="2" spans="1:6" x14ac:dyDescent="0.3">
      <c r="A2" s="46" t="s">
        <v>83</v>
      </c>
      <c r="B2" s="46" t="s">
        <v>230</v>
      </c>
      <c r="C2" s="46" t="e">
        <f>#REF!</f>
        <v>#REF!</v>
      </c>
      <c r="D2" s="46" t="s">
        <v>73</v>
      </c>
      <c r="E2" s="46" t="s">
        <v>96</v>
      </c>
      <c r="F2" s="46" t="e">
        <f>#REF!</f>
        <v>#REF!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A53F-4759-423E-B39C-79E45987D9FB}">
  <dimension ref="A1:F4"/>
  <sheetViews>
    <sheetView workbookViewId="0">
      <selection activeCell="A2" sqref="A2:B2"/>
    </sheetView>
  </sheetViews>
  <sheetFormatPr defaultRowHeight="14.4" x14ac:dyDescent="0.3"/>
  <cols>
    <col min="1" max="6" width="20.77734375" style="6" customWidth="1" collapsed="1"/>
  </cols>
  <sheetData>
    <row r="1" spans="1:6" x14ac:dyDescent="0.3">
      <c r="A1" s="46" t="s">
        <v>88</v>
      </c>
      <c r="B1" s="46" t="s">
        <v>89</v>
      </c>
      <c r="C1" s="46" t="s">
        <v>90</v>
      </c>
      <c r="D1" s="46" t="s">
        <v>91</v>
      </c>
      <c r="E1" s="46" t="s">
        <v>92</v>
      </c>
      <c r="F1" s="46" t="s">
        <v>93</v>
      </c>
    </row>
    <row r="2" spans="1:6" x14ac:dyDescent="0.3">
      <c r="A2" s="46" t="s">
        <v>131</v>
      </c>
      <c r="B2" s="46" t="s">
        <v>231</v>
      </c>
      <c r="C2" s="46" t="e">
        <f>#REF!</f>
        <v>#REF!</v>
      </c>
      <c r="D2" s="46" t="s">
        <v>73</v>
      </c>
      <c r="E2" s="46" t="s">
        <v>96</v>
      </c>
      <c r="F2" s="46" t="e">
        <f>#REF!</f>
        <v>#REF!</v>
      </c>
    </row>
    <row r="3" spans="1:6" x14ac:dyDescent="0.3">
      <c r="A3" s="46" t="s">
        <v>131</v>
      </c>
      <c r="B3" s="46" t="s">
        <v>231</v>
      </c>
      <c r="C3" s="46" t="e">
        <f>#REF!</f>
        <v>#REF!</v>
      </c>
      <c r="D3" s="46" t="s">
        <v>73</v>
      </c>
      <c r="E3" s="6" t="s">
        <v>226</v>
      </c>
      <c r="F3" s="46" t="e">
        <f>#REF!</f>
        <v>#REF!</v>
      </c>
    </row>
    <row r="4" spans="1:6" x14ac:dyDescent="0.3">
      <c r="A4" s="46" t="s">
        <v>131</v>
      </c>
      <c r="B4" s="46" t="s">
        <v>231</v>
      </c>
      <c r="C4" s="46" t="e">
        <f>#REF!</f>
        <v>#REF!</v>
      </c>
      <c r="D4" s="46" t="s">
        <v>73</v>
      </c>
      <c r="E4" s="46" t="s">
        <v>228</v>
      </c>
      <c r="F4" s="6" t="e">
        <f>#REF!</f>
        <v>#REF!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F092-C15C-4634-890D-5EA7252C787A}">
  <dimension ref="A1:F6"/>
  <sheetViews>
    <sheetView workbookViewId="0">
      <selection activeCell="A2" sqref="A2:B2"/>
    </sheetView>
  </sheetViews>
  <sheetFormatPr defaultRowHeight="14.4" x14ac:dyDescent="0.3"/>
  <cols>
    <col min="1" max="6" width="20.77734375" style="6" customWidth="1" collapsed="1"/>
  </cols>
  <sheetData>
    <row r="1" spans="1:6" x14ac:dyDescent="0.3">
      <c r="A1" s="46" t="s">
        <v>88</v>
      </c>
      <c r="B1" s="46" t="s">
        <v>89</v>
      </c>
      <c r="C1" s="46" t="s">
        <v>90</v>
      </c>
      <c r="D1" s="46" t="s">
        <v>91</v>
      </c>
      <c r="E1" s="46" t="s">
        <v>92</v>
      </c>
      <c r="F1" s="46" t="s">
        <v>93</v>
      </c>
    </row>
    <row r="2" spans="1:6" x14ac:dyDescent="0.3">
      <c r="A2" s="46" t="s">
        <v>130</v>
      </c>
      <c r="B2" s="46" t="s">
        <v>130</v>
      </c>
      <c r="C2" s="46" t="e">
        <f>#REF!</f>
        <v>#REF!</v>
      </c>
      <c r="D2" s="46" t="s">
        <v>73</v>
      </c>
      <c r="E2" s="46" t="s">
        <v>96</v>
      </c>
      <c r="F2" s="46" t="e">
        <f>#REF!</f>
        <v>#REF!</v>
      </c>
    </row>
    <row r="3" spans="1:6" x14ac:dyDescent="0.3">
      <c r="A3" s="46" t="s">
        <v>130</v>
      </c>
      <c r="B3" s="46" t="s">
        <v>130</v>
      </c>
      <c r="C3" s="46" t="e">
        <f>#REF!</f>
        <v>#REF!</v>
      </c>
      <c r="D3" s="46" t="s">
        <v>73</v>
      </c>
      <c r="E3" s="46" t="s">
        <v>228</v>
      </c>
      <c r="F3" s="46" t="e">
        <f>#REF!</f>
        <v>#REF!</v>
      </c>
    </row>
    <row r="4" spans="1:6" x14ac:dyDescent="0.3">
      <c r="A4" s="46" t="s">
        <v>130</v>
      </c>
      <c r="B4" s="46" t="s">
        <v>130</v>
      </c>
      <c r="C4" s="46" t="e">
        <f>#REF!</f>
        <v>#REF!</v>
      </c>
      <c r="D4" s="46" t="s">
        <v>73</v>
      </c>
      <c r="E4" s="46" t="s">
        <v>228</v>
      </c>
      <c r="F4" s="6" t="e">
        <f>#REF!</f>
        <v>#REF!</v>
      </c>
    </row>
    <row r="5" spans="1:6" x14ac:dyDescent="0.3">
      <c r="A5" s="46" t="s">
        <v>130</v>
      </c>
      <c r="B5" s="46" t="s">
        <v>130</v>
      </c>
      <c r="C5" s="6" t="e">
        <f>#REF!</f>
        <v>#REF!</v>
      </c>
      <c r="D5" s="46" t="s">
        <v>73</v>
      </c>
      <c r="E5" s="6" t="s">
        <v>229</v>
      </c>
      <c r="F5" s="6" t="e">
        <f>#REF!</f>
        <v>#REF!</v>
      </c>
    </row>
    <row r="6" spans="1:6" x14ac:dyDescent="0.3">
      <c r="A6" s="46" t="s">
        <v>130</v>
      </c>
      <c r="B6" s="46" t="s">
        <v>130</v>
      </c>
      <c r="C6" s="6" t="e">
        <f>#REF!</f>
        <v>#REF!</v>
      </c>
      <c r="D6" s="46" t="s">
        <v>73</v>
      </c>
      <c r="E6" s="6" t="s">
        <v>229</v>
      </c>
      <c r="F6" s="6" t="e">
        <f>#REF!</f>
        <v>#REF!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EA6DA-F7EC-4E66-BAA1-9738ABDCDB00}">
  <dimension ref="A1:A2"/>
  <sheetViews>
    <sheetView workbookViewId="0">
      <selection activeCell="A2" sqref="A2:B2"/>
    </sheetView>
  </sheetViews>
  <sheetFormatPr defaultRowHeight="14.4" x14ac:dyDescent="0.3"/>
  <cols>
    <col min="1" max="1" width="20.88671875" customWidth="1" collapsed="1"/>
  </cols>
  <sheetData>
    <row r="1" spans="1:1" x14ac:dyDescent="0.3">
      <c r="A1" s="6" t="s">
        <v>236</v>
      </c>
    </row>
    <row r="2" spans="1:1" x14ac:dyDescent="0.3">
      <c r="A2" s="50" t="str">
        <f ca="1">TEXT(DATE(YEAR(TODAY()), MONTH(TODAY())+1, DAY(TODAY())+21), "dd MMM yyyy")</f>
        <v>16 Dec 2023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7EE1-7521-4F87-8FF8-18F83585AC56}">
  <dimension ref="A1:E7"/>
  <sheetViews>
    <sheetView workbookViewId="0">
      <selection activeCell="A2" sqref="A2:B2"/>
    </sheetView>
  </sheetViews>
  <sheetFormatPr defaultRowHeight="13.8" x14ac:dyDescent="0.3"/>
  <cols>
    <col min="1" max="1" width="22.88671875" style="47" customWidth="1" collapsed="1"/>
    <col min="2" max="5" width="20.77734375" style="47" customWidth="1" collapsed="1"/>
    <col min="6" max="6" width="9.44140625" style="47" customWidth="1" collapsed="1"/>
    <col min="7" max="16384" width="8.88671875" style="47" collapsed="1"/>
  </cols>
  <sheetData>
    <row r="1" spans="1:5" s="6" customFormat="1" x14ac:dyDescent="0.3">
      <c r="A1" s="6" t="s">
        <v>232</v>
      </c>
      <c r="B1" s="6" t="s">
        <v>233</v>
      </c>
      <c r="C1" s="6" t="s">
        <v>187</v>
      </c>
      <c r="D1" s="6" t="s">
        <v>234</v>
      </c>
      <c r="E1" s="6" t="s">
        <v>235</v>
      </c>
    </row>
    <row r="2" spans="1:5" x14ac:dyDescent="0.3">
      <c r="A2" s="47" t="str">
        <f>'TC2-BU1 to Customer Contract'!X2</f>
        <v>CR-PK-CUS-POC-2310035</v>
      </c>
      <c r="B2" s="48" t="s">
        <v>150</v>
      </c>
      <c r="C2" s="49">
        <v>1620</v>
      </c>
      <c r="D2" s="49">
        <v>1000</v>
      </c>
      <c r="E2" s="49">
        <v>1620</v>
      </c>
    </row>
    <row r="3" spans="1:5" x14ac:dyDescent="0.3">
      <c r="B3" s="48" t="s">
        <v>155</v>
      </c>
      <c r="C3" s="49">
        <v>1620</v>
      </c>
      <c r="D3" s="49">
        <v>1000</v>
      </c>
      <c r="E3" s="49">
        <v>1620</v>
      </c>
    </row>
    <row r="4" spans="1:5" x14ac:dyDescent="0.3">
      <c r="B4" s="48" t="s">
        <v>158</v>
      </c>
      <c r="C4" s="49">
        <v>620</v>
      </c>
      <c r="D4" s="49">
        <v>1000</v>
      </c>
      <c r="E4" s="49">
        <v>620</v>
      </c>
    </row>
    <row r="5" spans="1:5" x14ac:dyDescent="0.3">
      <c r="B5" s="48" t="s">
        <v>161</v>
      </c>
      <c r="C5" s="49">
        <v>620</v>
      </c>
      <c r="D5" s="49">
        <v>1000</v>
      </c>
      <c r="E5" s="49">
        <v>620</v>
      </c>
    </row>
    <row r="6" spans="1:5" x14ac:dyDescent="0.3">
      <c r="B6" s="48" t="s">
        <v>163</v>
      </c>
      <c r="C6" s="49">
        <v>620</v>
      </c>
      <c r="D6" s="49">
        <v>1000</v>
      </c>
      <c r="E6" s="49">
        <v>620</v>
      </c>
    </row>
    <row r="7" spans="1:5" x14ac:dyDescent="0.3">
      <c r="B7" s="48" t="s">
        <v>166</v>
      </c>
      <c r="C7" s="49">
        <v>620</v>
      </c>
      <c r="D7" s="49">
        <v>1000</v>
      </c>
      <c r="E7" s="49">
        <v>620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EFF-8890-4DF3-A7EE-ED8FDFAA0FB1}">
  <dimension ref="A1:B2"/>
  <sheetViews>
    <sheetView workbookViewId="0">
      <selection activeCell="A2" sqref="A2:B2"/>
    </sheetView>
  </sheetViews>
  <sheetFormatPr defaultRowHeight="14.4" x14ac:dyDescent="0.3"/>
  <cols>
    <col min="1" max="1" width="19.44140625" customWidth="1" collapsed="1"/>
    <col min="2" max="2" width="12.33203125" customWidth="1" collapsed="1"/>
  </cols>
  <sheetData>
    <row r="1" spans="1:2" x14ac:dyDescent="0.3">
      <c r="A1" t="s">
        <v>237</v>
      </c>
      <c r="B1" s="51" t="str">
        <f ca="1">TEXT(DATE(YEAR(TODAY()), MONTH(TODAY()), DAY(TODAY())), "yymm")</f>
        <v>2310</v>
      </c>
    </row>
    <row r="2" spans="1:2" x14ac:dyDescent="0.3">
      <c r="A2" t="e">
        <f ca="1">"c"&amp;#REF!&amp;"B1"&amp;#REF!&amp;"-"&amp;B1&amp;"001"</f>
        <v>#REF!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E0BFF-6EE0-48B6-922F-6760E3947767}">
  <dimension ref="A1:D7"/>
  <sheetViews>
    <sheetView workbookViewId="0">
      <selection activeCell="A2" sqref="A2:B2"/>
    </sheetView>
  </sheetViews>
  <sheetFormatPr defaultRowHeight="13.8" x14ac:dyDescent="0.3"/>
  <cols>
    <col min="1" max="4" width="20.77734375" style="47" customWidth="1" collapsed="1"/>
    <col min="5" max="16384" width="8.88671875" style="47" collapsed="1"/>
  </cols>
  <sheetData>
    <row r="1" spans="1:4" s="6" customFormat="1" x14ac:dyDescent="0.3">
      <c r="A1" s="6" t="s">
        <v>2</v>
      </c>
      <c r="B1" s="6" t="s">
        <v>187</v>
      </c>
      <c r="C1" s="6" t="s">
        <v>238</v>
      </c>
      <c r="D1" s="6" t="s">
        <v>239</v>
      </c>
    </row>
    <row r="2" spans="1:4" x14ac:dyDescent="0.3">
      <c r="A2" s="48" t="s">
        <v>150</v>
      </c>
      <c r="B2" s="52">
        <v>1620</v>
      </c>
      <c r="C2" s="52">
        <v>1620</v>
      </c>
      <c r="D2" s="52"/>
    </row>
    <row r="3" spans="1:4" x14ac:dyDescent="0.3">
      <c r="A3" s="48" t="s">
        <v>155</v>
      </c>
      <c r="B3" s="52">
        <v>1620</v>
      </c>
      <c r="C3" s="52">
        <v>1620</v>
      </c>
      <c r="D3" s="52"/>
    </row>
    <row r="4" spans="1:4" x14ac:dyDescent="0.3">
      <c r="A4" s="48" t="s">
        <v>158</v>
      </c>
      <c r="B4" s="52">
        <v>620</v>
      </c>
      <c r="C4" s="52">
        <v>620</v>
      </c>
      <c r="D4" s="52"/>
    </row>
    <row r="5" spans="1:4" x14ac:dyDescent="0.3">
      <c r="A5" s="48" t="s">
        <v>161</v>
      </c>
      <c r="B5" s="52">
        <v>620</v>
      </c>
      <c r="C5" s="52">
        <v>620</v>
      </c>
      <c r="D5" s="52"/>
    </row>
    <row r="6" spans="1:4" x14ac:dyDescent="0.3">
      <c r="A6" s="48" t="s">
        <v>163</v>
      </c>
      <c r="B6" s="52">
        <v>600</v>
      </c>
      <c r="C6" s="52">
        <v>600</v>
      </c>
      <c r="D6" s="52"/>
    </row>
    <row r="7" spans="1:4" x14ac:dyDescent="0.3">
      <c r="A7" s="48" t="s">
        <v>166</v>
      </c>
      <c r="B7" s="52">
        <v>820</v>
      </c>
      <c r="C7" s="52">
        <v>620</v>
      </c>
      <c r="D7" s="52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dimension ref="A1:A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1" width="20.77734375" style="6" customWidth="1" collapsed="1"/>
    <col min="2" max="16384" width="8.88671875" style="6" collapsed="1"/>
  </cols>
  <sheetData>
    <row r="1" spans="1:1" x14ac:dyDescent="0.3">
      <c r="A1" s="6" t="s">
        <v>30</v>
      </c>
    </row>
    <row r="2" spans="1:1" x14ac:dyDescent="0.3">
      <c r="A2" s="6" t="str">
        <f>AutoIncrement!B2&amp;"-"&amp;AutoIncrement!A2&amp;"-Request Parts S1"</f>
        <v>S2-S2-Request Parts S1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7857-3FC1-4BAF-A79C-BCD559E19D2C}">
  <dimension ref="A1:B2"/>
  <sheetViews>
    <sheetView workbookViewId="0">
      <selection activeCell="A2" sqref="A2:B2"/>
    </sheetView>
  </sheetViews>
  <sheetFormatPr defaultRowHeight="13.8" x14ac:dyDescent="0.3"/>
  <cols>
    <col min="1" max="2" width="20.77734375" style="6" customWidth="1" collapsed="1"/>
    <col min="3" max="16384" width="8.88671875" style="6" collapsed="1"/>
  </cols>
  <sheetData>
    <row r="1" spans="1:2" x14ac:dyDescent="0.3">
      <c r="A1" s="6" t="s">
        <v>238</v>
      </c>
      <c r="B1" s="6" t="s">
        <v>239</v>
      </c>
    </row>
    <row r="2" spans="1:2" x14ac:dyDescent="0.3">
      <c r="A2" s="53" t="str">
        <f ca="1">'TC15-Inbound Date'!A2</f>
        <v>16 Dec 2023</v>
      </c>
      <c r="B2" s="53" t="str">
        <f ca="1">TEXT(DATE(YEAR(TODAY()), MONTH(TODAY())+2, DAY(TODAY())+1), "dd MMM yyyy")</f>
        <v>26 Dec 2023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93E6-AF28-4007-8D00-F5B684EE622F}">
  <dimension ref="A1:B2"/>
  <sheetViews>
    <sheetView workbookViewId="0">
      <selection activeCell="A2" sqref="A2:B2"/>
    </sheetView>
  </sheetViews>
  <sheetFormatPr defaultRowHeight="13.8" x14ac:dyDescent="0.3"/>
  <cols>
    <col min="1" max="1" width="21.109375" style="6" customWidth="1" collapsed="1"/>
    <col min="2" max="2" width="13.88671875" style="6" customWidth="1" collapsed="1"/>
    <col min="3" max="16384" width="8.88671875" style="6" collapsed="1"/>
  </cols>
  <sheetData>
    <row r="1" spans="1:2" ht="14.4" x14ac:dyDescent="0.3">
      <c r="A1" s="6" t="s">
        <v>31</v>
      </c>
      <c r="B1" s="51" t="str">
        <f ca="1">TEXT(DATE(YEAR(TODAY()), MONTH(TODAY()), DAY(TODAY())), "yymm")</f>
        <v>2310</v>
      </c>
    </row>
    <row r="2" spans="1:2" x14ac:dyDescent="0.3">
      <c r="A2" s="6" t="e">
        <f ca="1">"rc"&amp;#REF!&amp;"B1"&amp;#REF!&amp;"-"&amp;B1&amp;"001"&amp;"-01"</f>
        <v>#REF!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8D13-27E4-473A-AA4A-035F0B49539C}">
  <dimension ref="A1:I4"/>
  <sheetViews>
    <sheetView workbookViewId="0">
      <selection activeCell="A2" sqref="A2:B2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s="51" t="str">
        <f ca="1">TEXT(DATE(YEAR(TODAY()), MONTH(TODAY()), DAY(TODAY())), "yymm")</f>
        <v>2310</v>
      </c>
    </row>
    <row r="2" spans="1:9" x14ac:dyDescent="0.3">
      <c r="A2" t="e">
        <f ca="1">"s"&amp;#REF!&amp;"B1"&amp;#REF!&amp;"-"&amp;I1&amp;"001"</f>
        <v>#REF!</v>
      </c>
      <c r="B2" t="e">
        <f ca="1">"p"&amp;#REF!&amp;"B2"&amp;#REF!&amp;"-"&amp;I1&amp;"001"</f>
        <v>#REF!</v>
      </c>
      <c r="C2" t="e">
        <f ca="1">"s"&amp;#REF!&amp;"B2"&amp;#REF!&amp;"-"&amp;I1&amp;"001"</f>
        <v>#REF!</v>
      </c>
      <c r="D2" t="e">
        <f ca="1">"p"&amp;#REF!&amp;"S2"&amp;#REF!&amp;"-"&amp;I1&amp;"001"</f>
        <v>#REF!</v>
      </c>
      <c r="E2" t="e">
        <f ca="1">"s"&amp;#REF!&amp;"B3"&amp;#REF!&amp;"-"&amp;I1&amp;"001"</f>
        <v>#REF!</v>
      </c>
      <c r="F2" t="e">
        <f ca="1">"p"&amp;#REF!&amp;"S1"&amp;#REF!&amp;"-"&amp;I1&amp;"001"</f>
        <v>#REF!</v>
      </c>
      <c r="G2" t="e">
        <f ca="1">"s"&amp;#REF!&amp;"S1"&amp;#REF!&amp;"-"&amp;I1&amp;"001"</f>
        <v>#REF!</v>
      </c>
      <c r="H2" t="e">
        <f ca="1">"s"&amp;#REF!&amp;"S2"&amp;#REF!&amp;"-"&amp;I1&amp;"001"</f>
        <v>#REF!</v>
      </c>
    </row>
    <row r="3" spans="1:9" x14ac:dyDescent="0.3">
      <c r="B3" t="e">
        <f ca="1">"p"&amp;#REF!&amp;"B3"&amp;#REF!&amp;"-"&amp;I1&amp;"001"</f>
        <v>#REF!</v>
      </c>
    </row>
    <row r="4" spans="1:9" x14ac:dyDescent="0.3">
      <c r="A4" s="64" t="s">
        <v>130</v>
      </c>
      <c r="B4" s="64"/>
      <c r="C4" s="64" t="s">
        <v>106</v>
      </c>
      <c r="D4" s="64"/>
      <c r="E4" s="64" t="s">
        <v>131</v>
      </c>
      <c r="F4" s="64"/>
      <c r="G4" t="s">
        <v>83</v>
      </c>
      <c r="H4" t="s">
        <v>94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7F85-BE63-40DB-A163-D730DA6A0A9C}">
  <dimension ref="A1:J2"/>
  <sheetViews>
    <sheetView workbookViewId="0">
      <selection sqref="A1:J2"/>
    </sheetView>
  </sheetViews>
  <sheetFormatPr defaultRowHeight="14.4" x14ac:dyDescent="0.3"/>
  <cols>
    <col min="2" max="2" width="13.77734375" bestFit="1" customWidth="1" collapsed="1"/>
    <col min="3" max="3" width="19.5546875" bestFit="1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0.21875" bestFit="1" customWidth="1" collapsed="1"/>
  </cols>
  <sheetData>
    <row r="1" spans="1:10" ht="15" thickBot="1" x14ac:dyDescent="0.35">
      <c r="A1" s="22" t="s">
        <v>0</v>
      </c>
      <c r="B1" s="23" t="s">
        <v>98</v>
      </c>
      <c r="C1" s="23" t="s">
        <v>110</v>
      </c>
      <c r="D1" s="23" t="s">
        <v>97</v>
      </c>
      <c r="E1" s="23" t="s">
        <v>101</v>
      </c>
      <c r="F1" s="23" t="s">
        <v>103</v>
      </c>
      <c r="G1" s="23" t="s">
        <v>44</v>
      </c>
      <c r="H1" s="23" t="s">
        <v>105</v>
      </c>
      <c r="I1" s="23" t="s">
        <v>107</v>
      </c>
      <c r="J1" s="24" t="s">
        <v>108</v>
      </c>
    </row>
    <row r="2" spans="1:10" ht="15" thickBot="1" x14ac:dyDescent="0.35">
      <c r="A2" s="19">
        <v>1</v>
      </c>
      <c r="B2" s="20" t="s">
        <v>99</v>
      </c>
      <c r="C2" t="s">
        <v>113</v>
      </c>
      <c r="D2" s="20" t="s">
        <v>100</v>
      </c>
      <c r="E2" s="20" t="s">
        <v>102</v>
      </c>
      <c r="F2" s="20" t="s">
        <v>104</v>
      </c>
      <c r="G2" s="20" t="s">
        <v>74</v>
      </c>
      <c r="H2" s="20" t="s">
        <v>106</v>
      </c>
      <c r="I2" s="20" t="s">
        <v>72</v>
      </c>
      <c r="J2" s="21" t="s">
        <v>109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CAD-D943-43B5-98CF-08E627B02C25}">
  <dimension ref="A1:C2"/>
  <sheetViews>
    <sheetView workbookViewId="0">
      <selection activeCell="C12" sqref="C12"/>
    </sheetView>
  </sheetViews>
  <sheetFormatPr defaultRowHeight="14.4" x14ac:dyDescent="0.3"/>
  <cols>
    <col min="2" max="2" width="13.33203125" bestFit="1" customWidth="1" collapsed="1"/>
    <col min="3" max="3" width="21.5546875" bestFit="1" customWidth="1" collapsed="1"/>
  </cols>
  <sheetData>
    <row r="1" spans="1:3" ht="15" thickBot="1" x14ac:dyDescent="0.35">
      <c r="A1" s="22" t="s">
        <v>0</v>
      </c>
      <c r="B1" s="26" t="s">
        <v>98</v>
      </c>
      <c r="C1" s="24" t="s">
        <v>110</v>
      </c>
    </row>
    <row r="2" spans="1:3" ht="15" thickBot="1" x14ac:dyDescent="0.35">
      <c r="A2" s="19">
        <v>1</v>
      </c>
      <c r="B2" s="27" t="s">
        <v>117</v>
      </c>
      <c r="C2" s="25" t="s">
        <v>114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4621-2823-49C2-9C7E-2A4A9C9891DB}">
  <dimension ref="A1:C2"/>
  <sheetViews>
    <sheetView workbookViewId="0">
      <selection activeCell="H16" sqref="H16"/>
    </sheetView>
  </sheetViews>
  <sheetFormatPr defaultRowHeight="14.4" x14ac:dyDescent="0.3"/>
  <cols>
    <col min="1" max="1" width="3.44140625" bestFit="1" customWidth="1" collapsed="1"/>
    <col min="2" max="2" width="13.33203125" bestFit="1" customWidth="1" collapsed="1"/>
    <col min="3" max="3" width="22.77734375" customWidth="1" collapsed="1"/>
  </cols>
  <sheetData>
    <row r="1" spans="1:3" ht="15" thickBot="1" x14ac:dyDescent="0.35">
      <c r="A1" s="22" t="s">
        <v>0</v>
      </c>
      <c r="B1" s="23" t="s">
        <v>98</v>
      </c>
      <c r="C1" s="24" t="s">
        <v>110</v>
      </c>
    </row>
    <row r="2" spans="1:3" ht="15" thickBot="1" x14ac:dyDescent="0.35">
      <c r="A2" s="19">
        <v>1</v>
      </c>
      <c r="B2" s="20" t="s">
        <v>115</v>
      </c>
      <c r="C2" s="25" t="s">
        <v>116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26D0-9AAB-4E07-89C1-0E077E572A97}">
  <dimension ref="A1:D2"/>
  <sheetViews>
    <sheetView workbookViewId="0">
      <selection activeCell="F20" sqref="F20"/>
    </sheetView>
  </sheetViews>
  <sheetFormatPr defaultRowHeight="14.4" x14ac:dyDescent="0.3"/>
  <cols>
    <col min="1" max="1" width="3.44140625" bestFit="1" customWidth="1" collapsed="1"/>
    <col min="2" max="2" width="13.109375" bestFit="1" customWidth="1" collapsed="1"/>
    <col min="3" max="3" width="21.88671875" bestFit="1" customWidth="1" collapsed="1"/>
    <col min="4" max="4" width="22" bestFit="1" customWidth="1" collapsed="1"/>
  </cols>
  <sheetData>
    <row r="1" spans="1:4" ht="15" thickBot="1" x14ac:dyDescent="0.35">
      <c r="A1" s="22" t="s">
        <v>0</v>
      </c>
      <c r="B1" s="23" t="s">
        <v>98</v>
      </c>
      <c r="C1" s="23" t="s">
        <v>110</v>
      </c>
      <c r="D1" s="24" t="s">
        <v>118</v>
      </c>
    </row>
    <row r="2" spans="1:4" ht="15" thickBot="1" x14ac:dyDescent="0.35">
      <c r="A2" s="19">
        <v>1</v>
      </c>
      <c r="B2" s="28" t="s">
        <v>119</v>
      </c>
      <c r="C2" s="29" t="s">
        <v>116</v>
      </c>
      <c r="D2" s="30" t="s">
        <v>120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9296-E077-4356-AA02-5082C45ACA9A}">
  <dimension ref="A1:D2"/>
  <sheetViews>
    <sheetView workbookViewId="0">
      <selection activeCell="G15" sqref="G15"/>
    </sheetView>
  </sheetViews>
  <sheetFormatPr defaultRowHeight="14.4" x14ac:dyDescent="0.3"/>
  <cols>
    <col min="2" max="2" width="12.77734375" customWidth="1" collapsed="1"/>
    <col min="3" max="3" width="21.88671875" bestFit="1" customWidth="1" collapsed="1"/>
    <col min="4" max="4" width="22" bestFit="1" customWidth="1" collapsed="1"/>
  </cols>
  <sheetData>
    <row r="1" spans="1:4" ht="15" thickBot="1" x14ac:dyDescent="0.35">
      <c r="A1" s="22" t="s">
        <v>0</v>
      </c>
      <c r="B1" s="23" t="s">
        <v>98</v>
      </c>
      <c r="C1" s="23" t="s">
        <v>110</v>
      </c>
      <c r="D1" s="24" t="s">
        <v>118</v>
      </c>
    </row>
    <row r="2" spans="1:4" ht="17.399999999999999" customHeight="1" thickBot="1" x14ac:dyDescent="0.35">
      <c r="A2" s="19">
        <v>1</v>
      </c>
      <c r="B2" s="28" t="s">
        <v>121</v>
      </c>
      <c r="C2" s="31" t="s">
        <v>114</v>
      </c>
      <c r="D2" s="32" t="s">
        <v>120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8646-9DF6-43F6-AE51-E9C5F8D30BF6}">
  <dimension ref="A1:A2"/>
  <sheetViews>
    <sheetView workbookViewId="0">
      <selection activeCell="I23" sqref="I23"/>
    </sheetView>
  </sheetViews>
  <sheetFormatPr defaultRowHeight="13.8" x14ac:dyDescent="0.3"/>
  <cols>
    <col min="1" max="1" width="21.109375" style="6" customWidth="1" collapsed="1"/>
    <col min="2" max="16384" width="8.88671875" style="6" collapsed="1"/>
  </cols>
  <sheetData>
    <row r="1" spans="1:1" x14ac:dyDescent="0.3">
      <c r="A1" s="6" t="s">
        <v>31</v>
      </c>
    </row>
    <row r="2" spans="1:1" ht="14.4" x14ac:dyDescent="0.3">
      <c r="A2" t="s">
        <v>248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8919-8D88-4CE0-9C94-72D0AEF8E3C9}">
  <dimension ref="A1:Q4"/>
  <sheetViews>
    <sheetView topLeftCell="B1" workbookViewId="0">
      <selection activeCell="A2" sqref="A2:B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249</v>
      </c>
      <c r="B1" t="s">
        <v>2</v>
      </c>
      <c r="C1" t="s">
        <v>250</v>
      </c>
      <c r="D1" t="s">
        <v>5</v>
      </c>
      <c r="E1" t="s">
        <v>251</v>
      </c>
      <c r="F1" t="s">
        <v>252</v>
      </c>
      <c r="G1" t="s">
        <v>253</v>
      </c>
      <c r="H1" t="s">
        <v>7</v>
      </c>
      <c r="I1" t="s">
        <v>12</v>
      </c>
      <c r="J1" t="s">
        <v>11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259</v>
      </c>
      <c r="Q1" t="s">
        <v>260</v>
      </c>
    </row>
    <row r="2" spans="1:17" x14ac:dyDescent="0.3">
      <c r="A2">
        <v>1</v>
      </c>
      <c r="C2" t="str">
        <f>'TC2-Contract Parts Info'!A4</f>
        <v>PK-TTAP-s1-003</v>
      </c>
      <c r="E2" t="s">
        <v>83</v>
      </c>
      <c r="H2" t="s">
        <v>21</v>
      </c>
      <c r="I2">
        <v>5</v>
      </c>
      <c r="J2" s="54">
        <v>10</v>
      </c>
      <c r="K2" s="54">
        <f>'TC17-Customer Change Order'!B4</f>
        <v>620</v>
      </c>
      <c r="L2" s="54">
        <f>'TC17-Customer Change Order'!B4</f>
        <v>620</v>
      </c>
      <c r="M2" s="54"/>
      <c r="N2" t="s">
        <v>261</v>
      </c>
      <c r="P2" s="54">
        <f>'TC17-Customer Change Order'!C4</f>
        <v>620</v>
      </c>
    </row>
    <row r="3" spans="1:17" x14ac:dyDescent="0.3">
      <c r="A3">
        <v>2</v>
      </c>
      <c r="C3" t="str">
        <f>'TC2-Contract Parts Info'!A5</f>
        <v>PK-TTAP-s1-004</v>
      </c>
      <c r="E3" t="s">
        <v>83</v>
      </c>
      <c r="H3" t="s">
        <v>21</v>
      </c>
      <c r="I3">
        <v>5</v>
      </c>
      <c r="J3" s="54">
        <v>10</v>
      </c>
      <c r="K3" s="54">
        <f>'TC17-Customer Change Order'!B5</f>
        <v>620</v>
      </c>
      <c r="L3" s="54">
        <f>'TC17-Customer Change Order'!B5</f>
        <v>620</v>
      </c>
      <c r="M3" s="54"/>
      <c r="N3" t="s">
        <v>261</v>
      </c>
      <c r="P3" s="54">
        <f>'TC17-Customer Change Order'!C5</f>
        <v>620</v>
      </c>
    </row>
    <row r="4" spans="1:17" x14ac:dyDescent="0.3">
      <c r="A4">
        <v>3</v>
      </c>
      <c r="C4" t="str">
        <f>'TC2-Contract Parts Info'!A7</f>
        <v>PK-TTAP-s1-006</v>
      </c>
      <c r="E4" t="s">
        <v>83</v>
      </c>
      <c r="H4" t="s">
        <v>21</v>
      </c>
      <c r="I4">
        <v>5</v>
      </c>
      <c r="J4" s="54">
        <v>10</v>
      </c>
      <c r="K4" s="54">
        <f>'TC17-Customer Change Order'!B7</f>
        <v>820</v>
      </c>
      <c r="L4" s="54">
        <f>'TC17-Customer Change Order'!B7</f>
        <v>820</v>
      </c>
      <c r="M4" s="54"/>
      <c r="N4" t="s">
        <v>261</v>
      </c>
      <c r="P4" s="54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dimension ref="A1:B2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6" customWidth="1" collapsed="1"/>
    <col min="2" max="2" width="25.77734375" style="6" customWidth="1" collapsed="1"/>
    <col min="3" max="16384" width="8.88671875" style="6" collapsed="1"/>
  </cols>
  <sheetData>
    <row r="1" spans="1:2" x14ac:dyDescent="0.3">
      <c r="A1" s="6" t="s">
        <v>0</v>
      </c>
      <c r="B1" s="6" t="s">
        <v>31</v>
      </c>
    </row>
    <row r="2" spans="1:2" ht="14.4" x14ac:dyDescent="0.3">
      <c r="A2" s="6">
        <v>1</v>
      </c>
      <c r="B2" t="s">
        <v>87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4D4EA-3A6E-460B-A7D0-B40864178D1D}">
  <dimension ref="A1:P4"/>
  <sheetViews>
    <sheetView topLeftCell="B1" workbookViewId="0">
      <selection activeCell="A2" sqref="A2:B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249</v>
      </c>
      <c r="B1" t="s">
        <v>2</v>
      </c>
      <c r="C1" t="s">
        <v>250</v>
      </c>
      <c r="D1" t="s">
        <v>5</v>
      </c>
      <c r="E1" t="s">
        <v>251</v>
      </c>
      <c r="F1" t="s">
        <v>252</v>
      </c>
      <c r="G1" t="s">
        <v>253</v>
      </c>
      <c r="H1" t="s">
        <v>7</v>
      </c>
      <c r="I1" t="s">
        <v>12</v>
      </c>
      <c r="J1" t="s">
        <v>11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259</v>
      </c>
    </row>
    <row r="2" spans="1:16" x14ac:dyDescent="0.3">
      <c r="A2">
        <v>1</v>
      </c>
      <c r="C2" t="str">
        <f>'TC2-Contract Parts Info'!A2</f>
        <v>PK-TTAP-s1-001</v>
      </c>
      <c r="E2" t="s">
        <v>94</v>
      </c>
      <c r="H2" t="s">
        <v>29</v>
      </c>
      <c r="I2">
        <v>10</v>
      </c>
      <c r="J2" s="54">
        <v>10</v>
      </c>
      <c r="K2" s="54">
        <f>'TC17-Customer Change Order'!C2</f>
        <v>1620</v>
      </c>
      <c r="L2" s="54">
        <f>'TC17-Customer Change Order'!C2</f>
        <v>1620</v>
      </c>
      <c r="M2" s="54"/>
      <c r="N2" t="s">
        <v>261</v>
      </c>
      <c r="P2" s="54">
        <f>'TC17-Customer Change Order'!C2</f>
        <v>1620</v>
      </c>
    </row>
    <row r="3" spans="1:16" x14ac:dyDescent="0.3">
      <c r="A3">
        <v>2</v>
      </c>
      <c r="C3" t="str">
        <f>'TC2-Contract Parts Info'!A3</f>
        <v>PK-TTAP-s1-002</v>
      </c>
      <c r="E3" t="s">
        <v>94</v>
      </c>
      <c r="H3" t="s">
        <v>29</v>
      </c>
      <c r="I3">
        <v>10</v>
      </c>
      <c r="J3" s="54">
        <v>10</v>
      </c>
      <c r="K3" s="54">
        <f>'TC17-Customer Change Order'!C3</f>
        <v>1620</v>
      </c>
      <c r="L3" s="54">
        <f>'TC17-Customer Change Order'!C3</f>
        <v>1620</v>
      </c>
      <c r="M3" s="54"/>
      <c r="N3" t="s">
        <v>261</v>
      </c>
      <c r="P3" s="54">
        <f>'TC17-Customer Change Order'!C3</f>
        <v>1620</v>
      </c>
    </row>
    <row r="4" spans="1:16" x14ac:dyDescent="0.3">
      <c r="A4">
        <v>3</v>
      </c>
      <c r="C4" t="str">
        <f>'TC2-Contract Parts Info'!A6</f>
        <v>PK-TTAP-s1-005</v>
      </c>
      <c r="E4" t="s">
        <v>94</v>
      </c>
      <c r="H4" t="s">
        <v>21</v>
      </c>
      <c r="I4">
        <v>5</v>
      </c>
      <c r="J4" s="54">
        <v>10</v>
      </c>
      <c r="K4" s="54">
        <f>'TC17-Customer Change Order'!C6</f>
        <v>600</v>
      </c>
      <c r="L4" s="54">
        <f>'TC17-Customer Change Order'!C6</f>
        <v>600</v>
      </c>
      <c r="M4" s="54"/>
      <c r="N4" t="s">
        <v>261</v>
      </c>
      <c r="P4" s="54">
        <f>'TC17-Customer Change Order'!C6</f>
        <v>600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370D-7656-43F6-A464-2800E820AB4A}">
  <dimension ref="A1:P4"/>
  <sheetViews>
    <sheetView topLeftCell="B1" workbookViewId="0">
      <selection activeCell="A2" sqref="A2:B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249</v>
      </c>
      <c r="B1" t="s">
        <v>2</v>
      </c>
      <c r="C1" t="s">
        <v>250</v>
      </c>
      <c r="D1" t="s">
        <v>5</v>
      </c>
      <c r="E1" t="s">
        <v>251</v>
      </c>
      <c r="F1" t="s">
        <v>252</v>
      </c>
      <c r="G1" t="s">
        <v>253</v>
      </c>
      <c r="H1" t="s">
        <v>7</v>
      </c>
      <c r="I1" t="s">
        <v>12</v>
      </c>
      <c r="J1" t="s">
        <v>11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259</v>
      </c>
    </row>
    <row r="2" spans="1:16" x14ac:dyDescent="0.3">
      <c r="A2">
        <v>1</v>
      </c>
      <c r="C2" t="str">
        <f>'TC3-Contract Parts Info'!A2</f>
        <v>SG-TTAP-s1-001</v>
      </c>
      <c r="E2" t="s">
        <v>94</v>
      </c>
      <c r="H2" t="s">
        <v>29</v>
      </c>
      <c r="I2">
        <v>10</v>
      </c>
      <c r="J2" s="54">
        <v>10</v>
      </c>
      <c r="K2" s="54">
        <f>'TC17-Customer Change Order'!C2</f>
        <v>1620</v>
      </c>
      <c r="L2" s="54">
        <f>'TC17-Customer Change Order'!C2</f>
        <v>1620</v>
      </c>
      <c r="M2" s="54"/>
      <c r="N2" t="s">
        <v>261</v>
      </c>
      <c r="P2" s="54">
        <f>'TC17-Customer Change Order'!C2</f>
        <v>1620</v>
      </c>
    </row>
    <row r="3" spans="1:16" x14ac:dyDescent="0.3">
      <c r="A3">
        <v>2</v>
      </c>
      <c r="C3" t="str">
        <f>'TC3-Contract Parts Info'!A3</f>
        <v>SG-TTAP-s1-002</v>
      </c>
      <c r="E3" t="s">
        <v>94</v>
      </c>
      <c r="H3" t="s">
        <v>29</v>
      </c>
      <c r="I3">
        <v>10</v>
      </c>
      <c r="J3" s="54">
        <v>10</v>
      </c>
      <c r="K3" s="54">
        <f>'TC17-Customer Change Order'!C3</f>
        <v>1620</v>
      </c>
      <c r="L3" s="54">
        <f>'TC17-Customer Change Order'!C3</f>
        <v>1620</v>
      </c>
      <c r="M3" s="54"/>
      <c r="N3" t="s">
        <v>261</v>
      </c>
      <c r="P3" s="54">
        <f>'TC17-Customer Change Order'!C3</f>
        <v>1620</v>
      </c>
    </row>
    <row r="4" spans="1:16" x14ac:dyDescent="0.3">
      <c r="A4">
        <v>3</v>
      </c>
      <c r="C4" t="str">
        <f>'TC3-Contract Parts Info'!A4</f>
        <v>SG-TTAP-s1-005</v>
      </c>
      <c r="E4" t="s">
        <v>94</v>
      </c>
      <c r="H4" t="s">
        <v>21</v>
      </c>
      <c r="I4">
        <v>5</v>
      </c>
      <c r="J4" s="54">
        <v>10</v>
      </c>
      <c r="K4" s="54">
        <f>'TC17-Customer Change Order'!C6</f>
        <v>600</v>
      </c>
      <c r="L4" s="54">
        <f>'TC17-Customer Change Order'!C6</f>
        <v>600</v>
      </c>
      <c r="M4" s="54"/>
      <c r="N4" t="s">
        <v>261</v>
      </c>
      <c r="P4" s="54">
        <f>'TC17-Customer Change Order'!C6</f>
        <v>600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351E-BAD2-41B3-B4B8-A6F371A71E1F}">
  <dimension ref="A1:Q4"/>
  <sheetViews>
    <sheetView topLeftCell="B1" workbookViewId="0">
      <selection activeCell="A2" sqref="A2:B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249</v>
      </c>
      <c r="B1" t="s">
        <v>2</v>
      </c>
      <c r="C1" t="s">
        <v>250</v>
      </c>
      <c r="D1" t="s">
        <v>5</v>
      </c>
      <c r="E1" t="s">
        <v>251</v>
      </c>
      <c r="F1" t="s">
        <v>252</v>
      </c>
      <c r="G1" t="s">
        <v>253</v>
      </c>
      <c r="H1" t="s">
        <v>7</v>
      </c>
      <c r="I1" t="s">
        <v>12</v>
      </c>
      <c r="J1" t="s">
        <v>11</v>
      </c>
      <c r="K1" t="s">
        <v>254</v>
      </c>
      <c r="L1" t="s">
        <v>255</v>
      </c>
      <c r="M1" t="s">
        <v>256</v>
      </c>
      <c r="N1" t="s">
        <v>257</v>
      </c>
      <c r="O1" t="s">
        <v>258</v>
      </c>
      <c r="P1" t="s">
        <v>259</v>
      </c>
      <c r="Q1" t="s">
        <v>260</v>
      </c>
    </row>
    <row r="2" spans="1:17" x14ac:dyDescent="0.3">
      <c r="A2">
        <v>1</v>
      </c>
      <c r="C2" t="str">
        <f>'TC6-Contract Parts Info'!A2</f>
        <v>MY-PNA-BU-s1-003</v>
      </c>
      <c r="E2" t="s">
        <v>83</v>
      </c>
      <c r="H2" t="s">
        <v>21</v>
      </c>
      <c r="I2">
        <v>5</v>
      </c>
      <c r="J2" s="54">
        <v>10</v>
      </c>
      <c r="K2" s="54">
        <f>'TC17-Customer Change Order'!B4</f>
        <v>620</v>
      </c>
      <c r="L2" s="54">
        <f>'TC17-Customer Change Order'!B4</f>
        <v>620</v>
      </c>
      <c r="M2" s="54"/>
      <c r="N2" t="s">
        <v>261</v>
      </c>
      <c r="P2" s="54">
        <f>'TC17-Customer Change Order'!C4</f>
        <v>620</v>
      </c>
    </row>
    <row r="3" spans="1:17" x14ac:dyDescent="0.3">
      <c r="A3">
        <v>2</v>
      </c>
      <c r="C3" t="str">
        <f>'TC6-Contract Parts Info'!A3</f>
        <v>MY-PNA-BU-s1-004</v>
      </c>
      <c r="E3" t="s">
        <v>83</v>
      </c>
      <c r="H3" t="s">
        <v>21</v>
      </c>
      <c r="I3">
        <v>5</v>
      </c>
      <c r="J3" s="54">
        <v>10</v>
      </c>
      <c r="K3" s="54">
        <f>'TC17-Customer Change Order'!B5</f>
        <v>620</v>
      </c>
      <c r="L3" s="54">
        <f>'TC17-Customer Change Order'!B5</f>
        <v>620</v>
      </c>
      <c r="M3" s="54"/>
      <c r="N3" t="s">
        <v>261</v>
      </c>
      <c r="P3" s="54">
        <f>'TC17-Customer Change Order'!C5</f>
        <v>620</v>
      </c>
    </row>
    <row r="4" spans="1:17" x14ac:dyDescent="0.3">
      <c r="A4">
        <v>3</v>
      </c>
      <c r="C4" t="str">
        <f>'TC6-Contract Parts Info'!A4</f>
        <v>MY-PNA-BU-s1-006</v>
      </c>
      <c r="E4" t="s">
        <v>83</v>
      </c>
      <c r="H4" t="s">
        <v>21</v>
      </c>
      <c r="I4">
        <v>5</v>
      </c>
      <c r="J4" s="54">
        <v>10</v>
      </c>
      <c r="K4" s="54">
        <f>'TC17-Customer Change Order'!B7</f>
        <v>820</v>
      </c>
      <c r="L4" s="54">
        <f>'TC17-Customer Change Order'!B7</f>
        <v>820</v>
      </c>
      <c r="M4" s="54"/>
      <c r="N4" t="s">
        <v>261</v>
      </c>
      <c r="P4" s="54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E5D7A-9BE6-4F3F-B900-D325FF0938B6}">
  <dimension ref="A1:P4"/>
  <sheetViews>
    <sheetView workbookViewId="0">
      <selection activeCell="A2" sqref="A2:B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249</v>
      </c>
      <c r="B1" t="s">
        <v>2</v>
      </c>
      <c r="C1" t="s">
        <v>262</v>
      </c>
      <c r="D1" t="s">
        <v>5</v>
      </c>
      <c r="E1" t="s">
        <v>252</v>
      </c>
      <c r="F1" t="s">
        <v>253</v>
      </c>
      <c r="G1" t="s">
        <v>7</v>
      </c>
      <c r="H1" t="s">
        <v>12</v>
      </c>
      <c r="I1" t="s">
        <v>11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  <c r="P1" t="s">
        <v>260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4">
        <v>10</v>
      </c>
      <c r="J2" s="54">
        <f>'TC17-Customer Change Order'!B4</f>
        <v>620</v>
      </c>
      <c r="K2" s="54">
        <f>'TC17-Customer Change Order'!B4</f>
        <v>620</v>
      </c>
      <c r="L2" s="54"/>
      <c r="M2" t="s">
        <v>261</v>
      </c>
      <c r="O2" s="54">
        <f>'TC17-Customer Change Order'!C4</f>
        <v>620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4">
        <v>10</v>
      </c>
      <c r="J3" s="54">
        <f>'TC17-Customer Change Order'!B5</f>
        <v>620</v>
      </c>
      <c r="K3" s="54">
        <f>'TC17-Customer Change Order'!B5</f>
        <v>620</v>
      </c>
      <c r="L3" s="54"/>
      <c r="M3" t="s">
        <v>261</v>
      </c>
      <c r="O3" s="54">
        <f>'TC17-Customer Change Order'!C5</f>
        <v>620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4">
        <v>10</v>
      </c>
      <c r="J4" s="54">
        <f>'TC17-Customer Change Order'!B7</f>
        <v>820</v>
      </c>
      <c r="K4" s="54">
        <f>'TC17-Customer Change Order'!B7</f>
        <v>820</v>
      </c>
      <c r="L4" s="54"/>
      <c r="M4" t="s">
        <v>261</v>
      </c>
      <c r="O4" s="54">
        <f>'TC17-Customer Change Order'!C7</f>
        <v>620</v>
      </c>
      <c r="P4">
        <f>'TC17-Customer Change Order'!D7</f>
        <v>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D8833-38E8-40A3-9257-21C48BC59C42}">
  <dimension ref="A1:O4"/>
  <sheetViews>
    <sheetView workbookViewId="0">
      <selection activeCell="A2" sqref="A2:B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5" width="15.77734375" customWidth="1" collapsed="1"/>
  </cols>
  <sheetData>
    <row r="1" spans="1:15" x14ac:dyDescent="0.3">
      <c r="A1" t="s">
        <v>249</v>
      </c>
      <c r="B1" t="s">
        <v>2</v>
      </c>
      <c r="C1" t="s">
        <v>262</v>
      </c>
      <c r="D1" t="s">
        <v>5</v>
      </c>
      <c r="E1" t="s">
        <v>252</v>
      </c>
      <c r="F1" t="s">
        <v>253</v>
      </c>
      <c r="G1" t="s">
        <v>7</v>
      </c>
      <c r="H1" t="s">
        <v>12</v>
      </c>
      <c r="I1" t="s">
        <v>11</v>
      </c>
      <c r="J1" t="s">
        <v>254</v>
      </c>
      <c r="K1" t="s">
        <v>255</v>
      </c>
      <c r="L1" t="s">
        <v>256</v>
      </c>
      <c r="M1" t="s">
        <v>257</v>
      </c>
      <c r="N1" t="s">
        <v>258</v>
      </c>
      <c r="O1" t="s">
        <v>259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4">
        <v>10</v>
      </c>
      <c r="I2" s="54">
        <v>10</v>
      </c>
      <c r="J2" s="54">
        <f>'TC17-Customer Change Order'!B2</f>
        <v>1620</v>
      </c>
      <c r="K2" s="54">
        <f>'TC17-Customer Change Order'!B2</f>
        <v>1620</v>
      </c>
      <c r="L2" s="54"/>
      <c r="M2" t="s">
        <v>261</v>
      </c>
      <c r="O2" s="54">
        <f>K2</f>
        <v>1620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4">
        <v>10</v>
      </c>
      <c r="I3" s="54">
        <v>10</v>
      </c>
      <c r="J3" s="54">
        <f>'TC17-Customer Change Order'!B3</f>
        <v>1620</v>
      </c>
      <c r="K3" s="54">
        <f>'TC17-Customer Change Order'!B3</f>
        <v>1620</v>
      </c>
      <c r="L3" s="54"/>
      <c r="M3" t="s">
        <v>261</v>
      </c>
      <c r="O3" s="54">
        <f t="shared" ref="O3:O4" si="0">K3</f>
        <v>1620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4">
        <v>10</v>
      </c>
      <c r="J4" s="54">
        <f>'TC17-Customer Change Order'!B6</f>
        <v>600</v>
      </c>
      <c r="K4" s="54">
        <f>'TC17-Customer Change Order'!B6</f>
        <v>600</v>
      </c>
      <c r="L4" s="54"/>
      <c r="M4" t="s">
        <v>261</v>
      </c>
      <c r="O4" s="54">
        <f t="shared" si="0"/>
        <v>600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EC81-EC9B-4D64-8591-D311C5848778}">
  <dimension ref="A1:P4"/>
  <sheetViews>
    <sheetView topLeftCell="C1" workbookViewId="0">
      <selection activeCell="A2" sqref="A2:B2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6" width="15.77734375" customWidth="1" collapsed="1"/>
  </cols>
  <sheetData>
    <row r="1" spans="1:16" x14ac:dyDescent="0.3">
      <c r="A1" t="s">
        <v>2</v>
      </c>
      <c r="B1" t="s">
        <v>1</v>
      </c>
      <c r="C1" t="s">
        <v>5</v>
      </c>
      <c r="D1" t="s">
        <v>126</v>
      </c>
      <c r="E1" t="s">
        <v>263</v>
      </c>
      <c r="F1" t="s">
        <v>264</v>
      </c>
      <c r="G1" t="s">
        <v>12</v>
      </c>
      <c r="H1" t="s">
        <v>11</v>
      </c>
      <c r="I1" t="s">
        <v>265</v>
      </c>
      <c r="J1" t="s">
        <v>266</v>
      </c>
      <c r="K1" t="s">
        <v>146</v>
      </c>
      <c r="L1" t="s">
        <v>101</v>
      </c>
      <c r="M1" t="s">
        <v>267</v>
      </c>
      <c r="N1" t="s">
        <v>268</v>
      </c>
      <c r="O1" t="s">
        <v>269</v>
      </c>
      <c r="P1" t="s">
        <v>270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5"/>
      <c r="D2" t="e">
        <f ca="1">'TC20-Autogen SOPO'!A2</f>
        <v>#REF!</v>
      </c>
      <c r="E2" s="56" t="s">
        <v>94</v>
      </c>
      <c r="F2" s="56" t="s">
        <v>76</v>
      </c>
      <c r="G2" s="57" t="e">
        <f>#REF!</f>
        <v>#REF!</v>
      </c>
      <c r="H2" s="54" t="e">
        <f>#REF!</f>
        <v>#REF!</v>
      </c>
      <c r="I2" s="54">
        <f>'TC17-Customer Change Order'!B2</f>
        <v>1620</v>
      </c>
      <c r="J2" s="54">
        <v>10</v>
      </c>
      <c r="K2" s="54" t="s">
        <v>193</v>
      </c>
      <c r="L2" t="s">
        <v>102</v>
      </c>
      <c r="M2">
        <v>0</v>
      </c>
      <c r="N2" s="54">
        <f>'TC17-Customer Change Order'!C2</f>
        <v>1620</v>
      </c>
      <c r="O2" t="s">
        <v>271</v>
      </c>
      <c r="P2" s="54">
        <f>N2</f>
        <v>1620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5"/>
      <c r="D3" t="e">
        <f ca="1">'TC20-Autogen SOPO'!A2</f>
        <v>#REF!</v>
      </c>
      <c r="E3" s="56" t="s">
        <v>94</v>
      </c>
      <c r="F3" s="56" t="s">
        <v>76</v>
      </c>
      <c r="G3" s="57" t="e">
        <f>#REF!</f>
        <v>#REF!</v>
      </c>
      <c r="H3" s="54" t="e">
        <f>#REF!</f>
        <v>#REF!</v>
      </c>
      <c r="I3" s="54">
        <f>'TC17-Customer Change Order'!B3</f>
        <v>1620</v>
      </c>
      <c r="J3" s="54">
        <v>10</v>
      </c>
      <c r="K3" s="54" t="s">
        <v>193</v>
      </c>
      <c r="L3" t="s">
        <v>102</v>
      </c>
      <c r="M3">
        <v>0</v>
      </c>
      <c r="N3" s="54">
        <f>'TC17-Customer Change Order'!C3</f>
        <v>1620</v>
      </c>
      <c r="O3" t="s">
        <v>271</v>
      </c>
      <c r="P3" s="54">
        <f>N3</f>
        <v>1620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5"/>
      <c r="D4" t="e">
        <f ca="1">'TC20-Autogen SOPO'!A2</f>
        <v>#REF!</v>
      </c>
      <c r="E4" s="56" t="s">
        <v>94</v>
      </c>
      <c r="F4" s="56" t="s">
        <v>76</v>
      </c>
      <c r="G4" s="57" t="e">
        <f>#REF!</f>
        <v>#REF!</v>
      </c>
      <c r="H4" s="54" t="e">
        <f>#REF!</f>
        <v>#REF!</v>
      </c>
      <c r="I4" s="54">
        <f>'TC17-Customer Change Order'!B6</f>
        <v>600</v>
      </c>
      <c r="J4" s="54">
        <v>10</v>
      </c>
      <c r="K4" s="54" t="s">
        <v>193</v>
      </c>
      <c r="L4" t="s">
        <v>102</v>
      </c>
      <c r="M4">
        <v>0</v>
      </c>
      <c r="N4" s="54">
        <f>'TC17-Customer Change Order'!C6</f>
        <v>600</v>
      </c>
      <c r="O4" t="s">
        <v>271</v>
      </c>
      <c r="P4" s="54">
        <f>N4</f>
        <v>600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3CA98-DF42-4182-A7B4-5A5C92A63FD3}">
  <dimension ref="A1:Q4"/>
  <sheetViews>
    <sheetView workbookViewId="0">
      <selection activeCell="A2" sqref="A2:B2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7" width="15.77734375" customWidth="1" collapsed="1"/>
  </cols>
  <sheetData>
    <row r="1" spans="1:17" x14ac:dyDescent="0.3">
      <c r="A1" t="s">
        <v>2</v>
      </c>
      <c r="B1" t="s">
        <v>1</v>
      </c>
      <c r="C1" t="s">
        <v>5</v>
      </c>
      <c r="D1" t="s">
        <v>126</v>
      </c>
      <c r="E1" t="s">
        <v>263</v>
      </c>
      <c r="F1" t="s">
        <v>264</v>
      </c>
      <c r="G1" t="s">
        <v>12</v>
      </c>
      <c r="H1" t="s">
        <v>11</v>
      </c>
      <c r="I1" t="s">
        <v>265</v>
      </c>
      <c r="J1" t="s">
        <v>266</v>
      </c>
      <c r="K1" t="s">
        <v>146</v>
      </c>
      <c r="L1" t="s">
        <v>101</v>
      </c>
      <c r="M1" t="s">
        <v>267</v>
      </c>
      <c r="N1" t="s">
        <v>272</v>
      </c>
      <c r="O1" t="s">
        <v>273</v>
      </c>
      <c r="P1" t="s">
        <v>274</v>
      </c>
      <c r="Q1" t="s">
        <v>275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5"/>
      <c r="D2" t="e">
        <f ca="1">'TC20-Autogen SOPO'!A2</f>
        <v>#REF!</v>
      </c>
      <c r="E2" s="56" t="s">
        <v>83</v>
      </c>
      <c r="F2" t="s">
        <v>68</v>
      </c>
      <c r="G2" s="57" t="e">
        <f>#REF!</f>
        <v>#REF!</v>
      </c>
      <c r="H2" s="54" t="e">
        <f>#REF!</f>
        <v>#REF!</v>
      </c>
      <c r="I2" s="54">
        <f>'TC17-Customer Change Order'!B4</f>
        <v>620</v>
      </c>
      <c r="J2" s="54">
        <v>100</v>
      </c>
      <c r="K2" s="54" t="str">
        <f>'TC2-Contract Parts Info'!Q4</f>
        <v>USD</v>
      </c>
      <c r="L2" t="s">
        <v>276</v>
      </c>
      <c r="M2">
        <v>0</v>
      </c>
      <c r="N2" s="54">
        <f>'TC17-Customer Change Order'!C4</f>
        <v>620</v>
      </c>
      <c r="O2" t="s">
        <v>271</v>
      </c>
      <c r="P2">
        <f>'TC17-Customer Change Order'!D4</f>
        <v>0</v>
      </c>
      <c r="Q2" t="s">
        <v>271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5"/>
      <c r="D3" t="e">
        <f ca="1">'TC20-Autogen SOPO'!A2</f>
        <v>#REF!</v>
      </c>
      <c r="E3" s="56" t="s">
        <v>83</v>
      </c>
      <c r="F3" t="s">
        <v>68</v>
      </c>
      <c r="G3" s="57" t="e">
        <f>#REF!</f>
        <v>#REF!</v>
      </c>
      <c r="H3" s="54" t="e">
        <f>#REF!</f>
        <v>#REF!</v>
      </c>
      <c r="I3" s="54">
        <f>'TC17-Customer Change Order'!B5</f>
        <v>620</v>
      </c>
      <c r="J3" s="54">
        <v>100</v>
      </c>
      <c r="K3" s="54" t="str">
        <f>'TC2-Contract Parts Info'!Q5</f>
        <v>USD</v>
      </c>
      <c r="L3" t="s">
        <v>276</v>
      </c>
      <c r="M3">
        <v>0</v>
      </c>
      <c r="N3" s="54">
        <f>'TC17-Customer Change Order'!C5</f>
        <v>620</v>
      </c>
      <c r="O3" t="s">
        <v>271</v>
      </c>
      <c r="P3">
        <f>'TC17-Customer Change Order'!D5</f>
        <v>0</v>
      </c>
      <c r="Q3" t="s">
        <v>271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5"/>
      <c r="D4" t="e">
        <f ca="1">'TC20-Autogen SOPO'!A2</f>
        <v>#REF!</v>
      </c>
      <c r="E4" s="56" t="s">
        <v>83</v>
      </c>
      <c r="F4" t="s">
        <v>68</v>
      </c>
      <c r="G4" s="57" t="e">
        <f>#REF!</f>
        <v>#REF!</v>
      </c>
      <c r="H4" s="54" t="e">
        <f>#REF!</f>
        <v>#REF!</v>
      </c>
      <c r="I4" s="54">
        <f>'TC17-Customer Change Order'!B7</f>
        <v>820</v>
      </c>
      <c r="J4" s="54">
        <v>100</v>
      </c>
      <c r="K4" s="54" t="str">
        <f>'TC2-Contract Parts Info'!Q7</f>
        <v>USD</v>
      </c>
      <c r="L4" t="s">
        <v>276</v>
      </c>
      <c r="M4">
        <v>0</v>
      </c>
      <c r="N4" s="54">
        <f>'TC17-Customer Change Order'!C7</f>
        <v>620</v>
      </c>
      <c r="O4" t="s">
        <v>271</v>
      </c>
      <c r="P4">
        <f>'TC17-Customer Change Order'!D7</f>
        <v>200</v>
      </c>
      <c r="Q4" t="s">
        <v>271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7542-2C8B-4A44-9F08-F053BBB95075}">
  <dimension ref="A1:S7"/>
  <sheetViews>
    <sheetView workbookViewId="0">
      <selection activeCell="A2" sqref="A2:B2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9" width="15.77734375" customWidth="1" collapsed="1"/>
  </cols>
  <sheetData>
    <row r="1" spans="1:19" x14ac:dyDescent="0.3">
      <c r="A1" t="s">
        <v>2</v>
      </c>
      <c r="B1" t="s">
        <v>1</v>
      </c>
      <c r="C1" t="s">
        <v>5</v>
      </c>
      <c r="D1" t="s">
        <v>277</v>
      </c>
      <c r="E1" t="s">
        <v>129</v>
      </c>
      <c r="F1" t="s">
        <v>12</v>
      </c>
      <c r="G1" t="s">
        <v>11</v>
      </c>
      <c r="H1" t="s">
        <v>265</v>
      </c>
      <c r="I1" t="s">
        <v>266</v>
      </c>
      <c r="J1" t="s">
        <v>146</v>
      </c>
      <c r="K1" t="s">
        <v>101</v>
      </c>
      <c r="L1" t="s">
        <v>278</v>
      </c>
      <c r="M1" t="s">
        <v>279</v>
      </c>
      <c r="N1" t="s">
        <v>280</v>
      </c>
      <c r="O1" t="s">
        <v>281</v>
      </c>
      <c r="P1" t="s">
        <v>282</v>
      </c>
      <c r="Q1" t="s">
        <v>283</v>
      </c>
      <c r="R1" t="s">
        <v>284</v>
      </c>
      <c r="S1" t="s">
        <v>270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5" t="e">
        <f>#REF!</f>
        <v>#REF!</v>
      </c>
      <c r="D2" t="e">
        <f ca="1">'TC15-AutoGen CO'!A2</f>
        <v>#REF!</v>
      </c>
      <c r="E2" s="56" t="s">
        <v>73</v>
      </c>
      <c r="F2" s="57" t="e">
        <f>#REF!</f>
        <v>#REF!</v>
      </c>
      <c r="G2" s="54" t="e">
        <f>#REF!</f>
        <v>#REF!</v>
      </c>
      <c r="H2" s="54">
        <f>'TC17-Customer Change Order'!B2</f>
        <v>1620</v>
      </c>
      <c r="I2" s="58">
        <f>'TC2-Contract Parts Info'!R2</f>
        <v>2.0499999999999998</v>
      </c>
      <c r="J2" s="54" t="str">
        <f>'TC2-Contract Parts Info'!Q2</f>
        <v>USD</v>
      </c>
      <c r="K2" t="s">
        <v>102</v>
      </c>
      <c r="L2">
        <v>0</v>
      </c>
      <c r="M2">
        <v>0</v>
      </c>
      <c r="N2">
        <v>0</v>
      </c>
      <c r="O2" s="54">
        <f>'TC17-Customer Change Order'!C2</f>
        <v>1620</v>
      </c>
      <c r="P2" t="s">
        <v>271</v>
      </c>
      <c r="Q2">
        <f>'TC17-Customer Change Order'!D2</f>
        <v>0</v>
      </c>
      <c r="R2" t="s">
        <v>271</v>
      </c>
      <c r="S2" s="54">
        <f>O2</f>
        <v>1620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5" t="e">
        <f>#REF!</f>
        <v>#REF!</v>
      </c>
      <c r="D3" t="e">
        <f ca="1">'TC15-AutoGen CO'!A2</f>
        <v>#REF!</v>
      </c>
      <c r="E3" s="56" t="s">
        <v>73</v>
      </c>
      <c r="F3" s="57" t="e">
        <f>#REF!</f>
        <v>#REF!</v>
      </c>
      <c r="G3" s="54" t="e">
        <f>#REF!</f>
        <v>#REF!</v>
      </c>
      <c r="H3" s="54">
        <f>'TC17-Customer Change Order'!B3</f>
        <v>1620</v>
      </c>
      <c r="I3" s="58">
        <f>'TC2-Contract Parts Info'!R3</f>
        <v>2.0499999999999998</v>
      </c>
      <c r="J3" s="54" t="str">
        <f>'TC2-Contract Parts Info'!Q3</f>
        <v>USD</v>
      </c>
      <c r="K3" t="s">
        <v>102</v>
      </c>
      <c r="L3">
        <v>0</v>
      </c>
      <c r="M3">
        <v>0</v>
      </c>
      <c r="N3">
        <v>0</v>
      </c>
      <c r="O3" s="54">
        <f>'TC17-Customer Change Order'!C3</f>
        <v>1620</v>
      </c>
      <c r="P3" t="s">
        <v>271</v>
      </c>
      <c r="Q3">
        <f>'TC17-Customer Change Order'!D3</f>
        <v>0</v>
      </c>
      <c r="R3" t="s">
        <v>271</v>
      </c>
      <c r="S3" s="54">
        <f>O3</f>
        <v>1620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5" t="e">
        <f>#REF!</f>
        <v>#REF!</v>
      </c>
      <c r="D4" t="e">
        <f ca="1">'TC15-AutoGen CO'!A2</f>
        <v>#REF!</v>
      </c>
      <c r="E4" s="56" t="s">
        <v>73</v>
      </c>
      <c r="F4" s="57" t="e">
        <f>#REF!</f>
        <v>#REF!</v>
      </c>
      <c r="G4" s="54" t="e">
        <f>#REF!</f>
        <v>#REF!</v>
      </c>
      <c r="H4" s="54">
        <f>'TC17-Customer Change Order'!B4</f>
        <v>620</v>
      </c>
      <c r="I4" s="58">
        <f>'TC2-Contract Parts Info'!R4</f>
        <v>2.0499999999999998</v>
      </c>
      <c r="J4" s="54" t="str">
        <f>'TC2-Contract Parts Info'!Q4</f>
        <v>USD</v>
      </c>
      <c r="K4" t="s">
        <v>276</v>
      </c>
      <c r="L4">
        <v>0</v>
      </c>
      <c r="M4">
        <v>0</v>
      </c>
      <c r="N4">
        <v>0</v>
      </c>
      <c r="O4" s="54">
        <f>'TC17-Customer Change Order'!C4</f>
        <v>620</v>
      </c>
      <c r="P4" t="s">
        <v>271</v>
      </c>
      <c r="Q4">
        <f>'TC17-Customer Change Order'!D4</f>
        <v>0</v>
      </c>
      <c r="R4" t="s">
        <v>271</v>
      </c>
      <c r="S4">
        <f>'TC17-Customer Change Order'!F4</f>
        <v>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5" t="e">
        <f>#REF!</f>
        <v>#REF!</v>
      </c>
      <c r="D5" t="e">
        <f ca="1">'TC15-AutoGen CO'!A2</f>
        <v>#REF!</v>
      </c>
      <c r="E5" s="56" t="s">
        <v>73</v>
      </c>
      <c r="F5" s="57" t="e">
        <f>#REF!</f>
        <v>#REF!</v>
      </c>
      <c r="G5" s="54" t="e">
        <f>#REF!</f>
        <v>#REF!</v>
      </c>
      <c r="H5" s="54">
        <f>'TC17-Customer Change Order'!B5</f>
        <v>620</v>
      </c>
      <c r="I5" s="58">
        <f>'TC2-Contract Parts Info'!R5</f>
        <v>2.0499999999999998</v>
      </c>
      <c r="J5" s="54" t="str">
        <f>'TC2-Contract Parts Info'!Q5</f>
        <v>USD</v>
      </c>
      <c r="K5" t="s">
        <v>276</v>
      </c>
      <c r="L5">
        <v>0</v>
      </c>
      <c r="M5">
        <v>0</v>
      </c>
      <c r="N5">
        <v>0</v>
      </c>
      <c r="O5" s="54">
        <f>'TC17-Customer Change Order'!C5</f>
        <v>620</v>
      </c>
      <c r="P5" t="s">
        <v>271</v>
      </c>
      <c r="Q5">
        <f>'TC17-Customer Change Order'!D5</f>
        <v>0</v>
      </c>
      <c r="R5" t="s">
        <v>271</v>
      </c>
      <c r="S5">
        <f>'TC17-Customer Change Order'!F5</f>
        <v>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5" t="e">
        <f>#REF!</f>
        <v>#REF!</v>
      </c>
      <c r="D6" t="e">
        <f ca="1">'TC15-AutoGen CO'!A2</f>
        <v>#REF!</v>
      </c>
      <c r="E6" s="56" t="s">
        <v>73</v>
      </c>
      <c r="F6" s="57" t="e">
        <f>#REF!</f>
        <v>#REF!</v>
      </c>
      <c r="G6" s="54" t="e">
        <f>#REF!</f>
        <v>#REF!</v>
      </c>
      <c r="H6" s="54">
        <f>'TC17-Customer Change Order'!B6</f>
        <v>600</v>
      </c>
      <c r="I6" s="58">
        <f>'TC2-Contract Parts Info'!R6</f>
        <v>2.0499999999999998</v>
      </c>
      <c r="J6" s="54" t="str">
        <f>'TC2-Contract Parts Info'!Q6</f>
        <v>USD</v>
      </c>
      <c r="K6" t="s">
        <v>102</v>
      </c>
      <c r="L6">
        <v>0</v>
      </c>
      <c r="M6">
        <v>0</v>
      </c>
      <c r="N6">
        <v>0</v>
      </c>
      <c r="O6" s="54">
        <f>'TC17-Customer Change Order'!C6</f>
        <v>600</v>
      </c>
      <c r="P6" t="s">
        <v>271</v>
      </c>
      <c r="Q6">
        <f>'TC17-Customer Change Order'!D6</f>
        <v>0</v>
      </c>
      <c r="R6" t="s">
        <v>271</v>
      </c>
      <c r="S6" s="54">
        <f>O6</f>
        <v>600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5" t="e">
        <f>#REF!</f>
        <v>#REF!</v>
      </c>
      <c r="D7" t="e">
        <f ca="1">'TC15-AutoGen CO'!A2</f>
        <v>#REF!</v>
      </c>
      <c r="E7" s="56" t="s">
        <v>73</v>
      </c>
      <c r="F7" s="57" t="e">
        <f>#REF!</f>
        <v>#REF!</v>
      </c>
      <c r="G7" s="54" t="e">
        <f>#REF!</f>
        <v>#REF!</v>
      </c>
      <c r="H7" s="54">
        <f>'TC17-Customer Change Order'!B7</f>
        <v>820</v>
      </c>
      <c r="I7" s="58">
        <f>'TC2-Contract Parts Info'!R7</f>
        <v>2.0499999999999998</v>
      </c>
      <c r="J7" s="54" t="str">
        <f>'TC2-Contract Parts Info'!Q7</f>
        <v>USD</v>
      </c>
      <c r="K7" t="s">
        <v>276</v>
      </c>
      <c r="L7">
        <v>0</v>
      </c>
      <c r="M7">
        <v>0</v>
      </c>
      <c r="N7">
        <v>0</v>
      </c>
      <c r="O7" s="54">
        <f>'TC17-Customer Change Order'!C7</f>
        <v>620</v>
      </c>
      <c r="P7" t="s">
        <v>271</v>
      </c>
      <c r="Q7">
        <f>'TC17-Customer Change Order'!D7</f>
        <v>200</v>
      </c>
      <c r="R7" t="s">
        <v>271</v>
      </c>
      <c r="S7">
        <f>'TC17-Customer Change Order'!F7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BDAD4-C034-42AA-BA40-26209FBBD22C}">
  <dimension ref="A1:R7"/>
  <sheetViews>
    <sheetView topLeftCell="D1" workbookViewId="0">
      <selection activeCell="A2" sqref="A2:B2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8" width="15.77734375" customWidth="1" collapsed="1"/>
  </cols>
  <sheetData>
    <row r="1" spans="1:18" x14ac:dyDescent="0.3">
      <c r="A1" t="s">
        <v>2</v>
      </c>
      <c r="B1" t="s">
        <v>1</v>
      </c>
      <c r="C1" t="s">
        <v>5</v>
      </c>
      <c r="D1" t="s">
        <v>126</v>
      </c>
      <c r="E1" t="s">
        <v>263</v>
      </c>
      <c r="F1" t="s">
        <v>12</v>
      </c>
      <c r="G1" t="s">
        <v>11</v>
      </c>
      <c r="H1" t="s">
        <v>265</v>
      </c>
      <c r="I1" t="s">
        <v>285</v>
      </c>
      <c r="J1" t="s">
        <v>266</v>
      </c>
      <c r="K1" t="s">
        <v>146</v>
      </c>
      <c r="L1" t="s">
        <v>101</v>
      </c>
      <c r="M1" t="s">
        <v>267</v>
      </c>
      <c r="N1" t="s">
        <v>281</v>
      </c>
      <c r="O1" t="s">
        <v>282</v>
      </c>
      <c r="P1" t="s">
        <v>283</v>
      </c>
      <c r="Q1" t="s">
        <v>284</v>
      </c>
      <c r="R1" t="s">
        <v>270</v>
      </c>
    </row>
    <row r="2" spans="1:18" x14ac:dyDescent="0.3">
      <c r="A2" t="str">
        <f>'TC2-Contract Parts Info'!B2</f>
        <v>s1001</v>
      </c>
      <c r="B2" t="e">
        <f>#REF!</f>
        <v>#REF!</v>
      </c>
      <c r="C2" s="55" t="e">
        <f>#REF!</f>
        <v>#REF!</v>
      </c>
      <c r="D2" t="e">
        <f ca="1">'TC20-Autogen SOPO'!A2</f>
        <v>#REF!</v>
      </c>
      <c r="E2" s="56" t="s">
        <v>94</v>
      </c>
      <c r="F2" s="57" t="e">
        <f>#REF!</f>
        <v>#REF!</v>
      </c>
      <c r="G2" s="54" t="e">
        <f>#REF!</f>
        <v>#REF!</v>
      </c>
      <c r="H2" s="54">
        <f>'TC17-Customer Change Order'!B2</f>
        <v>1620</v>
      </c>
      <c r="I2">
        <v>0</v>
      </c>
      <c r="J2" s="58">
        <f>'TC2-Contract Parts Info'!R2</f>
        <v>2.0499999999999998</v>
      </c>
      <c r="K2" s="54" t="str">
        <f>'TC2-Contract Parts Info'!Q2</f>
        <v>USD</v>
      </c>
      <c r="L2" t="s">
        <v>102</v>
      </c>
      <c r="M2">
        <v>0</v>
      </c>
      <c r="N2" s="54">
        <f>'TC17-Customer Change Order'!C2</f>
        <v>1620</v>
      </c>
      <c r="O2" t="s">
        <v>271</v>
      </c>
      <c r="P2">
        <f>'TC17-Customer Change Order'!D2</f>
        <v>0</v>
      </c>
      <c r="Q2" t="s">
        <v>271</v>
      </c>
      <c r="R2" s="54">
        <f>N2</f>
        <v>1620</v>
      </c>
    </row>
    <row r="3" spans="1:18" x14ac:dyDescent="0.3">
      <c r="A3" t="str">
        <f>'TC2-Contract Parts Info'!B3</f>
        <v>s1002</v>
      </c>
      <c r="B3" t="e">
        <f>#REF!</f>
        <v>#REF!</v>
      </c>
      <c r="C3" s="55" t="e">
        <f>#REF!</f>
        <v>#REF!</v>
      </c>
      <c r="D3" t="e">
        <f ca="1">'TC20-Autogen SOPO'!A2</f>
        <v>#REF!</v>
      </c>
      <c r="E3" s="56" t="s">
        <v>94</v>
      </c>
      <c r="F3" s="57" t="e">
        <f>#REF!</f>
        <v>#REF!</v>
      </c>
      <c r="G3" s="54" t="e">
        <f>#REF!</f>
        <v>#REF!</v>
      </c>
      <c r="H3" s="54">
        <f>'TC17-Customer Change Order'!B3</f>
        <v>1620</v>
      </c>
      <c r="I3">
        <v>0</v>
      </c>
      <c r="J3" s="58">
        <f>'TC2-Contract Parts Info'!R3</f>
        <v>2.0499999999999998</v>
      </c>
      <c r="K3" s="54" t="str">
        <f>'TC2-Contract Parts Info'!Q3</f>
        <v>USD</v>
      </c>
      <c r="L3" t="s">
        <v>102</v>
      </c>
      <c r="M3">
        <v>0</v>
      </c>
      <c r="N3" s="54">
        <f>'TC17-Customer Change Order'!C3</f>
        <v>1620</v>
      </c>
      <c r="O3" t="s">
        <v>271</v>
      </c>
      <c r="P3">
        <f>'TC17-Customer Change Order'!D3</f>
        <v>0</v>
      </c>
      <c r="Q3" t="s">
        <v>271</v>
      </c>
      <c r="R3" s="54">
        <f>N3</f>
        <v>1620</v>
      </c>
    </row>
    <row r="4" spans="1:18" x14ac:dyDescent="0.3">
      <c r="A4" t="str">
        <f>'TC2-Contract Parts Info'!B4</f>
        <v>s1003</v>
      </c>
      <c r="B4" t="e">
        <f>#REF!</f>
        <v>#REF!</v>
      </c>
      <c r="C4" s="55" t="e">
        <f>#REF!</f>
        <v>#REF!</v>
      </c>
      <c r="D4" t="e">
        <f ca="1">'TC20-Autogen SOPO'!A2</f>
        <v>#REF!</v>
      </c>
      <c r="E4" s="56" t="s">
        <v>83</v>
      </c>
      <c r="F4" s="57" t="e">
        <f>#REF!</f>
        <v>#REF!</v>
      </c>
      <c r="G4" s="54" t="e">
        <f>#REF!</f>
        <v>#REF!</v>
      </c>
      <c r="H4" s="54">
        <f>'TC17-Customer Change Order'!B4</f>
        <v>620</v>
      </c>
      <c r="I4">
        <v>0</v>
      </c>
      <c r="J4" s="58">
        <f>'TC2-Contract Parts Info'!R4</f>
        <v>2.0499999999999998</v>
      </c>
      <c r="K4" s="54" t="str">
        <f>'TC2-Contract Parts Info'!Q4</f>
        <v>USD</v>
      </c>
      <c r="L4" t="s">
        <v>276</v>
      </c>
      <c r="M4">
        <v>0</v>
      </c>
      <c r="N4" s="54">
        <f>'TC17-Customer Change Order'!C4</f>
        <v>620</v>
      </c>
      <c r="O4" t="s">
        <v>271</v>
      </c>
      <c r="P4">
        <f>'TC17-Customer Change Order'!D4</f>
        <v>0</v>
      </c>
      <c r="Q4" t="s">
        <v>271</v>
      </c>
      <c r="R4">
        <f>'TC17-Customer Change Order'!F4</f>
        <v>0</v>
      </c>
    </row>
    <row r="5" spans="1:18" x14ac:dyDescent="0.3">
      <c r="A5" t="str">
        <f>'TC2-Contract Parts Info'!B5</f>
        <v>s1004</v>
      </c>
      <c r="B5" t="e">
        <f>#REF!</f>
        <v>#REF!</v>
      </c>
      <c r="C5" s="55" t="e">
        <f>#REF!</f>
        <v>#REF!</v>
      </c>
      <c r="D5" t="e">
        <f ca="1">'TC20-Autogen SOPO'!A2</f>
        <v>#REF!</v>
      </c>
      <c r="E5" s="56" t="s">
        <v>83</v>
      </c>
      <c r="F5" s="57" t="e">
        <f>#REF!</f>
        <v>#REF!</v>
      </c>
      <c r="G5" s="54" t="e">
        <f>#REF!</f>
        <v>#REF!</v>
      </c>
      <c r="H5" s="54">
        <f>'TC17-Customer Change Order'!B5</f>
        <v>620</v>
      </c>
      <c r="I5">
        <v>0</v>
      </c>
      <c r="J5" s="58">
        <f>'TC2-Contract Parts Info'!R5</f>
        <v>2.0499999999999998</v>
      </c>
      <c r="K5" s="54" t="str">
        <f>'TC2-Contract Parts Info'!Q5</f>
        <v>USD</v>
      </c>
      <c r="L5" t="s">
        <v>276</v>
      </c>
      <c r="M5">
        <v>0</v>
      </c>
      <c r="N5" s="54">
        <f>'TC17-Customer Change Order'!C5</f>
        <v>620</v>
      </c>
      <c r="O5" t="s">
        <v>271</v>
      </c>
      <c r="P5">
        <f>'TC17-Customer Change Order'!D5</f>
        <v>0</v>
      </c>
      <c r="Q5" t="s">
        <v>271</v>
      </c>
      <c r="R5">
        <f>'TC17-Customer Change Order'!F5</f>
        <v>0</v>
      </c>
    </row>
    <row r="6" spans="1:18" x14ac:dyDescent="0.3">
      <c r="A6" t="str">
        <f>'TC2-Contract Parts Info'!B6</f>
        <v>s1005</v>
      </c>
      <c r="B6" t="e">
        <f>#REF!</f>
        <v>#REF!</v>
      </c>
      <c r="C6" s="55" t="e">
        <f>#REF!</f>
        <v>#REF!</v>
      </c>
      <c r="D6" t="e">
        <f ca="1">'TC20-Autogen SOPO'!A2</f>
        <v>#REF!</v>
      </c>
      <c r="E6" s="56" t="s">
        <v>94</v>
      </c>
      <c r="F6" s="57" t="e">
        <f>#REF!</f>
        <v>#REF!</v>
      </c>
      <c r="G6" s="54" t="e">
        <f>#REF!</f>
        <v>#REF!</v>
      </c>
      <c r="H6" s="54">
        <f>'TC17-Customer Change Order'!B6</f>
        <v>600</v>
      </c>
      <c r="I6">
        <v>0</v>
      </c>
      <c r="J6" s="58">
        <f>'TC2-Contract Parts Info'!R6</f>
        <v>2.0499999999999998</v>
      </c>
      <c r="K6" s="54" t="str">
        <f>'TC2-Contract Parts Info'!Q6</f>
        <v>USD</v>
      </c>
      <c r="L6" t="s">
        <v>102</v>
      </c>
      <c r="M6">
        <v>0</v>
      </c>
      <c r="N6" s="54">
        <f>'TC17-Customer Change Order'!C6</f>
        <v>600</v>
      </c>
      <c r="O6" t="s">
        <v>271</v>
      </c>
      <c r="P6">
        <f>'TC17-Customer Change Order'!D6</f>
        <v>0</v>
      </c>
      <c r="Q6" t="s">
        <v>271</v>
      </c>
      <c r="R6" s="54">
        <f>N6</f>
        <v>600</v>
      </c>
    </row>
    <row r="7" spans="1:18" x14ac:dyDescent="0.3">
      <c r="A7" t="str">
        <f>'TC2-Contract Parts Info'!B7</f>
        <v>s1006</v>
      </c>
      <c r="B7" t="e">
        <f>#REF!</f>
        <v>#REF!</v>
      </c>
      <c r="C7" s="55" t="e">
        <f>#REF!</f>
        <v>#REF!</v>
      </c>
      <c r="D7" t="e">
        <f ca="1">'TC20-Autogen SOPO'!A2</f>
        <v>#REF!</v>
      </c>
      <c r="E7" s="56" t="s">
        <v>83</v>
      </c>
      <c r="F7" s="57" t="e">
        <f>#REF!</f>
        <v>#REF!</v>
      </c>
      <c r="G7" s="54" t="e">
        <f>#REF!</f>
        <v>#REF!</v>
      </c>
      <c r="H7" s="54">
        <f>'TC17-Customer Change Order'!B7</f>
        <v>820</v>
      </c>
      <c r="I7">
        <v>0</v>
      </c>
      <c r="J7" s="58">
        <f>'TC2-Contract Parts Info'!R7</f>
        <v>2.0499999999999998</v>
      </c>
      <c r="K7" s="54" t="str">
        <f>'TC2-Contract Parts Info'!Q7</f>
        <v>USD</v>
      </c>
      <c r="L7" t="s">
        <v>276</v>
      </c>
      <c r="M7">
        <v>0</v>
      </c>
      <c r="N7" s="54">
        <f>'TC17-Customer Change Order'!C7</f>
        <v>620</v>
      </c>
      <c r="O7" t="s">
        <v>271</v>
      </c>
      <c r="P7">
        <f>'TC17-Customer Change Order'!D7</f>
        <v>200</v>
      </c>
      <c r="Q7" t="s">
        <v>271</v>
      </c>
      <c r="R7">
        <f>'TC17-Customer Change Order'!F7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F334-B2B4-4D08-8DCE-568F4C300C96}">
  <dimension ref="A1:D7"/>
  <sheetViews>
    <sheetView workbookViewId="0">
      <selection activeCell="A2" sqref="A2:B2"/>
    </sheetView>
  </sheetViews>
  <sheetFormatPr defaultRowHeight="13.8" x14ac:dyDescent="0.3"/>
  <cols>
    <col min="1" max="5" width="20.77734375" style="6" customWidth="1" collapsed="1"/>
    <col min="6" max="16384" width="8.88671875" style="6" collapsed="1"/>
  </cols>
  <sheetData>
    <row r="1" spans="1:4" x14ac:dyDescent="0.3">
      <c r="A1" s="6" t="s">
        <v>133</v>
      </c>
      <c r="B1" s="6" t="s">
        <v>187</v>
      </c>
      <c r="C1" s="59" t="s">
        <v>286</v>
      </c>
      <c r="D1" s="59" t="s">
        <v>287</v>
      </c>
    </row>
    <row r="2" spans="1:4" x14ac:dyDescent="0.3">
      <c r="A2" s="2" t="s">
        <v>150</v>
      </c>
      <c r="B2" s="52">
        <v>0</v>
      </c>
      <c r="C2" s="52"/>
      <c r="D2" s="52"/>
    </row>
    <row r="3" spans="1:4" x14ac:dyDescent="0.3">
      <c r="A3" s="2" t="s">
        <v>155</v>
      </c>
      <c r="B3" s="52">
        <v>0</v>
      </c>
      <c r="C3" s="52"/>
      <c r="D3" s="52"/>
    </row>
    <row r="4" spans="1:4" x14ac:dyDescent="0.3">
      <c r="A4" s="2" t="s">
        <v>158</v>
      </c>
      <c r="B4" s="52">
        <v>660</v>
      </c>
      <c r="C4" s="52"/>
      <c r="D4" s="52">
        <v>660</v>
      </c>
    </row>
    <row r="5" spans="1:4" x14ac:dyDescent="0.3">
      <c r="A5" s="2" t="s">
        <v>161</v>
      </c>
      <c r="B5" s="52">
        <v>660</v>
      </c>
      <c r="C5" s="52">
        <v>660</v>
      </c>
      <c r="D5" s="52"/>
    </row>
    <row r="6" spans="1:4" x14ac:dyDescent="0.3">
      <c r="A6" s="2" t="s">
        <v>163</v>
      </c>
      <c r="B6" s="52">
        <v>0</v>
      </c>
      <c r="C6" s="52"/>
      <c r="D6" s="52"/>
    </row>
    <row r="7" spans="1:4" x14ac:dyDescent="0.3">
      <c r="A7" s="2" t="s">
        <v>166</v>
      </c>
      <c r="B7" s="52">
        <v>660</v>
      </c>
      <c r="C7" s="52">
        <v>600</v>
      </c>
      <c r="D7" s="52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dimension ref="A1:X2"/>
  <sheetViews>
    <sheetView topLeftCell="N1" zoomScale="90" zoomScaleNormal="90" workbookViewId="0">
      <selection activeCell="X1" sqref="X1"/>
    </sheetView>
  </sheetViews>
  <sheetFormatPr defaultColWidth="8.88671875" defaultRowHeight="13.8" x14ac:dyDescent="0.3"/>
  <cols>
    <col min="1" max="24" width="20.77734375" style="6" customWidth="1" collapsed="1"/>
    <col min="25" max="16384" width="8.88671875" style="6" collapsed="1"/>
  </cols>
  <sheetData>
    <row r="1" spans="1:24" x14ac:dyDescent="0.3">
      <c r="A1" s="14" t="s">
        <v>41</v>
      </c>
      <c r="B1" s="14" t="s">
        <v>42</v>
      </c>
      <c r="C1" s="14" t="s">
        <v>43</v>
      </c>
      <c r="D1" s="14" t="s">
        <v>44</v>
      </c>
      <c r="E1" s="14" t="s">
        <v>45</v>
      </c>
      <c r="F1" s="14" t="s">
        <v>46</v>
      </c>
      <c r="G1" s="17" t="s">
        <v>47</v>
      </c>
      <c r="H1" s="17" t="s">
        <v>48</v>
      </c>
      <c r="I1" s="14" t="s">
        <v>49</v>
      </c>
      <c r="J1" s="14" t="s">
        <v>50</v>
      </c>
      <c r="K1" s="14" t="s">
        <v>51</v>
      </c>
      <c r="L1" s="14" t="s">
        <v>52</v>
      </c>
      <c r="M1" s="14" t="s">
        <v>53</v>
      </c>
      <c r="N1" s="14" t="s">
        <v>54</v>
      </c>
      <c r="O1" s="15" t="s">
        <v>55</v>
      </c>
      <c r="P1" s="14" t="s">
        <v>56</v>
      </c>
      <c r="Q1" s="14" t="s">
        <v>57</v>
      </c>
      <c r="R1" s="14" t="s">
        <v>58</v>
      </c>
      <c r="S1" s="14" t="s">
        <v>59</v>
      </c>
      <c r="T1" s="14" t="s">
        <v>60</v>
      </c>
      <c r="U1" s="14" t="s">
        <v>61</v>
      </c>
      <c r="V1" s="14" t="s">
        <v>62</v>
      </c>
      <c r="W1" s="14" t="s">
        <v>63</v>
      </c>
      <c r="X1" s="15" t="s">
        <v>64</v>
      </c>
    </row>
    <row r="2" spans="1:24" s="16" customFormat="1" x14ac:dyDescent="0.3">
      <c r="A2" s="14" t="str">
        <f>"PKDC1-PKCUS-"&amp;AutoIncrement!B2</f>
        <v>PKDC1-PKCUS-S2</v>
      </c>
      <c r="B2" s="14" t="str">
        <f>A2</f>
        <v>PKDC1-PKCUS-S2</v>
      </c>
      <c r="C2" s="14" t="s">
        <v>65</v>
      </c>
      <c r="D2" s="14" t="s">
        <v>66</v>
      </c>
      <c r="E2" s="14" t="s">
        <v>71</v>
      </c>
      <c r="F2" s="14" t="s">
        <v>71</v>
      </c>
      <c r="G2" s="14"/>
      <c r="H2" s="14"/>
      <c r="I2" s="14" t="s">
        <v>72</v>
      </c>
      <c r="J2" s="14" t="s">
        <v>73</v>
      </c>
      <c r="K2" s="1"/>
      <c r="L2" s="1"/>
      <c r="M2" s="14">
        <v>3</v>
      </c>
      <c r="N2" s="14">
        <v>2</v>
      </c>
      <c r="O2" s="14" t="s">
        <v>69</v>
      </c>
      <c r="P2" s="14">
        <v>0</v>
      </c>
      <c r="Q2" s="14">
        <v>0</v>
      </c>
      <c r="R2" s="14">
        <v>12</v>
      </c>
      <c r="S2" s="14">
        <v>6</v>
      </c>
      <c r="T2" s="14">
        <v>2023</v>
      </c>
      <c r="U2" s="14">
        <v>31</v>
      </c>
      <c r="V2" s="14">
        <v>12</v>
      </c>
      <c r="W2" s="14">
        <v>2024</v>
      </c>
      <c r="X2" s="14" t="s">
        <v>70</v>
      </c>
    </row>
  </sheetData>
  <hyperlinks>
    <hyperlink ref="O1" location="RANGE!A1" display="ETDWeekDay (click here to set ETD days)" xr:uid="{73188C82-9E8A-4F51-AD5C-E3A9A300D608}"/>
    <hyperlink ref="X1" location="RANGE!A1" display="Shipping Frequency Weeks (Click here to add week)" xr:uid="{225678DC-4196-458E-9DC0-79A12F6990E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F0353-458C-4703-B1CE-8EF136E82D34}">
  <dimension ref="A1:B5"/>
  <sheetViews>
    <sheetView topLeftCell="A4" workbookViewId="0">
      <selection activeCell="A2" sqref="A2:B2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2310</v>
      </c>
    </row>
    <row r="4" spans="1:2" x14ac:dyDescent="0.3">
      <c r="A4" s="6" t="s">
        <v>238</v>
      </c>
      <c r="B4" s="6" t="s">
        <v>239</v>
      </c>
    </row>
    <row r="5" spans="1:2" x14ac:dyDescent="0.3">
      <c r="A5" t="str">
        <f ca="1">TEXT(DATE(YEAR(TODAY()), MONTH(TODAY())+1, DAY(TODAY())), "dd MMM yyyy")</f>
        <v>25 Nov 2023</v>
      </c>
      <c r="B5" t="str">
        <f ca="1">TEXT(DATE(YEAR(TODAY()), MONTH(TODAY())+2, DAY(TODAY())), "dd MMM yyyy")</f>
        <v>25 Dec 2023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1D7A-248C-44B7-8BE1-5E2539C215C3}">
  <dimension ref="A1:Q2"/>
  <sheetViews>
    <sheetView tabSelected="1" topLeftCell="F1" workbookViewId="0">
      <selection activeCell="M7" sqref="M7"/>
    </sheetView>
  </sheetViews>
  <sheetFormatPr defaultRowHeight="14.4" x14ac:dyDescent="0.3"/>
  <cols>
    <col min="2" max="2" width="20.5546875" bestFit="1" customWidth="1"/>
    <col min="3" max="3" width="22" bestFit="1" customWidth="1"/>
    <col min="4" max="4" width="12.21875" bestFit="1" customWidth="1"/>
    <col min="5" max="6" width="12.21875" customWidth="1"/>
    <col min="7" max="8" width="8.88671875" bestFit="1" customWidth="1"/>
    <col min="9" max="9" width="8.88671875" customWidth="1"/>
    <col min="10" max="10" width="8.88671875" bestFit="1" customWidth="1"/>
    <col min="11" max="11" width="21.6640625" bestFit="1" customWidth="1"/>
    <col min="12" max="13" width="13.33203125" bestFit="1" customWidth="1"/>
    <col min="14" max="17" width="12.21875" bestFit="1" customWidth="1"/>
  </cols>
  <sheetData>
    <row r="1" spans="1:17" ht="15" thickBot="1" x14ac:dyDescent="0.35">
      <c r="A1" s="22" t="s">
        <v>0</v>
      </c>
      <c r="B1" s="23" t="s">
        <v>391</v>
      </c>
      <c r="C1" s="23" t="s">
        <v>385</v>
      </c>
      <c r="D1" s="23" t="s">
        <v>251</v>
      </c>
      <c r="E1" s="23" t="s">
        <v>386</v>
      </c>
      <c r="F1" s="23" t="s">
        <v>387</v>
      </c>
      <c r="G1" s="23" t="s">
        <v>388</v>
      </c>
      <c r="H1" s="23" t="s">
        <v>399</v>
      </c>
      <c r="I1" s="23" t="s">
        <v>401</v>
      </c>
      <c r="J1" s="23" t="s">
        <v>400</v>
      </c>
      <c r="K1" s="23" t="s">
        <v>390</v>
      </c>
      <c r="L1" s="23" t="s">
        <v>392</v>
      </c>
      <c r="M1" s="23" t="s">
        <v>393</v>
      </c>
      <c r="N1" s="23" t="s">
        <v>394</v>
      </c>
      <c r="O1" s="23" t="s">
        <v>395</v>
      </c>
      <c r="P1" s="23" t="s">
        <v>396</v>
      </c>
      <c r="Q1" s="24" t="s">
        <v>397</v>
      </c>
    </row>
    <row r="2" spans="1:17" ht="15" thickBot="1" x14ac:dyDescent="0.35">
      <c r="A2" s="19">
        <v>1</v>
      </c>
      <c r="B2" s="20" t="s">
        <v>383</v>
      </c>
      <c r="C2" s="20" t="s">
        <v>389</v>
      </c>
      <c r="D2" s="20" t="s">
        <v>83</v>
      </c>
      <c r="E2" s="20">
        <v>0</v>
      </c>
      <c r="F2" s="20">
        <v>0</v>
      </c>
      <c r="G2" s="20">
        <v>660</v>
      </c>
      <c r="H2" s="20">
        <v>660</v>
      </c>
      <c r="I2" s="20">
        <v>0</v>
      </c>
      <c r="J2" s="20">
        <v>660</v>
      </c>
      <c r="K2" s="20" t="s">
        <v>398</v>
      </c>
      <c r="L2" s="63">
        <v>45590</v>
      </c>
      <c r="M2" s="63">
        <v>45591</v>
      </c>
      <c r="N2" s="20">
        <v>660</v>
      </c>
      <c r="O2" s="20">
        <v>660</v>
      </c>
      <c r="P2" s="20">
        <v>600</v>
      </c>
      <c r="Q2" s="21">
        <v>60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CB56-DBF8-4468-9CB3-E79B0E871C66}">
  <dimension ref="A1:G3"/>
  <sheetViews>
    <sheetView workbookViewId="0">
      <selection activeCell="A2" sqref="A2:B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288</v>
      </c>
      <c r="B1" t="s">
        <v>240</v>
      </c>
      <c r="C1" t="s">
        <v>241</v>
      </c>
      <c r="D1" t="s">
        <v>244</v>
      </c>
      <c r="E1" t="s">
        <v>245</v>
      </c>
      <c r="F1" t="s">
        <v>246</v>
      </c>
      <c r="G1" s="51" t="str">
        <f ca="1">TEXT(DATE(YEAR(TODAY()), MONTH(TODAY()), DAY(TODAY())), "yymm")</f>
        <v>2310</v>
      </c>
    </row>
    <row r="2" spans="1:7" x14ac:dyDescent="0.3">
      <c r="A2" t="e">
        <f ca="1">"c"&amp;#REF!&amp;"B1"&amp;#REF!&amp;"-"&amp;G1&amp;"002"</f>
        <v>#REF!</v>
      </c>
      <c r="B2" t="e">
        <f ca="1">"s"&amp;#REF!&amp;"B1"&amp;#REF!&amp;"-"&amp;G1&amp;"002"</f>
        <v>#REF!</v>
      </c>
      <c r="C2" t="e">
        <f ca="1">"p"&amp;#REF!&amp;"B3"&amp;#REF!&amp;"-"&amp;G1&amp;"002"</f>
        <v>#REF!</v>
      </c>
      <c r="D2" t="e">
        <f ca="1">"s"&amp;#REF!&amp;"B3"&amp;#REF!&amp;"-"&amp;G1&amp;"002"</f>
        <v>#REF!</v>
      </c>
      <c r="E2" t="e">
        <f ca="1">"p"&amp;#REF!&amp;"S1"&amp;#REF!&amp;"-"&amp;G1&amp;"002"</f>
        <v>#REF!</v>
      </c>
      <c r="F2" t="e">
        <f ca="1">"s"&amp;#REF!&amp;"S1"&amp;#REF!&amp;"-"&amp;G1&amp;"002"</f>
        <v>#REF!</v>
      </c>
    </row>
    <row r="3" spans="1:7" x14ac:dyDescent="0.3">
      <c r="B3" s="64" t="s">
        <v>130</v>
      </c>
      <c r="C3" s="64"/>
      <c r="D3" s="64" t="s">
        <v>131</v>
      </c>
      <c r="E3" s="64"/>
      <c r="F3" t="s">
        <v>83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CC23-95B7-4EA2-AC5F-4294B9F0CACD}">
  <dimension ref="A1:C2"/>
  <sheetViews>
    <sheetView workbookViewId="0">
      <selection activeCell="C8" sqref="C8"/>
    </sheetView>
  </sheetViews>
  <sheetFormatPr defaultRowHeight="14.4" x14ac:dyDescent="0.3"/>
  <cols>
    <col min="1" max="1" width="3.44140625" bestFit="1" customWidth="1" collapsed="1"/>
    <col min="2" max="2" width="24.77734375" bestFit="1" customWidth="1" collapsed="1"/>
    <col min="3" max="3" width="15.5546875" bestFit="1" customWidth="1" collapsed="1"/>
  </cols>
  <sheetData>
    <row r="1" spans="1:3" ht="15" thickBot="1" x14ac:dyDescent="0.35">
      <c r="A1" s="22" t="s">
        <v>0</v>
      </c>
      <c r="B1" s="23" t="s">
        <v>110</v>
      </c>
      <c r="C1" s="24" t="s">
        <v>122</v>
      </c>
    </row>
    <row r="2" spans="1:3" ht="15" thickBot="1" x14ac:dyDescent="0.35">
      <c r="A2" s="19">
        <v>1</v>
      </c>
      <c r="B2" s="20" t="s">
        <v>123</v>
      </c>
      <c r="C2" t="s">
        <v>124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298F2-AA7D-406E-8B3A-553EE1534D12}">
  <dimension ref="A1:J2"/>
  <sheetViews>
    <sheetView workbookViewId="0">
      <selection activeCell="I17" sqref="I17"/>
    </sheetView>
  </sheetViews>
  <sheetFormatPr defaultRowHeight="14.4" x14ac:dyDescent="0.3"/>
  <cols>
    <col min="1" max="1" width="3.44140625" bestFit="1" customWidth="1" collapsed="1"/>
    <col min="2" max="2" width="13.77734375" bestFit="1" customWidth="1" collapsed="1"/>
    <col min="3" max="3" width="19.5546875" bestFit="1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0.21875" bestFit="1" customWidth="1" collapsed="1"/>
  </cols>
  <sheetData>
    <row r="1" spans="1:10" ht="15" thickBot="1" x14ac:dyDescent="0.35">
      <c r="A1" s="22" t="s">
        <v>0</v>
      </c>
      <c r="B1" s="23" t="s">
        <v>98</v>
      </c>
      <c r="C1" s="23" t="s">
        <v>110</v>
      </c>
      <c r="D1" s="23" t="s">
        <v>97</v>
      </c>
      <c r="E1" s="23" t="s">
        <v>101</v>
      </c>
      <c r="F1" s="23" t="s">
        <v>103</v>
      </c>
      <c r="G1" s="23" t="s">
        <v>44</v>
      </c>
      <c r="H1" s="23" t="s">
        <v>105</v>
      </c>
      <c r="I1" s="23" t="s">
        <v>107</v>
      </c>
      <c r="J1" s="24" t="s">
        <v>108</v>
      </c>
    </row>
    <row r="2" spans="1:10" ht="15" thickBot="1" x14ac:dyDescent="0.35">
      <c r="A2" s="19">
        <v>1</v>
      </c>
      <c r="B2" s="20" t="s">
        <v>99</v>
      </c>
      <c r="C2" t="s">
        <v>113</v>
      </c>
      <c r="D2" s="20" t="s">
        <v>100</v>
      </c>
      <c r="E2" s="20" t="s">
        <v>125</v>
      </c>
      <c r="F2" s="20" t="s">
        <v>104</v>
      </c>
      <c r="G2" s="20" t="s">
        <v>74</v>
      </c>
      <c r="H2" s="20" t="s">
        <v>106</v>
      </c>
      <c r="I2" s="20" t="s">
        <v>72</v>
      </c>
      <c r="J2" s="21" t="s">
        <v>109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E5F4-EC41-4446-892C-7888E306505A}">
  <dimension ref="A1:C2"/>
  <sheetViews>
    <sheetView workbookViewId="0">
      <selection activeCell="B2" sqref="B2"/>
    </sheetView>
  </sheetViews>
  <sheetFormatPr defaultRowHeight="14.4" x14ac:dyDescent="0.3"/>
  <cols>
    <col min="2" max="2" width="13.33203125" bestFit="1" customWidth="1"/>
  </cols>
  <sheetData>
    <row r="1" spans="1:3" ht="15" thickBot="1" x14ac:dyDescent="0.35">
      <c r="A1" s="22" t="s">
        <v>0</v>
      </c>
      <c r="B1" s="23" t="s">
        <v>126</v>
      </c>
      <c r="C1" s="24" t="s">
        <v>128</v>
      </c>
    </row>
    <row r="2" spans="1:3" ht="15" thickBot="1" x14ac:dyDescent="0.35">
      <c r="A2" s="19">
        <v>1</v>
      </c>
      <c r="B2" s="20" t="s">
        <v>127</v>
      </c>
      <c r="C2" s="21">
        <v>800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CCA1-3537-489C-B0F7-E1B5D29474F5}">
  <dimension ref="A1:D4"/>
  <sheetViews>
    <sheetView workbookViewId="0">
      <selection activeCell="A2" sqref="A2:B2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6" t="s">
        <v>133</v>
      </c>
      <c r="B1" s="6" t="s">
        <v>187</v>
      </c>
      <c r="C1" s="59" t="s">
        <v>286</v>
      </c>
      <c r="D1" s="59" t="s">
        <v>287</v>
      </c>
    </row>
    <row r="2" spans="1:4" x14ac:dyDescent="0.3">
      <c r="A2" s="2" t="s">
        <v>150</v>
      </c>
      <c r="B2" s="52">
        <v>1620</v>
      </c>
      <c r="C2" s="52">
        <v>1620</v>
      </c>
      <c r="D2" s="52"/>
    </row>
    <row r="3" spans="1:4" x14ac:dyDescent="0.3">
      <c r="A3" s="2" t="s">
        <v>155</v>
      </c>
      <c r="B3" s="52">
        <v>1620</v>
      </c>
      <c r="C3" s="52">
        <v>1620</v>
      </c>
      <c r="D3" s="52"/>
    </row>
    <row r="4" spans="1:4" x14ac:dyDescent="0.3">
      <c r="A4" s="2" t="s">
        <v>163</v>
      </c>
      <c r="B4" s="52">
        <v>800</v>
      </c>
      <c r="C4" s="52">
        <v>600</v>
      </c>
      <c r="D4" s="52">
        <v>200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6785-4EC1-441F-B533-96388D672CCF}">
  <dimension ref="A1:B5"/>
  <sheetViews>
    <sheetView topLeftCell="A4" workbookViewId="0">
      <selection activeCell="A2" sqref="A2:B2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2310</v>
      </c>
    </row>
    <row r="4" spans="1:2" x14ac:dyDescent="0.3">
      <c r="A4" s="6" t="s">
        <v>289</v>
      </c>
      <c r="B4" s="6" t="s">
        <v>290</v>
      </c>
    </row>
    <row r="5" spans="1:2" x14ac:dyDescent="0.3">
      <c r="A5" t="str">
        <f ca="1">TEXT(DATE(YEAR(TODAY()), MONTH(TODAY())+1, DAY(TODAY())), "dd MMM yyyy")</f>
        <v>25 Nov 2023</v>
      </c>
      <c r="B5" t="str">
        <f ca="1">TEXT(DATE(YEAR(TODAY()), MONTH(TODAY())+2, DAY(TODAY())), "dd MMM yyyy")</f>
        <v>25 Dec 2023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65CA-1957-476B-8D18-13B867D70C23}">
  <dimension ref="A1:C2"/>
  <sheetViews>
    <sheetView workbookViewId="0">
      <selection activeCell="A2" sqref="A2:B2"/>
    </sheetView>
  </sheetViews>
  <sheetFormatPr defaultRowHeight="14.4" x14ac:dyDescent="0.3"/>
  <cols>
    <col min="1" max="1" width="21" customWidth="1" collapsed="1"/>
    <col min="2" max="2" width="25.6640625" customWidth="1" collapsed="1"/>
    <col min="3" max="3" width="15.33203125" customWidth="1" collapsed="1"/>
  </cols>
  <sheetData>
    <row r="1" spans="1:3" x14ac:dyDescent="0.3">
      <c r="A1" t="s">
        <v>291</v>
      </c>
      <c r="B1" t="s">
        <v>292</v>
      </c>
      <c r="C1" s="51" t="str">
        <f ca="1">TEXT(DATE(YEAR(TODAY()), MONTH(TODAY()), DAY(TODAY())), "yymm")</f>
        <v>2310</v>
      </c>
    </row>
    <row r="2" spans="1:3" x14ac:dyDescent="0.3">
      <c r="A2" s="56" t="e">
        <f ca="1">"rs"&amp;#REF!&amp;"S1"&amp;#REF!&amp;"-"&amp;C1&amp;"002-01"</f>
        <v>#REF!</v>
      </c>
      <c r="B2" t="e">
        <f ca="1">"rs"&amp;#REF!&amp;"S2"&amp;#REF!&amp;"-"&amp;C1&amp;"001-01"</f>
        <v>#REF!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5330-D963-46E9-A33D-18FA050B2752}">
  <dimension ref="A1:D2"/>
  <sheetViews>
    <sheetView workbookViewId="0">
      <selection activeCell="D2" sqref="D2"/>
    </sheetView>
  </sheetViews>
  <sheetFormatPr defaultRowHeight="14.4" x14ac:dyDescent="0.3"/>
  <cols>
    <col min="2" max="2" width="15.88671875" customWidth="1"/>
    <col min="3" max="3" width="10.5546875" bestFit="1" customWidth="1"/>
    <col min="4" max="4" width="22.88671875" bestFit="1" customWidth="1"/>
  </cols>
  <sheetData>
    <row r="1" spans="1:4" ht="15" thickBot="1" x14ac:dyDescent="0.35">
      <c r="A1" s="22" t="s">
        <v>0</v>
      </c>
      <c r="B1" s="23" t="s">
        <v>98</v>
      </c>
      <c r="C1" s="23" t="s">
        <v>128</v>
      </c>
      <c r="D1" s="24" t="s">
        <v>110</v>
      </c>
    </row>
    <row r="2" spans="1:4" ht="15" thickBot="1" x14ac:dyDescent="0.35">
      <c r="A2" s="19">
        <v>1</v>
      </c>
      <c r="B2" s="28" t="s">
        <v>379</v>
      </c>
      <c r="C2" s="20">
        <v>620</v>
      </c>
      <c r="D2" s="32" t="s">
        <v>380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CF95-F25E-4EB3-9ACB-806F5D621DF2}">
  <dimension ref="A1:S7"/>
  <sheetViews>
    <sheetView zoomScale="90" zoomScaleNormal="90" workbookViewId="0">
      <selection activeCell="A2" sqref="A2:B2"/>
    </sheetView>
  </sheetViews>
  <sheetFormatPr defaultRowHeight="13.8" x14ac:dyDescent="0.3"/>
  <cols>
    <col min="1" max="4" width="25.77734375" style="6" customWidth="1" collapsed="1"/>
    <col min="5" max="18" width="15.77734375" style="6" customWidth="1" collapsed="1"/>
    <col min="19" max="19" width="26.6640625" style="6" customWidth="1" collapsed="1"/>
    <col min="20" max="16384" width="8.88671875" style="6" collapsed="1"/>
  </cols>
  <sheetData>
    <row r="1" spans="1:19" x14ac:dyDescent="0.3">
      <c r="A1" s="6" t="s">
        <v>132</v>
      </c>
      <c r="B1" s="6" t="s">
        <v>133</v>
      </c>
      <c r="C1" s="6" t="s">
        <v>134</v>
      </c>
      <c r="D1" s="6" t="s">
        <v>135</v>
      </c>
      <c r="E1" s="6" t="s">
        <v>136</v>
      </c>
      <c r="F1" s="6" t="s">
        <v>137</v>
      </c>
      <c r="G1" s="6" t="s">
        <v>138</v>
      </c>
      <c r="H1" s="6" t="s">
        <v>139</v>
      </c>
      <c r="I1" s="6" t="s">
        <v>140</v>
      </c>
      <c r="J1" s="6" t="s">
        <v>141</v>
      </c>
      <c r="K1" s="6" t="s">
        <v>142</v>
      </c>
      <c r="L1" s="6" t="s">
        <v>143</v>
      </c>
      <c r="M1" s="6" t="s">
        <v>12</v>
      </c>
      <c r="N1" s="6" t="s">
        <v>13</v>
      </c>
      <c r="O1" s="6" t="s">
        <v>144</v>
      </c>
      <c r="P1" s="6" t="s">
        <v>145</v>
      </c>
      <c r="Q1" s="6" t="s">
        <v>146</v>
      </c>
      <c r="R1" s="6" t="s">
        <v>147</v>
      </c>
      <c r="S1" s="6" t="s">
        <v>148</v>
      </c>
    </row>
    <row r="2" spans="1:19" x14ac:dyDescent="0.3">
      <c r="A2" s="2" t="s">
        <v>149</v>
      </c>
      <c r="B2" s="2" t="s">
        <v>150</v>
      </c>
      <c r="C2" s="2" t="s">
        <v>149</v>
      </c>
      <c r="D2" s="36" t="e">
        <f>#REF!</f>
        <v>#REF!</v>
      </c>
      <c r="E2" s="1" t="s">
        <v>151</v>
      </c>
      <c r="F2" s="37">
        <v>20</v>
      </c>
      <c r="G2" s="38">
        <v>100</v>
      </c>
      <c r="H2" s="38">
        <v>1</v>
      </c>
      <c r="I2" s="38">
        <v>1</v>
      </c>
      <c r="J2" s="2" t="s">
        <v>29</v>
      </c>
      <c r="K2" s="33">
        <v>1</v>
      </c>
      <c r="L2" s="34">
        <v>10</v>
      </c>
      <c r="M2" s="39">
        <v>10</v>
      </c>
      <c r="N2" s="39">
        <v>1</v>
      </c>
      <c r="O2" s="35">
        <v>10</v>
      </c>
      <c r="P2" s="35">
        <v>10</v>
      </c>
      <c r="Q2" s="2" t="s">
        <v>152</v>
      </c>
      <c r="R2" s="40">
        <v>2.0499999999999998</v>
      </c>
      <c r="S2" s="41" t="s">
        <v>153</v>
      </c>
    </row>
    <row r="3" spans="1:19" x14ac:dyDescent="0.3">
      <c r="A3" s="2" t="s">
        <v>154</v>
      </c>
      <c r="B3" s="2" t="s">
        <v>155</v>
      </c>
      <c r="C3" s="2" t="s">
        <v>154</v>
      </c>
      <c r="D3" s="36" t="e">
        <f>#REF!</f>
        <v>#REF!</v>
      </c>
      <c r="E3" s="1" t="s">
        <v>156</v>
      </c>
      <c r="F3" s="37">
        <v>20</v>
      </c>
      <c r="G3" s="38">
        <v>100</v>
      </c>
      <c r="H3" s="38">
        <v>1</v>
      </c>
      <c r="I3" s="38">
        <v>1</v>
      </c>
      <c r="J3" s="2" t="s">
        <v>29</v>
      </c>
      <c r="K3" s="33">
        <v>1</v>
      </c>
      <c r="L3" s="34">
        <v>10</v>
      </c>
      <c r="M3" s="39">
        <v>10</v>
      </c>
      <c r="N3" s="39">
        <v>1</v>
      </c>
      <c r="O3" s="35">
        <v>10</v>
      </c>
      <c r="P3" s="35">
        <v>10</v>
      </c>
      <c r="Q3" s="2" t="s">
        <v>152</v>
      </c>
      <c r="R3" s="40">
        <v>2.0499999999999998</v>
      </c>
      <c r="S3" s="41" t="s">
        <v>153</v>
      </c>
    </row>
    <row r="4" spans="1:19" x14ac:dyDescent="0.3">
      <c r="A4" s="2" t="s">
        <v>157</v>
      </c>
      <c r="B4" s="2" t="s">
        <v>158</v>
      </c>
      <c r="C4" s="2" t="s">
        <v>157</v>
      </c>
      <c r="D4" s="36" t="e">
        <f>#REF!</f>
        <v>#REF!</v>
      </c>
      <c r="E4" s="1" t="s">
        <v>156</v>
      </c>
      <c r="F4" s="37">
        <v>20</v>
      </c>
      <c r="G4" s="38">
        <v>100</v>
      </c>
      <c r="H4" s="38">
        <v>1</v>
      </c>
      <c r="I4" s="38">
        <v>1</v>
      </c>
      <c r="J4" s="2" t="s">
        <v>21</v>
      </c>
      <c r="K4" s="33">
        <v>1</v>
      </c>
      <c r="L4" s="34">
        <v>10</v>
      </c>
      <c r="M4" s="39">
        <v>5</v>
      </c>
      <c r="N4" s="39">
        <v>1.0009999999999999</v>
      </c>
      <c r="O4" s="35">
        <v>10</v>
      </c>
      <c r="P4" s="35">
        <v>10</v>
      </c>
      <c r="Q4" s="2" t="s">
        <v>152</v>
      </c>
      <c r="R4" s="40">
        <v>2.0499999999999998</v>
      </c>
      <c r="S4" s="41" t="s">
        <v>159</v>
      </c>
    </row>
    <row r="5" spans="1:19" x14ac:dyDescent="0.3">
      <c r="A5" s="2" t="s">
        <v>160</v>
      </c>
      <c r="B5" s="2" t="s">
        <v>161</v>
      </c>
      <c r="C5" s="2" t="s">
        <v>160</v>
      </c>
      <c r="D5" s="36" t="e">
        <f>#REF!</f>
        <v>#REF!</v>
      </c>
      <c r="E5" s="1" t="s">
        <v>156</v>
      </c>
      <c r="F5" s="37">
        <v>20</v>
      </c>
      <c r="G5" s="38">
        <v>100</v>
      </c>
      <c r="H5" s="38">
        <v>1</v>
      </c>
      <c r="I5" s="38">
        <v>1</v>
      </c>
      <c r="J5" s="2" t="s">
        <v>21</v>
      </c>
      <c r="K5" s="33">
        <v>1</v>
      </c>
      <c r="L5" s="34">
        <v>10</v>
      </c>
      <c r="M5" s="39">
        <v>5</v>
      </c>
      <c r="N5" s="39">
        <v>1.0009999999999999</v>
      </c>
      <c r="O5" s="35">
        <v>10</v>
      </c>
      <c r="P5" s="35">
        <v>10</v>
      </c>
      <c r="Q5" s="2" t="s">
        <v>152</v>
      </c>
      <c r="R5" s="40">
        <v>2.0499999999999998</v>
      </c>
      <c r="S5" s="41" t="s">
        <v>159</v>
      </c>
    </row>
    <row r="6" spans="1:19" x14ac:dyDescent="0.3">
      <c r="A6" s="2" t="s">
        <v>162</v>
      </c>
      <c r="B6" s="2" t="s">
        <v>163</v>
      </c>
      <c r="C6" s="2" t="s">
        <v>162</v>
      </c>
      <c r="D6" s="36" t="e">
        <f>#REF!</f>
        <v>#REF!</v>
      </c>
      <c r="E6" s="1" t="s">
        <v>164</v>
      </c>
      <c r="F6" s="37">
        <v>20</v>
      </c>
      <c r="G6" s="38">
        <v>100</v>
      </c>
      <c r="H6" s="38">
        <v>1</v>
      </c>
      <c r="I6" s="38">
        <v>1</v>
      </c>
      <c r="J6" s="2" t="s">
        <v>21</v>
      </c>
      <c r="K6" s="33">
        <v>1</v>
      </c>
      <c r="L6" s="34">
        <v>10</v>
      </c>
      <c r="M6" s="39">
        <v>5</v>
      </c>
      <c r="N6" s="39">
        <v>1.0009999999999999</v>
      </c>
      <c r="O6" s="35">
        <v>10</v>
      </c>
      <c r="P6" s="35">
        <v>10</v>
      </c>
      <c r="Q6" s="2" t="s">
        <v>152</v>
      </c>
      <c r="R6" s="40">
        <v>2.0499999999999998</v>
      </c>
      <c r="S6" s="41" t="s">
        <v>153</v>
      </c>
    </row>
    <row r="7" spans="1:19" x14ac:dyDescent="0.3">
      <c r="A7" s="2" t="s">
        <v>165</v>
      </c>
      <c r="B7" s="2" t="s">
        <v>166</v>
      </c>
      <c r="C7" s="2" t="s">
        <v>165</v>
      </c>
      <c r="D7" s="36" t="e">
        <f>#REF!</f>
        <v>#REF!</v>
      </c>
      <c r="E7" s="1" t="s">
        <v>164</v>
      </c>
      <c r="F7" s="37">
        <v>20</v>
      </c>
      <c r="G7" s="38">
        <v>100</v>
      </c>
      <c r="H7" s="38">
        <v>1</v>
      </c>
      <c r="I7" s="38">
        <v>1</v>
      </c>
      <c r="J7" s="2" t="s">
        <v>21</v>
      </c>
      <c r="K7" s="33">
        <v>1</v>
      </c>
      <c r="L7" s="34">
        <v>10</v>
      </c>
      <c r="M7" s="39">
        <v>5</v>
      </c>
      <c r="N7" s="39">
        <v>1.0009999999999999</v>
      </c>
      <c r="O7" s="35">
        <v>10</v>
      </c>
      <c r="P7" s="35">
        <v>10</v>
      </c>
      <c r="Q7" s="2" t="s">
        <v>152</v>
      </c>
      <c r="R7" s="40">
        <v>2.0499999999999998</v>
      </c>
      <c r="S7" s="41" t="s">
        <v>159</v>
      </c>
    </row>
  </sheetData>
  <dataValidations count="2">
    <dataValidation type="list" allowBlank="1" showErrorMessage="1" sqref="Q2:Q7" xr:uid="{BE49CC0C-BFF4-486E-A5B0-43DB9860EB6C}">
      <formula1>CURRENCY_CODE</formula1>
    </dataValidation>
    <dataValidation type="list" allowBlank="1" showErrorMessage="1" sqref="E2:E7" xr:uid="{B71A195A-9EC4-4070-8DD8-3FA41D50E55F}">
      <formula1>REPACKING_TYPE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662BF-685B-4BD7-8E27-1A22F521CEDB}">
  <dimension ref="A1:D2"/>
  <sheetViews>
    <sheetView workbookViewId="0">
      <selection sqref="A1:D2"/>
    </sheetView>
  </sheetViews>
  <sheetFormatPr defaultRowHeight="14.4" x14ac:dyDescent="0.3"/>
  <cols>
    <col min="2" max="2" width="14.88671875" bestFit="1" customWidth="1"/>
    <col min="3" max="3" width="7.88671875" bestFit="1" customWidth="1"/>
    <col min="4" max="4" width="20.6640625" bestFit="1" customWidth="1"/>
  </cols>
  <sheetData>
    <row r="1" spans="1:4" ht="15" thickBot="1" x14ac:dyDescent="0.35">
      <c r="A1" s="22" t="s">
        <v>0</v>
      </c>
      <c r="B1" s="23" t="s">
        <v>98</v>
      </c>
      <c r="C1" s="23" t="s">
        <v>128</v>
      </c>
      <c r="D1" s="24" t="s">
        <v>110</v>
      </c>
    </row>
    <row r="2" spans="1:4" ht="15" thickBot="1" x14ac:dyDescent="0.35">
      <c r="A2" s="19">
        <v>1</v>
      </c>
      <c r="B2" s="20" t="s">
        <v>382</v>
      </c>
      <c r="C2" s="20">
        <v>620</v>
      </c>
      <c r="D2" s="21" t="s">
        <v>381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0E29-8E06-4BB1-9572-934788F88417}">
  <dimension ref="A1:D2"/>
  <sheetViews>
    <sheetView workbookViewId="0">
      <selection activeCell="E4" sqref="E4"/>
    </sheetView>
  </sheetViews>
  <sheetFormatPr defaultRowHeight="14.4" x14ac:dyDescent="0.3"/>
  <cols>
    <col min="2" max="2" width="14.88671875" bestFit="1" customWidth="1"/>
    <col min="4" max="4" width="20.6640625" bestFit="1" customWidth="1"/>
  </cols>
  <sheetData>
    <row r="1" spans="1:4" ht="15" thickBot="1" x14ac:dyDescent="0.35">
      <c r="A1" s="22" t="s">
        <v>0</v>
      </c>
      <c r="B1" s="23" t="s">
        <v>98</v>
      </c>
      <c r="C1" s="23" t="s">
        <v>128</v>
      </c>
      <c r="D1" s="24" t="s">
        <v>110</v>
      </c>
    </row>
    <row r="2" spans="1:4" ht="15" thickBot="1" x14ac:dyDescent="0.35">
      <c r="A2" s="19">
        <v>1</v>
      </c>
      <c r="B2" s="28" t="s">
        <v>384</v>
      </c>
      <c r="C2" s="20">
        <v>660</v>
      </c>
      <c r="D2" s="21" t="s">
        <v>383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36D93-0ADD-4C15-B2D4-5A71DE74D926}">
  <dimension ref="A1:AC5"/>
  <sheetViews>
    <sheetView workbookViewId="0">
      <selection activeCell="A2" sqref="A2:B2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26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264</v>
      </c>
      <c r="C1" t="s">
        <v>293</v>
      </c>
      <c r="D1" t="s">
        <v>294</v>
      </c>
      <c r="E1" t="s">
        <v>295</v>
      </c>
      <c r="F1" t="s">
        <v>133</v>
      </c>
      <c r="G1" t="s">
        <v>296</v>
      </c>
      <c r="H1" t="s">
        <v>297</v>
      </c>
      <c r="I1" t="s">
        <v>298</v>
      </c>
      <c r="J1" t="s">
        <v>299</v>
      </c>
      <c r="K1" t="s">
        <v>107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132</v>
      </c>
      <c r="AA1" t="s">
        <v>314</v>
      </c>
      <c r="AB1" t="s">
        <v>315</v>
      </c>
      <c r="AC1" t="s">
        <v>316</v>
      </c>
    </row>
    <row r="2" spans="1:29" x14ac:dyDescent="0.3">
      <c r="A2">
        <v>1</v>
      </c>
      <c r="B2" t="s">
        <v>83</v>
      </c>
      <c r="C2" t="s">
        <v>317</v>
      </c>
      <c r="D2" t="str">
        <f ca="1">TEXT(DATE(YEAR(TODAY()), MONTH(TODAY()), DAY(TODAY())), "dd MMM yyyy")</f>
        <v>25 Oct 2023</v>
      </c>
      <c r="E2" t="e">
        <f ca="1">#REF!&amp;"-"&amp;TEXT(DATE(YEAR(TODAY()), MONTH(TODAY()), DAY(TODAY())), "yymm")&amp;"001"</f>
        <v>#REF!</v>
      </c>
      <c r="F2" t="s">
        <v>158</v>
      </c>
      <c r="G2" t="s">
        <v>21</v>
      </c>
      <c r="H2">
        <v>660</v>
      </c>
      <c r="I2" t="s">
        <v>66</v>
      </c>
      <c r="J2" t="s">
        <v>318</v>
      </c>
      <c r="K2" t="s">
        <v>68</v>
      </c>
      <c r="L2" t="s">
        <v>131</v>
      </c>
      <c r="M2" t="s">
        <v>319</v>
      </c>
      <c r="N2" t="e">
        <f ca="1">"OP-"&amp;#REF!&amp;"-"&amp;TEXT(DATE(YEAR(TODAY()), MONTH(TODAY()), DAY(TODAY())), "yymm")&amp;"-01"</f>
        <v>#REF!</v>
      </c>
      <c r="O2" t="s">
        <v>320</v>
      </c>
      <c r="S2" t="e">
        <f ca="1">"IP-"&amp;#REF!&amp;"-"&amp;TEXT(DATE(YEAR(TODAY()), MONTH(TODAY()), DAY(TODAY())), "yymm")&amp;"-01"</f>
        <v>#REF!</v>
      </c>
      <c r="X2" t="e">
        <f ca="1">'TC47-Autogen OrderNo Spot'!F2</f>
        <v>#REF!</v>
      </c>
      <c r="Y2" t="s">
        <v>83</v>
      </c>
      <c r="Z2" t="s">
        <v>220</v>
      </c>
      <c r="AA2" t="s">
        <v>220</v>
      </c>
      <c r="AB2">
        <v>5</v>
      </c>
      <c r="AC2">
        <v>660</v>
      </c>
    </row>
    <row r="3" spans="1:29" x14ac:dyDescent="0.3">
      <c r="A3">
        <v>2</v>
      </c>
      <c r="B3" t="s">
        <v>83</v>
      </c>
      <c r="C3" t="s">
        <v>317</v>
      </c>
      <c r="D3" t="str">
        <f ca="1">TEXT(DATE(YEAR(TODAY()), MONTH(TODAY()), DAY(TODAY())), "dd MMM yyyy")</f>
        <v>25 Oct 2023</v>
      </c>
      <c r="E3" t="e">
        <f ca="1">#REF!&amp;"-"&amp;TEXT(DATE(YEAR(TODAY()), MONTH(TODAY()), DAY(TODAY())), "yymm")&amp;"001"</f>
        <v>#REF!</v>
      </c>
      <c r="F3" t="s">
        <v>161</v>
      </c>
      <c r="G3" t="s">
        <v>21</v>
      </c>
      <c r="H3">
        <v>660</v>
      </c>
      <c r="I3" t="s">
        <v>66</v>
      </c>
      <c r="J3" t="s">
        <v>318</v>
      </c>
      <c r="K3" t="s">
        <v>68</v>
      </c>
      <c r="L3" t="s">
        <v>131</v>
      </c>
      <c r="M3" t="s">
        <v>321</v>
      </c>
      <c r="N3" t="e">
        <f ca="1">"OP-"&amp;#REF!&amp;"-"&amp;TEXT(DATE(YEAR(TODAY()), MONTH(TODAY()), DAY(TODAY())), "yymm")&amp;"-01"</f>
        <v>#REF!</v>
      </c>
      <c r="O3" t="s">
        <v>322</v>
      </c>
      <c r="S3" t="e">
        <f ca="1">"IP-"&amp;#REF!&amp;"-"&amp;TEXT(DATE(YEAR(TODAY()), MONTH(TODAY()), DAY(TODAY())), "yymm")&amp;"-02"</f>
        <v>#REF!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e">
        <f ca="1">'TC47-Autogen OrderNo Spot'!F2</f>
        <v>#REF!</v>
      </c>
      <c r="Y3" t="s">
        <v>83</v>
      </c>
      <c r="Z3" t="s">
        <v>222</v>
      </c>
      <c r="AA3" t="s">
        <v>222</v>
      </c>
      <c r="AB3">
        <v>5</v>
      </c>
      <c r="AC3">
        <v>660</v>
      </c>
    </row>
    <row r="4" spans="1:29" x14ac:dyDescent="0.3">
      <c r="A4">
        <v>3</v>
      </c>
      <c r="B4" t="s">
        <v>83</v>
      </c>
      <c r="C4" t="s">
        <v>317</v>
      </c>
      <c r="D4" t="str">
        <f ca="1">TEXT(DATE(YEAR(TODAY()), MONTH(TODAY()), DAY(TODAY())), "dd MMM yyyy")</f>
        <v>25 Oct 2023</v>
      </c>
      <c r="E4" t="e">
        <f ca="1">#REF!&amp;"-"&amp;TEXT(DATE(YEAR(TODAY()), MONTH(TODAY()), DAY(TODAY())), "yymm")&amp;"001"</f>
        <v>#REF!</v>
      </c>
      <c r="F4" t="s">
        <v>166</v>
      </c>
      <c r="G4" t="s">
        <v>21</v>
      </c>
      <c r="H4">
        <v>330</v>
      </c>
      <c r="I4" t="s">
        <v>66</v>
      </c>
      <c r="J4" t="s">
        <v>318</v>
      </c>
      <c r="K4" t="s">
        <v>68</v>
      </c>
      <c r="L4" t="s">
        <v>131</v>
      </c>
      <c r="M4" t="s">
        <v>323</v>
      </c>
      <c r="N4" t="e">
        <f ca="1">"OP-"&amp;#REF!&amp;"-"&amp;TEXT(DATE(YEAR(TODAY()), MONTH(TODAY()), DAY(TODAY())), "yymm")&amp;"-01"</f>
        <v>#REF!</v>
      </c>
      <c r="O4" t="s">
        <v>324</v>
      </c>
      <c r="P4">
        <v>100.001</v>
      </c>
      <c r="Q4">
        <v>100.001</v>
      </c>
      <c r="R4">
        <v>100.001</v>
      </c>
      <c r="X4" t="e">
        <f ca="1">'TC47-Autogen OrderNo Spot'!F2</f>
        <v>#REF!</v>
      </c>
      <c r="Y4" t="s">
        <v>83</v>
      </c>
      <c r="Z4" t="s">
        <v>223</v>
      </c>
      <c r="AA4" t="s">
        <v>223</v>
      </c>
      <c r="AB4">
        <v>5</v>
      </c>
      <c r="AC4">
        <v>660</v>
      </c>
    </row>
    <row r="5" spans="1:29" x14ac:dyDescent="0.3">
      <c r="A5">
        <v>4</v>
      </c>
      <c r="B5" t="s">
        <v>83</v>
      </c>
      <c r="C5" t="s">
        <v>325</v>
      </c>
      <c r="D5" t="str">
        <f ca="1">TEXT(DATE(YEAR(TODAY()), MONTH(TODAY()), DAY(TODAY())), "dd MMM yyyy")</f>
        <v>25 Oct 2023</v>
      </c>
      <c r="E5" t="e">
        <f ca="1">#REF!&amp;"-"&amp;TEXT(DATE(YEAR(TODAY()), MONTH(TODAY()), DAY(TODAY())), "yymm")&amp;"002"</f>
        <v>#REF!</v>
      </c>
      <c r="F5" t="s">
        <v>166</v>
      </c>
      <c r="G5" t="s">
        <v>21</v>
      </c>
      <c r="H5">
        <v>330</v>
      </c>
      <c r="I5" t="s">
        <v>66</v>
      </c>
      <c r="J5" t="s">
        <v>318</v>
      </c>
      <c r="K5" t="s">
        <v>68</v>
      </c>
      <c r="L5" t="s">
        <v>131</v>
      </c>
      <c r="M5" t="s">
        <v>321</v>
      </c>
      <c r="N5" t="e">
        <f ca="1">"OP-"&amp;#REF!&amp;"-"&amp;TEXT(DATE(YEAR(TODAY()), MONTH(TODAY()), DAY(TODAY())), "yymm")&amp;"-02"</f>
        <v>#REF!</v>
      </c>
      <c r="O5" t="s">
        <v>320</v>
      </c>
      <c r="P5">
        <v>100.001</v>
      </c>
      <c r="Q5">
        <v>100.001</v>
      </c>
      <c r="R5">
        <v>100.001</v>
      </c>
      <c r="S5" t="e">
        <f ca="1">"IP-"&amp;#REF!&amp;"-"&amp;TEXT(DATE(YEAR(TODAY()), MONTH(TODAY()), DAY(TODAY())), "yymm")&amp;"-02"</f>
        <v>#REF!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e">
        <f ca="1">'TC47-Autogen OrderNo Spot'!F2</f>
        <v>#REF!</v>
      </c>
      <c r="Y5" t="s">
        <v>83</v>
      </c>
      <c r="Z5" t="s">
        <v>223</v>
      </c>
      <c r="AA5" t="s">
        <v>223</v>
      </c>
      <c r="AB5">
        <v>5</v>
      </c>
      <c r="AC5">
        <v>660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4688-5545-4B11-9D6D-B9AFC5110C33}">
  <dimension ref="A1:B3"/>
  <sheetViews>
    <sheetView workbookViewId="0">
      <selection activeCell="A2" sqref="A2:B2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326</v>
      </c>
      <c r="B1" t="s">
        <v>327</v>
      </c>
    </row>
    <row r="2" spans="1:2" x14ac:dyDescent="0.3">
      <c r="A2" t="str">
        <f>'TC74-Sup1 Outbound Details'!C2</f>
        <v>o-MY-ELA-SUP-230717001</v>
      </c>
      <c r="B2" t="s">
        <v>328</v>
      </c>
    </row>
    <row r="3" spans="1:2" x14ac:dyDescent="0.3">
      <c r="A3" t="str">
        <f>'TC74-Sup1 Outbound Details'!C5</f>
        <v>o-MY-ELA-SUP-230717002</v>
      </c>
      <c r="B3" t="s">
        <v>329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9185-6468-49C9-8A21-363EC01333A5}">
  <dimension ref="A1:Z5"/>
  <sheetViews>
    <sheetView workbookViewId="0">
      <selection activeCell="A2" sqref="A2:B2"/>
    </sheetView>
  </sheetViews>
  <sheetFormatPr defaultColWidth="8.88671875" defaultRowHeight="13.8" x14ac:dyDescent="0.3"/>
  <cols>
    <col min="1" max="2" width="25.6640625" style="6" customWidth="1" collapsed="1"/>
    <col min="3" max="26" width="20.6640625" style="6" customWidth="1" collapsed="1"/>
    <col min="27" max="16384" width="8.88671875" style="6" collapsed="1"/>
  </cols>
  <sheetData>
    <row r="1" spans="1:26" x14ac:dyDescent="0.3">
      <c r="A1" s="60" t="s">
        <v>330</v>
      </c>
      <c r="B1" s="6" t="s">
        <v>331</v>
      </c>
      <c r="C1" s="61" t="s">
        <v>332</v>
      </c>
      <c r="D1" s="61" t="s">
        <v>333</v>
      </c>
      <c r="E1" s="61" t="s">
        <v>334</v>
      </c>
      <c r="F1" s="61" t="s">
        <v>335</v>
      </c>
      <c r="G1" s="61" t="s">
        <v>336</v>
      </c>
      <c r="H1" s="61" t="s">
        <v>337</v>
      </c>
      <c r="I1" s="61" t="s">
        <v>338</v>
      </c>
      <c r="J1" s="61" t="s">
        <v>339</v>
      </c>
      <c r="K1" s="62" t="s">
        <v>340</v>
      </c>
      <c r="L1" s="61" t="s">
        <v>341</v>
      </c>
      <c r="M1" s="61" t="s">
        <v>342</v>
      </c>
      <c r="N1" s="61" t="s">
        <v>343</v>
      </c>
      <c r="O1" s="61" t="s">
        <v>344</v>
      </c>
      <c r="P1" s="61" t="s">
        <v>345</v>
      </c>
      <c r="Q1" s="61" t="s">
        <v>344</v>
      </c>
      <c r="R1" s="61" t="s">
        <v>345</v>
      </c>
      <c r="S1" s="61" t="s">
        <v>346</v>
      </c>
      <c r="T1" s="61" t="s">
        <v>347</v>
      </c>
      <c r="U1" s="61" t="s">
        <v>346</v>
      </c>
      <c r="V1" s="61" t="s">
        <v>347</v>
      </c>
      <c r="W1" s="61" t="s">
        <v>348</v>
      </c>
      <c r="X1" s="61" t="s">
        <v>349</v>
      </c>
      <c r="Y1" s="61" t="s">
        <v>350</v>
      </c>
      <c r="Z1" s="61" t="s">
        <v>351</v>
      </c>
    </row>
    <row r="2" spans="1:26" x14ac:dyDescent="0.3">
      <c r="A2" s="6" t="e">
        <f ca="1">'TC74-Sup1 Outbound Details'!E2</f>
        <v>#REF!</v>
      </c>
      <c r="B2" s="2" t="str">
        <f>'TC74-Sup1 Outbound Details'!M2</f>
        <v>CAIU9500009</v>
      </c>
      <c r="C2" s="61" t="s">
        <v>352</v>
      </c>
      <c r="D2" s="61" t="s">
        <v>353</v>
      </c>
      <c r="E2" s="61" t="s">
        <v>354</v>
      </c>
      <c r="F2" s="61" t="s">
        <v>354</v>
      </c>
      <c r="G2" s="61" t="s">
        <v>354</v>
      </c>
      <c r="H2" s="61" t="s">
        <v>354</v>
      </c>
      <c r="I2" s="61" t="s">
        <v>354</v>
      </c>
      <c r="J2" s="61" t="s">
        <v>354</v>
      </c>
      <c r="K2" s="61" t="s">
        <v>354</v>
      </c>
      <c r="L2" s="61" t="s">
        <v>354</v>
      </c>
      <c r="M2" s="61" t="s">
        <v>354</v>
      </c>
      <c r="N2" s="61" t="s">
        <v>354</v>
      </c>
      <c r="O2" s="61" t="s">
        <v>354</v>
      </c>
      <c r="P2" s="61" t="s">
        <v>354</v>
      </c>
      <c r="Q2" s="61" t="s">
        <v>354</v>
      </c>
      <c r="R2" s="61" t="s">
        <v>354</v>
      </c>
      <c r="S2" s="61" t="s">
        <v>354</v>
      </c>
      <c r="T2" s="61" t="s">
        <v>354</v>
      </c>
      <c r="U2" s="61" t="s">
        <v>354</v>
      </c>
      <c r="V2" s="61" t="s">
        <v>354</v>
      </c>
      <c r="W2" s="61" t="s">
        <v>354</v>
      </c>
      <c r="X2" s="61" t="s">
        <v>354</v>
      </c>
      <c r="Y2" s="61" t="s">
        <v>354</v>
      </c>
      <c r="Z2" s="61" t="s">
        <v>354</v>
      </c>
    </row>
    <row r="3" spans="1:26" x14ac:dyDescent="0.3">
      <c r="A3" s="6" t="e">
        <f ca="1">'TC74-Sup1 Outbound Details'!E3</f>
        <v>#REF!</v>
      </c>
      <c r="B3" s="2" t="str">
        <f>'TC74-Sup1 Outbound Details'!M3</f>
        <v>MY-ELA-C-230704001</v>
      </c>
      <c r="C3" s="61" t="s">
        <v>352</v>
      </c>
      <c r="D3" s="61" t="s">
        <v>353</v>
      </c>
      <c r="E3" s="61" t="s">
        <v>354</v>
      </c>
      <c r="F3" s="61" t="s">
        <v>354</v>
      </c>
      <c r="G3" s="61" t="s">
        <v>354</v>
      </c>
      <c r="H3" s="61" t="s">
        <v>354</v>
      </c>
      <c r="I3" s="61" t="s">
        <v>354</v>
      </c>
      <c r="J3" s="61" t="s">
        <v>354</v>
      </c>
      <c r="K3" s="61" t="s">
        <v>354</v>
      </c>
      <c r="L3" s="61" t="s">
        <v>354</v>
      </c>
      <c r="M3" s="61" t="s">
        <v>354</v>
      </c>
      <c r="N3" s="61" t="s">
        <v>354</v>
      </c>
      <c r="O3" s="61" t="s">
        <v>354</v>
      </c>
      <c r="P3" s="61" t="s">
        <v>354</v>
      </c>
      <c r="Q3" s="61" t="s">
        <v>354</v>
      </c>
      <c r="R3" s="61" t="s">
        <v>354</v>
      </c>
      <c r="S3" s="61" t="s">
        <v>354</v>
      </c>
      <c r="T3" s="61" t="s">
        <v>354</v>
      </c>
      <c r="U3" s="61" t="s">
        <v>354</v>
      </c>
      <c r="V3" s="61" t="s">
        <v>354</v>
      </c>
      <c r="W3" s="61" t="s">
        <v>354</v>
      </c>
      <c r="X3" s="61" t="s">
        <v>354</v>
      </c>
      <c r="Y3" s="61" t="s">
        <v>354</v>
      </c>
      <c r="Z3" s="61" t="s">
        <v>354</v>
      </c>
    </row>
    <row r="4" spans="1:26" x14ac:dyDescent="0.3">
      <c r="A4" s="6" t="e">
        <f ca="1">'TC74-Sup1 Outbound Details'!E4</f>
        <v>#REF!</v>
      </c>
      <c r="B4" s="2" t="str">
        <f>'TC74-Sup1 Outbound Details'!M4</f>
        <v>TCLU4249350</v>
      </c>
      <c r="C4" s="61" t="s">
        <v>352</v>
      </c>
      <c r="D4" s="61" t="s">
        <v>353</v>
      </c>
      <c r="E4" s="61" t="s">
        <v>354</v>
      </c>
      <c r="F4" s="61" t="s">
        <v>354</v>
      </c>
      <c r="G4" s="61" t="s">
        <v>354</v>
      </c>
      <c r="H4" s="61" t="s">
        <v>354</v>
      </c>
      <c r="I4" s="61" t="s">
        <v>354</v>
      </c>
      <c r="J4" s="61" t="s">
        <v>354</v>
      </c>
      <c r="K4" s="61" t="s">
        <v>354</v>
      </c>
      <c r="L4" s="61" t="s">
        <v>354</v>
      </c>
      <c r="M4" s="61" t="s">
        <v>354</v>
      </c>
      <c r="N4" s="61" t="s">
        <v>354</v>
      </c>
      <c r="O4" s="61" t="s">
        <v>354</v>
      </c>
      <c r="P4" s="61" t="s">
        <v>354</v>
      </c>
      <c r="Q4" s="61" t="s">
        <v>354</v>
      </c>
      <c r="R4" s="61" t="s">
        <v>354</v>
      </c>
      <c r="S4" s="61" t="s">
        <v>354</v>
      </c>
      <c r="T4" s="61" t="s">
        <v>354</v>
      </c>
      <c r="U4" s="61" t="s">
        <v>354</v>
      </c>
      <c r="V4" s="61" t="s">
        <v>354</v>
      </c>
      <c r="W4" s="61" t="s">
        <v>354</v>
      </c>
      <c r="X4" s="61" t="s">
        <v>354</v>
      </c>
      <c r="Y4" s="61" t="s">
        <v>354</v>
      </c>
      <c r="Z4" s="61" t="s">
        <v>354</v>
      </c>
    </row>
    <row r="5" spans="1:26" x14ac:dyDescent="0.3">
      <c r="A5" s="6" t="e">
        <f ca="1">'TC74-Sup1 Outbound Details'!E5</f>
        <v>#REF!</v>
      </c>
      <c r="B5" s="2" t="str">
        <f>'TC74-Sup1 Outbound Details'!M5</f>
        <v>MY-ELA-C-230704001</v>
      </c>
      <c r="C5" s="61" t="s">
        <v>352</v>
      </c>
      <c r="D5" s="61" t="s">
        <v>353</v>
      </c>
      <c r="E5" s="61" t="s">
        <v>354</v>
      </c>
      <c r="F5" s="61" t="s">
        <v>354</v>
      </c>
      <c r="G5" s="61" t="s">
        <v>354</v>
      </c>
      <c r="H5" s="61" t="s">
        <v>354</v>
      </c>
      <c r="I5" s="61" t="s">
        <v>354</v>
      </c>
      <c r="J5" s="61" t="s">
        <v>354</v>
      </c>
      <c r="K5" s="61" t="s">
        <v>354</v>
      </c>
      <c r="L5" s="61" t="s">
        <v>354</v>
      </c>
      <c r="M5" s="61" t="s">
        <v>354</v>
      </c>
      <c r="N5" s="61" t="s">
        <v>354</v>
      </c>
      <c r="O5" s="61" t="s">
        <v>354</v>
      </c>
      <c r="P5" s="61" t="s">
        <v>354</v>
      </c>
      <c r="Q5" s="61" t="s">
        <v>354</v>
      </c>
      <c r="R5" s="61" t="s">
        <v>354</v>
      </c>
      <c r="S5" s="61" t="s">
        <v>354</v>
      </c>
      <c r="T5" s="61" t="s">
        <v>354</v>
      </c>
      <c r="U5" s="61" t="s">
        <v>354</v>
      </c>
      <c r="V5" s="61" t="s">
        <v>354</v>
      </c>
      <c r="W5" s="61" t="s">
        <v>354</v>
      </c>
      <c r="X5" s="61" t="s">
        <v>354</v>
      </c>
      <c r="Y5" s="61" t="s">
        <v>354</v>
      </c>
      <c r="Z5" s="61" t="s">
        <v>354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1986-8312-4459-9E9F-9E2090CF7B15}">
  <dimension ref="A1:R4"/>
  <sheetViews>
    <sheetView topLeftCell="B1" workbookViewId="0">
      <selection activeCell="A2" sqref="A2:B2"/>
    </sheetView>
  </sheetViews>
  <sheetFormatPr defaultRowHeight="14.4" x14ac:dyDescent="0.3"/>
  <cols>
    <col min="1" max="18" width="15.77734375" customWidth="1"/>
  </cols>
  <sheetData>
    <row r="1" spans="1:18" x14ac:dyDescent="0.3">
      <c r="A1" t="s">
        <v>133</v>
      </c>
      <c r="B1" t="s">
        <v>355</v>
      </c>
      <c r="C1" t="s">
        <v>356</v>
      </c>
      <c r="D1" t="s">
        <v>357</v>
      </c>
      <c r="E1" t="s">
        <v>129</v>
      </c>
      <c r="F1" t="s">
        <v>12</v>
      </c>
      <c r="G1" t="s">
        <v>143</v>
      </c>
      <c r="H1" t="s">
        <v>358</v>
      </c>
      <c r="I1" t="s">
        <v>147</v>
      </c>
      <c r="J1" t="s">
        <v>146</v>
      </c>
      <c r="K1" t="s">
        <v>101</v>
      </c>
      <c r="L1" t="s">
        <v>359</v>
      </c>
      <c r="M1" t="s">
        <v>360</v>
      </c>
      <c r="N1" t="s">
        <v>361</v>
      </c>
      <c r="O1" t="s">
        <v>362</v>
      </c>
      <c r="P1" t="s">
        <v>363</v>
      </c>
      <c r="Q1" t="s">
        <v>364</v>
      </c>
      <c r="R1" t="s">
        <v>365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e">
        <f ca="1">'TC47-Autogen OrderNo Spot'!E2</f>
        <v>#REF!</v>
      </c>
      <c r="E2" t="s">
        <v>73</v>
      </c>
      <c r="F2">
        <v>5</v>
      </c>
      <c r="G2">
        <v>10</v>
      </c>
      <c r="H2">
        <v>660</v>
      </c>
      <c r="I2">
        <v>2.5</v>
      </c>
      <c r="J2" t="s">
        <v>221</v>
      </c>
      <c r="K2" t="s">
        <v>366</v>
      </c>
      <c r="L2">
        <v>660</v>
      </c>
      <c r="M2">
        <v>660</v>
      </c>
      <c r="N2">
        <v>0</v>
      </c>
      <c r="O2">
        <v>0</v>
      </c>
      <c r="P2" t="s">
        <v>271</v>
      </c>
      <c r="Q2">
        <v>660</v>
      </c>
      <c r="R2" t="s">
        <v>271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e">
        <f ca="1">'TC47-Autogen OrderNo Spot'!E2</f>
        <v>#REF!</v>
      </c>
      <c r="E3" t="s">
        <v>73</v>
      </c>
      <c r="F3">
        <v>5</v>
      </c>
      <c r="G3">
        <v>10</v>
      </c>
      <c r="H3">
        <v>660</v>
      </c>
      <c r="I3">
        <v>2.5</v>
      </c>
      <c r="J3" t="s">
        <v>221</v>
      </c>
      <c r="K3" t="s">
        <v>366</v>
      </c>
      <c r="L3">
        <v>660</v>
      </c>
      <c r="M3">
        <v>660</v>
      </c>
      <c r="N3">
        <v>0</v>
      </c>
      <c r="O3">
        <v>660</v>
      </c>
      <c r="P3" t="s">
        <v>271</v>
      </c>
      <c r="Q3">
        <v>0</v>
      </c>
      <c r="R3" t="s">
        <v>271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e">
        <f ca="1">'TC47-Autogen OrderNo Spot'!E2</f>
        <v>#REF!</v>
      </c>
      <c r="E4" t="s">
        <v>73</v>
      </c>
      <c r="F4">
        <v>5</v>
      </c>
      <c r="G4">
        <v>10</v>
      </c>
      <c r="H4">
        <v>660</v>
      </c>
      <c r="I4">
        <v>2.5</v>
      </c>
      <c r="J4" t="s">
        <v>221</v>
      </c>
      <c r="K4" t="s">
        <v>366</v>
      </c>
      <c r="L4">
        <v>660</v>
      </c>
      <c r="M4">
        <v>660</v>
      </c>
      <c r="N4">
        <v>0</v>
      </c>
      <c r="O4">
        <v>600</v>
      </c>
      <c r="P4" t="s">
        <v>271</v>
      </c>
      <c r="Q4">
        <v>60</v>
      </c>
      <c r="R4" t="s">
        <v>271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25D4-A07B-4A87-931C-592EE5151237}">
  <dimension ref="A1:R4"/>
  <sheetViews>
    <sheetView workbookViewId="0">
      <selection activeCell="A2" sqref="A2:B2"/>
    </sheetView>
  </sheetViews>
  <sheetFormatPr defaultRowHeight="14.4" x14ac:dyDescent="0.3"/>
  <cols>
    <col min="1" max="18" width="15.77734375" customWidth="1"/>
  </cols>
  <sheetData>
    <row r="1" spans="1:18" x14ac:dyDescent="0.3">
      <c r="A1" t="s">
        <v>133</v>
      </c>
      <c r="B1" t="s">
        <v>355</v>
      </c>
      <c r="C1" t="s">
        <v>356</v>
      </c>
      <c r="D1" t="s">
        <v>312</v>
      </c>
      <c r="E1" t="s">
        <v>367</v>
      </c>
      <c r="F1" t="s">
        <v>264</v>
      </c>
      <c r="G1" t="s">
        <v>12</v>
      </c>
      <c r="H1" t="s">
        <v>143</v>
      </c>
      <c r="I1" t="s">
        <v>358</v>
      </c>
      <c r="J1" t="s">
        <v>147</v>
      </c>
      <c r="K1" t="s">
        <v>146</v>
      </c>
      <c r="L1" t="s">
        <v>101</v>
      </c>
      <c r="M1" t="s">
        <v>368</v>
      </c>
      <c r="N1" t="s">
        <v>369</v>
      </c>
      <c r="O1" t="s">
        <v>370</v>
      </c>
      <c r="P1" t="s">
        <v>371</v>
      </c>
      <c r="Q1" t="s">
        <v>372</v>
      </c>
      <c r="R1" t="s">
        <v>373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e">
        <f ca="1">'TC47-Autogen OrderNo Spot'!D2</f>
        <v>#REF!</v>
      </c>
      <c r="E2" t="s">
        <v>83</v>
      </c>
      <c r="F2" t="s">
        <v>83</v>
      </c>
      <c r="G2">
        <v>5</v>
      </c>
      <c r="H2">
        <v>10</v>
      </c>
      <c r="I2">
        <v>660</v>
      </c>
      <c r="J2">
        <v>2.5</v>
      </c>
      <c r="K2" t="s">
        <v>221</v>
      </c>
      <c r="L2" t="s">
        <v>374</v>
      </c>
      <c r="M2">
        <v>0</v>
      </c>
      <c r="N2">
        <v>0</v>
      </c>
      <c r="O2" t="s">
        <v>271</v>
      </c>
      <c r="P2">
        <v>660</v>
      </c>
      <c r="Q2" t="s">
        <v>271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e">
        <f ca="1">'TC47-Autogen OrderNo Spot'!D2</f>
        <v>#REF!</v>
      </c>
      <c r="E3" t="s">
        <v>83</v>
      </c>
      <c r="F3" t="s">
        <v>83</v>
      </c>
      <c r="G3">
        <v>5</v>
      </c>
      <c r="H3">
        <v>10</v>
      </c>
      <c r="I3">
        <v>660</v>
      </c>
      <c r="J3">
        <v>2.5</v>
      </c>
      <c r="K3" t="s">
        <v>221</v>
      </c>
      <c r="L3" t="s">
        <v>374</v>
      </c>
      <c r="M3">
        <v>0</v>
      </c>
      <c r="N3">
        <v>660</v>
      </c>
      <c r="O3" t="s">
        <v>271</v>
      </c>
      <c r="P3">
        <v>0</v>
      </c>
      <c r="Q3" t="s">
        <v>271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e">
        <f ca="1">'TC47-Autogen OrderNo Spot'!D2</f>
        <v>#REF!</v>
      </c>
      <c r="E4" t="s">
        <v>83</v>
      </c>
      <c r="F4" t="s">
        <v>83</v>
      </c>
      <c r="G4">
        <v>5</v>
      </c>
      <c r="H4">
        <v>10</v>
      </c>
      <c r="I4">
        <v>660</v>
      </c>
      <c r="J4">
        <v>2.5</v>
      </c>
      <c r="K4" t="s">
        <v>221</v>
      </c>
      <c r="L4" t="s">
        <v>374</v>
      </c>
      <c r="M4">
        <v>0</v>
      </c>
      <c r="N4">
        <v>600</v>
      </c>
      <c r="O4" t="s">
        <v>271</v>
      </c>
      <c r="P4">
        <v>60</v>
      </c>
      <c r="Q4" t="s">
        <v>271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2E2CA-B66F-4356-837C-720889967123}">
  <dimension ref="A1:S4"/>
  <sheetViews>
    <sheetView topLeftCell="E1" workbookViewId="0">
      <selection activeCell="A2" sqref="A2:B2"/>
    </sheetView>
  </sheetViews>
  <sheetFormatPr defaultRowHeight="14.4" x14ac:dyDescent="0.3"/>
  <cols>
    <col min="1" max="18" width="15.77734375" customWidth="1"/>
    <col min="19" max="19" width="16.44140625" customWidth="1"/>
  </cols>
  <sheetData>
    <row r="1" spans="1:19" x14ac:dyDescent="0.3">
      <c r="A1" t="s">
        <v>133</v>
      </c>
      <c r="B1" t="s">
        <v>355</v>
      </c>
      <c r="C1" t="s">
        <v>356</v>
      </c>
      <c r="D1" t="s">
        <v>357</v>
      </c>
      <c r="E1" t="s">
        <v>129</v>
      </c>
      <c r="F1" t="s">
        <v>12</v>
      </c>
      <c r="G1" t="s">
        <v>143</v>
      </c>
      <c r="H1" t="s">
        <v>358</v>
      </c>
      <c r="I1" t="s">
        <v>147</v>
      </c>
      <c r="J1" t="s">
        <v>146</v>
      </c>
      <c r="K1" t="s">
        <v>101</v>
      </c>
      <c r="L1" t="s">
        <v>359</v>
      </c>
      <c r="M1" t="s">
        <v>360</v>
      </c>
      <c r="N1" t="s">
        <v>361</v>
      </c>
      <c r="O1" t="s">
        <v>362</v>
      </c>
      <c r="P1" t="s">
        <v>363</v>
      </c>
      <c r="Q1" t="s">
        <v>364</v>
      </c>
      <c r="R1" t="s">
        <v>365</v>
      </c>
      <c r="S1" t="s">
        <v>375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e">
        <f ca="1">'TC47-Autogen OrderNo Spot'!C2</f>
        <v>#REF!</v>
      </c>
      <c r="E2" t="s">
        <v>73</v>
      </c>
      <c r="F2">
        <v>5</v>
      </c>
      <c r="G2">
        <v>10</v>
      </c>
      <c r="H2">
        <v>660</v>
      </c>
      <c r="I2">
        <v>100</v>
      </c>
      <c r="J2" t="s">
        <v>152</v>
      </c>
      <c r="K2" t="s">
        <v>374</v>
      </c>
      <c r="L2">
        <v>0</v>
      </c>
      <c r="M2">
        <v>0</v>
      </c>
      <c r="N2">
        <v>0</v>
      </c>
      <c r="O2">
        <v>0</v>
      </c>
      <c r="P2" t="s">
        <v>271</v>
      </c>
      <c r="Q2">
        <v>660</v>
      </c>
      <c r="R2" t="s">
        <v>271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e">
        <f ca="1">'TC47-Autogen OrderNo Spot'!C2</f>
        <v>#REF!</v>
      </c>
      <c r="E3" t="s">
        <v>73</v>
      </c>
      <c r="F3">
        <v>5</v>
      </c>
      <c r="G3">
        <v>10</v>
      </c>
      <c r="H3">
        <v>660</v>
      </c>
      <c r="I3">
        <v>100</v>
      </c>
      <c r="J3" t="s">
        <v>152</v>
      </c>
      <c r="K3" t="s">
        <v>374</v>
      </c>
      <c r="L3">
        <v>0</v>
      </c>
      <c r="M3">
        <v>0</v>
      </c>
      <c r="N3">
        <v>0</v>
      </c>
      <c r="O3">
        <v>660</v>
      </c>
      <c r="P3" t="s">
        <v>271</v>
      </c>
      <c r="Q3">
        <v>0</v>
      </c>
      <c r="R3" t="s">
        <v>271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e">
        <f ca="1">'TC47-Autogen OrderNo Spot'!C2</f>
        <v>#REF!</v>
      </c>
      <c r="E4" t="s">
        <v>73</v>
      </c>
      <c r="F4">
        <v>5</v>
      </c>
      <c r="G4">
        <v>10</v>
      </c>
      <c r="H4">
        <v>660</v>
      </c>
      <c r="I4">
        <v>100</v>
      </c>
      <c r="J4" t="s">
        <v>152</v>
      </c>
      <c r="K4" t="s">
        <v>374</v>
      </c>
      <c r="L4">
        <v>0</v>
      </c>
      <c r="M4">
        <v>0</v>
      </c>
      <c r="N4">
        <v>0</v>
      </c>
      <c r="O4">
        <v>600</v>
      </c>
      <c r="P4" t="s">
        <v>271</v>
      </c>
      <c r="Q4">
        <v>60</v>
      </c>
      <c r="R4" t="s">
        <v>271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EF63-DDF3-49C8-8AEE-2AB2C9ED20ED}">
  <dimension ref="A1:B3"/>
  <sheetViews>
    <sheetView workbookViewId="0">
      <selection activeCell="A2" sqref="A2:B2"/>
    </sheetView>
  </sheetViews>
  <sheetFormatPr defaultRowHeight="14.4" x14ac:dyDescent="0.3"/>
  <cols>
    <col min="1" max="1" width="26" customWidth="1" collapsed="1"/>
    <col min="2" max="2" width="20.6640625" customWidth="1" collapsed="1"/>
  </cols>
  <sheetData>
    <row r="1" spans="1:2" x14ac:dyDescent="0.3">
      <c r="A1" t="s">
        <v>327</v>
      </c>
      <c r="B1" t="s">
        <v>376</v>
      </c>
    </row>
    <row r="2" spans="1:2" x14ac:dyDescent="0.3">
      <c r="A2" t="s">
        <v>328</v>
      </c>
      <c r="B2" t="s">
        <v>377</v>
      </c>
    </row>
    <row r="3" spans="1:2" x14ac:dyDescent="0.3">
      <c r="A3" t="s">
        <v>329</v>
      </c>
      <c r="B3" t="s">
        <v>378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C9C2-FB86-40BC-A329-88F570AB4EDB}">
  <dimension ref="A1:Z6"/>
  <sheetViews>
    <sheetView topLeftCell="M1" zoomScale="90" zoomScaleNormal="90" workbookViewId="0">
      <selection activeCell="A2" sqref="A2:B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x14ac:dyDescent="0.3">
      <c r="A1" t="s">
        <v>0</v>
      </c>
      <c r="B1" t="s">
        <v>31</v>
      </c>
      <c r="C1" t="s">
        <v>110</v>
      </c>
      <c r="D1" t="s">
        <v>167</v>
      </c>
      <c r="E1" t="s">
        <v>103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t="s">
        <v>178</v>
      </c>
      <c r="Q1" t="s">
        <v>146</v>
      </c>
      <c r="R1" t="s">
        <v>179</v>
      </c>
      <c r="S1" t="s">
        <v>180</v>
      </c>
      <c r="T1" t="s">
        <v>41</v>
      </c>
      <c r="U1" t="s">
        <v>181</v>
      </c>
      <c r="V1" s="42" t="s">
        <v>182</v>
      </c>
      <c r="W1" t="s">
        <v>183</v>
      </c>
      <c r="X1" s="42" t="s">
        <v>118</v>
      </c>
      <c r="Y1" t="s">
        <v>184</v>
      </c>
      <c r="Z1" s="42" t="s">
        <v>185</v>
      </c>
    </row>
    <row r="2" spans="1:26" x14ac:dyDescent="0.3">
      <c r="A2">
        <v>1</v>
      </c>
      <c r="B2" t="s">
        <v>186</v>
      </c>
      <c r="C2" t="e">
        <f>#REF!</f>
        <v>#REF!</v>
      </c>
      <c r="D2" t="s">
        <v>187</v>
      </c>
      <c r="E2" t="s">
        <v>104</v>
      </c>
      <c r="F2">
        <v>1</v>
      </c>
      <c r="G2">
        <v>1</v>
      </c>
      <c r="H2" t="e">
        <f>#REF!</f>
        <v>#REF!</v>
      </c>
      <c r="I2" t="e">
        <f>"CD-"&amp;H2</f>
        <v>#REF!</v>
      </c>
      <c r="J2" t="e">
        <f>"Payment-"&amp;H2</f>
        <v>#REF!</v>
      </c>
      <c r="K2" t="str">
        <f>L2</f>
        <v>By Invoice Date</v>
      </c>
      <c r="L2" t="s">
        <v>188</v>
      </c>
      <c r="M2">
        <v>0</v>
      </c>
      <c r="N2">
        <v>30</v>
      </c>
      <c r="O2">
        <v>0</v>
      </c>
      <c r="P2" t="e">
        <f>J2&amp;"(" &amp;K2&amp;")"</f>
        <v>#REF!</v>
      </c>
      <c r="Q2" t="s">
        <v>152</v>
      </c>
      <c r="R2" t="s">
        <v>189</v>
      </c>
      <c r="S2" t="s">
        <v>72</v>
      </c>
      <c r="T2" t="e">
        <f>#REF!&amp;"(" &amp;#REF! &amp; ")"</f>
        <v>#REF!</v>
      </c>
      <c r="U2" t="s">
        <v>190</v>
      </c>
      <c r="V2" t="e">
        <f>"RD-"&amp;H2</f>
        <v>#REF!</v>
      </c>
      <c r="W2" t="s">
        <v>190</v>
      </c>
      <c r="X2" t="s">
        <v>191</v>
      </c>
      <c r="Y2" t="e">
        <f>"BU2toBU1-"&amp;H2</f>
        <v>#REF!</v>
      </c>
      <c r="Z2" t="e">
        <f>"BU3toBU1-"&amp;H2</f>
        <v>#REF!</v>
      </c>
    </row>
    <row r="5" spans="1:26" x14ac:dyDescent="0.3">
      <c r="X5" s="43"/>
      <c r="Y5" s="43"/>
    </row>
    <row r="6" spans="1:26" x14ac:dyDescent="0.3">
      <c r="X6" s="43"/>
      <c r="Y6" s="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dimension ref="A1:X2"/>
  <sheetViews>
    <sheetView zoomScale="90" zoomScaleNormal="90" workbookViewId="0">
      <selection activeCell="X1" sqref="X1"/>
    </sheetView>
  </sheetViews>
  <sheetFormatPr defaultColWidth="8.88671875" defaultRowHeight="13.8" x14ac:dyDescent="0.3"/>
  <cols>
    <col min="1" max="24" width="20.77734375" style="6" customWidth="1" collapsed="1"/>
    <col min="25" max="16384" width="8.88671875" style="6" collapsed="1"/>
  </cols>
  <sheetData>
    <row r="1" spans="1:24" x14ac:dyDescent="0.3">
      <c r="A1" s="14" t="s">
        <v>41</v>
      </c>
      <c r="B1" s="14" t="s">
        <v>42</v>
      </c>
      <c r="C1" s="14" t="s">
        <v>43</v>
      </c>
      <c r="D1" s="14" t="s">
        <v>44</v>
      </c>
      <c r="E1" s="14" t="s">
        <v>45</v>
      </c>
      <c r="F1" s="14" t="s">
        <v>46</v>
      </c>
      <c r="G1" s="17" t="s">
        <v>47</v>
      </c>
      <c r="H1" s="17" t="s">
        <v>48</v>
      </c>
      <c r="I1" s="14" t="s">
        <v>49</v>
      </c>
      <c r="J1" s="14" t="s">
        <v>50</v>
      </c>
      <c r="K1" s="14" t="s">
        <v>51</v>
      </c>
      <c r="L1" s="14" t="s">
        <v>52</v>
      </c>
      <c r="M1" s="14" t="s">
        <v>53</v>
      </c>
      <c r="N1" s="14" t="s">
        <v>54</v>
      </c>
      <c r="O1" s="15" t="s">
        <v>55</v>
      </c>
      <c r="P1" s="14" t="s">
        <v>56</v>
      </c>
      <c r="Q1" s="14" t="s">
        <v>57</v>
      </c>
      <c r="R1" s="14" t="s">
        <v>58</v>
      </c>
      <c r="S1" s="14" t="s">
        <v>59</v>
      </c>
      <c r="T1" s="14" t="s">
        <v>60</v>
      </c>
      <c r="U1" s="14" t="s">
        <v>61</v>
      </c>
      <c r="V1" s="14" t="s">
        <v>62</v>
      </c>
      <c r="W1" s="14" t="s">
        <v>63</v>
      </c>
      <c r="X1" s="15" t="s">
        <v>64</v>
      </c>
    </row>
    <row r="2" spans="1:24" s="16" customFormat="1" x14ac:dyDescent="0.3">
      <c r="A2" s="14" t="str">
        <f>"SGDC2-PKDC1S-"&amp;AutoIncrement!B2</f>
        <v>SGDC2-PKDC1S-S2</v>
      </c>
      <c r="B2" s="14" t="str">
        <f>A2</f>
        <v>SGDC2-PKDC1S-S2</v>
      </c>
      <c r="C2" s="14" t="s">
        <v>65</v>
      </c>
      <c r="D2" s="14" t="s">
        <v>74</v>
      </c>
      <c r="E2" s="14" t="s">
        <v>75</v>
      </c>
      <c r="F2" s="14" t="s">
        <v>71</v>
      </c>
      <c r="G2" s="14"/>
      <c r="H2" s="14"/>
      <c r="I2" s="14" t="s">
        <v>76</v>
      </c>
      <c r="J2" s="14" t="s">
        <v>72</v>
      </c>
      <c r="K2" s="1" t="s">
        <v>77</v>
      </c>
      <c r="L2" s="1" t="s">
        <v>71</v>
      </c>
      <c r="M2" s="14">
        <v>2</v>
      </c>
      <c r="N2" s="14">
        <v>1</v>
      </c>
      <c r="O2" s="14" t="s">
        <v>69</v>
      </c>
      <c r="P2" s="14">
        <v>2</v>
      </c>
      <c r="Q2" s="14">
        <v>0</v>
      </c>
      <c r="R2" s="14">
        <v>12</v>
      </c>
      <c r="S2" s="14">
        <v>6</v>
      </c>
      <c r="T2" s="14">
        <v>2023</v>
      </c>
      <c r="U2" s="14">
        <v>31</v>
      </c>
      <c r="V2" s="14">
        <v>12</v>
      </c>
      <c r="W2" s="14">
        <v>2024</v>
      </c>
      <c r="X2" s="14" t="s">
        <v>70</v>
      </c>
    </row>
  </sheetData>
  <hyperlinks>
    <hyperlink ref="O1" location="RANGE!A1" display="ETDWeekDay (click here to set ETD days)" xr:uid="{1C0A5F32-417E-4E1C-BFBC-C66B290FFF9A}"/>
    <hyperlink ref="X1" location="RANGE!A1" display="Shipping Frequency Weeks (Click here to add week)" xr:uid="{65BF25D2-85A2-411A-BB31-1228D3FC308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04A00-31F3-4D6F-AE35-1B945F51EAAD}">
  <dimension ref="A1:J4"/>
  <sheetViews>
    <sheetView zoomScale="90" zoomScaleNormal="90" workbookViewId="0">
      <selection activeCell="A2" sqref="A2:B2"/>
    </sheetView>
  </sheetViews>
  <sheetFormatPr defaultRowHeight="13.8" x14ac:dyDescent="0.3"/>
  <cols>
    <col min="1" max="3" width="25.77734375" style="6" customWidth="1" collapsed="1"/>
    <col min="4" max="9" width="15.77734375" style="6" customWidth="1" collapsed="1"/>
    <col min="10" max="10" width="26.6640625" style="6" customWidth="1" collapsed="1"/>
    <col min="11" max="16384" width="8.88671875" style="6" collapsed="1"/>
  </cols>
  <sheetData>
    <row r="1" spans="1:10" x14ac:dyDescent="0.3">
      <c r="A1" s="6" t="s">
        <v>132</v>
      </c>
      <c r="B1" s="6" t="s">
        <v>134</v>
      </c>
      <c r="C1" s="6" t="s">
        <v>135</v>
      </c>
      <c r="D1" s="6" t="s">
        <v>136</v>
      </c>
      <c r="E1" s="6" t="s">
        <v>138</v>
      </c>
      <c r="F1" s="6" t="s">
        <v>141</v>
      </c>
      <c r="G1" s="6" t="s">
        <v>142</v>
      </c>
      <c r="H1" s="6" t="s">
        <v>146</v>
      </c>
      <c r="I1" s="6" t="s">
        <v>147</v>
      </c>
      <c r="J1" s="6" t="s">
        <v>148</v>
      </c>
    </row>
    <row r="2" spans="1:10" x14ac:dyDescent="0.3">
      <c r="A2" s="2" t="s">
        <v>192</v>
      </c>
      <c r="B2" s="2" t="s">
        <v>192</v>
      </c>
      <c r="C2" s="36" t="e">
        <f>#REF!</f>
        <v>#REF!</v>
      </c>
      <c r="D2" s="6" t="s">
        <v>151</v>
      </c>
      <c r="E2" s="44">
        <v>0.1</v>
      </c>
      <c r="F2" s="2" t="s">
        <v>29</v>
      </c>
      <c r="G2" s="33">
        <v>1</v>
      </c>
      <c r="H2" s="6" t="s">
        <v>193</v>
      </c>
      <c r="I2" s="37">
        <v>10</v>
      </c>
      <c r="J2" s="41" t="s">
        <v>194</v>
      </c>
    </row>
    <row r="3" spans="1:10" x14ac:dyDescent="0.3">
      <c r="A3" s="2" t="s">
        <v>195</v>
      </c>
      <c r="B3" s="2" t="s">
        <v>195</v>
      </c>
      <c r="C3" s="36" t="e">
        <f>#REF!</f>
        <v>#REF!</v>
      </c>
      <c r="D3" s="6" t="s">
        <v>156</v>
      </c>
      <c r="E3" s="44">
        <v>0.1</v>
      </c>
      <c r="F3" s="2" t="s">
        <v>29</v>
      </c>
      <c r="G3" s="33">
        <v>1</v>
      </c>
      <c r="H3" s="6" t="s">
        <v>193</v>
      </c>
      <c r="I3" s="37">
        <v>10</v>
      </c>
      <c r="J3" s="41" t="s">
        <v>194</v>
      </c>
    </row>
    <row r="4" spans="1:10" x14ac:dyDescent="0.3">
      <c r="A4" s="2" t="s">
        <v>196</v>
      </c>
      <c r="B4" s="2" t="s">
        <v>196</v>
      </c>
      <c r="C4" s="36" t="e">
        <f>#REF!</f>
        <v>#REF!</v>
      </c>
      <c r="D4" s="6" t="s">
        <v>164</v>
      </c>
      <c r="E4" s="44">
        <v>0.1</v>
      </c>
      <c r="F4" s="2" t="s">
        <v>21</v>
      </c>
      <c r="G4" s="33">
        <v>1</v>
      </c>
      <c r="H4" s="6" t="s">
        <v>193</v>
      </c>
      <c r="I4" s="37">
        <v>10</v>
      </c>
      <c r="J4" s="41" t="s">
        <v>194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68</vt:i4>
      </vt:variant>
    </vt:vector>
  </HeadingPairs>
  <TitlesOfParts>
    <vt:vector size="68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TC006.1</vt:lpstr>
      <vt:lpstr>TC6-Contract Parts Info</vt:lpstr>
      <vt:lpstr>TC6-BU3 to BU1 Contract</vt:lpstr>
      <vt:lpstr>TC7-Contract Parts Info</vt:lpstr>
      <vt:lpstr>TC7-Sup1 to BU3 Contract</vt:lpstr>
      <vt:lpstr>S1_TC010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TC15-Inbound Date</vt:lpstr>
      <vt:lpstr>TC15-Customer Place Order</vt:lpstr>
      <vt:lpstr>TC15-AutoGen CO</vt:lpstr>
      <vt:lpstr>TC17-Customer Change Order</vt:lpstr>
      <vt:lpstr>TC17-Inbound Date Change</vt:lpstr>
      <vt:lpstr>TC17-AutoGen ChangeRequestNo</vt:lpstr>
      <vt:lpstr>TC20-Autogen SOPO</vt:lpstr>
      <vt:lpstr>TC022</vt:lpstr>
      <vt:lpstr>TC024</vt:lpstr>
      <vt:lpstr>TC026</vt:lpstr>
      <vt:lpstr>TC027</vt:lpstr>
      <vt:lpstr>TC028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TC45-Cus Spot Order</vt:lpstr>
      <vt:lpstr>TC45-Spot Date</vt:lpstr>
      <vt:lpstr>TC046</vt:lpstr>
      <vt:lpstr>TC47-Autogen OrderNo Spot</vt:lpstr>
      <vt:lpstr>TC048</vt:lpstr>
      <vt:lpstr>TC049</vt:lpstr>
      <vt:lpstr>TC054</vt:lpstr>
      <vt:lpstr>TC54-Sup2 Order Change Reg</vt:lpstr>
      <vt:lpstr>TC54-Change Date</vt:lpstr>
      <vt:lpstr>TC54-Change RequestNo</vt:lpstr>
      <vt:lpstr>TC068-BU2</vt:lpstr>
      <vt:lpstr>TC070-BU1</vt:lpstr>
      <vt:lpstr>TC072-Cus</vt:lpstr>
      <vt:lpstr>TC74-Sup1 Outbound Details</vt:lpstr>
      <vt:lpstr>TC74-OutboundNo</vt:lpstr>
      <vt:lpstr>TC75-Sup1 Cargo Tracking</vt:lpstr>
      <vt:lpstr>TC82-Sup1 SO</vt:lpstr>
      <vt:lpstr>TC83-BU3 PO</vt:lpstr>
      <vt:lpstr>TC84-BU3 SO</vt:lpstr>
      <vt:lpstr>TC88-Sup1 SellerGI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Luqman 'Afeefi Marahat</cp:lastModifiedBy>
  <dcterms:created xsi:type="dcterms:W3CDTF">2015-06-05T18:17:20Z</dcterms:created>
  <dcterms:modified xsi:type="dcterms:W3CDTF">2023-10-25T09:08:57Z</dcterms:modified>
</cp:coreProperties>
</file>