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azwan\download\toyotsu\"/>
    </mc:Choice>
  </mc:AlternateContent>
  <xr:revisionPtr revIDLastSave="0" documentId="13_ncr:1_{0FA34CC4-7E56-4E93-8BEA-CE92C5E7B617}" xr6:coauthVersionLast="47" xr6:coauthVersionMax="47" xr10:uidLastSave="{00000000-0000-0000-0000-000000000000}"/>
  <bookViews>
    <workbookView xWindow="-108" yWindow="-108" windowWidth="23256" windowHeight="12456" tabRatio="711" xr2:uid="{00000000-000D-0000-FFFF-FFFF00000000}"/>
  </bookViews>
  <sheets>
    <sheet name="202311" sheetId="1" r:id="rId1"/>
    <sheet name="Supplier Non-working Day" sheetId="12" r:id="rId2"/>
  </sheets>
  <definedNames>
    <definedName name="_Regression_X" hidden="1">#REF!</definedName>
    <definedName name="_xlnm.Database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1" i="1" l="1"/>
  <c r="AT21" i="1"/>
  <c r="AO21" i="1"/>
  <c r="AM21" i="1"/>
  <c r="AJ21" i="1"/>
  <c r="AU21" i="1" s="1"/>
  <c r="AV21" i="1" s="1"/>
  <c r="AW21" i="1" s="1"/>
  <c r="AG21" i="1"/>
  <c r="AE21" i="1"/>
  <c r="AD21" i="1"/>
  <c r="AC21" i="1"/>
  <c r="AB21" i="1"/>
  <c r="W21" i="1"/>
  <c r="U21" i="1"/>
  <c r="T21" i="1"/>
  <c r="S21" i="1"/>
  <c r="R21" i="1"/>
  <c r="AX20" i="1"/>
  <c r="AT20" i="1"/>
  <c r="AO20" i="1"/>
  <c r="AM20" i="1"/>
  <c r="AJ20" i="1"/>
  <c r="AP20" i="1" s="1"/>
  <c r="AG20" i="1"/>
  <c r="AE20" i="1"/>
  <c r="AD20" i="1"/>
  <c r="AC20" i="1"/>
  <c r="AB20" i="1"/>
  <c r="W20" i="1"/>
  <c r="U20" i="1"/>
  <c r="T20" i="1"/>
  <c r="S20" i="1"/>
  <c r="R20" i="1"/>
  <c r="AX19" i="1"/>
  <c r="AT19" i="1"/>
  <c r="AO19" i="1"/>
  <c r="AM19" i="1"/>
  <c r="AG19" i="1"/>
  <c r="AE19" i="1"/>
  <c r="AC19" i="1"/>
  <c r="AD19" i="1" s="1"/>
  <c r="AB19" i="1"/>
  <c r="AJ19" i="1" s="1"/>
  <c r="W19" i="1"/>
  <c r="U19" i="1"/>
  <c r="T19" i="1"/>
  <c r="S19" i="1"/>
  <c r="R19" i="1"/>
  <c r="AX18" i="1"/>
  <c r="AT18" i="1"/>
  <c r="AO18" i="1"/>
  <c r="AM18" i="1"/>
  <c r="AG18" i="1"/>
  <c r="AE18" i="1"/>
  <c r="AB18" i="1"/>
  <c r="AJ18" i="1" s="1"/>
  <c r="W18" i="1"/>
  <c r="U18" i="1"/>
  <c r="T18" i="1"/>
  <c r="S18" i="1"/>
  <c r="R18" i="1"/>
  <c r="AX17" i="1"/>
  <c r="AT17" i="1"/>
  <c r="AO17" i="1"/>
  <c r="AM17" i="1"/>
  <c r="AJ17" i="1"/>
  <c r="AP17" i="1" s="1"/>
  <c r="AQ17" i="1" s="1"/>
  <c r="AG17" i="1"/>
  <c r="AE17" i="1"/>
  <c r="AD17" i="1"/>
  <c r="AC17" i="1"/>
  <c r="AB17" i="1"/>
  <c r="W17" i="1"/>
  <c r="U17" i="1"/>
  <c r="T17" i="1"/>
  <c r="S17" i="1"/>
  <c r="R17" i="1"/>
  <c r="AX16" i="1"/>
  <c r="AT16" i="1"/>
  <c r="AO16" i="1"/>
  <c r="AM16" i="1"/>
  <c r="AJ16" i="1"/>
  <c r="AP16" i="1" s="1"/>
  <c r="AQ16" i="1" s="1"/>
  <c r="AG16" i="1"/>
  <c r="AE16" i="1"/>
  <c r="AD16" i="1"/>
  <c r="AC16" i="1"/>
  <c r="AB16" i="1"/>
  <c r="W16" i="1"/>
  <c r="U16" i="1"/>
  <c r="T16" i="1"/>
  <c r="S16" i="1"/>
  <c r="R16" i="1"/>
  <c r="AX15" i="1"/>
  <c r="AT15" i="1"/>
  <c r="AO15" i="1"/>
  <c r="AM15" i="1"/>
  <c r="AG15" i="1"/>
  <c r="AE15" i="1"/>
  <c r="AC15" i="1"/>
  <c r="AD15" i="1" s="1"/>
  <c r="AB15" i="1"/>
  <c r="AJ15" i="1" s="1"/>
  <c r="W15" i="1"/>
  <c r="U15" i="1"/>
  <c r="T15" i="1"/>
  <c r="S15" i="1"/>
  <c r="R15" i="1"/>
  <c r="AS5" i="1"/>
  <c r="AS4" i="1"/>
  <c r="AK15" i="1" l="1"/>
  <c r="AL15" i="1" s="1"/>
  <c r="AP15" i="1"/>
  <c r="AQ15" i="1" s="1"/>
  <c r="AU15" i="1" s="1"/>
  <c r="AV15" i="1" s="1"/>
  <c r="AW15" i="1" s="1"/>
  <c r="AP19" i="1"/>
  <c r="AQ19" i="1" s="1"/>
  <c r="AU19" i="1" s="1"/>
  <c r="AV19" i="1" s="1"/>
  <c r="AW19" i="1" s="1"/>
  <c r="AK19" i="1"/>
  <c r="AL19" i="1" s="1"/>
  <c r="AK18" i="1"/>
  <c r="AL18" i="1" s="1"/>
  <c r="AP18" i="1"/>
  <c r="AQ18" i="1" s="1"/>
  <c r="AU18" i="1" s="1"/>
  <c r="AV18" i="1" s="1"/>
  <c r="AW18" i="1" s="1"/>
  <c r="AK17" i="1"/>
  <c r="AL17" i="1" s="1"/>
  <c r="AC18" i="1"/>
  <c r="AD18" i="1" s="1"/>
  <c r="AK16" i="1"/>
  <c r="AL16" i="1" s="1"/>
  <c r="AK20" i="1"/>
  <c r="AL20" i="1" s="1"/>
  <c r="AP21" i="1"/>
  <c r="AQ20" i="1" s="1"/>
  <c r="AU20" i="1" s="1"/>
  <c r="AV20" i="1" s="1"/>
  <c r="AW20" i="1" s="1"/>
  <c r="AU17" i="1"/>
  <c r="AV17" i="1" s="1"/>
  <c r="AW17" i="1" s="1"/>
  <c r="AK21" i="1"/>
  <c r="AL21" i="1" s="1"/>
  <c r="AU16" i="1"/>
  <c r="AV16" i="1" s="1"/>
  <c r="AW16" i="1" s="1"/>
</calcChain>
</file>

<file path=xl/sharedStrings.xml><?xml version="1.0" encoding="utf-8"?>
<sst xmlns="http://schemas.openxmlformats.org/spreadsheetml/2006/main" count="169" uniqueCount="117">
  <si>
    <t>Import Stock</t>
  </si>
  <si>
    <t>Order Calculation Sheet</t>
  </si>
  <si>
    <t>Values (from system latest data/master)</t>
  </si>
  <si>
    <t>Condition</t>
  </si>
  <si>
    <t>Manual editable fields</t>
  </si>
  <si>
    <t>Customer Code</t>
  </si>
  <si>
    <t>Formula &amp; conditional formatting</t>
  </si>
  <si>
    <t>Order Calculation Grouping No.</t>
  </si>
  <si>
    <t>Order Calculation Reference No.</t>
  </si>
  <si>
    <t>Order Frequency</t>
  </si>
  <si>
    <t>Order Timing</t>
  </si>
  <si>
    <t>Target Timing</t>
  </si>
  <si>
    <t>Stock Taking date</t>
  </si>
  <si>
    <t>Supplier Non-Working Days</t>
  </si>
  <si>
    <t>[Note: Please consider the necessity to adjust  Firm order and forecast qty based on supplier non-working days]</t>
  </si>
  <si>
    <t>* Non-working days shown should exclude weekends (Sat &amp; Sun).</t>
  </si>
  <si>
    <t>Consecutive non-working days:</t>
  </si>
  <si>
    <t>Non-Working Days to Prompt Alert:</t>
  </si>
  <si>
    <t>Non-Working Days</t>
  </si>
  <si>
    <t>System Supplier Code</t>
  </si>
  <si>
    <t>Adjustment</t>
  </si>
  <si>
    <t>Exp</t>
  </si>
  <si>
    <t>by days</t>
  </si>
  <si>
    <t>by Box</t>
  </si>
  <si>
    <t>By %</t>
  </si>
  <si>
    <t>Reason</t>
  </si>
  <si>
    <t>Stock Level</t>
  </si>
  <si>
    <t>No.</t>
  </si>
  <si>
    <t>Parts No.</t>
  </si>
  <si>
    <t>System Customer Code</t>
  </si>
  <si>
    <t>External Reference No.</t>
  </si>
  <si>
    <t>Customer Parts No.</t>
  </si>
  <si>
    <t>Description</t>
  </si>
  <si>
    <t>Exp Country</t>
  </si>
  <si>
    <t>Supplier</t>
  </si>
  <si>
    <t>Paired Parts No.</t>
  </si>
  <si>
    <t>Master To Supplier UOM</t>
  </si>
  <si>
    <t>UOM Proportion</t>
  </si>
  <si>
    <t>MOQ</t>
  </si>
  <si>
    <t>MPQ</t>
  </si>
  <si>
    <t>Fluctuation Standard</t>
  </si>
  <si>
    <t>Safety Stock Unit</t>
  </si>
  <si>
    <t>Maximum Stock</t>
  </si>
  <si>
    <t>Standard Safety Stock</t>
  </si>
  <si>
    <t>Stock at Warehouse</t>
  </si>
  <si>
    <t>Stock at Customer</t>
  </si>
  <si>
    <t>Work In Progress</t>
  </si>
  <si>
    <t>Customer Consumption</t>
  </si>
  <si>
    <t>Balance Order</t>
  </si>
  <si>
    <t>Import Order</t>
  </si>
  <si>
    <t>Fluctuation</t>
  </si>
  <si>
    <t>Balance Customer Usage (as of Cut-off date)</t>
  </si>
  <si>
    <t>Order qty</t>
  </si>
  <si>
    <t>Order Balance From Previous Month (delayed shipment)</t>
  </si>
  <si>
    <t>Total Order Balance Qty.(not yet inbound)</t>
  </si>
  <si>
    <t>*Risky Inventory Flag</t>
  </si>
  <si>
    <t>Order Already Placed</t>
  </si>
  <si>
    <t>Order Balance Qty.(yet to inbound)</t>
  </si>
  <si>
    <t>Suggested Order Qty(UOM BOM).</t>
  </si>
  <si>
    <t>Final Order Qty.(adjusted)</t>
  </si>
  <si>
    <t>Reason for Adjustment</t>
  </si>
  <si>
    <t>Last Forecast Qty.</t>
  </si>
  <si>
    <t>*Fluctuation(final order vs forecast qty last)</t>
  </si>
  <si>
    <t>MY-PNA-CUS</t>
  </si>
  <si>
    <t>OCGN-SYTC31-2</t>
  </si>
  <si>
    <t>MY-PNA-CUS-2309-006</t>
  </si>
  <si>
    <t>Monthly</t>
  </si>
  <si>
    <t>Working Day
2023-Oct</t>
  </si>
  <si>
    <t>Working Day
2023-Nov</t>
  </si>
  <si>
    <t>Working Day
2023-Dec</t>
  </si>
  <si>
    <t>MY</t>
  </si>
  <si>
    <t>JP</t>
  </si>
  <si>
    <t>Stock Taking Day
2023-Aug-28</t>
  </si>
  <si>
    <t>N-2(2023-Sep)</t>
  </si>
  <si>
    <t>Latest Qty(updated on 2023-Sep-12)</t>
  </si>
  <si>
    <t>Previous Qty</t>
  </si>
  <si>
    <t>*Stock at End [N-2](Qty)</t>
  </si>
  <si>
    <t>*Stock at End [N-2]</t>
  </si>
  <si>
    <t>N-1(2023-Oct)</t>
  </si>
  <si>
    <t>*Stock at End [N-1](Qty)</t>
  </si>
  <si>
    <t>*Stock at End [N-1]</t>
  </si>
  <si>
    <t>N(2023-Nov)</t>
  </si>
  <si>
    <t>Order Calculation (FIRM ORDER)</t>
  </si>
  <si>
    <t>*Stock at End [N](Qty)</t>
  </si>
  <si>
    <t>*Stock at End [N]</t>
  </si>
  <si>
    <t>N+1(2023-Dec)</t>
  </si>
  <si>
    <t>(*)usage qty is not uploaded by user</t>
  </si>
  <si>
    <t>pna2SY1180014</t>
  </si>
  <si>
    <t>MY-PNA-CUS-MY-SY-002</t>
  </si>
  <si>
    <t>pna2SY-180014</t>
  </si>
  <si>
    <t>CABL- CABLE AVF 30.0 B/R</t>
  </si>
  <si>
    <t>JP-YAZ-SUP</t>
  </si>
  <si>
    <t>MTR</t>
  </si>
  <si>
    <t>By Boxes</t>
  </si>
  <si>
    <t>pna2SY1180077</t>
  </si>
  <si>
    <t>pna2SY-180077</t>
  </si>
  <si>
    <t>CABL- CABLE AVSSF 0.5 B</t>
  </si>
  <si>
    <t>pna2SY1219AS1</t>
  </si>
  <si>
    <t>pna2SY-1219AS1</t>
  </si>
  <si>
    <t>TERM- TERMINAL</t>
  </si>
  <si>
    <t>MY-ELA-SUP</t>
  </si>
  <si>
    <t>PC</t>
  </si>
  <si>
    <t>By Stock Days</t>
  </si>
  <si>
    <t>pna2SY12BLACK</t>
  </si>
  <si>
    <t>pna2SY-2BLACK</t>
  </si>
  <si>
    <t>NAMS- 2 LAYER LABEL GUN INK BLACK</t>
  </si>
  <si>
    <t>PCS</t>
  </si>
  <si>
    <t>pna2SY1450500</t>
  </si>
  <si>
    <t>pna2SY-450500</t>
  </si>
  <si>
    <t>TUBV- TUBE VO 6 7 MM NON-SLIT</t>
  </si>
  <si>
    <t>PNA2SY202306051</t>
  </si>
  <si>
    <t>MYCUS-PNA-2SY20230605-1</t>
  </si>
  <si>
    <t>MYCUS-PNA-2SY20230605000000000000-1</t>
  </si>
  <si>
    <t>PNA2SY202306052</t>
  </si>
  <si>
    <t>MM</t>
  </si>
  <si>
    <t>MYCUS-PNA-2SY20230605-2</t>
  </si>
  <si>
    <t>MYCUS-PNA-2SY20230605000000000000-2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</si>
</sst>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72" formatCode="#,##0_ "/>
    <numFmt numFmtId="174" formatCode="#,##0.00_ "/>
    <numFmt numFmtId="175" formatCode="#,##0.000_ "/>
    <numFmt numFmtId="179" formatCode="[$-409]mmmm\-yy;@"/>
    <numFmt numFmtId="180" formatCode="yyyy\-mmm"/>
    <numFmt numFmtId="181" formatCode="yyyy\-mmm\-dd"/>
    <numFmt numFmtId="182" formatCode="0_ 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Meiryo UI"/>
      <family val="3"/>
      <charset val="128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0" borderId="0">
      <alignment vertical="center"/>
    </xf>
  </cellStyleXfs>
  <cellXfs count="93">
    <xf numFmtId="0" fontId="0" fillId="0" borderId="0" xfId="0"/>
    <xf numFmtId="49" fontId="7" fillId="0" borderId="0" xfId="7" applyNumberFormat="1" applyFont="1" applyAlignment="1" applyProtection="1">
      <alignment horizontal="left"/>
    </xf>
    <xf numFmtId="0" fontId="2" fillId="0" borderId="0" xfId="7" applyNumberFormat="1" applyFont="1" applyFill="1" applyBorder="1" applyAlignment="1" applyProtection="1"/>
    <xf numFmtId="0" fontId="11" fillId="0" borderId="0" xfId="7" applyNumberFormat="1" applyFont="1" applyFill="1" applyBorder="1" applyAlignment="1" applyProtection="1"/>
    <xf numFmtId="0" fontId="6" fillId="2" borderId="0" xfId="0" applyFont="1" applyFill="1"/>
    <xf numFmtId="0" fontId="2" fillId="2" borderId="0" xfId="1" applyFill="1" applyAlignment="1">
      <alignment vertical="center"/>
    </xf>
    <xf numFmtId="49" fontId="5" fillId="0" borderId="0" xfId="7" applyNumberFormat="1" applyFont="1" applyAlignment="1" applyProtection="1">
      <alignment horizontal="left"/>
    </xf>
    <xf numFmtId="0" fontId="5" fillId="3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left" vertical="center"/>
    </xf>
    <xf numFmtId="181" fontId="2" fillId="0" borderId="0" xfId="7" applyNumberFormat="1" applyFont="1" applyFill="1" applyBorder="1" applyAlignment="1" applyProtection="1">
      <alignment horizontal="center"/>
    </xf>
    <xf numFmtId="0" fontId="2" fillId="4" borderId="1" xfId="7" applyNumberFormat="1" applyFont="1" applyFill="1" applyBorder="1" applyAlignment="1" applyProtection="1">
      <alignment horizontal="left" vertical="center"/>
    </xf>
    <xf numFmtId="0" fontId="2" fillId="4" borderId="1" xfId="7" applyNumberFormat="1" applyFont="1" applyFill="1" applyBorder="1" applyAlignment="1" applyProtection="1">
      <alignment horizontal="right" vertical="center" shrinkToFit="1"/>
    </xf>
    <xf numFmtId="9" fontId="2" fillId="4" borderId="1" xfId="7" applyNumberFormat="1" applyFont="1" applyFill="1" applyBorder="1" applyAlignment="1" applyProtection="1">
      <alignment horizontal="left" vertical="center"/>
    </xf>
    <xf numFmtId="0" fontId="3" fillId="2" borderId="0" xfId="0" applyFont="1" applyFill="1"/>
    <xf numFmtId="172" fontId="6" fillId="4" borderId="1" xfId="11" applyNumberFormat="1" applyFont="1" applyFill="1" applyBorder="1" applyAlignment="1"/>
    <xf numFmtId="174" fontId="6" fillId="4" borderId="1" xfId="11" applyNumberFormat="1" applyFont="1" applyFill="1" applyBorder="1" applyAlignment="1"/>
    <xf numFmtId="175" fontId="6" fillId="4" borderId="1" xfId="11" applyNumberFormat="1" applyFont="1" applyFill="1" applyBorder="1" applyAlignment="1"/>
    <xf numFmtId="0" fontId="2" fillId="4" borderId="1" xfId="7" applyNumberFormat="1" applyFont="1" applyFill="1" applyBorder="1" applyAlignment="1" applyProtection="1">
      <alignment horizontal="center" vertical="center"/>
    </xf>
    <xf numFmtId="0" fontId="12" fillId="4" borderId="1" xfId="8" applyFont="1" applyFill="1" applyBorder="1" applyAlignment="1">
      <alignment horizontal="left" vertical="center"/>
    </xf>
    <xf numFmtId="0" fontId="2" fillId="6" borderId="1" xfId="7" applyNumberFormat="1" applyFont="1" applyFill="1" applyBorder="1" applyAlignment="1" applyProtection="1">
      <alignment horizontal="center" vertical="center" wrapText="1"/>
    </xf>
    <xf numFmtId="0" fontId="2" fillId="7" borderId="1" xfId="7" applyNumberFormat="1" applyFont="1" applyFill="1" applyBorder="1" applyAlignment="1" applyProtection="1">
      <alignment horizontal="center" vertical="center" wrapText="1"/>
    </xf>
    <xf numFmtId="0" fontId="8" fillId="9" borderId="1" xfId="7" applyNumberFormat="1" applyFont="1" applyFill="1" applyBorder="1" applyAlignment="1" applyProtection="1">
      <alignment horizontal="center" vertical="center" wrapText="1"/>
    </xf>
    <xf numFmtId="0" fontId="2" fillId="10" borderId="1" xfId="7" applyNumberFormat="1" applyFont="1" applyFill="1" applyBorder="1" applyAlignment="1" applyProtection="1">
      <alignment horizontal="center" vertical="center" wrapText="1"/>
    </xf>
    <xf numFmtId="0" fontId="2" fillId="0" borderId="0" xfId="7" applyNumberFormat="1" applyFont="1" applyFill="1" applyBorder="1" applyAlignment="1" applyProtection="1">
      <alignment horizontal="center" vertical="center"/>
    </xf>
    <xf numFmtId="0" fontId="2" fillId="2" borderId="0" xfId="7" applyNumberFormat="1" applyFont="1" applyFill="1" applyBorder="1" applyAlignment="1" applyProtection="1">
      <alignment horizontal="center" vertical="center"/>
    </xf>
    <xf numFmtId="0" fontId="15" fillId="0" borderId="0" xfId="0" applyFont="1"/>
    <xf numFmtId="0" fontId="6" fillId="0" borderId="0" xfId="0" applyFont="1"/>
    <xf numFmtId="0" fontId="16" fillId="0" borderId="0" xfId="0" applyFont="1"/>
    <xf numFmtId="0" fontId="15" fillId="7" borderId="2" xfId="0" applyFont="1" applyFill="1" applyBorder="1"/>
    <xf numFmtId="0" fontId="15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11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9" fontId="2" fillId="4" borderId="1" xfId="6" applyFont="1" applyFill="1" applyBorder="1" applyAlignment="1" applyProtection="1">
      <alignment horizontal="right" vertical="center"/>
    </xf>
    <xf numFmtId="9" fontId="6" fillId="4" borderId="1" xfId="11" applyNumberFormat="1" applyFont="1" applyFill="1" applyBorder="1" applyAlignment="1"/>
    <xf numFmtId="172" fontId="6" fillId="12" borderId="1" xfId="11" applyNumberFormat="1" applyFont="1" applyFill="1" applyBorder="1" applyAlignment="1" applyProtection="1">
      <protection locked="0"/>
    </xf>
    <xf numFmtId="174" fontId="6" fillId="12" borderId="1" xfId="11" applyNumberFormat="1" applyFont="1" applyFill="1" applyBorder="1" applyAlignment="1" applyProtection="1">
      <protection locked="0"/>
    </xf>
    <xf numFmtId="175" fontId="6" fillId="12" borderId="1" xfId="11" applyNumberFormat="1" applyFont="1" applyFill="1" applyBorder="1" applyAlignment="1" applyProtection="1">
      <protection locked="0"/>
    </xf>
    <xf numFmtId="0" fontId="5" fillId="0" borderId="1" xfId="7" applyNumberFormat="1" applyFont="1" applyFill="1" applyBorder="1" applyAlignment="1" applyProtection="1">
      <alignment horizontal="right" vertical="center"/>
      <protection locked="0"/>
    </xf>
    <xf numFmtId="0" fontId="2" fillId="0" borderId="1" xfId="7" applyNumberFormat="1" applyFont="1" applyFill="1" applyBorder="1" applyAlignment="1" applyProtection="1">
      <alignment horizontal="left" vertical="center"/>
      <protection locked="0"/>
    </xf>
    <xf numFmtId="49" fontId="2" fillId="0" borderId="7" xfId="7" applyNumberFormat="1" applyFont="1" applyFill="1" applyBorder="1" applyAlignment="1" applyProtection="1">
      <alignment horizontal="left" vertical="center"/>
    </xf>
    <xf numFmtId="49" fontId="2" fillId="0" borderId="10" xfId="7" applyNumberFormat="1" applyFont="1" applyFill="1" applyBorder="1" applyAlignment="1" applyProtection="1">
      <alignment horizontal="left" vertical="center"/>
    </xf>
    <xf numFmtId="179" fontId="2" fillId="0" borderId="10" xfId="7" applyNumberFormat="1" applyFont="1" applyFill="1" applyBorder="1" applyAlignment="1" applyProtection="1">
      <alignment horizontal="left" vertical="center"/>
    </xf>
    <xf numFmtId="180" fontId="2" fillId="0" borderId="10" xfId="7" applyNumberFormat="1" applyFont="1" applyFill="1" applyBorder="1" applyAlignment="1" applyProtection="1">
      <alignment horizontal="left" vertical="center"/>
    </xf>
    <xf numFmtId="180" fontId="2" fillId="0" borderId="11" xfId="7" applyNumberFormat="1" applyFont="1" applyFill="1" applyBorder="1" applyAlignment="1" applyProtection="1">
      <alignment horizontal="left" vertical="center"/>
    </xf>
    <xf numFmtId="181" fontId="2" fillId="0" borderId="13" xfId="7" applyNumberFormat="1" applyFont="1" applyFill="1" applyBorder="1" applyAlignment="1" applyProtection="1">
      <alignment horizontal="left" vertical="center"/>
    </xf>
    <xf numFmtId="0" fontId="5" fillId="3" borderId="1" xfId="7" applyNumberFormat="1" applyFont="1" applyFill="1" applyBorder="1" applyAlignment="1" applyProtection="1">
      <alignment horizontal="center" vertical="center" wrapText="1"/>
    </xf>
    <xf numFmtId="172" fontId="2" fillId="0" borderId="1" xfId="7" applyNumberFormat="1" applyFont="1" applyFill="1" applyBorder="1" applyAlignment="1" applyProtection="1">
      <alignment horizontal="right" vertical="center"/>
      <protection locked="0"/>
    </xf>
    <xf numFmtId="0" fontId="2" fillId="5" borderId="1" xfId="7" applyNumberFormat="1" applyFont="1" applyFill="1" applyBorder="1" applyAlignment="1" applyProtection="1">
      <alignment horizontal="left" vertical="center"/>
      <protection locked="0"/>
    </xf>
    <xf numFmtId="182" fontId="2" fillId="0" borderId="1" xfId="7" applyNumberFormat="1" applyFont="1" applyFill="1" applyBorder="1" applyAlignment="1" applyProtection="1">
      <alignment horizontal="center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172" fontId="6" fillId="0" borderId="1" xfId="11" applyNumberFormat="1" applyFont="1" applyBorder="1" applyAlignment="1"/>
    <xf numFmtId="174" fontId="6" fillId="0" borderId="1" xfId="11" applyNumberFormat="1" applyFont="1" applyBorder="1" applyAlignment="1"/>
    <xf numFmtId="175" fontId="6" fillId="0" borderId="1" xfId="11" applyNumberFormat="1" applyFont="1" applyBorder="1" applyAlignment="1"/>
    <xf numFmtId="9" fontId="6" fillId="0" borderId="1" xfId="11" applyNumberFormat="1" applyFont="1" applyBorder="1" applyAlignment="1"/>
    <xf numFmtId="49" fontId="2" fillId="6" borderId="8" xfId="7" applyNumberFormat="1" applyFont="1" applyFill="1" applyBorder="1" applyAlignment="1" applyProtection="1">
      <alignment horizontal="left" vertical="center"/>
    </xf>
    <xf numFmtId="49" fontId="2" fillId="6" borderId="9" xfId="7" applyNumberFormat="1" applyFont="1" applyFill="1" applyBorder="1" applyAlignment="1" applyProtection="1">
      <alignment horizontal="left" vertical="center"/>
    </xf>
    <xf numFmtId="49" fontId="2" fillId="6" borderId="18" xfId="7" applyNumberFormat="1" applyFont="1" applyFill="1" applyBorder="1" applyAlignment="1" applyProtection="1">
      <alignment horizontal="left" vertical="center"/>
    </xf>
    <xf numFmtId="49" fontId="2" fillId="6" borderId="19" xfId="7" applyNumberFormat="1" applyFont="1" applyFill="1" applyBorder="1" applyAlignment="1" applyProtection="1">
      <alignment horizontal="left" vertical="center"/>
    </xf>
    <xf numFmtId="49" fontId="2" fillId="7" borderId="12" xfId="7" applyNumberFormat="1" applyFont="1" applyFill="1" applyBorder="1" applyAlignment="1" applyProtection="1">
      <alignment horizontal="left" vertical="center"/>
    </xf>
    <xf numFmtId="49" fontId="2" fillId="7" borderId="20" xfId="7" applyNumberFormat="1" applyFont="1" applyFill="1" applyBorder="1" applyAlignment="1" applyProtection="1">
      <alignment horizontal="left" vertical="center"/>
    </xf>
    <xf numFmtId="0" fontId="2" fillId="4" borderId="4" xfId="7" applyNumberFormat="1" applyFont="1" applyFill="1" applyBorder="1" applyAlignment="1" applyProtection="1">
      <alignment horizontal="left"/>
    </xf>
    <xf numFmtId="0" fontId="2" fillId="4" borderId="5" xfId="7" applyNumberFormat="1" applyFont="1" applyFill="1" applyBorder="1" applyAlignment="1" applyProtection="1">
      <alignment horizontal="left"/>
    </xf>
    <xf numFmtId="172" fontId="2" fillId="5" borderId="4" xfId="7" applyNumberFormat="1" applyFont="1" applyFill="1" applyBorder="1" applyAlignment="1" applyProtection="1">
      <alignment horizontal="left" vertical="center"/>
    </xf>
    <xf numFmtId="172" fontId="2" fillId="5" borderId="5" xfId="7" applyNumberFormat="1" applyFont="1" applyFill="1" applyBorder="1" applyAlignment="1" applyProtection="1">
      <alignment horizontal="left" vertical="center"/>
    </xf>
    <xf numFmtId="172" fontId="2" fillId="13" borderId="4" xfId="7" applyNumberFormat="1" applyFont="1" applyFill="1" applyBorder="1" applyAlignment="1" applyProtection="1">
      <alignment horizontal="left" vertical="center"/>
    </xf>
    <xf numFmtId="172" fontId="2" fillId="13" borderId="5" xfId="7" applyNumberFormat="1" applyFont="1" applyFill="1" applyBorder="1" applyAlignment="1" applyProtection="1">
      <alignment horizontal="left" vertical="center"/>
    </xf>
    <xf numFmtId="49" fontId="2" fillId="6" borderId="8" xfId="7" applyNumberFormat="1" applyFont="1" applyFill="1" applyBorder="1" applyAlignment="1" applyProtection="1">
      <alignment horizontal="left" vertical="center" wrapText="1"/>
    </xf>
    <xf numFmtId="49" fontId="2" fillId="6" borderId="9" xfId="7" applyNumberFormat="1" applyFont="1" applyFill="1" applyBorder="1" applyAlignment="1" applyProtection="1">
      <alignment horizontal="left" vertical="center" wrapText="1"/>
    </xf>
    <xf numFmtId="49" fontId="2" fillId="6" borderId="6" xfId="7" applyNumberFormat="1" applyFont="1" applyFill="1" applyBorder="1" applyAlignment="1" applyProtection="1">
      <alignment horizontal="left" vertical="center"/>
    </xf>
    <xf numFmtId="49" fontId="2" fillId="6" borderId="17" xfId="7" applyNumberFormat="1" applyFont="1" applyFill="1" applyBorder="1" applyAlignment="1" applyProtection="1">
      <alignment horizontal="left" vertical="center"/>
    </xf>
    <xf numFmtId="0" fontId="5" fillId="3" borderId="14" xfId="7" applyNumberFormat="1" applyFont="1" applyFill="1" applyBorder="1" applyAlignment="1" applyProtection="1">
      <alignment horizontal="center" vertical="center"/>
    </xf>
    <xf numFmtId="0" fontId="5" fillId="3" borderId="15" xfId="7" applyNumberFormat="1" applyFont="1" applyFill="1" applyBorder="1" applyAlignment="1" applyProtection="1">
      <alignment horizontal="center" vertical="center"/>
    </xf>
    <xf numFmtId="0" fontId="5" fillId="3" borderId="16" xfId="7" applyNumberFormat="1" applyFont="1" applyFill="1" applyBorder="1" applyAlignment="1" applyProtection="1">
      <alignment horizontal="center" vertical="center"/>
    </xf>
    <xf numFmtId="0" fontId="2" fillId="6" borderId="22" xfId="7" applyNumberFormat="1" applyFont="1" applyFill="1" applyBorder="1" applyAlignment="1" applyProtection="1">
      <alignment horizontal="center" vertical="center" wrapText="1"/>
    </xf>
    <xf numFmtId="0" fontId="2" fillId="6" borderId="3" xfId="7" applyNumberFormat="1" applyFont="1" applyFill="1" applyBorder="1" applyAlignment="1" applyProtection="1">
      <alignment horizontal="center" vertical="center" wrapText="1"/>
    </xf>
    <xf numFmtId="0" fontId="2" fillId="7" borderId="22" xfId="7" applyNumberFormat="1" applyFont="1" applyFill="1" applyBorder="1" applyAlignment="1" applyProtection="1">
      <alignment horizontal="center" vertical="center" wrapText="1"/>
    </xf>
    <xf numFmtId="0" fontId="2" fillId="7" borderId="3" xfId="7" applyNumberFormat="1" applyFont="1" applyFill="1" applyBorder="1" applyAlignment="1" applyProtection="1">
      <alignment horizontal="center" vertical="center" wrapText="1"/>
    </xf>
    <xf numFmtId="0" fontId="2" fillId="8" borderId="22" xfId="7" applyNumberFormat="1" applyFont="1" applyFill="1" applyBorder="1" applyAlignment="1" applyProtection="1">
      <alignment horizontal="center" vertical="center" wrapText="1"/>
    </xf>
    <xf numFmtId="0" fontId="2" fillId="8" borderId="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 wrapText="1"/>
    </xf>
    <xf numFmtId="0" fontId="2" fillId="6" borderId="21" xfId="7" applyNumberFormat="1" applyFont="1" applyFill="1" applyBorder="1" applyAlignment="1" applyProtection="1">
      <alignment horizontal="center" vertical="center" wrapText="1"/>
    </xf>
    <xf numFmtId="0" fontId="2" fillId="6" borderId="23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/>
    </xf>
    <xf numFmtId="0" fontId="2" fillId="6" borderId="23" xfId="7" applyNumberFormat="1" applyFont="1" applyFill="1" applyBorder="1" applyAlignment="1" applyProtection="1">
      <alignment horizontal="center" vertical="center"/>
    </xf>
    <xf numFmtId="0" fontId="2" fillId="6" borderId="21" xfId="7" applyNumberFormat="1" applyFont="1" applyFill="1" applyBorder="1" applyAlignment="1" applyProtection="1">
      <alignment horizontal="center" vertical="center"/>
    </xf>
    <xf numFmtId="0" fontId="2" fillId="7" borderId="2" xfId="7" applyNumberFormat="1" applyFont="1" applyFill="1" applyBorder="1" applyAlignment="1" applyProtection="1">
      <alignment horizontal="center" vertical="center" wrapText="1"/>
    </xf>
    <xf numFmtId="0" fontId="2" fillId="7" borderId="23" xfId="7" applyNumberFormat="1" applyFont="1" applyFill="1" applyBorder="1" applyAlignment="1" applyProtection="1">
      <alignment horizontal="center" vertical="center" wrapText="1"/>
    </xf>
    <xf numFmtId="0" fontId="2" fillId="7" borderId="21" xfId="7" applyNumberFormat="1" applyFont="1" applyFill="1" applyBorder="1" applyAlignment="1" applyProtection="1">
      <alignment horizontal="center" vertical="center" wrapText="1"/>
    </xf>
    <xf numFmtId="0" fontId="2" fillId="3" borderId="2" xfId="7" applyNumberFormat="1" applyFont="1" applyFill="1" applyBorder="1" applyAlignment="1" applyProtection="1">
      <alignment horizontal="center" vertical="center" wrapText="1"/>
    </xf>
    <xf numFmtId="0" fontId="2" fillId="3" borderId="23" xfId="7" applyNumberFormat="1" applyFont="1" applyFill="1" applyBorder="1" applyAlignment="1" applyProtection="1">
      <alignment horizontal="center" vertical="center" wrapText="1"/>
    </xf>
    <xf numFmtId="0" fontId="2" fillId="3" borderId="21" xfId="7" applyNumberFormat="1" applyFont="1" applyFill="1" applyBorder="1" applyAlignment="1" applyProtection="1">
      <alignment horizontal="center" vertical="center" wrapText="1"/>
    </xf>
  </cellXfs>
  <cellStyles count="12">
    <cellStyle name="Comma 2" xfId="10" xr:uid="{11252E33-643A-4BCA-A694-4111AB3B0736}"/>
    <cellStyle name="Normal" xfId="0" builtinId="0"/>
    <cellStyle name="Normal 2 2" xfId="1" xr:uid="{00000000-0005-0000-0000-000001000000}"/>
    <cellStyle name="Normal 2 3" xfId="5" xr:uid="{5C891E86-9759-4BC7-81A3-C623055ECFBB}"/>
    <cellStyle name="Normal 3 2" xfId="8" xr:uid="{41785D2A-E71C-4B64-83B5-083750B43CB0}"/>
    <cellStyle name="Normal 4" xfId="3" xr:uid="{00000000-0005-0000-0000-000002000000}"/>
    <cellStyle name="Normal 6 2" xfId="2" xr:uid="{00000000-0005-0000-0000-000003000000}"/>
    <cellStyle name="Percent" xfId="6" builtinId="5"/>
    <cellStyle name="Percent 3" xfId="9" xr:uid="{CD02C7E2-D94F-46FE-9C88-47FE2667337A}"/>
    <cellStyle name="千位分隔 2" xfId="4" xr:uid="{8EBFF80E-ABE4-4FA6-AA75-822BE86E7F86}"/>
    <cellStyle name="常规 2" xfId="11" xr:uid="{1886C3F7-AE6E-4C07-A037-8F83A5256E3D}"/>
    <cellStyle name="標準_Order calculation sheet_COMMON" xfId="7" xr:uid="{5D55B4CF-7B06-400E-967B-027F76F85C87}"/>
  </cellStyles>
  <dxfs count="13"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3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</dxfs>
  <tableStyles count="0" defaultTableStyle="TableStyleMedium2" defaultPivotStyle="PivotStyleMedium9"/>
  <colors>
    <mruColors>
      <color rgb="FF008000"/>
      <color rgb="FFFFC000"/>
      <color rgb="FF00B0F0"/>
      <color rgb="FFE2EFDA"/>
      <color rgb="FFE2EFDE"/>
      <color rgb="FFE2F1D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1"/>
  <sheetViews>
    <sheetView showGridLines="0" tabSelected="1" zoomScale="85" zoomScaleNormal="85" workbookViewId="0">
      <selection activeCell="T23" sqref="T23:T24"/>
    </sheetView>
  </sheetViews>
  <sheetFormatPr defaultColWidth="9" defaultRowHeight="13.8" outlineLevelCol="1"/>
  <cols>
    <col min="1" max="1" width="8.77734375" style="13" customWidth="1" collapsed="1"/>
    <col min="2" max="2" width="20.77734375" style="13" customWidth="1" collapsed="1"/>
    <col min="3" max="3" width="25.77734375" style="13" customWidth="1" collapsed="1"/>
    <col min="4" max="4" width="15.77734375" style="13" customWidth="1" collapsed="1"/>
    <col min="5" max="6" width="18.77734375" style="13" customWidth="1" collapsed="1"/>
    <col min="7" max="7" width="20.77734375" style="13" customWidth="1" collapsed="1"/>
    <col min="8" max="11" width="15.77734375" style="13" customWidth="1" collapsed="1"/>
    <col min="12" max="12" width="18.77734375" style="13" customWidth="1" collapsed="1"/>
    <col min="13" max="20" width="12.77734375" style="13" customWidth="1" collapsed="1"/>
    <col min="21" max="23" width="12" style="13" customWidth="1" outlineLevel="1" collapsed="1"/>
    <col min="24" max="24" width="12" style="13" customWidth="1"/>
    <col min="25" max="25" width="12" style="13" customWidth="1" outlineLevel="1" collapsed="1"/>
    <col min="26" max="26" width="12" style="13" customWidth="1"/>
    <col min="27" max="31" width="12" style="13" customWidth="1" collapsed="1"/>
    <col min="32" max="34" width="12" style="13" customWidth="1" outlineLevel="1" collapsed="1"/>
    <col min="35" max="35" width="12" style="13" customWidth="1"/>
    <col min="36" max="39" width="12" style="13" customWidth="1" collapsed="1"/>
    <col min="40" max="41" width="12" style="13" customWidth="1" outlineLevel="1" collapsed="1"/>
    <col min="42" max="42" width="12" style="13" customWidth="1"/>
    <col min="43" max="44" width="12" style="13" customWidth="1" collapsed="1"/>
    <col min="45" max="46" width="12" style="13" customWidth="1" outlineLevel="1" collapsed="1"/>
    <col min="47" max="47" width="12" style="13" customWidth="1"/>
    <col min="48" max="49" width="12" style="13" customWidth="1" collapsed="1"/>
    <col min="50" max="50" width="20" style="13" customWidth="1" collapsed="1"/>
    <col min="51" max="16384" width="9" style="13" collapsed="1"/>
  </cols>
  <sheetData>
    <row r="1" spans="1:50" s="4" customFormat="1" thickBot="1">
      <c r="A1" s="1" t="s">
        <v>1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50" s="5" customFormat="1" ht="13.2" customHeight="1" thickBot="1">
      <c r="A2" s="2"/>
      <c r="B2" s="2"/>
      <c r="C2" s="2"/>
      <c r="D2" s="2"/>
      <c r="E2" s="2"/>
      <c r="F2" s="62" t="s">
        <v>2</v>
      </c>
      <c r="G2" s="6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P2" s="2"/>
      <c r="AQ2" s="72" t="s">
        <v>20</v>
      </c>
      <c r="AR2" s="73"/>
      <c r="AS2" s="74"/>
      <c r="AT2" s="2"/>
    </row>
    <row r="3" spans="1:50" s="5" customFormat="1" ht="28.05" customHeight="1" thickBot="1">
      <c r="A3" s="6" t="s">
        <v>3</v>
      </c>
      <c r="B3" s="2"/>
      <c r="C3" s="2"/>
      <c r="D3" s="2"/>
      <c r="E3" s="2"/>
      <c r="F3" s="64" t="s">
        <v>4</v>
      </c>
      <c r="G3" s="6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7" t="s">
        <v>67</v>
      </c>
      <c r="V3" s="2"/>
      <c r="W3" s="2"/>
      <c r="X3" s="2"/>
      <c r="Y3" s="2"/>
      <c r="Z3" s="2"/>
      <c r="AA3" s="2"/>
      <c r="AB3" s="2"/>
      <c r="AC3" s="2"/>
      <c r="AD3" s="2"/>
      <c r="AE3" s="47" t="s">
        <v>68</v>
      </c>
      <c r="AF3" s="2"/>
      <c r="AG3" s="2"/>
      <c r="AH3" s="2"/>
      <c r="AI3" s="2"/>
      <c r="AJ3" s="2"/>
      <c r="AK3" s="2"/>
      <c r="AL3" s="2"/>
      <c r="AM3" s="47" t="s">
        <v>69</v>
      </c>
      <c r="AP3" s="7" t="s">
        <v>21</v>
      </c>
      <c r="AQ3" s="7" t="s">
        <v>22</v>
      </c>
      <c r="AR3" s="7" t="s">
        <v>23</v>
      </c>
      <c r="AS3" s="7" t="s">
        <v>24</v>
      </c>
      <c r="AT3" s="7" t="s">
        <v>25</v>
      </c>
    </row>
    <row r="4" spans="1:50" s="4" customFormat="1" ht="15" customHeight="1" thickBot="1">
      <c r="A4" s="70" t="s">
        <v>5</v>
      </c>
      <c r="B4" s="71"/>
      <c r="C4" s="41" t="s">
        <v>63</v>
      </c>
      <c r="D4" s="2"/>
      <c r="E4" s="2"/>
      <c r="F4" s="66" t="s">
        <v>6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8">
        <v>22</v>
      </c>
      <c r="V4" s="2"/>
      <c r="W4" s="2"/>
      <c r="X4" s="2"/>
      <c r="Y4" s="2"/>
      <c r="Z4" s="2"/>
      <c r="AA4" s="2"/>
      <c r="AB4" s="2"/>
      <c r="AC4" s="2"/>
      <c r="AD4" s="2"/>
      <c r="AE4" s="48">
        <v>22</v>
      </c>
      <c r="AF4" s="2"/>
      <c r="AG4" s="2"/>
      <c r="AH4" s="2"/>
      <c r="AI4" s="2"/>
      <c r="AJ4" s="2"/>
      <c r="AK4" s="2"/>
      <c r="AL4" s="2"/>
      <c r="AM4" s="48">
        <v>21</v>
      </c>
      <c r="AP4" s="8" t="s">
        <v>70</v>
      </c>
      <c r="AQ4" s="39"/>
      <c r="AR4" s="39"/>
      <c r="AS4" s="34" t="str">
        <f>IF(ISBLANK(AQ4),"",AQ4/AM$4)</f>
        <v/>
      </c>
      <c r="AT4" s="40"/>
    </row>
    <row r="5" spans="1:50" s="5" customFormat="1" ht="13.2" customHeight="1">
      <c r="A5" s="68" t="s">
        <v>7</v>
      </c>
      <c r="B5" s="69"/>
      <c r="C5" s="42" t="s">
        <v>64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P5" s="8" t="s">
        <v>71</v>
      </c>
      <c r="AQ5" s="39"/>
      <c r="AR5" s="39"/>
      <c r="AS5" s="34" t="str">
        <f>IF(ISBLANK(AQ5),"",AQ5/AM$4)</f>
        <v/>
      </c>
      <c r="AT5" s="40"/>
    </row>
    <row r="6" spans="1:50" s="4" customFormat="1" ht="13.2">
      <c r="A6" s="56" t="s">
        <v>8</v>
      </c>
      <c r="B6" s="57"/>
      <c r="C6" s="43" t="s">
        <v>65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50" s="4" customFormat="1" ht="13.2">
      <c r="A7" s="56" t="s">
        <v>9</v>
      </c>
      <c r="B7" s="57"/>
      <c r="C7" s="43" t="s">
        <v>66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50" s="4" customFormat="1" ht="13.2">
      <c r="A8" s="56" t="s">
        <v>10</v>
      </c>
      <c r="B8" s="57"/>
      <c r="C8" s="44">
        <v>45170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50" s="4" customFormat="1" ht="13.2">
      <c r="A9" s="58" t="s">
        <v>11</v>
      </c>
      <c r="B9" s="59"/>
      <c r="C9" s="45">
        <v>45231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50" s="4" customFormat="1" ht="15" customHeight="1" thickBot="1">
      <c r="A10" s="60" t="s">
        <v>12</v>
      </c>
      <c r="B10" s="61"/>
      <c r="C10" s="46">
        <v>45166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X10" t="s">
        <v>86</v>
      </c>
    </row>
    <row r="11" spans="1:50" s="4" customFormat="1" ht="13.2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50" ht="28.05" customHeight="1">
      <c r="A12" s="23"/>
      <c r="B12" s="23"/>
      <c r="C12" s="23"/>
      <c r="D12" s="23"/>
      <c r="E12" s="23"/>
      <c r="F12" s="23"/>
      <c r="G12" s="23"/>
      <c r="H12" s="23"/>
      <c r="I12" s="24"/>
      <c r="J12" s="23"/>
      <c r="K12" s="23"/>
      <c r="L12" s="23"/>
      <c r="M12" s="23"/>
      <c r="N12" s="23"/>
      <c r="O12" s="23"/>
      <c r="P12" s="81" t="s">
        <v>26</v>
      </c>
      <c r="Q12" s="82"/>
      <c r="R12" s="81" t="s">
        <v>72</v>
      </c>
      <c r="S12" s="83"/>
      <c r="T12" s="82"/>
      <c r="U12" s="84" t="s">
        <v>73</v>
      </c>
      <c r="V12" s="85"/>
      <c r="W12" s="85"/>
      <c r="X12" s="85"/>
      <c r="Y12" s="85"/>
      <c r="Z12" s="85"/>
      <c r="AA12" s="85"/>
      <c r="AB12" s="85"/>
      <c r="AC12" s="85"/>
      <c r="AD12" s="86"/>
      <c r="AE12" s="84" t="s">
        <v>78</v>
      </c>
      <c r="AF12" s="85"/>
      <c r="AG12" s="85"/>
      <c r="AH12" s="85"/>
      <c r="AI12" s="85"/>
      <c r="AJ12" s="85"/>
      <c r="AK12" s="85"/>
      <c r="AL12" s="86"/>
      <c r="AM12" s="84" t="s">
        <v>81</v>
      </c>
      <c r="AN12" s="85"/>
      <c r="AO12" s="85"/>
      <c r="AP12" s="85"/>
      <c r="AQ12" s="85"/>
      <c r="AR12" s="85"/>
      <c r="AS12" s="85"/>
      <c r="AT12" s="85"/>
      <c r="AU12" s="85"/>
      <c r="AV12" s="85"/>
      <c r="AW12" s="86"/>
      <c r="AX12" s="20" t="s">
        <v>85</v>
      </c>
    </row>
    <row r="13" spans="1:50" ht="28.05" customHeight="1">
      <c r="A13" s="75" t="s">
        <v>27</v>
      </c>
      <c r="B13" s="75" t="s">
        <v>28</v>
      </c>
      <c r="C13" s="75" t="s">
        <v>29</v>
      </c>
      <c r="D13" s="75" t="s">
        <v>30</v>
      </c>
      <c r="E13" s="75" t="s">
        <v>31</v>
      </c>
      <c r="F13" s="75" t="s">
        <v>32</v>
      </c>
      <c r="G13" s="75" t="s">
        <v>33</v>
      </c>
      <c r="H13" s="75" t="s">
        <v>34</v>
      </c>
      <c r="I13" s="77" t="s">
        <v>35</v>
      </c>
      <c r="J13" s="77" t="s">
        <v>36</v>
      </c>
      <c r="K13" s="75" t="s">
        <v>37</v>
      </c>
      <c r="L13" s="75" t="s">
        <v>38</v>
      </c>
      <c r="M13" s="75" t="s">
        <v>39</v>
      </c>
      <c r="N13" s="75" t="s">
        <v>40</v>
      </c>
      <c r="O13" s="77" t="s">
        <v>41</v>
      </c>
      <c r="P13" s="79" t="s">
        <v>42</v>
      </c>
      <c r="Q13" s="75" t="s">
        <v>43</v>
      </c>
      <c r="R13" s="77" t="s">
        <v>44</v>
      </c>
      <c r="S13" s="77" t="s">
        <v>45</v>
      </c>
      <c r="T13" s="77" t="s">
        <v>46</v>
      </c>
      <c r="U13" s="87" t="s">
        <v>47</v>
      </c>
      <c r="V13" s="88"/>
      <c r="W13" s="88"/>
      <c r="X13" s="89"/>
      <c r="Y13" s="87" t="s">
        <v>48</v>
      </c>
      <c r="Z13" s="88"/>
      <c r="AA13" s="89"/>
      <c r="AB13" s="87" t="s">
        <v>0</v>
      </c>
      <c r="AC13" s="88"/>
      <c r="AD13" s="89"/>
      <c r="AE13" s="87" t="s">
        <v>47</v>
      </c>
      <c r="AF13" s="88"/>
      <c r="AG13" s="89"/>
      <c r="AH13" s="87" t="s">
        <v>49</v>
      </c>
      <c r="AI13" s="89"/>
      <c r="AJ13" s="87" t="s">
        <v>0</v>
      </c>
      <c r="AK13" s="88"/>
      <c r="AL13" s="89"/>
      <c r="AM13" s="87" t="s">
        <v>47</v>
      </c>
      <c r="AN13" s="88"/>
      <c r="AO13" s="89"/>
      <c r="AP13" s="90" t="s">
        <v>82</v>
      </c>
      <c r="AQ13" s="91"/>
      <c r="AR13" s="91"/>
      <c r="AS13" s="91"/>
      <c r="AT13" s="92"/>
      <c r="AU13" s="87" t="s">
        <v>0</v>
      </c>
      <c r="AV13" s="88"/>
      <c r="AW13" s="89"/>
      <c r="AX13" s="20" t="s">
        <v>47</v>
      </c>
    </row>
    <row r="14" spans="1:50" ht="92.4">
      <c r="A14" s="76"/>
      <c r="B14" s="76"/>
      <c r="C14" s="76"/>
      <c r="D14" s="76"/>
      <c r="E14" s="76"/>
      <c r="F14" s="76"/>
      <c r="G14" s="76"/>
      <c r="H14" s="76"/>
      <c r="I14" s="78"/>
      <c r="J14" s="78"/>
      <c r="K14" s="76"/>
      <c r="L14" s="76"/>
      <c r="M14" s="76"/>
      <c r="N14" s="76"/>
      <c r="O14" s="78"/>
      <c r="P14" s="80"/>
      <c r="Q14" s="76"/>
      <c r="R14" s="78"/>
      <c r="S14" s="78"/>
      <c r="T14" s="78"/>
      <c r="U14" s="20" t="s">
        <v>74</v>
      </c>
      <c r="V14" s="20" t="s">
        <v>75</v>
      </c>
      <c r="W14" s="20" t="s">
        <v>50</v>
      </c>
      <c r="X14" s="20" t="s">
        <v>51</v>
      </c>
      <c r="Y14" s="20" t="s">
        <v>52</v>
      </c>
      <c r="Z14" s="20" t="s">
        <v>53</v>
      </c>
      <c r="AA14" s="20" t="s">
        <v>54</v>
      </c>
      <c r="AB14" s="20" t="s">
        <v>76</v>
      </c>
      <c r="AC14" s="20" t="s">
        <v>77</v>
      </c>
      <c r="AD14" s="20" t="s">
        <v>55</v>
      </c>
      <c r="AE14" s="20" t="s">
        <v>74</v>
      </c>
      <c r="AF14" s="20" t="s">
        <v>75</v>
      </c>
      <c r="AG14" s="20" t="s">
        <v>50</v>
      </c>
      <c r="AH14" s="20" t="s">
        <v>56</v>
      </c>
      <c r="AI14" s="20" t="s">
        <v>57</v>
      </c>
      <c r="AJ14" s="20" t="s">
        <v>79</v>
      </c>
      <c r="AK14" s="20" t="s">
        <v>80</v>
      </c>
      <c r="AL14" s="20" t="s">
        <v>55</v>
      </c>
      <c r="AM14" s="20" t="s">
        <v>74</v>
      </c>
      <c r="AN14" s="20" t="s">
        <v>75</v>
      </c>
      <c r="AO14" s="20" t="s">
        <v>50</v>
      </c>
      <c r="AP14" s="19" t="s">
        <v>58</v>
      </c>
      <c r="AQ14" s="21" t="s">
        <v>59</v>
      </c>
      <c r="AR14" s="22" t="s">
        <v>60</v>
      </c>
      <c r="AS14" s="19" t="s">
        <v>61</v>
      </c>
      <c r="AT14" s="19" t="s">
        <v>62</v>
      </c>
      <c r="AU14" s="20" t="s">
        <v>83</v>
      </c>
      <c r="AV14" s="20" t="s">
        <v>84</v>
      </c>
      <c r="AW14" s="20" t="s">
        <v>55</v>
      </c>
      <c r="AX14" s="20" t="s">
        <v>74</v>
      </c>
    </row>
    <row r="15" spans="1:50" ht="14.4">
      <c r="A15" s="17">
        <v>1</v>
      </c>
      <c r="B15" s="18" t="s">
        <v>87</v>
      </c>
      <c r="C15" s="18" t="s">
        <v>63</v>
      </c>
      <c r="D15" s="18" t="s">
        <v>88</v>
      </c>
      <c r="E15" s="10" t="s">
        <v>89</v>
      </c>
      <c r="F15" s="10" t="s">
        <v>90</v>
      </c>
      <c r="G15" s="10" t="s">
        <v>71</v>
      </c>
      <c r="H15" s="10" t="s">
        <v>91</v>
      </c>
      <c r="I15" s="10"/>
      <c r="J15" s="10" t="s">
        <v>92</v>
      </c>
      <c r="K15" s="11">
        <v>1</v>
      </c>
      <c r="L15" s="15">
        <v>100</v>
      </c>
      <c r="M15" s="15">
        <v>100</v>
      </c>
      <c r="N15" s="35">
        <v>10</v>
      </c>
      <c r="O15" s="12" t="s">
        <v>93</v>
      </c>
      <c r="P15" s="15">
        <v>100</v>
      </c>
      <c r="Q15" s="15">
        <v>25</v>
      </c>
      <c r="R15" s="15">
        <f t="shared" ref="R15:R21" si="0">0/IF(K15=0,1,K15)</f>
        <v>0</v>
      </c>
      <c r="S15" s="15">
        <f t="shared" ref="S15:S21" si="1">0/IF(K15=0,1,K15)</f>
        <v>0</v>
      </c>
      <c r="T15" s="15">
        <f>0/IF(K15=0,1,K15)</f>
        <v>0</v>
      </c>
      <c r="U15" s="15">
        <f>13995.455/IF(K15=0,1,K15)</f>
        <v>13995.455</v>
      </c>
      <c r="V15" s="15">
        <v>0</v>
      </c>
      <c r="W15" s="55" t="str">
        <f t="shared" ref="W15:W21" si="2">IF(V15=0,"N/A",U15/V15-1)</f>
        <v>N/A</v>
      </c>
      <c r="X15" s="15">
        <v>13995.455</v>
      </c>
      <c r="Y15" s="15">
        <v>0</v>
      </c>
      <c r="Z15" s="15">
        <v>0</v>
      </c>
      <c r="AA15" s="15">
        <v>0</v>
      </c>
      <c r="AB15" s="53">
        <f t="shared" ref="AB15:AB21" si="3">R15+S15+T15+Z15+AA15-X15</f>
        <v>-13995.455</v>
      </c>
      <c r="AC15" s="53">
        <f>AB15/$L15</f>
        <v>-139.95455000000001</v>
      </c>
      <c r="AD15" s="50" t="str">
        <f t="shared" ref="AD15:AD21" si="4">IF(AC15&lt;$Q15,"X",(IF($P15&lt;AC15,"+","")))</f>
        <v>X</v>
      </c>
      <c r="AE15" s="15">
        <f>13034.09/IF(K15=0,1,K15)</f>
        <v>13034.09</v>
      </c>
      <c r="AF15" s="15">
        <v>0</v>
      </c>
      <c r="AG15" s="55" t="str">
        <f t="shared" ref="AG15:AG21" si="5">IF(AF15=0,"N/A",AE15/AF15-1)</f>
        <v>N/A</v>
      </c>
      <c r="AH15" s="15">
        <v>0</v>
      </c>
      <c r="AI15" s="15">
        <v>0</v>
      </c>
      <c r="AJ15" s="53">
        <f t="shared" ref="AJ15:AJ21" si="6">AB15+AI15-AE15</f>
        <v>-27029.544999999998</v>
      </c>
      <c r="AK15" s="53">
        <f>AJ15/$L15</f>
        <v>-270.29544999999996</v>
      </c>
      <c r="AL15" s="50" t="str">
        <f t="shared" ref="AL15:AL21" si="7">IF(AK15&lt;$Q15,"X",(IF($P15&lt;AK15,"+","")))</f>
        <v>X</v>
      </c>
      <c r="AM15" s="15">
        <f>11106.8175/IF(K15=0,1,K15)</f>
        <v>11106.817499999999</v>
      </c>
      <c r="AN15" s="15">
        <v>0</v>
      </c>
      <c r="AO15" s="55" t="str">
        <f t="shared" ref="AO15:AO21" si="8">IF(AN15=0,"N/A",AM15/AN15-1)</f>
        <v>N/A</v>
      </c>
      <c r="AP15" s="53">
        <f>ROUNDUP(MAX($L15*($Q15+MAX(AR5))-AJ15+AM15,0)/$M15,0)*$M15</f>
        <v>40700</v>
      </c>
      <c r="AQ15" s="37">
        <f>AP15</f>
        <v>40700</v>
      </c>
      <c r="AR15" s="49"/>
      <c r="AS15" s="53">
        <v>0</v>
      </c>
      <c r="AT15" s="55" t="str">
        <f t="shared" ref="AT15:AT21" si="9">IF(AS15=0,"N/A",AQ15/AS15-1)</f>
        <v>N/A</v>
      </c>
      <c r="AU15" s="53">
        <f t="shared" ref="AU15:AU21" si="10">AJ15+AQ15-AM15</f>
        <v>2563.6375000000025</v>
      </c>
      <c r="AV15" s="53">
        <f>AU15/$L15</f>
        <v>25.636375000000026</v>
      </c>
      <c r="AW15" s="51" t="str">
        <f t="shared" ref="AW15:AW21" si="11">IF(AV15&lt;$Q15,"X",(IF($P15&lt;AV15,"+","")))</f>
        <v/>
      </c>
      <c r="AX15" s="15">
        <f t="shared" ref="AX15:AX21" si="12">0/IF(K15=0,1,K15)</f>
        <v>0</v>
      </c>
    </row>
    <row r="16" spans="1:50" ht="14.4">
      <c r="A16" s="17">
        <v>2</v>
      </c>
      <c r="B16" s="18" t="s">
        <v>94</v>
      </c>
      <c r="C16" s="18" t="s">
        <v>63</v>
      </c>
      <c r="D16" s="18" t="s">
        <v>88</v>
      </c>
      <c r="E16" s="10" t="s">
        <v>95</v>
      </c>
      <c r="F16" s="10" t="s">
        <v>96</v>
      </c>
      <c r="G16" s="10" t="s">
        <v>71</v>
      </c>
      <c r="H16" s="10" t="s">
        <v>91</v>
      </c>
      <c r="I16" s="10"/>
      <c r="J16" s="10" t="s">
        <v>92</v>
      </c>
      <c r="K16" s="11">
        <v>1</v>
      </c>
      <c r="L16" s="15">
        <v>1500</v>
      </c>
      <c r="M16" s="15">
        <v>1500</v>
      </c>
      <c r="N16" s="35">
        <v>10</v>
      </c>
      <c r="O16" s="12" t="s">
        <v>24</v>
      </c>
      <c r="P16" s="35">
        <v>1</v>
      </c>
      <c r="Q16" s="35">
        <v>0.25</v>
      </c>
      <c r="R16" s="15">
        <f t="shared" si="0"/>
        <v>0</v>
      </c>
      <c r="S16" s="15">
        <f t="shared" si="1"/>
        <v>0</v>
      </c>
      <c r="T16" s="15">
        <f>0/IF(K16=0,1,K16)</f>
        <v>0</v>
      </c>
      <c r="U16" s="15">
        <f>19403.637/IF(K16=0,1,K16)</f>
        <v>19403.636999999999</v>
      </c>
      <c r="V16" s="15">
        <v>0</v>
      </c>
      <c r="W16" s="55" t="str">
        <f t="shared" si="2"/>
        <v>N/A</v>
      </c>
      <c r="X16" s="15">
        <v>19403.636999999999</v>
      </c>
      <c r="Y16" s="15">
        <v>0</v>
      </c>
      <c r="Z16" s="15">
        <v>0</v>
      </c>
      <c r="AA16" s="15">
        <v>0</v>
      </c>
      <c r="AB16" s="53">
        <f t="shared" si="3"/>
        <v>-19403.636999999999</v>
      </c>
      <c r="AC16" s="55">
        <f>AB16/AE16</f>
        <v>-1.074533803425747</v>
      </c>
      <c r="AD16" s="50" t="str">
        <f t="shared" si="4"/>
        <v>X</v>
      </c>
      <c r="AE16" s="15">
        <f>18057.726/IF(K16=0,1,K16)</f>
        <v>18057.725999999999</v>
      </c>
      <c r="AF16" s="15">
        <v>0</v>
      </c>
      <c r="AG16" s="55" t="str">
        <f t="shared" si="5"/>
        <v>N/A</v>
      </c>
      <c r="AH16" s="15">
        <v>0</v>
      </c>
      <c r="AI16" s="15">
        <v>0</v>
      </c>
      <c r="AJ16" s="53">
        <f t="shared" si="6"/>
        <v>-37461.362999999998</v>
      </c>
      <c r="AK16" s="55">
        <f>AJ16/AM16</f>
        <v>-2.4389631476376139</v>
      </c>
      <c r="AL16" s="50" t="str">
        <f t="shared" si="7"/>
        <v>X</v>
      </c>
      <c r="AM16" s="15">
        <f>15359.5445/IF(K16=0,1,K16)</f>
        <v>15359.5445</v>
      </c>
      <c r="AN16" s="15">
        <v>0</v>
      </c>
      <c r="AO16" s="55" t="str">
        <f t="shared" si="8"/>
        <v>N/A</v>
      </c>
      <c r="AP16" s="53">
        <f>IF(MAX(U16,AE16,AM16)*($Q16+MAX(AS5))-AJ16+AM16&lt;=0,0,ROUNDUP(MAX(MAX(U16,AE16,AM16)*($Q16+MAX(AS5))-AJ16+AM16,,$L16)/$M16,0)*$M16)</f>
        <v>58500</v>
      </c>
      <c r="AQ16" s="37">
        <f>AP16</f>
        <v>58500</v>
      </c>
      <c r="AR16" s="49"/>
      <c r="AS16" s="53">
        <v>0</v>
      </c>
      <c r="AT16" s="55" t="str">
        <f t="shared" si="9"/>
        <v>N/A</v>
      </c>
      <c r="AU16" s="53">
        <f t="shared" si="10"/>
        <v>5679.0925000000025</v>
      </c>
      <c r="AV16" s="55" t="e">
        <f>AU16/AX16</f>
        <v>#DIV/0!</v>
      </c>
      <c r="AW16" s="51" t="e">
        <f t="shared" si="11"/>
        <v>#DIV/0!</v>
      </c>
      <c r="AX16" s="15">
        <f t="shared" si="12"/>
        <v>0</v>
      </c>
    </row>
    <row r="17" spans="1:50" ht="14.4">
      <c r="A17" s="17">
        <v>3</v>
      </c>
      <c r="B17" s="18" t="s">
        <v>97</v>
      </c>
      <c r="C17" s="18" t="s">
        <v>63</v>
      </c>
      <c r="D17" s="18" t="s">
        <v>88</v>
      </c>
      <c r="E17" s="10" t="s">
        <v>98</v>
      </c>
      <c r="F17" s="10" t="s">
        <v>99</v>
      </c>
      <c r="G17" s="10" t="s">
        <v>70</v>
      </c>
      <c r="H17" s="10" t="s">
        <v>100</v>
      </c>
      <c r="I17" s="10"/>
      <c r="J17" s="10" t="s">
        <v>101</v>
      </c>
      <c r="K17" s="11">
        <v>1</v>
      </c>
      <c r="L17" s="14">
        <v>22000</v>
      </c>
      <c r="M17" s="14">
        <v>22000</v>
      </c>
      <c r="N17" s="35">
        <v>10</v>
      </c>
      <c r="O17" s="12" t="s">
        <v>102</v>
      </c>
      <c r="P17" s="14">
        <v>100</v>
      </c>
      <c r="Q17" s="14">
        <v>25</v>
      </c>
      <c r="R17" s="14">
        <f t="shared" si="0"/>
        <v>0</v>
      </c>
      <c r="S17" s="14">
        <f t="shared" si="1"/>
        <v>0</v>
      </c>
      <c r="T17" s="14">
        <f>-10/IF(K17=0,1,K17)</f>
        <v>-10</v>
      </c>
      <c r="U17" s="14">
        <f>8587.273/IF(K17=0,1,K17)</f>
        <v>8587.2729999999992</v>
      </c>
      <c r="V17" s="14">
        <v>0</v>
      </c>
      <c r="W17" s="55" t="str">
        <f t="shared" si="2"/>
        <v>N/A</v>
      </c>
      <c r="X17" s="14">
        <v>8587.2729999999992</v>
      </c>
      <c r="Y17" s="14">
        <v>0</v>
      </c>
      <c r="Z17" s="14">
        <v>0</v>
      </c>
      <c r="AA17" s="14">
        <v>0</v>
      </c>
      <c r="AB17" s="52">
        <f t="shared" si="3"/>
        <v>-8597.2729999999992</v>
      </c>
      <c r="AC17" s="52">
        <f>AB17/AE17*U$4</f>
        <v>-23.611646231287263</v>
      </c>
      <c r="AD17" s="50" t="str">
        <f t="shared" si="4"/>
        <v>X</v>
      </c>
      <c r="AE17" s="14">
        <f>8010.454/IF(K17=0,1,K17)</f>
        <v>8010.4539999999997</v>
      </c>
      <c r="AF17" s="14">
        <v>0</v>
      </c>
      <c r="AG17" s="55" t="str">
        <f t="shared" si="5"/>
        <v>N/A</v>
      </c>
      <c r="AH17" s="14">
        <v>0</v>
      </c>
      <c r="AI17" s="14">
        <v>0</v>
      </c>
      <c r="AJ17" s="52">
        <f t="shared" si="6"/>
        <v>-16607.726999999999</v>
      </c>
      <c r="AK17" s="52">
        <f>AJ17/AM17*AE$4</f>
        <v>-53.306852893173783</v>
      </c>
      <c r="AL17" s="50" t="str">
        <f t="shared" si="7"/>
        <v>X</v>
      </c>
      <c r="AM17" s="14">
        <f>6854.0905/IF(K17=0,1,K17)</f>
        <v>6854.0905000000002</v>
      </c>
      <c r="AN17" s="14">
        <v>0</v>
      </c>
      <c r="AO17" s="55" t="str">
        <f t="shared" si="8"/>
        <v>N/A</v>
      </c>
      <c r="AP17" s="52">
        <f>ROUNDUP(MAX(AX17/AM$4*($Q17+MAX(AQ4))-AJ17+AM17,0)/$M17,0)*$M17</f>
        <v>44000</v>
      </c>
      <c r="AQ17" s="36">
        <f>AP17</f>
        <v>44000</v>
      </c>
      <c r="AR17" s="49"/>
      <c r="AS17" s="52">
        <v>0</v>
      </c>
      <c r="AT17" s="55" t="str">
        <f t="shared" si="9"/>
        <v>N/A</v>
      </c>
      <c r="AU17" s="52">
        <f t="shared" si="10"/>
        <v>20538.182500000003</v>
      </c>
      <c r="AV17" s="52" t="e">
        <f>AU17/AX17*AM$4</f>
        <v>#DIV/0!</v>
      </c>
      <c r="AW17" s="51" t="e">
        <f t="shared" si="11"/>
        <v>#DIV/0!</v>
      </c>
      <c r="AX17" s="14">
        <f t="shared" si="12"/>
        <v>0</v>
      </c>
    </row>
    <row r="18" spans="1:50" ht="14.4">
      <c r="A18" s="17">
        <v>4</v>
      </c>
      <c r="B18" s="18" t="s">
        <v>103</v>
      </c>
      <c r="C18" s="18" t="s">
        <v>63</v>
      </c>
      <c r="D18" s="18" t="s">
        <v>88</v>
      </c>
      <c r="E18" s="10" t="s">
        <v>104</v>
      </c>
      <c r="F18" s="10" t="s">
        <v>105</v>
      </c>
      <c r="G18" s="10" t="s">
        <v>71</v>
      </c>
      <c r="H18" s="10" t="s">
        <v>91</v>
      </c>
      <c r="I18" s="10"/>
      <c r="J18" s="10" t="s">
        <v>106</v>
      </c>
      <c r="K18" s="11">
        <v>1000</v>
      </c>
      <c r="L18" s="14">
        <v>20</v>
      </c>
      <c r="M18" s="14">
        <v>20</v>
      </c>
      <c r="N18" s="35">
        <v>10</v>
      </c>
      <c r="O18" s="12" t="s">
        <v>24</v>
      </c>
      <c r="P18" s="35">
        <v>1</v>
      </c>
      <c r="Q18" s="35">
        <v>0.25</v>
      </c>
      <c r="R18" s="14">
        <f t="shared" si="0"/>
        <v>0</v>
      </c>
      <c r="S18" s="14">
        <f t="shared" si="1"/>
        <v>0</v>
      </c>
      <c r="T18" s="14">
        <f>0/IF(K18=0,1,K18)</f>
        <v>0</v>
      </c>
      <c r="U18" s="14">
        <f>30220.001/IF(K18=0,1,K18)</f>
        <v>30.220001</v>
      </c>
      <c r="V18" s="14">
        <v>0</v>
      </c>
      <c r="W18" s="55" t="str">
        <f t="shared" si="2"/>
        <v>N/A</v>
      </c>
      <c r="X18" s="14">
        <v>30.220001</v>
      </c>
      <c r="Y18" s="14">
        <v>0</v>
      </c>
      <c r="Z18" s="14">
        <v>0</v>
      </c>
      <c r="AA18" s="14">
        <v>0</v>
      </c>
      <c r="AB18" s="52">
        <f t="shared" si="3"/>
        <v>-30.220001</v>
      </c>
      <c r="AC18" s="55">
        <f>AB18/AE18</f>
        <v>-1.0752536257074277</v>
      </c>
      <c r="AD18" s="50" t="str">
        <f t="shared" si="4"/>
        <v>X</v>
      </c>
      <c r="AE18" s="14">
        <f>28104.998/IF(K18=0,1,K18)</f>
        <v>28.104997999999998</v>
      </c>
      <c r="AF18" s="14">
        <v>0</v>
      </c>
      <c r="AG18" s="55" t="str">
        <f t="shared" si="5"/>
        <v>N/A</v>
      </c>
      <c r="AH18" s="14">
        <v>0</v>
      </c>
      <c r="AI18" s="14">
        <v>0</v>
      </c>
      <c r="AJ18" s="52">
        <f t="shared" si="6"/>
        <v>-58.324998999999998</v>
      </c>
      <c r="AK18" s="55">
        <f>AJ18/AM18</f>
        <v>-2.4439556439956269</v>
      </c>
      <c r="AL18" s="50" t="str">
        <f t="shared" si="7"/>
        <v>X</v>
      </c>
      <c r="AM18" s="14">
        <f>23864.999/IF(K18=0,1,K18)</f>
        <v>23.864999000000001</v>
      </c>
      <c r="AN18" s="14">
        <v>0</v>
      </c>
      <c r="AO18" s="55" t="str">
        <f t="shared" si="8"/>
        <v>N/A</v>
      </c>
      <c r="AP18" s="52">
        <f>IF(MAX(U18,AE18,AM18)*($Q18+MAX(AS5))-AJ18+AM18&lt;=0,0,ROUNDUP(MAX(MAX(U18,AE18,AM18)*($Q18+MAX(AS5))-AJ18+AM18,,$L18)/$M18,0)*$M18)</f>
        <v>100</v>
      </c>
      <c r="AQ18" s="36">
        <f>AP18</f>
        <v>100</v>
      </c>
      <c r="AR18" s="49"/>
      <c r="AS18" s="52">
        <v>0</v>
      </c>
      <c r="AT18" s="55" t="str">
        <f t="shared" si="9"/>
        <v>N/A</v>
      </c>
      <c r="AU18" s="52">
        <f t="shared" si="10"/>
        <v>17.810002000000001</v>
      </c>
      <c r="AV18" s="55" t="e">
        <f>AU18/AX18</f>
        <v>#DIV/0!</v>
      </c>
      <c r="AW18" s="51" t="e">
        <f t="shared" si="11"/>
        <v>#DIV/0!</v>
      </c>
      <c r="AX18" s="14">
        <f t="shared" si="12"/>
        <v>0</v>
      </c>
    </row>
    <row r="19" spans="1:50" ht="14.4">
      <c r="A19" s="17">
        <v>5</v>
      </c>
      <c r="B19" s="18" t="s">
        <v>107</v>
      </c>
      <c r="C19" s="18" t="s">
        <v>63</v>
      </c>
      <c r="D19" s="18" t="s">
        <v>88</v>
      </c>
      <c r="E19" s="10" t="s">
        <v>108</v>
      </c>
      <c r="F19" s="10" t="s">
        <v>109</v>
      </c>
      <c r="G19" s="10" t="s">
        <v>71</v>
      </c>
      <c r="H19" s="10" t="s">
        <v>91</v>
      </c>
      <c r="I19" s="10"/>
      <c r="J19" s="10" t="s">
        <v>92</v>
      </c>
      <c r="K19" s="11">
        <v>1</v>
      </c>
      <c r="L19" s="15">
        <v>6000</v>
      </c>
      <c r="M19" s="15">
        <v>6000</v>
      </c>
      <c r="N19" s="35">
        <v>10</v>
      </c>
      <c r="O19" s="12" t="s">
        <v>24</v>
      </c>
      <c r="P19" s="35">
        <v>1</v>
      </c>
      <c r="Q19" s="35">
        <v>0.25</v>
      </c>
      <c r="R19" s="15">
        <f t="shared" si="0"/>
        <v>0</v>
      </c>
      <c r="S19" s="15">
        <f t="shared" si="1"/>
        <v>0</v>
      </c>
      <c r="T19" s="15">
        <f>0/IF(K19=0,1,K19)</f>
        <v>0</v>
      </c>
      <c r="U19" s="15">
        <f>24811.819/IF(K19=0,1,K19)</f>
        <v>24811.819</v>
      </c>
      <c r="V19" s="15">
        <v>0</v>
      </c>
      <c r="W19" s="55" t="str">
        <f t="shared" si="2"/>
        <v>N/A</v>
      </c>
      <c r="X19" s="15">
        <v>24811.819</v>
      </c>
      <c r="Y19" s="15">
        <v>0</v>
      </c>
      <c r="Z19" s="15">
        <v>0</v>
      </c>
      <c r="AA19" s="15">
        <v>0</v>
      </c>
      <c r="AB19" s="53">
        <f t="shared" si="3"/>
        <v>-24811.819</v>
      </c>
      <c r="AC19" s="55">
        <f>AB19/AE19</f>
        <v>-1.0749720488764918</v>
      </c>
      <c r="AD19" s="50" t="str">
        <f t="shared" si="4"/>
        <v>X</v>
      </c>
      <c r="AE19" s="15">
        <f>23081.362/IF(K19=0,1,K19)</f>
        <v>23081.362000000001</v>
      </c>
      <c r="AF19" s="15">
        <v>0</v>
      </c>
      <c r="AG19" s="55" t="str">
        <f t="shared" si="5"/>
        <v>N/A</v>
      </c>
      <c r="AH19" s="15">
        <v>0</v>
      </c>
      <c r="AI19" s="15">
        <v>0</v>
      </c>
      <c r="AJ19" s="53">
        <f t="shared" si="6"/>
        <v>-47893.180999999997</v>
      </c>
      <c r="AK19" s="55">
        <f>AJ19/AM19</f>
        <v>-2.4420007136858164</v>
      </c>
      <c r="AL19" s="50" t="str">
        <f t="shared" si="7"/>
        <v>X</v>
      </c>
      <c r="AM19" s="15">
        <f>19612.2715/IF(K19=0,1,K19)</f>
        <v>19612.271499999999</v>
      </c>
      <c r="AN19" s="15">
        <v>0</v>
      </c>
      <c r="AO19" s="55" t="str">
        <f t="shared" si="8"/>
        <v>N/A</v>
      </c>
      <c r="AP19" s="53">
        <f>IF(MAX(U19,AE19,AM19)*($Q19+MAX(AS5))-AJ19+AM19&lt;=0,0,ROUNDUP(MAX(MAX(U19,AE19,AM19)*($Q19+MAX(AS5))-AJ19+AM19,,$L19)/$M19,0)*$M19)</f>
        <v>78000</v>
      </c>
      <c r="AQ19" s="37">
        <f>AP19</f>
        <v>78000</v>
      </c>
      <c r="AR19" s="49"/>
      <c r="AS19" s="53">
        <v>0</v>
      </c>
      <c r="AT19" s="55" t="str">
        <f t="shared" si="9"/>
        <v>N/A</v>
      </c>
      <c r="AU19" s="53">
        <f t="shared" si="10"/>
        <v>10494.547500000004</v>
      </c>
      <c r="AV19" s="55" t="e">
        <f>AU19/AX19</f>
        <v>#DIV/0!</v>
      </c>
      <c r="AW19" s="51" t="e">
        <f t="shared" si="11"/>
        <v>#DIV/0!</v>
      </c>
      <c r="AX19" s="15">
        <f t="shared" si="12"/>
        <v>0</v>
      </c>
    </row>
    <row r="20" spans="1:50" ht="14.4">
      <c r="A20" s="17">
        <v>6</v>
      </c>
      <c r="B20" s="18" t="s">
        <v>110</v>
      </c>
      <c r="C20" s="18" t="s">
        <v>63</v>
      </c>
      <c r="D20" s="18" t="s">
        <v>88</v>
      </c>
      <c r="E20" s="10" t="s">
        <v>111</v>
      </c>
      <c r="F20" s="10" t="s">
        <v>112</v>
      </c>
      <c r="G20" s="10" t="s">
        <v>70</v>
      </c>
      <c r="H20" s="10" t="s">
        <v>100</v>
      </c>
      <c r="I20" s="10" t="s">
        <v>113</v>
      </c>
      <c r="J20" s="10" t="s">
        <v>114</v>
      </c>
      <c r="K20" s="11">
        <v>1</v>
      </c>
      <c r="L20" s="16">
        <v>20</v>
      </c>
      <c r="M20" s="16">
        <v>10</v>
      </c>
      <c r="N20" s="35">
        <v>10</v>
      </c>
      <c r="O20" s="12" t="s">
        <v>24</v>
      </c>
      <c r="P20" s="35">
        <v>1</v>
      </c>
      <c r="Q20" s="35">
        <v>0.25</v>
      </c>
      <c r="R20" s="16">
        <f t="shared" si="0"/>
        <v>0</v>
      </c>
      <c r="S20" s="16">
        <f t="shared" si="1"/>
        <v>0</v>
      </c>
      <c r="T20" s="16">
        <f>-100/IF(K20=0,1,K20)</f>
        <v>-100</v>
      </c>
      <c r="U20" s="16">
        <f>88463.64/IF(K20=0,1,K20)</f>
        <v>88463.64</v>
      </c>
      <c r="V20" s="16">
        <v>0</v>
      </c>
      <c r="W20" s="55" t="str">
        <f t="shared" si="2"/>
        <v>N/A</v>
      </c>
      <c r="X20" s="16">
        <v>88463.64</v>
      </c>
      <c r="Y20" s="16">
        <v>0</v>
      </c>
      <c r="Z20" s="16">
        <v>0</v>
      </c>
      <c r="AA20" s="16">
        <v>0</v>
      </c>
      <c r="AB20" s="54">
        <f t="shared" si="3"/>
        <v>-88563.64</v>
      </c>
      <c r="AC20" s="55">
        <f>AB20/AE20</f>
        <v>-1.0964548426746059</v>
      </c>
      <c r="AD20" s="50" t="str">
        <f t="shared" si="4"/>
        <v>X</v>
      </c>
      <c r="AE20" s="16">
        <f>80772.72/IF(K20=0,1,K20)</f>
        <v>80772.72</v>
      </c>
      <c r="AF20" s="16">
        <v>0</v>
      </c>
      <c r="AG20" s="55" t="str">
        <f t="shared" si="5"/>
        <v>N/A</v>
      </c>
      <c r="AH20" s="16">
        <v>0</v>
      </c>
      <c r="AI20" s="16">
        <v>0</v>
      </c>
      <c r="AJ20" s="54">
        <f t="shared" si="6"/>
        <v>-169336.36</v>
      </c>
      <c r="AK20" s="55">
        <f>AJ20/AM20</f>
        <v>-2.591042030132872</v>
      </c>
      <c r="AL20" s="50" t="str">
        <f t="shared" si="7"/>
        <v>X</v>
      </c>
      <c r="AM20" s="16">
        <f>65354.54/IF(K20=0,1,K20)</f>
        <v>65354.54</v>
      </c>
      <c r="AN20" s="16">
        <v>0</v>
      </c>
      <c r="AO20" s="55" t="str">
        <f t="shared" si="8"/>
        <v>N/A</v>
      </c>
      <c r="AP20" s="54">
        <f>IF(MAX(U20,AE20,AM20)*($Q20+MAX(AS4))-AJ20+AM20&lt;=0,0,ROUNDUP(MAX(MAX(U20,AE20,AM20)*($Q20+MAX(AS4))-AJ20+AM20,,$L20)/$M20,0)*$M20)</f>
        <v>256810</v>
      </c>
      <c r="AQ20" s="38">
        <f>MAX(AP20,AP21)</f>
        <v>256810</v>
      </c>
      <c r="AR20" s="49"/>
      <c r="AS20" s="54">
        <v>0</v>
      </c>
      <c r="AT20" s="55" t="str">
        <f t="shared" si="9"/>
        <v>N/A</v>
      </c>
      <c r="AU20" s="54">
        <f t="shared" si="10"/>
        <v>22119.100000000013</v>
      </c>
      <c r="AV20" s="55" t="e">
        <f>AU20/AX20</f>
        <v>#DIV/0!</v>
      </c>
      <c r="AW20" s="51" t="e">
        <f t="shared" si="11"/>
        <v>#DIV/0!</v>
      </c>
      <c r="AX20" s="16">
        <f t="shared" si="12"/>
        <v>0</v>
      </c>
    </row>
    <row r="21" spans="1:50" ht="14.4">
      <c r="A21" s="17">
        <v>7</v>
      </c>
      <c r="B21" s="18" t="s">
        <v>113</v>
      </c>
      <c r="C21" s="18" t="s">
        <v>63</v>
      </c>
      <c r="D21" s="18" t="s">
        <v>88</v>
      </c>
      <c r="E21" s="10" t="s">
        <v>115</v>
      </c>
      <c r="F21" s="10" t="s">
        <v>116</v>
      </c>
      <c r="G21" s="10" t="s">
        <v>70</v>
      </c>
      <c r="H21" s="10" t="s">
        <v>100</v>
      </c>
      <c r="I21" s="10" t="s">
        <v>110</v>
      </c>
      <c r="J21" s="10" t="s">
        <v>114</v>
      </c>
      <c r="K21" s="11">
        <v>1</v>
      </c>
      <c r="L21" s="16">
        <v>20</v>
      </c>
      <c r="M21" s="16">
        <v>10</v>
      </c>
      <c r="N21" s="35">
        <v>10</v>
      </c>
      <c r="O21" s="12" t="s">
        <v>24</v>
      </c>
      <c r="P21" s="35">
        <v>1</v>
      </c>
      <c r="Q21" s="35">
        <v>0.25</v>
      </c>
      <c r="R21" s="16">
        <f t="shared" si="0"/>
        <v>0</v>
      </c>
      <c r="S21" s="16">
        <f t="shared" si="1"/>
        <v>0</v>
      </c>
      <c r="T21" s="16">
        <f>0/IF(K21=0,1,K21)</f>
        <v>0</v>
      </c>
      <c r="U21" s="16">
        <f>26649.092/IF(K21=0,1,K21)</f>
        <v>26649.092000000001</v>
      </c>
      <c r="V21" s="16">
        <v>0</v>
      </c>
      <c r="W21" s="55" t="str">
        <f t="shared" si="2"/>
        <v>N/A</v>
      </c>
      <c r="X21" s="16">
        <v>26649.092000000001</v>
      </c>
      <c r="Y21" s="16">
        <v>0</v>
      </c>
      <c r="Z21" s="16">
        <v>0</v>
      </c>
      <c r="AA21" s="16">
        <v>0</v>
      </c>
      <c r="AB21" s="54">
        <f t="shared" si="3"/>
        <v>-26649.092000000001</v>
      </c>
      <c r="AC21" s="55">
        <f>AB21/AE21</f>
        <v>-1.0947865188036916</v>
      </c>
      <c r="AD21" s="50" t="str">
        <f t="shared" si="4"/>
        <v>X</v>
      </c>
      <c r="AE21" s="16">
        <f>24341.816/IF(K21=0,1,K21)</f>
        <v>24341.815999999999</v>
      </c>
      <c r="AF21" s="16">
        <v>0</v>
      </c>
      <c r="AG21" s="55" t="str">
        <f t="shared" si="5"/>
        <v>N/A</v>
      </c>
      <c r="AH21" s="16">
        <v>0</v>
      </c>
      <c r="AI21" s="16">
        <v>0</v>
      </c>
      <c r="AJ21" s="54">
        <f t="shared" si="6"/>
        <v>-50990.907999999996</v>
      </c>
      <c r="AK21" s="55">
        <f>AJ21/AM21</f>
        <v>-2.586222955330197</v>
      </c>
      <c r="AL21" s="50" t="str">
        <f t="shared" si="7"/>
        <v>X</v>
      </c>
      <c r="AM21" s="16">
        <f>19716.362/IF(K21=0,1,K21)</f>
        <v>19716.362000000001</v>
      </c>
      <c r="AN21" s="16">
        <v>0</v>
      </c>
      <c r="AO21" s="55" t="str">
        <f t="shared" si="8"/>
        <v>N/A</v>
      </c>
      <c r="AP21" s="54">
        <f>IF(MAX(U21,AE21,AM21)*($Q21+MAX(AS4))-AJ21+AM21&lt;=0,0,ROUNDUP(MAX(MAX(U21,AE21,AM21)*($Q21+MAX(AS4))-AJ21+AM21,,$L21)/$M21,0)*$M21)</f>
        <v>77370</v>
      </c>
      <c r="AQ21" s="38">
        <v>256810</v>
      </c>
      <c r="AR21" s="49"/>
      <c r="AS21" s="54">
        <v>0</v>
      </c>
      <c r="AT21" s="55" t="str">
        <f t="shared" si="9"/>
        <v>N/A</v>
      </c>
      <c r="AU21" s="54">
        <f t="shared" si="10"/>
        <v>186102.73</v>
      </c>
      <c r="AV21" s="55" t="e">
        <f>AU21/AX21</f>
        <v>#DIV/0!</v>
      </c>
      <c r="AW21" s="51" t="e">
        <f t="shared" si="11"/>
        <v>#DIV/0!</v>
      </c>
      <c r="AX21" s="16">
        <f t="shared" si="12"/>
        <v>0</v>
      </c>
    </row>
  </sheetData>
  <sheetProtection password="CCBA" sheet="1" objects="1" scenarios="1" formatCells="0" formatColumns="0" formatRows="0" insertColumns="0" insertRows="0" deleteColumns="0" deleteRows="0" autoFilter="0"/>
  <mergeCells count="45">
    <mergeCell ref="AE12:AL12"/>
    <mergeCell ref="AE13:AG13"/>
    <mergeCell ref="AH13:AI13"/>
    <mergeCell ref="AJ13:AL13"/>
    <mergeCell ref="AM12:AW12"/>
    <mergeCell ref="AM13:AO13"/>
    <mergeCell ref="AP13:AT13"/>
    <mergeCell ref="AU13:AW13"/>
    <mergeCell ref="P12:Q12"/>
    <mergeCell ref="R12:T12"/>
    <mergeCell ref="U12:AD12"/>
    <mergeCell ref="U13:X13"/>
    <mergeCell ref="Y13:AA13"/>
    <mergeCell ref="AB13:AD13"/>
    <mergeCell ref="P13:P14"/>
    <mergeCell ref="Q13:Q14"/>
    <mergeCell ref="R13:R14"/>
    <mergeCell ref="S13:S14"/>
    <mergeCell ref="T13:T14"/>
    <mergeCell ref="AQ2:AS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</mergeCells>
  <phoneticPr fontId="1" type="noConversion"/>
  <conditionalFormatting sqref="W15:W21">
    <cfRule type="expression" dxfId="12" priority="1">
      <formula>ABS(W15)&gt;$N15</formula>
    </cfRule>
  </conditionalFormatting>
  <conditionalFormatting sqref="AD15:AD21">
    <cfRule type="cellIs" dxfId="11" priority="2" operator="equal">
      <formula>"+"</formula>
    </cfRule>
    <cfRule type="cellIs" dxfId="10" priority="3" operator="equal">
      <formula>"X"</formula>
    </cfRule>
  </conditionalFormatting>
  <conditionalFormatting sqref="AG15:AG21">
    <cfRule type="expression" dxfId="9" priority="4">
      <formula>ABS(AG15)&gt;$N15</formula>
    </cfRule>
  </conditionalFormatting>
  <conditionalFormatting sqref="AL15:AL21">
    <cfRule type="cellIs" dxfId="8" priority="5" operator="equal">
      <formula>"+"</formula>
    </cfRule>
    <cfRule type="cellIs" dxfId="7" priority="6" operator="equal">
      <formula>"X"</formula>
    </cfRule>
  </conditionalFormatting>
  <conditionalFormatting sqref="AO15:AO21">
    <cfRule type="expression" dxfId="6" priority="7">
      <formula>ABS(AO15)&gt;$N15</formula>
    </cfRule>
  </conditionalFormatting>
  <conditionalFormatting sqref="AQ15:AQ21">
    <cfRule type="expression" dxfId="5" priority="8">
      <formula>IF(ISERROR(AP15),"#DIV/0!",AP15)&lt;&gt;IF(ISERROR(AQ15),"#DIV/0!",AQ15)</formula>
    </cfRule>
  </conditionalFormatting>
  <conditionalFormatting sqref="AT15:AT21">
    <cfRule type="expression" dxfId="4" priority="9">
      <formula>ABS(AT15)&gt;$N15</formula>
    </cfRule>
  </conditionalFormatting>
  <conditionalFormatting sqref="AW15:AW21">
    <cfRule type="cellIs" dxfId="3" priority="10" operator="equal">
      <formula>"+"</formula>
    </cfRule>
    <cfRule type="cellIs" dxfId="2" priority="1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C5F-8222-4A36-BC61-63D53AD794BA}">
  <sheetPr codeName="Sheet4"/>
  <dimension ref="A1:D13"/>
  <sheetViews>
    <sheetView showGridLines="0" zoomScale="85" zoomScaleNormal="85" workbookViewId="0">
      <selection activeCell="B10" sqref="B10"/>
    </sheetView>
  </sheetViews>
  <sheetFormatPr defaultColWidth="8.88671875" defaultRowHeight="13.2"/>
  <cols>
    <col min="1" max="3" width="18.77734375" style="26" customWidth="1" collapsed="1"/>
    <col min="4" max="4" width="18.77734375" style="26" hidden="1" customWidth="1" collapsed="1"/>
    <col min="5" max="5" width="18.77734375" style="26" customWidth="1" collapsed="1"/>
    <col min="6" max="6" width="19.109375" style="26" customWidth="1" collapsed="1"/>
    <col min="7" max="16384" width="8.88671875" style="26" collapsed="1"/>
  </cols>
  <sheetData>
    <row r="1" spans="1:4">
      <c r="A1" s="25" t="s">
        <v>13</v>
      </c>
    </row>
    <row r="2" spans="1:4" ht="13.2" customHeight="1">
      <c r="A2" s="25"/>
    </row>
    <row r="3" spans="1:4" ht="13.2" customHeight="1">
      <c r="A3" s="27" t="s">
        <v>14</v>
      </c>
    </row>
    <row r="4" spans="1:4" ht="15" customHeight="1">
      <c r="A4" s="26" t="s">
        <v>15</v>
      </c>
    </row>
    <row r="5" spans="1:4" ht="13.2" customHeight="1"/>
    <row r="6" spans="1:4">
      <c r="A6" s="25" t="s">
        <v>16</v>
      </c>
      <c r="C6" s="32"/>
    </row>
    <row r="7" spans="1:4">
      <c r="A7" s="25" t="s">
        <v>17</v>
      </c>
      <c r="C7" s="33"/>
    </row>
    <row r="8" spans="1:4">
      <c r="C8" s="25"/>
    </row>
    <row r="9" spans="1:4" ht="15" customHeight="1"/>
    <row r="10" spans="1:4">
      <c r="A10" s="25"/>
      <c r="B10" s="29" t="s">
        <v>18</v>
      </c>
    </row>
    <row r="11" spans="1:4">
      <c r="A11" s="28" t="s">
        <v>19</v>
      </c>
      <c r="B11" s="29" t="s">
        <v>81</v>
      </c>
    </row>
    <row r="12" spans="1:4" ht="14.4">
      <c r="A12" s="30" t="s">
        <v>91</v>
      </c>
      <c r="B12" s="31">
        <v>0</v>
      </c>
      <c r="D12">
        <v>0</v>
      </c>
    </row>
    <row r="13" spans="1:4" ht="14.4">
      <c r="A13" s="30" t="s">
        <v>100</v>
      </c>
      <c r="B13" s="31">
        <v>0</v>
      </c>
      <c r="D13">
        <v>0</v>
      </c>
    </row>
  </sheetData>
  <sheetProtection password="CCBA" sheet="1" objects="1" scenarios="1" formatCells="0" formatColumns="0" formatRows="0" insertColumns="0" insertRows="0" deleteColumns="0" deleteRows="0" autoFilter="0"/>
  <phoneticPr fontId="1" type="noConversion"/>
  <conditionalFormatting sqref="B12:B13">
    <cfRule type="cellIs" dxfId="1" priority="1" operator="greaterThanOrEqual">
      <formula>$C$7</formula>
    </cfRule>
    <cfRule type="expression" dxfId="0" priority="2">
      <formula>C12:C13&gt;=$C$6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202311</vt:lpstr>
      <vt:lpstr>Supplier Non-working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刘银传</dc:creator>
  <cp:lastModifiedBy>Muhammad Syazwan Rusdi</cp:lastModifiedBy>
  <dcterms:created xsi:type="dcterms:W3CDTF">2006-09-16T00:00:00Z</dcterms:created>
  <dcterms:modified xsi:type="dcterms:W3CDTF">2023-09-12T08:21:12Z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