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estbit_SR\git\tb-ttap-brivge-syazwan\Excel Files\Scenario 10\"/>
    </mc:Choice>
  </mc:AlternateContent>
  <xr:revisionPtr revIDLastSave="0" documentId="13_ncr:1_{2A71622D-DEC5-4793-8E92-C4421A1B7415}" xr6:coauthVersionLast="47" xr6:coauthVersionMax="47" xr10:uidLastSave="{00000000-0000-0000-0000-000000000000}"/>
  <bookViews>
    <workbookView xWindow="-96" yWindow="0" windowWidth="11712" windowHeight="12336" tabRatio="711" activeTab="2" xr2:uid="{00000000-000D-0000-FFFF-FFFF00000000}"/>
  </bookViews>
  <sheets>
    <sheet name="202312" sheetId="1" r:id="rId1"/>
    <sheet name="202401" sheetId="16" r:id="rId2"/>
    <sheet name="202402" sheetId="17" r:id="rId3"/>
    <sheet name="Supplier Non-working Day" sheetId="12" r:id="rId4"/>
  </sheets>
  <definedNames>
    <definedName name="_Regression_X" hidden="1">#REF!</definedName>
    <definedName name="_xlnm.Database" hidden="1">#REF!</definedName>
    <definedName name="関連表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18" i="17" l="1"/>
  <c r="BE18" i="17"/>
  <c r="BC18" i="17"/>
  <c r="AW18" i="17"/>
  <c r="AU18" i="17"/>
  <c r="AR18" i="17"/>
  <c r="AZ18" i="17" s="1"/>
  <c r="AO18" i="17"/>
  <c r="AM18" i="17"/>
  <c r="AJ18" i="17"/>
  <c r="AK18" i="17" s="1"/>
  <c r="AL18" i="17" s="1"/>
  <c r="AG18" i="17"/>
  <c r="AE18" i="17"/>
  <c r="AB18" i="17"/>
  <c r="AC18" i="17" s="1"/>
  <c r="AD18" i="17" s="1"/>
  <c r="W18" i="17"/>
  <c r="U18" i="17"/>
  <c r="T18" i="17"/>
  <c r="S18" i="17"/>
  <c r="R18" i="17"/>
  <c r="BJ17" i="17"/>
  <c r="BE17" i="17"/>
  <c r="BC17" i="17"/>
  <c r="AW17" i="17"/>
  <c r="AU17" i="17"/>
  <c r="AR17" i="17"/>
  <c r="AZ17" i="17" s="1"/>
  <c r="AO17" i="17"/>
  <c r="AM17" i="17"/>
  <c r="AJ17" i="17"/>
  <c r="AK17" i="17" s="1"/>
  <c r="AL17" i="17" s="1"/>
  <c r="AG17" i="17"/>
  <c r="AE17" i="17"/>
  <c r="AC17" i="17"/>
  <c r="AD17" i="17" s="1"/>
  <c r="AB17" i="17"/>
  <c r="W17" i="17"/>
  <c r="U17" i="17"/>
  <c r="T17" i="17"/>
  <c r="S17" i="17"/>
  <c r="R17" i="17"/>
  <c r="BJ16" i="17"/>
  <c r="BE16" i="17"/>
  <c r="BC16" i="17"/>
  <c r="AW16" i="17"/>
  <c r="AU16" i="17"/>
  <c r="AR16" i="17"/>
  <c r="AZ16" i="17" s="1"/>
  <c r="AO16" i="17"/>
  <c r="AM16" i="17"/>
  <c r="AK16" i="17"/>
  <c r="AL16" i="17" s="1"/>
  <c r="AJ16" i="17"/>
  <c r="AG16" i="17"/>
  <c r="AE16" i="17"/>
  <c r="AC16" i="17"/>
  <c r="AD16" i="17" s="1"/>
  <c r="AB16" i="17"/>
  <c r="W16" i="17"/>
  <c r="U16" i="17"/>
  <c r="T16" i="17"/>
  <c r="S16" i="17"/>
  <c r="R16" i="17"/>
  <c r="BJ15" i="17"/>
  <c r="BE15" i="17"/>
  <c r="BC15" i="17"/>
  <c r="AZ15" i="17"/>
  <c r="AW15" i="17"/>
  <c r="AU15" i="17"/>
  <c r="AR15" i="17"/>
  <c r="AS15" i="17" s="1"/>
  <c r="AT15" i="17" s="1"/>
  <c r="AO15" i="17"/>
  <c r="AM15" i="17"/>
  <c r="AJ15" i="17"/>
  <c r="AK15" i="17" s="1"/>
  <c r="AL15" i="17" s="1"/>
  <c r="AG15" i="17"/>
  <c r="AE15" i="17"/>
  <c r="AC15" i="17"/>
  <c r="AD15" i="17" s="1"/>
  <c r="AB15" i="17"/>
  <c r="W15" i="17"/>
  <c r="U15" i="17"/>
  <c r="T15" i="17"/>
  <c r="S15" i="17"/>
  <c r="R15" i="17"/>
  <c r="BI5" i="17"/>
  <c r="BI4" i="17"/>
  <c r="BB15" i="16"/>
  <c r="AW15" i="16"/>
  <c r="AU15" i="16"/>
  <c r="AO15" i="16"/>
  <c r="AM15" i="16"/>
  <c r="AJ15" i="16"/>
  <c r="AR15" i="16" s="1"/>
  <c r="AG15" i="16"/>
  <c r="AE15" i="16"/>
  <c r="AC15" i="16"/>
  <c r="AD15" i="16" s="1"/>
  <c r="AB15" i="16"/>
  <c r="W15" i="16"/>
  <c r="U15" i="16"/>
  <c r="T15" i="16"/>
  <c r="S15" i="16"/>
  <c r="R15" i="16"/>
  <c r="BA5" i="16"/>
  <c r="BA4" i="16"/>
  <c r="AT16" i="1"/>
  <c r="AP16" i="1"/>
  <c r="AO16" i="1"/>
  <c r="AM16" i="1"/>
  <c r="AJ16" i="1"/>
  <c r="AG16" i="1"/>
  <c r="AE16" i="1"/>
  <c r="AB16" i="1"/>
  <c r="AC16" i="1" s="1"/>
  <c r="AD16" i="1" s="1"/>
  <c r="W16" i="1"/>
  <c r="U16" i="1"/>
  <c r="T16" i="1"/>
  <c r="S16" i="1"/>
  <c r="R16" i="1"/>
  <c r="AU15" i="1"/>
  <c r="AV15" i="1" s="1"/>
  <c r="AW15" i="1" s="1"/>
  <c r="AT15" i="1"/>
  <c r="AP15" i="1"/>
  <c r="AO15" i="1"/>
  <c r="AM15" i="1"/>
  <c r="AK15" i="1"/>
  <c r="AL15" i="1" s="1"/>
  <c r="AJ15" i="1"/>
  <c r="AG15" i="1"/>
  <c r="AE15" i="1"/>
  <c r="AC15" i="1"/>
  <c r="AD15" i="1" s="1"/>
  <c r="AB15" i="1"/>
  <c r="W15" i="1"/>
  <c r="U15" i="1"/>
  <c r="T15" i="1"/>
  <c r="S15" i="1"/>
  <c r="R15" i="1"/>
  <c r="AS5" i="1"/>
  <c r="AS4" i="1"/>
  <c r="BA17" i="17" l="1"/>
  <c r="BB17" i="17" s="1"/>
  <c r="BF17" i="17"/>
  <c r="BK17" i="17"/>
  <c r="BL17" i="17" s="1"/>
  <c r="BM17" i="17" s="1"/>
  <c r="BF18" i="17"/>
  <c r="BK18" i="17" s="1"/>
  <c r="BL18" i="17" s="1"/>
  <c r="BM18" i="17" s="1"/>
  <c r="BA18" i="17"/>
  <c r="BB18" i="17" s="1"/>
  <c r="AU16" i="1"/>
  <c r="AV16" i="1" s="1"/>
  <c r="AW16" i="1" s="1"/>
  <c r="AS15" i="16"/>
  <c r="AT15" i="16" s="1"/>
  <c r="AX15" i="16"/>
  <c r="BC15" i="16" s="1"/>
  <c r="BD15" i="16" s="1"/>
  <c r="BE15" i="16" s="1"/>
  <c r="BK16" i="17"/>
  <c r="BL16" i="17" s="1"/>
  <c r="BM16" i="17" s="1"/>
  <c r="BF16" i="17"/>
  <c r="BA16" i="17"/>
  <c r="BB16" i="17" s="1"/>
  <c r="BA15" i="17"/>
  <c r="BB15" i="17" s="1"/>
  <c r="AS18" i="17"/>
  <c r="AT18" i="17" s="1"/>
  <c r="AS17" i="17"/>
  <c r="AT17" i="17" s="1"/>
  <c r="AK15" i="16"/>
  <c r="AL15" i="16" s="1"/>
  <c r="AK16" i="1"/>
  <c r="AL16" i="1" s="1"/>
  <c r="BF15" i="17"/>
  <c r="BK15" i="17" s="1"/>
  <c r="BL15" i="17" s="1"/>
  <c r="BM15" i="17" s="1"/>
  <c r="AS16" i="17"/>
  <c r="AT16" i="17" s="1"/>
</calcChain>
</file>

<file path=xl/sharedStrings.xml><?xml version="1.0" encoding="utf-8"?>
<sst xmlns="http://schemas.openxmlformats.org/spreadsheetml/2006/main" count="403" uniqueCount="135">
  <si>
    <t>Import Stock</t>
  </si>
  <si>
    <t>Order Calculation Sheet</t>
  </si>
  <si>
    <t>Values (from system latest data/master)</t>
  </si>
  <si>
    <t>Condition</t>
  </si>
  <si>
    <t>Manual editable fields</t>
  </si>
  <si>
    <t>Customer Code</t>
  </si>
  <si>
    <t>Formula &amp; conditional formatting</t>
  </si>
  <si>
    <t>Order Calculation Grouping No.</t>
  </si>
  <si>
    <t>Order Calculation Reference No.</t>
  </si>
  <si>
    <t>Order Frequency</t>
  </si>
  <si>
    <t>Order Timing</t>
  </si>
  <si>
    <t>Target Timing</t>
  </si>
  <si>
    <t>Stock Taking date</t>
  </si>
  <si>
    <t>Supplier Non-Working Days</t>
  </si>
  <si>
    <t>[Note: Please consider the necessity to adjust  Firm order and forecast qty based on supplier non-working days]</t>
  </si>
  <si>
    <t>* Non-working days shown should exclude weekends (Sat &amp; Sun).</t>
  </si>
  <si>
    <t>Consecutive non-working days:</t>
  </si>
  <si>
    <t>Non-Working Days to Prompt Alert:</t>
  </si>
  <si>
    <t>Non-Working Days</t>
  </si>
  <si>
    <t>System Supplier Code</t>
  </si>
  <si>
    <t>Adjustment</t>
  </si>
  <si>
    <t>Exp</t>
  </si>
  <si>
    <t>by days</t>
  </si>
  <si>
    <t>by Box</t>
  </si>
  <si>
    <t>By %</t>
  </si>
  <si>
    <t>Reason</t>
  </si>
  <si>
    <t>Stock Level</t>
  </si>
  <si>
    <t>No.</t>
  </si>
  <si>
    <t>Parts No.</t>
  </si>
  <si>
    <t>System Customer Code</t>
  </si>
  <si>
    <t>External Reference No.</t>
  </si>
  <si>
    <t>Customer Parts No.</t>
  </si>
  <si>
    <t>Description</t>
  </si>
  <si>
    <t>Exp Country</t>
  </si>
  <si>
    <t>Supplier</t>
  </si>
  <si>
    <t>Paired Parts No.</t>
  </si>
  <si>
    <t>Master To Supplier UOM</t>
  </si>
  <si>
    <t>UOM Proportion</t>
  </si>
  <si>
    <t>MOQ</t>
  </si>
  <si>
    <t>MPQ</t>
  </si>
  <si>
    <t>Fluctuation Standard</t>
  </si>
  <si>
    <t>Safety Stock Unit</t>
  </si>
  <si>
    <t>Maximum Stock</t>
  </si>
  <si>
    <t>Standard Safety Stock</t>
  </si>
  <si>
    <t>Stock at Warehouse</t>
  </si>
  <si>
    <t>Stock at Customer</t>
  </si>
  <si>
    <t>Work In Progress</t>
  </si>
  <si>
    <t>Customer Consumption</t>
  </si>
  <si>
    <t>Balance Order</t>
  </si>
  <si>
    <t>Import Order</t>
  </si>
  <si>
    <t>Fluctuation</t>
  </si>
  <si>
    <t>Balance Customer Usage (as of Cut-off date)</t>
  </si>
  <si>
    <t>Order qty</t>
  </si>
  <si>
    <t>Order Balance From Previous Month (delayed shipment)</t>
  </si>
  <si>
    <t>Total Order Balance Qty.(not yet inbound)</t>
  </si>
  <si>
    <t>*Risky Inventory Flag</t>
  </si>
  <si>
    <t>Order Already Placed</t>
  </si>
  <si>
    <t>Order Balance Qty.(yet to inbound)</t>
  </si>
  <si>
    <t>Suggested Order Qty(UOM BOM).</t>
  </si>
  <si>
    <t>Final Order Qty.(adjusted)</t>
  </si>
  <si>
    <t>Reason for Adjustment</t>
  </si>
  <si>
    <t>Last Forecast Qty.</t>
  </si>
  <si>
    <t>*Fluctuation(final order vs forecast qty last)</t>
  </si>
  <si>
    <t>MY-PNA-CUS</t>
  </si>
  <si>
    <t>S2-02-OCGN</t>
  </si>
  <si>
    <t>MY-PNA-CUS-2310-001</t>
  </si>
  <si>
    <t>Monthly</t>
  </si>
  <si>
    <t>Working Day
2023-Nov</t>
  </si>
  <si>
    <t>Working Day
2023-Dec</t>
  </si>
  <si>
    <t>Working Day
2024-Jan</t>
  </si>
  <si>
    <t>MY</t>
  </si>
  <si>
    <t>JP</t>
  </si>
  <si>
    <t>Stock Taking Day
2023-Oct-04</t>
  </si>
  <si>
    <t>N-2(2023-Oct)</t>
  </si>
  <si>
    <t>Latest Qty(updated on 2023-Oct-03)</t>
  </si>
  <si>
    <t>Previous Qty</t>
  </si>
  <si>
    <t>*Stock at End [N-2](Qty)</t>
  </si>
  <si>
    <t>*Stock at End [N-2]</t>
  </si>
  <si>
    <t>N-1(2023-Nov)</t>
  </si>
  <si>
    <t>*Stock at End [N-1](Qty)</t>
  </si>
  <si>
    <t>*Stock at End [N-1]</t>
  </si>
  <si>
    <t>N(2023-Dec)</t>
  </si>
  <si>
    <t>Order Calculation (FIRM ORDER)</t>
  </si>
  <si>
    <t>*Stock at End [N](Qty)</t>
  </si>
  <si>
    <t>*Stock at End [N]</t>
  </si>
  <si>
    <t>N+1(2024-Jan)</t>
  </si>
  <si>
    <t>(*)usage qty is not uploaded by user</t>
  </si>
  <si>
    <t>S2ATEST202306050000000000001</t>
  </si>
  <si>
    <t>PNABU-L3-S2-002</t>
  </si>
  <si>
    <t>S2CUS-PNATEST,20230605000000000000-1</t>
  </si>
  <si>
    <t>[Unit Parts Description]:FNCUS-PNATEST,20230605000000000000-1</t>
  </si>
  <si>
    <t>MY-ELA-SUP</t>
  </si>
  <si>
    <t>S2ATEST202306050000000000002</t>
  </si>
  <si>
    <t>MM</t>
  </si>
  <si>
    <t>S2CUS-PNATEST,20230605000000000000-2</t>
  </si>
  <si>
    <t>[Unit Parts Description]:FNCUS-PNATEST,20230605000000000000-2</t>
  </si>
  <si>
    <t>Working Day
2024-Feb</t>
  </si>
  <si>
    <t>N-3(2023-Oct)</t>
  </si>
  <si>
    <t>*Stock at End [N-3](Qty)</t>
  </si>
  <si>
    <t>*Stock at End [N-3]</t>
  </si>
  <si>
    <t>N-2(2023-Nov)</t>
  </si>
  <si>
    <t>N-1(2023-Dec)</t>
  </si>
  <si>
    <t>N(2024-Jan)</t>
  </si>
  <si>
    <t>N+1(2024-Feb)</t>
  </si>
  <si>
    <t>S2pna1219AS1</t>
  </si>
  <si>
    <t>S2pna-1219AS-1</t>
  </si>
  <si>
    <t>TERM- TERMINAL</t>
  </si>
  <si>
    <t>PC</t>
  </si>
  <si>
    <t>By Stock Days</t>
  </si>
  <si>
    <t>Working Day
2024-Mar</t>
  </si>
  <si>
    <t>N-4(2023-Oct)</t>
  </si>
  <si>
    <t>*Stock at End [N-4](Qty)</t>
  </si>
  <si>
    <t>*Stock at End [N-4]</t>
  </si>
  <si>
    <t>N-3(2023-Nov)</t>
  </si>
  <si>
    <t>N-2(2023-Dec)</t>
  </si>
  <si>
    <t>N-1(2024-Jan)</t>
  </si>
  <si>
    <t>N(2024-Feb)</t>
  </si>
  <si>
    <t>N+1(2024-Mar)</t>
  </si>
  <si>
    <t>S2pna18001404835</t>
  </si>
  <si>
    <t>S2pna-18001404835</t>
  </si>
  <si>
    <t>CABL- CABLE AVF 30.0 B/R</t>
  </si>
  <si>
    <t>JP-YAZ-SUP</t>
  </si>
  <si>
    <t>MTR</t>
  </si>
  <si>
    <t>By Boxes</t>
  </si>
  <si>
    <t>S2pna18007703930</t>
  </si>
  <si>
    <t>S2pna-18007703930</t>
  </si>
  <si>
    <t>CABL- CABLE AVSSF 0.5 B</t>
  </si>
  <si>
    <t>S2pna45050040130</t>
  </si>
  <si>
    <t>S2pna-45050040130</t>
  </si>
  <si>
    <t>TUBV- TUBE VO 6 7 MM NON-SLIT</t>
  </si>
  <si>
    <t>S2pnaNSL2BLACK</t>
  </si>
  <si>
    <t>S2pna-NSL-2BLACK</t>
  </si>
  <si>
    <t>NAMS- 2 LAYER LABEL GUN INK BLACK</t>
  </si>
  <si>
    <t>PCS</t>
  </si>
  <si>
    <t>TC47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</si>
</sst>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72" formatCode="#,##0_ "/>
    <numFmt numFmtId="174" formatCode="#,##0.00_ "/>
    <numFmt numFmtId="175" formatCode="#,##0.000_ "/>
    <numFmt numFmtId="179" formatCode="[$-409]mmmm\-yy;@"/>
    <numFmt numFmtId="180" formatCode="yyyy\-mmm"/>
    <numFmt numFmtId="181" formatCode="yyyy\-mmm\-dd"/>
    <numFmt numFmtId="182" formatCode="0_ "/>
    <numFmt numFmtId="187" formatCode="#,##0\*\ "/>
    <numFmt numFmtId="189" formatCode="#,##0.00\*"/>
    <numFmt numFmtId="190" formatCode="#,##0.000\*"/>
  </numFmts>
  <fonts count="1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u/>
      <sz val="10"/>
      <name val="Arial"/>
      <family val="2"/>
    </font>
    <font>
      <b/>
      <sz val="10"/>
      <color indexed="9"/>
      <name val="Arial"/>
      <family val="2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0"/>
      <color indexed="10"/>
      <name val="Arial"/>
      <family val="2"/>
    </font>
    <font>
      <sz val="10"/>
      <name val="Meiryo UI"/>
      <family val="3"/>
      <charset val="128"/>
    </font>
    <font>
      <sz val="11"/>
      <color theme="1"/>
      <name val="Calibri"/>
      <family val="3"/>
      <charset val="134"/>
      <scheme val="minor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8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2" fillId="0" borderId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/>
    <xf numFmtId="0" fontId="9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3" fillId="0" borderId="0">
      <alignment vertical="center"/>
    </xf>
    <xf numFmtId="43" fontId="4" fillId="0" borderId="0" applyFont="0" applyFill="0" applyBorder="0" applyAlignment="0" applyProtection="0"/>
  </cellStyleXfs>
  <cellXfs count="98">
    <xf numFmtId="0" fontId="0" fillId="0" borderId="0" xfId="0"/>
    <xf numFmtId="49" fontId="7" fillId="0" borderId="0" xfId="7" applyNumberFormat="1" applyFont="1" applyAlignment="1" applyProtection="1">
      <alignment horizontal="left"/>
    </xf>
    <xf numFmtId="0" fontId="2" fillId="0" borderId="0" xfId="7" applyNumberFormat="1" applyFont="1" applyFill="1" applyBorder="1" applyAlignment="1" applyProtection="1"/>
    <xf numFmtId="0" fontId="11" fillId="0" borderId="0" xfId="7" applyNumberFormat="1" applyFont="1" applyFill="1" applyBorder="1" applyAlignment="1" applyProtection="1"/>
    <xf numFmtId="0" fontId="6" fillId="2" borderId="0" xfId="0" applyFont="1" applyFill="1"/>
    <xf numFmtId="0" fontId="2" fillId="2" borderId="0" xfId="1" applyFill="1" applyAlignment="1">
      <alignment vertical="center"/>
    </xf>
    <xf numFmtId="49" fontId="5" fillId="0" borderId="0" xfId="7" applyNumberFormat="1" applyFont="1" applyAlignment="1" applyProtection="1">
      <alignment horizontal="left"/>
    </xf>
    <xf numFmtId="0" fontId="5" fillId="3" borderId="1" xfId="7" applyNumberFormat="1" applyFont="1" applyFill="1" applyBorder="1" applyAlignment="1" applyProtection="1">
      <alignment horizontal="center" vertical="center"/>
    </xf>
    <xf numFmtId="0" fontId="5" fillId="0" borderId="1" xfId="7" applyNumberFormat="1" applyFont="1" applyFill="1" applyBorder="1" applyAlignment="1" applyProtection="1">
      <alignment horizontal="left" vertical="center"/>
    </xf>
    <xf numFmtId="181" fontId="2" fillId="0" borderId="0" xfId="7" applyNumberFormat="1" applyFont="1" applyFill="1" applyBorder="1" applyAlignment="1" applyProtection="1">
      <alignment horizontal="center"/>
    </xf>
    <xf numFmtId="0" fontId="2" fillId="4" borderId="1" xfId="7" applyNumberFormat="1" applyFont="1" applyFill="1" applyBorder="1" applyAlignment="1" applyProtection="1">
      <alignment horizontal="left" vertical="center"/>
    </xf>
    <xf numFmtId="0" fontId="2" fillId="4" borderId="1" xfId="7" applyNumberFormat="1" applyFont="1" applyFill="1" applyBorder="1" applyAlignment="1" applyProtection="1">
      <alignment horizontal="right" vertical="center" shrinkToFit="1"/>
    </xf>
    <xf numFmtId="9" fontId="2" fillId="4" borderId="1" xfId="7" applyNumberFormat="1" applyFont="1" applyFill="1" applyBorder="1" applyAlignment="1" applyProtection="1">
      <alignment horizontal="left" vertical="center"/>
    </xf>
    <xf numFmtId="0" fontId="3" fillId="2" borderId="0" xfId="0" applyFont="1" applyFill="1"/>
    <xf numFmtId="172" fontId="6" fillId="4" borderId="1" xfId="11" applyNumberFormat="1" applyFont="1" applyFill="1" applyBorder="1" applyAlignment="1"/>
    <xf numFmtId="174" fontId="6" fillId="4" borderId="1" xfId="11" applyNumberFormat="1" applyFont="1" applyFill="1" applyBorder="1" applyAlignment="1"/>
    <xf numFmtId="175" fontId="6" fillId="4" borderId="1" xfId="11" applyNumberFormat="1" applyFont="1" applyFill="1" applyBorder="1" applyAlignment="1"/>
    <xf numFmtId="0" fontId="2" fillId="4" borderId="1" xfId="7" applyNumberFormat="1" applyFont="1" applyFill="1" applyBorder="1" applyAlignment="1" applyProtection="1">
      <alignment horizontal="center" vertical="center"/>
    </xf>
    <xf numFmtId="0" fontId="12" fillId="4" borderId="1" xfId="8" applyFont="1" applyFill="1" applyBorder="1" applyAlignment="1">
      <alignment horizontal="left" vertical="center"/>
    </xf>
    <xf numFmtId="0" fontId="2" fillId="6" borderId="1" xfId="7" applyNumberFormat="1" applyFont="1" applyFill="1" applyBorder="1" applyAlignment="1" applyProtection="1">
      <alignment horizontal="center" vertical="center" wrapText="1"/>
    </xf>
    <xf numFmtId="0" fontId="2" fillId="7" borderId="1" xfId="7" applyNumberFormat="1" applyFont="1" applyFill="1" applyBorder="1" applyAlignment="1" applyProtection="1">
      <alignment horizontal="center" vertical="center" wrapText="1"/>
    </xf>
    <xf numFmtId="0" fontId="8" fillId="9" borderId="1" xfId="7" applyNumberFormat="1" applyFont="1" applyFill="1" applyBorder="1" applyAlignment="1" applyProtection="1">
      <alignment horizontal="center" vertical="center" wrapText="1"/>
    </xf>
    <xf numFmtId="0" fontId="2" fillId="10" borderId="1" xfId="7" applyNumberFormat="1" applyFont="1" applyFill="1" applyBorder="1" applyAlignment="1" applyProtection="1">
      <alignment horizontal="center" vertical="center" wrapText="1"/>
    </xf>
    <xf numFmtId="0" fontId="2" fillId="0" borderId="0" xfId="7" applyNumberFormat="1" applyFont="1" applyFill="1" applyBorder="1" applyAlignment="1" applyProtection="1">
      <alignment horizontal="center" vertical="center"/>
    </xf>
    <xf numFmtId="0" fontId="2" fillId="2" borderId="0" xfId="7" applyNumberFormat="1" applyFont="1" applyFill="1" applyBorder="1" applyAlignment="1" applyProtection="1">
      <alignment horizontal="center" vertical="center"/>
    </xf>
    <xf numFmtId="0" fontId="15" fillId="0" borderId="0" xfId="0" applyFont="1"/>
    <xf numFmtId="0" fontId="6" fillId="0" borderId="0" xfId="0" applyFont="1"/>
    <xf numFmtId="0" fontId="16" fillId="0" borderId="0" xfId="0" applyFont="1"/>
    <xf numFmtId="0" fontId="15" fillId="7" borderId="2" xfId="0" applyFont="1" applyFill="1" applyBorder="1"/>
    <xf numFmtId="0" fontId="15" fillId="7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4" fillId="0" borderId="1" xfId="0" applyFont="1" applyBorder="1" applyAlignment="1">
      <alignment horizontal="right" vertical="center"/>
    </xf>
    <xf numFmtId="0" fontId="15" fillId="11" borderId="1" xfId="0" applyFont="1" applyFill="1" applyBorder="1" applyProtection="1">
      <protection locked="0"/>
    </xf>
    <xf numFmtId="0" fontId="15" fillId="3" borderId="1" xfId="0" applyFont="1" applyFill="1" applyBorder="1" applyProtection="1">
      <protection locked="0"/>
    </xf>
    <xf numFmtId="9" fontId="2" fillId="4" borderId="1" xfId="6" applyFont="1" applyFill="1" applyBorder="1" applyAlignment="1" applyProtection="1">
      <alignment horizontal="right" vertical="center"/>
    </xf>
    <xf numFmtId="9" fontId="6" fillId="4" borderId="1" xfId="11" applyNumberFormat="1" applyFont="1" applyFill="1" applyBorder="1" applyAlignment="1"/>
    <xf numFmtId="0" fontId="5" fillId="0" borderId="1" xfId="7" applyNumberFormat="1" applyFont="1" applyFill="1" applyBorder="1" applyAlignment="1" applyProtection="1">
      <alignment horizontal="right" vertical="center"/>
      <protection locked="0"/>
    </xf>
    <xf numFmtId="0" fontId="2" fillId="0" borderId="1" xfId="7" applyNumberFormat="1" applyFont="1" applyFill="1" applyBorder="1" applyAlignment="1" applyProtection="1">
      <alignment horizontal="left" vertical="center"/>
      <protection locked="0"/>
    </xf>
    <xf numFmtId="49" fontId="2" fillId="0" borderId="7" xfId="7" applyNumberFormat="1" applyFont="1" applyFill="1" applyBorder="1" applyAlignment="1" applyProtection="1">
      <alignment horizontal="left" vertical="center"/>
    </xf>
    <xf numFmtId="49" fontId="2" fillId="0" borderId="10" xfId="7" applyNumberFormat="1" applyFont="1" applyFill="1" applyBorder="1" applyAlignment="1" applyProtection="1">
      <alignment horizontal="left" vertical="center"/>
    </xf>
    <xf numFmtId="179" fontId="2" fillId="0" borderId="10" xfId="7" applyNumberFormat="1" applyFont="1" applyFill="1" applyBorder="1" applyAlignment="1" applyProtection="1">
      <alignment horizontal="left" vertical="center"/>
    </xf>
    <xf numFmtId="180" fontId="2" fillId="0" borderId="10" xfId="7" applyNumberFormat="1" applyFont="1" applyFill="1" applyBorder="1" applyAlignment="1" applyProtection="1">
      <alignment horizontal="left" vertical="center"/>
    </xf>
    <xf numFmtId="180" fontId="2" fillId="0" borderId="11" xfId="7" applyNumberFormat="1" applyFont="1" applyFill="1" applyBorder="1" applyAlignment="1" applyProtection="1">
      <alignment horizontal="left" vertical="center"/>
    </xf>
    <xf numFmtId="181" fontId="2" fillId="0" borderId="13" xfId="7" applyNumberFormat="1" applyFont="1" applyFill="1" applyBorder="1" applyAlignment="1" applyProtection="1">
      <alignment horizontal="left" vertical="center"/>
    </xf>
    <xf numFmtId="0" fontId="5" fillId="3" borderId="1" xfId="7" applyNumberFormat="1" applyFont="1" applyFill="1" applyBorder="1" applyAlignment="1" applyProtection="1">
      <alignment horizontal="center" vertical="center" wrapText="1"/>
    </xf>
    <xf numFmtId="172" fontId="2" fillId="0" borderId="1" xfId="7" applyNumberFormat="1" applyFont="1" applyFill="1" applyBorder="1" applyAlignment="1" applyProtection="1">
      <alignment horizontal="right" vertical="center"/>
      <protection locked="0"/>
    </xf>
    <xf numFmtId="0" fontId="2" fillId="5" borderId="1" xfId="7" applyNumberFormat="1" applyFont="1" applyFill="1" applyBorder="1" applyAlignment="1" applyProtection="1">
      <alignment horizontal="left" vertical="center"/>
      <protection locked="0"/>
    </xf>
    <xf numFmtId="182" fontId="2" fillId="0" borderId="1" xfId="7" applyNumberFormat="1" applyFont="1" applyFill="1" applyBorder="1" applyAlignment="1" applyProtection="1">
      <alignment horizontal="center" vertical="center"/>
    </xf>
    <xf numFmtId="0" fontId="2" fillId="0" borderId="1" xfId="7" applyNumberFormat="1" applyFont="1" applyFill="1" applyBorder="1" applyAlignment="1" applyProtection="1">
      <alignment horizontal="center" vertical="center"/>
    </xf>
    <xf numFmtId="172" fontId="6" fillId="0" borderId="1" xfId="11" applyNumberFormat="1" applyFont="1" applyBorder="1" applyAlignment="1"/>
    <xf numFmtId="174" fontId="6" fillId="0" borderId="1" xfId="11" applyNumberFormat="1" applyFont="1" applyBorder="1" applyAlignment="1"/>
    <xf numFmtId="175" fontId="6" fillId="0" borderId="1" xfId="11" applyNumberFormat="1" applyFont="1" applyBorder="1" applyAlignment="1"/>
    <xf numFmtId="9" fontId="6" fillId="0" borderId="1" xfId="11" applyNumberFormat="1" applyFont="1" applyBorder="1" applyAlignment="1"/>
    <xf numFmtId="187" fontId="6" fillId="12" borderId="1" xfId="11" applyNumberFormat="1" applyFont="1" applyFill="1" applyBorder="1" applyAlignment="1" applyProtection="1">
      <protection locked="0"/>
    </xf>
    <xf numFmtId="189" fontId="6" fillId="12" borderId="1" xfId="11" applyNumberFormat="1" applyFont="1" applyFill="1" applyBorder="1" applyAlignment="1" applyProtection="1">
      <protection locked="0"/>
    </xf>
    <xf numFmtId="190" fontId="6" fillId="12" borderId="1" xfId="11" applyNumberFormat="1" applyFont="1" applyFill="1" applyBorder="1" applyAlignment="1" applyProtection="1">
      <protection locked="0"/>
    </xf>
    <xf numFmtId="49" fontId="2" fillId="6" borderId="8" xfId="7" applyNumberFormat="1" applyFont="1" applyFill="1" applyBorder="1" applyAlignment="1" applyProtection="1">
      <alignment horizontal="left" vertical="center"/>
    </xf>
    <xf numFmtId="49" fontId="2" fillId="6" borderId="9" xfId="7" applyNumberFormat="1" applyFont="1" applyFill="1" applyBorder="1" applyAlignment="1" applyProtection="1">
      <alignment horizontal="left" vertical="center"/>
    </xf>
    <xf numFmtId="49" fontId="2" fillId="6" borderId="18" xfId="7" applyNumberFormat="1" applyFont="1" applyFill="1" applyBorder="1" applyAlignment="1" applyProtection="1">
      <alignment horizontal="left" vertical="center"/>
    </xf>
    <xf numFmtId="49" fontId="2" fillId="6" borderId="19" xfId="7" applyNumberFormat="1" applyFont="1" applyFill="1" applyBorder="1" applyAlignment="1" applyProtection="1">
      <alignment horizontal="left" vertical="center"/>
    </xf>
    <xf numFmtId="49" fontId="2" fillId="7" borderId="12" xfId="7" applyNumberFormat="1" applyFont="1" applyFill="1" applyBorder="1" applyAlignment="1" applyProtection="1">
      <alignment horizontal="left" vertical="center"/>
    </xf>
    <xf numFmtId="49" fontId="2" fillId="7" borderId="20" xfId="7" applyNumberFormat="1" applyFont="1" applyFill="1" applyBorder="1" applyAlignment="1" applyProtection="1">
      <alignment horizontal="left" vertical="center"/>
    </xf>
    <xf numFmtId="0" fontId="2" fillId="4" borderId="4" xfId="7" applyNumberFormat="1" applyFont="1" applyFill="1" applyBorder="1" applyAlignment="1" applyProtection="1">
      <alignment horizontal="left"/>
    </xf>
    <xf numFmtId="0" fontId="2" fillId="4" borderId="5" xfId="7" applyNumberFormat="1" applyFont="1" applyFill="1" applyBorder="1" applyAlignment="1" applyProtection="1">
      <alignment horizontal="left"/>
    </xf>
    <xf numFmtId="172" fontId="2" fillId="5" borderId="4" xfId="7" applyNumberFormat="1" applyFont="1" applyFill="1" applyBorder="1" applyAlignment="1" applyProtection="1">
      <alignment horizontal="left" vertical="center"/>
    </xf>
    <xf numFmtId="172" fontId="2" fillId="5" borderId="5" xfId="7" applyNumberFormat="1" applyFont="1" applyFill="1" applyBorder="1" applyAlignment="1" applyProtection="1">
      <alignment horizontal="left" vertical="center"/>
    </xf>
    <xf numFmtId="172" fontId="2" fillId="13" borderId="4" xfId="7" applyNumberFormat="1" applyFont="1" applyFill="1" applyBorder="1" applyAlignment="1" applyProtection="1">
      <alignment horizontal="left" vertical="center"/>
    </xf>
    <xf numFmtId="172" fontId="2" fillId="13" borderId="5" xfId="7" applyNumberFormat="1" applyFont="1" applyFill="1" applyBorder="1" applyAlignment="1" applyProtection="1">
      <alignment horizontal="left" vertical="center"/>
    </xf>
    <xf numFmtId="49" fontId="2" fillId="6" borderId="8" xfId="7" applyNumberFormat="1" applyFont="1" applyFill="1" applyBorder="1" applyAlignment="1" applyProtection="1">
      <alignment horizontal="left" vertical="center" wrapText="1"/>
    </xf>
    <xf numFmtId="49" fontId="2" fillId="6" borderId="9" xfId="7" applyNumberFormat="1" applyFont="1" applyFill="1" applyBorder="1" applyAlignment="1" applyProtection="1">
      <alignment horizontal="left" vertical="center" wrapText="1"/>
    </xf>
    <xf numFmtId="49" fontId="2" fillId="6" borderId="6" xfId="7" applyNumberFormat="1" applyFont="1" applyFill="1" applyBorder="1" applyAlignment="1" applyProtection="1">
      <alignment horizontal="left" vertical="center"/>
    </xf>
    <xf numFmtId="49" fontId="2" fillId="6" borderId="17" xfId="7" applyNumberFormat="1" applyFont="1" applyFill="1" applyBorder="1" applyAlignment="1" applyProtection="1">
      <alignment horizontal="left" vertical="center"/>
    </xf>
    <xf numFmtId="0" fontId="5" fillId="3" borderId="14" xfId="7" applyNumberFormat="1" applyFont="1" applyFill="1" applyBorder="1" applyAlignment="1" applyProtection="1">
      <alignment horizontal="center" vertical="center"/>
    </xf>
    <xf numFmtId="0" fontId="5" fillId="3" borderId="15" xfId="7" applyNumberFormat="1" applyFont="1" applyFill="1" applyBorder="1" applyAlignment="1" applyProtection="1">
      <alignment horizontal="center" vertical="center"/>
    </xf>
    <xf numFmtId="0" fontId="5" fillId="3" borderId="16" xfId="7" applyNumberFormat="1" applyFont="1" applyFill="1" applyBorder="1" applyAlignment="1" applyProtection="1">
      <alignment horizontal="center" vertical="center"/>
    </xf>
    <xf numFmtId="0" fontId="2" fillId="6" borderId="22" xfId="7" applyNumberFormat="1" applyFont="1" applyFill="1" applyBorder="1" applyAlignment="1" applyProtection="1">
      <alignment horizontal="center" vertical="center" wrapText="1"/>
    </xf>
    <xf numFmtId="0" fontId="2" fillId="6" borderId="3" xfId="7" applyNumberFormat="1" applyFont="1" applyFill="1" applyBorder="1" applyAlignment="1" applyProtection="1">
      <alignment horizontal="center" vertical="center" wrapText="1"/>
    </xf>
    <xf numFmtId="0" fontId="2" fillId="7" borderId="22" xfId="7" applyNumberFormat="1" applyFont="1" applyFill="1" applyBorder="1" applyAlignment="1" applyProtection="1">
      <alignment horizontal="center" vertical="center" wrapText="1"/>
    </xf>
    <xf numFmtId="0" fontId="2" fillId="7" borderId="3" xfId="7" applyNumberFormat="1" applyFont="1" applyFill="1" applyBorder="1" applyAlignment="1" applyProtection="1">
      <alignment horizontal="center" vertical="center" wrapText="1"/>
    </xf>
    <xf numFmtId="0" fontId="2" fillId="8" borderId="22" xfId="7" applyNumberFormat="1" applyFont="1" applyFill="1" applyBorder="1" applyAlignment="1" applyProtection="1">
      <alignment horizontal="center" vertical="center" wrapText="1"/>
    </xf>
    <xf numFmtId="0" fontId="2" fillId="8" borderId="3" xfId="7" applyNumberFormat="1" applyFont="1" applyFill="1" applyBorder="1" applyAlignment="1" applyProtection="1">
      <alignment horizontal="center" vertical="center" wrapText="1"/>
    </xf>
    <xf numFmtId="0" fontId="2" fillId="6" borderId="2" xfId="7" applyNumberFormat="1" applyFont="1" applyFill="1" applyBorder="1" applyAlignment="1" applyProtection="1">
      <alignment horizontal="center" vertical="center" wrapText="1"/>
    </xf>
    <xf numFmtId="0" fontId="2" fillId="6" borderId="21" xfId="7" applyNumberFormat="1" applyFont="1" applyFill="1" applyBorder="1" applyAlignment="1" applyProtection="1">
      <alignment horizontal="center" vertical="center" wrapText="1"/>
    </xf>
    <xf numFmtId="0" fontId="2" fillId="6" borderId="23" xfId="7" applyNumberFormat="1" applyFont="1" applyFill="1" applyBorder="1" applyAlignment="1" applyProtection="1">
      <alignment horizontal="center" vertical="center" wrapText="1"/>
    </xf>
    <xf numFmtId="0" fontId="2" fillId="6" borderId="2" xfId="7" applyNumberFormat="1" applyFont="1" applyFill="1" applyBorder="1" applyAlignment="1" applyProtection="1">
      <alignment horizontal="center" vertical="center"/>
    </xf>
    <xf numFmtId="0" fontId="2" fillId="6" borderId="23" xfId="7" applyNumberFormat="1" applyFont="1" applyFill="1" applyBorder="1" applyAlignment="1" applyProtection="1">
      <alignment horizontal="center" vertical="center"/>
    </xf>
    <xf numFmtId="0" fontId="2" fillId="6" borderId="21" xfId="7" applyNumberFormat="1" applyFont="1" applyFill="1" applyBorder="1" applyAlignment="1" applyProtection="1">
      <alignment horizontal="center" vertical="center"/>
    </xf>
    <xf numFmtId="0" fontId="2" fillId="7" borderId="2" xfId="7" applyNumberFormat="1" applyFont="1" applyFill="1" applyBorder="1" applyAlignment="1" applyProtection="1">
      <alignment horizontal="center" vertical="center" wrapText="1"/>
    </xf>
    <xf numFmtId="0" fontId="2" fillId="7" borderId="23" xfId="7" applyNumberFormat="1" applyFont="1" applyFill="1" applyBorder="1" applyAlignment="1" applyProtection="1">
      <alignment horizontal="center" vertical="center" wrapText="1"/>
    </xf>
    <xf numFmtId="0" fontId="2" fillId="7" borderId="21" xfId="7" applyNumberFormat="1" applyFont="1" applyFill="1" applyBorder="1" applyAlignment="1" applyProtection="1">
      <alignment horizontal="center" vertical="center" wrapText="1"/>
    </xf>
    <xf numFmtId="0" fontId="2" fillId="3" borderId="2" xfId="7" applyNumberFormat="1" applyFont="1" applyFill="1" applyBorder="1" applyAlignment="1" applyProtection="1">
      <alignment horizontal="center" vertical="center" wrapText="1"/>
    </xf>
    <xf numFmtId="0" fontId="2" fillId="3" borderId="23" xfId="7" applyNumberFormat="1" applyFont="1" applyFill="1" applyBorder="1" applyAlignment="1" applyProtection="1">
      <alignment horizontal="center" vertical="center" wrapText="1"/>
    </xf>
    <xf numFmtId="0" fontId="2" fillId="3" borderId="21" xfId="7" applyNumberFormat="1" applyFont="1" applyFill="1" applyBorder="1" applyAlignment="1" applyProtection="1">
      <alignment horizontal="center" vertical="center" wrapText="1"/>
    </xf>
    <xf numFmtId="49" fontId="2" fillId="3" borderId="10" xfId="7" applyNumberFormat="1" applyFont="1" applyFill="1" applyBorder="1" applyAlignment="1" applyProtection="1">
      <alignment horizontal="left" vertical="center"/>
    </xf>
    <xf numFmtId="179" fontId="2" fillId="3" borderId="10" xfId="7" applyNumberFormat="1" applyFont="1" applyFill="1" applyBorder="1" applyAlignment="1" applyProtection="1">
      <alignment horizontal="left" vertical="center"/>
    </xf>
    <xf numFmtId="0" fontId="12" fillId="3" borderId="1" xfId="8" applyFont="1" applyFill="1" applyBorder="1" applyAlignment="1">
      <alignment horizontal="left" vertical="center"/>
    </xf>
    <xf numFmtId="0" fontId="2" fillId="3" borderId="1" xfId="7" applyNumberFormat="1" applyFont="1" applyFill="1" applyBorder="1" applyAlignment="1" applyProtection="1">
      <alignment horizontal="left" vertical="center"/>
    </xf>
    <xf numFmtId="1" fontId="17" fillId="0" borderId="0" xfId="12" applyNumberFormat="1" applyFont="1" applyProtection="1">
      <protection locked="0"/>
    </xf>
  </cellXfs>
  <cellStyles count="13">
    <cellStyle name="Comma" xfId="12" builtinId="3"/>
    <cellStyle name="Comma 2" xfId="10" xr:uid="{11252E33-643A-4BCA-A694-4111AB3B0736}"/>
    <cellStyle name="Normal" xfId="0" builtinId="0"/>
    <cellStyle name="Normal 2 2" xfId="1" xr:uid="{00000000-0005-0000-0000-000001000000}"/>
    <cellStyle name="Normal 2 3" xfId="5" xr:uid="{5C891E86-9759-4BC7-81A3-C623055ECFBB}"/>
    <cellStyle name="Normal 3 2" xfId="8" xr:uid="{41785D2A-E71C-4B64-83B5-083750B43CB0}"/>
    <cellStyle name="Normal 4" xfId="3" xr:uid="{00000000-0005-0000-0000-000002000000}"/>
    <cellStyle name="Normal 6 2" xfId="2" xr:uid="{00000000-0005-0000-0000-000003000000}"/>
    <cellStyle name="Percent" xfId="6" builtinId="5"/>
    <cellStyle name="Percent 3" xfId="9" xr:uid="{CD02C7E2-D94F-46FE-9C88-47FE2667337A}"/>
    <cellStyle name="千位分隔 2" xfId="4" xr:uid="{8EBFF80E-ABE4-4FA6-AA75-822BE86E7F86}"/>
    <cellStyle name="常规 2" xfId="11" xr:uid="{1886C3F7-AE6E-4C07-A037-8F83A5256E3D}"/>
    <cellStyle name="標準_Order calculation sheet_COMMON" xfId="7" xr:uid="{5D55B4CF-7B06-400E-967B-027F76F85C87}"/>
  </cellStyles>
  <dxfs count="44"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13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1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17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1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1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1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1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1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17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1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1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1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1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17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1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1"/>
        </patternFill>
      </fill>
    </dxf>
    <dxf>
      <font>
        <color indexed="8"/>
      </font>
      <fill>
        <patternFill>
          <bgColor indexed="52"/>
        </patternFill>
      </fill>
    </dxf>
  </dxfs>
  <tableStyles count="0" defaultTableStyle="TableStyleMedium2" defaultPivotStyle="PivotStyleMedium9"/>
  <colors>
    <mruColors>
      <color rgb="FF008000"/>
      <color rgb="FFFFC000"/>
      <color rgb="FF00B0F0"/>
      <color rgb="FFE2EFDA"/>
      <color rgb="FFE2EFDE"/>
      <color rgb="FFE2F1DE"/>
      <color rgb="FFA9D0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48842-88B6-40C5-9430-F67EC70DCB7F}">
  <sheetPr codeName="Sheet1"/>
  <dimension ref="A1:AX16"/>
  <sheetViews>
    <sheetView showGridLines="0" topLeftCell="AK6" zoomScale="85" zoomScaleNormal="85" workbookViewId="0">
      <selection activeCell="AQ20" sqref="AQ20"/>
    </sheetView>
  </sheetViews>
  <sheetFormatPr defaultColWidth="9" defaultRowHeight="13.8" outlineLevelCol="1"/>
  <cols>
    <col min="1" max="1" width="8.77734375" style="13" customWidth="1" collapsed="1"/>
    <col min="2" max="2" width="20.77734375" style="13" customWidth="1" collapsed="1"/>
    <col min="3" max="3" width="25.77734375" style="13" customWidth="1" collapsed="1"/>
    <col min="4" max="4" width="15.77734375" style="13" customWidth="1" collapsed="1"/>
    <col min="5" max="6" width="18.77734375" style="13" customWidth="1" collapsed="1"/>
    <col min="7" max="7" width="20.77734375" style="13" customWidth="1" collapsed="1"/>
    <col min="8" max="11" width="15.77734375" style="13" customWidth="1" collapsed="1"/>
    <col min="12" max="12" width="18.77734375" style="13" customWidth="1" collapsed="1"/>
    <col min="13" max="20" width="12.77734375" style="13" customWidth="1" collapsed="1"/>
    <col min="21" max="23" width="12" style="13" customWidth="1" outlineLevel="1" collapsed="1"/>
    <col min="24" max="24" width="12" style="13" customWidth="1"/>
    <col min="25" max="25" width="12" style="13" customWidth="1" outlineLevel="1" collapsed="1"/>
    <col min="26" max="26" width="12" style="13" customWidth="1"/>
    <col min="27" max="31" width="12" style="13" customWidth="1" collapsed="1"/>
    <col min="32" max="34" width="12" style="13" customWidth="1" outlineLevel="1" collapsed="1"/>
    <col min="35" max="35" width="12" style="13" customWidth="1"/>
    <col min="36" max="39" width="12" style="13" customWidth="1" collapsed="1"/>
    <col min="40" max="41" width="12" style="13" customWidth="1" outlineLevel="1" collapsed="1"/>
    <col min="42" max="42" width="12" style="13" customWidth="1"/>
    <col min="43" max="43" width="19.21875" style="13" customWidth="1" collapsed="1"/>
    <col min="44" max="44" width="12" style="13" customWidth="1" collapsed="1"/>
    <col min="45" max="46" width="12" style="13" customWidth="1" outlineLevel="1" collapsed="1"/>
    <col min="47" max="47" width="12" style="13" customWidth="1"/>
    <col min="48" max="49" width="12" style="13" customWidth="1" collapsed="1"/>
    <col min="50" max="50" width="20" style="13" customWidth="1" collapsed="1"/>
    <col min="51" max="16384" width="9" style="13" collapsed="1"/>
  </cols>
  <sheetData>
    <row r="1" spans="1:50" s="4" customFormat="1" thickBot="1">
      <c r="A1" s="1" t="s">
        <v>1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50" s="5" customFormat="1" ht="13.2" customHeight="1" thickBot="1">
      <c r="A2" s="2"/>
      <c r="B2" s="2"/>
      <c r="C2" s="2"/>
      <c r="D2" s="2"/>
      <c r="E2" s="2"/>
      <c r="F2" s="62" t="s">
        <v>2</v>
      </c>
      <c r="G2" s="6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P2" s="2"/>
      <c r="AQ2" s="72" t="s">
        <v>20</v>
      </c>
      <c r="AR2" s="73"/>
      <c r="AS2" s="74"/>
      <c r="AT2" s="2"/>
    </row>
    <row r="3" spans="1:50" s="5" customFormat="1" ht="28.05" customHeight="1" thickBot="1">
      <c r="A3" s="6" t="s">
        <v>3</v>
      </c>
      <c r="B3" s="2"/>
      <c r="C3" s="2"/>
      <c r="D3" s="2"/>
      <c r="E3" s="2"/>
      <c r="F3" s="64" t="s">
        <v>4</v>
      </c>
      <c r="G3" s="6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44" t="s">
        <v>67</v>
      </c>
      <c r="V3" s="2"/>
      <c r="W3" s="2"/>
      <c r="X3" s="2"/>
      <c r="Y3" s="2"/>
      <c r="Z3" s="2"/>
      <c r="AA3" s="2"/>
      <c r="AB3" s="2"/>
      <c r="AC3" s="2"/>
      <c r="AD3" s="2"/>
      <c r="AE3" s="44" t="s">
        <v>68</v>
      </c>
      <c r="AF3" s="2"/>
      <c r="AG3" s="2"/>
      <c r="AH3" s="2"/>
      <c r="AI3" s="2"/>
      <c r="AJ3" s="2"/>
      <c r="AK3" s="2"/>
      <c r="AL3" s="2"/>
      <c r="AM3" s="44" t="s">
        <v>69</v>
      </c>
      <c r="AP3" s="7" t="s">
        <v>21</v>
      </c>
      <c r="AQ3" s="7" t="s">
        <v>22</v>
      </c>
      <c r="AR3" s="7" t="s">
        <v>23</v>
      </c>
      <c r="AS3" s="7" t="s">
        <v>24</v>
      </c>
      <c r="AT3" s="7" t="s">
        <v>25</v>
      </c>
    </row>
    <row r="4" spans="1:50" s="4" customFormat="1" ht="15" customHeight="1" thickBot="1">
      <c r="A4" s="70" t="s">
        <v>5</v>
      </c>
      <c r="B4" s="71"/>
      <c r="C4" s="38" t="s">
        <v>63</v>
      </c>
      <c r="D4" s="2"/>
      <c r="E4" s="2"/>
      <c r="F4" s="66" t="s">
        <v>6</v>
      </c>
      <c r="G4" s="67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5">
        <v>21</v>
      </c>
      <c r="V4" s="2"/>
      <c r="W4" s="2"/>
      <c r="X4" s="2"/>
      <c r="Y4" s="2"/>
      <c r="Z4" s="2"/>
      <c r="AA4" s="2"/>
      <c r="AB4" s="2"/>
      <c r="AC4" s="2"/>
      <c r="AD4" s="2"/>
      <c r="AE4" s="45">
        <v>21</v>
      </c>
      <c r="AF4" s="2"/>
      <c r="AG4" s="2"/>
      <c r="AH4" s="2"/>
      <c r="AI4" s="2"/>
      <c r="AJ4" s="2"/>
      <c r="AK4" s="2"/>
      <c r="AL4" s="2"/>
      <c r="AM4" s="45">
        <v>23</v>
      </c>
      <c r="AP4" s="8" t="s">
        <v>70</v>
      </c>
      <c r="AQ4" s="36"/>
      <c r="AR4" s="36"/>
      <c r="AS4" s="34" t="str">
        <f>IF(ISBLANK(AQ4),"",AQ4/AM$4)</f>
        <v/>
      </c>
      <c r="AT4" s="37"/>
    </row>
    <row r="5" spans="1:50" s="5" customFormat="1" ht="13.2" customHeight="1">
      <c r="A5" s="68" t="s">
        <v>7</v>
      </c>
      <c r="B5" s="69"/>
      <c r="C5" s="93" t="s">
        <v>64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P5" s="8" t="s">
        <v>71</v>
      </c>
      <c r="AQ5" s="36"/>
      <c r="AR5" s="36"/>
      <c r="AS5" s="34" t="str">
        <f>IF(ISBLANK(AQ5),"",AQ5/AM$4)</f>
        <v/>
      </c>
      <c r="AT5" s="37"/>
    </row>
    <row r="6" spans="1:50" s="4" customFormat="1" ht="13.2">
      <c r="A6" s="56" t="s">
        <v>8</v>
      </c>
      <c r="B6" s="57"/>
      <c r="C6" s="94" t="s">
        <v>65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50" s="4" customFormat="1" ht="13.2">
      <c r="A7" s="56" t="s">
        <v>9</v>
      </c>
      <c r="B7" s="57"/>
      <c r="C7" s="40" t="s">
        <v>66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50" s="4" customFormat="1" ht="13.2">
      <c r="A8" s="56" t="s">
        <v>10</v>
      </c>
      <c r="B8" s="57"/>
      <c r="C8" s="41">
        <v>45200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50" s="4" customFormat="1" ht="13.2">
      <c r="A9" s="58" t="s">
        <v>11</v>
      </c>
      <c r="B9" s="59"/>
      <c r="C9" s="42">
        <v>45261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W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50" s="4" customFormat="1" ht="15" customHeight="1" thickBot="1">
      <c r="A10" s="60" t="s">
        <v>12</v>
      </c>
      <c r="B10" s="61"/>
      <c r="C10" s="43">
        <v>45203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X10" t="s">
        <v>86</v>
      </c>
    </row>
    <row r="11" spans="1:50" s="4" customFormat="1" ht="13.2">
      <c r="A11" s="2"/>
      <c r="B11" s="2"/>
      <c r="C11" s="9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50" ht="28.05" customHeight="1">
      <c r="A12" s="23"/>
      <c r="B12" s="23"/>
      <c r="C12" s="23"/>
      <c r="D12" s="23"/>
      <c r="E12" s="23"/>
      <c r="F12" s="23"/>
      <c r="G12" s="23"/>
      <c r="H12" s="23"/>
      <c r="I12" s="24"/>
      <c r="J12" s="23"/>
      <c r="K12" s="23"/>
      <c r="L12" s="23"/>
      <c r="M12" s="23"/>
      <c r="N12" s="23"/>
      <c r="O12" s="23"/>
      <c r="P12" s="81" t="s">
        <v>26</v>
      </c>
      <c r="Q12" s="82"/>
      <c r="R12" s="81" t="s">
        <v>72</v>
      </c>
      <c r="S12" s="83"/>
      <c r="T12" s="82"/>
      <c r="U12" s="84" t="s">
        <v>73</v>
      </c>
      <c r="V12" s="85"/>
      <c r="W12" s="85"/>
      <c r="X12" s="85"/>
      <c r="Y12" s="85"/>
      <c r="Z12" s="85"/>
      <c r="AA12" s="85"/>
      <c r="AB12" s="85"/>
      <c r="AC12" s="85"/>
      <c r="AD12" s="86"/>
      <c r="AE12" s="84" t="s">
        <v>78</v>
      </c>
      <c r="AF12" s="85"/>
      <c r="AG12" s="85"/>
      <c r="AH12" s="85"/>
      <c r="AI12" s="85"/>
      <c r="AJ12" s="85"/>
      <c r="AK12" s="85"/>
      <c r="AL12" s="86"/>
      <c r="AM12" s="84" t="s">
        <v>81</v>
      </c>
      <c r="AN12" s="85"/>
      <c r="AO12" s="85"/>
      <c r="AP12" s="85"/>
      <c r="AQ12" s="85"/>
      <c r="AR12" s="85"/>
      <c r="AS12" s="85"/>
      <c r="AT12" s="85"/>
      <c r="AU12" s="85"/>
      <c r="AV12" s="85"/>
      <c r="AW12" s="86"/>
      <c r="AX12" s="20" t="s">
        <v>85</v>
      </c>
    </row>
    <row r="13" spans="1:50" ht="28.05" customHeight="1">
      <c r="A13" s="75" t="s">
        <v>27</v>
      </c>
      <c r="B13" s="75" t="s">
        <v>28</v>
      </c>
      <c r="C13" s="75" t="s">
        <v>29</v>
      </c>
      <c r="D13" s="75" t="s">
        <v>30</v>
      </c>
      <c r="E13" s="75" t="s">
        <v>31</v>
      </c>
      <c r="F13" s="75" t="s">
        <v>32</v>
      </c>
      <c r="G13" s="75" t="s">
        <v>33</v>
      </c>
      <c r="H13" s="75" t="s">
        <v>34</v>
      </c>
      <c r="I13" s="77" t="s">
        <v>35</v>
      </c>
      <c r="J13" s="77" t="s">
        <v>36</v>
      </c>
      <c r="K13" s="75" t="s">
        <v>37</v>
      </c>
      <c r="L13" s="75" t="s">
        <v>38</v>
      </c>
      <c r="M13" s="75" t="s">
        <v>39</v>
      </c>
      <c r="N13" s="75" t="s">
        <v>40</v>
      </c>
      <c r="O13" s="77" t="s">
        <v>41</v>
      </c>
      <c r="P13" s="79" t="s">
        <v>42</v>
      </c>
      <c r="Q13" s="75" t="s">
        <v>43</v>
      </c>
      <c r="R13" s="77" t="s">
        <v>44</v>
      </c>
      <c r="S13" s="77" t="s">
        <v>45</v>
      </c>
      <c r="T13" s="77" t="s">
        <v>46</v>
      </c>
      <c r="U13" s="87" t="s">
        <v>47</v>
      </c>
      <c r="V13" s="88"/>
      <c r="W13" s="88"/>
      <c r="X13" s="89"/>
      <c r="Y13" s="87" t="s">
        <v>48</v>
      </c>
      <c r="Z13" s="88"/>
      <c r="AA13" s="89"/>
      <c r="AB13" s="87" t="s">
        <v>0</v>
      </c>
      <c r="AC13" s="88"/>
      <c r="AD13" s="89"/>
      <c r="AE13" s="87" t="s">
        <v>47</v>
      </c>
      <c r="AF13" s="88"/>
      <c r="AG13" s="89"/>
      <c r="AH13" s="87" t="s">
        <v>49</v>
      </c>
      <c r="AI13" s="89"/>
      <c r="AJ13" s="87" t="s">
        <v>0</v>
      </c>
      <c r="AK13" s="88"/>
      <c r="AL13" s="89"/>
      <c r="AM13" s="87" t="s">
        <v>47</v>
      </c>
      <c r="AN13" s="88"/>
      <c r="AO13" s="89"/>
      <c r="AP13" s="90" t="s">
        <v>82</v>
      </c>
      <c r="AQ13" s="91"/>
      <c r="AR13" s="91"/>
      <c r="AS13" s="91"/>
      <c r="AT13" s="92"/>
      <c r="AU13" s="87" t="s">
        <v>0</v>
      </c>
      <c r="AV13" s="88"/>
      <c r="AW13" s="89"/>
      <c r="AX13" s="20" t="s">
        <v>47</v>
      </c>
    </row>
    <row r="14" spans="1:50" ht="92.4">
      <c r="A14" s="76"/>
      <c r="B14" s="76"/>
      <c r="C14" s="76"/>
      <c r="D14" s="76"/>
      <c r="E14" s="76"/>
      <c r="F14" s="76"/>
      <c r="G14" s="76"/>
      <c r="H14" s="76"/>
      <c r="I14" s="78"/>
      <c r="J14" s="78"/>
      <c r="K14" s="76"/>
      <c r="L14" s="76"/>
      <c r="M14" s="76"/>
      <c r="N14" s="76"/>
      <c r="O14" s="78"/>
      <c r="P14" s="80"/>
      <c r="Q14" s="76"/>
      <c r="R14" s="78"/>
      <c r="S14" s="78"/>
      <c r="T14" s="78"/>
      <c r="U14" s="20" t="s">
        <v>74</v>
      </c>
      <c r="V14" s="20" t="s">
        <v>75</v>
      </c>
      <c r="W14" s="20" t="s">
        <v>50</v>
      </c>
      <c r="X14" s="20" t="s">
        <v>51</v>
      </c>
      <c r="Y14" s="20" t="s">
        <v>52</v>
      </c>
      <c r="Z14" s="20" t="s">
        <v>53</v>
      </c>
      <c r="AA14" s="20" t="s">
        <v>54</v>
      </c>
      <c r="AB14" s="20" t="s">
        <v>76</v>
      </c>
      <c r="AC14" s="20" t="s">
        <v>77</v>
      </c>
      <c r="AD14" s="20" t="s">
        <v>55</v>
      </c>
      <c r="AE14" s="20" t="s">
        <v>74</v>
      </c>
      <c r="AF14" s="20" t="s">
        <v>75</v>
      </c>
      <c r="AG14" s="20" t="s">
        <v>50</v>
      </c>
      <c r="AH14" s="20" t="s">
        <v>56</v>
      </c>
      <c r="AI14" s="20" t="s">
        <v>57</v>
      </c>
      <c r="AJ14" s="20" t="s">
        <v>79</v>
      </c>
      <c r="AK14" s="20" t="s">
        <v>80</v>
      </c>
      <c r="AL14" s="20" t="s">
        <v>55</v>
      </c>
      <c r="AM14" s="20" t="s">
        <v>74</v>
      </c>
      <c r="AN14" s="20" t="s">
        <v>75</v>
      </c>
      <c r="AO14" s="20" t="s">
        <v>50</v>
      </c>
      <c r="AP14" s="19" t="s">
        <v>58</v>
      </c>
      <c r="AQ14" s="21" t="s">
        <v>59</v>
      </c>
      <c r="AR14" s="22" t="s">
        <v>60</v>
      </c>
      <c r="AS14" s="19" t="s">
        <v>61</v>
      </c>
      <c r="AT14" s="19" t="s">
        <v>62</v>
      </c>
      <c r="AU14" s="20" t="s">
        <v>83</v>
      </c>
      <c r="AV14" s="20" t="s">
        <v>84</v>
      </c>
      <c r="AW14" s="20" t="s">
        <v>55</v>
      </c>
      <c r="AX14" s="20" t="s">
        <v>74</v>
      </c>
    </row>
    <row r="15" spans="1:50" ht="14.4">
      <c r="A15" s="17">
        <v>1</v>
      </c>
      <c r="B15" s="95" t="s">
        <v>87</v>
      </c>
      <c r="C15" s="18" t="s">
        <v>63</v>
      </c>
      <c r="D15" s="95" t="s">
        <v>88</v>
      </c>
      <c r="E15" s="96" t="s">
        <v>89</v>
      </c>
      <c r="F15" s="10" t="s">
        <v>90</v>
      </c>
      <c r="G15" s="10" t="s">
        <v>70</v>
      </c>
      <c r="H15" s="10" t="s">
        <v>91</v>
      </c>
      <c r="I15" s="10" t="s">
        <v>92</v>
      </c>
      <c r="J15" s="10" t="s">
        <v>93</v>
      </c>
      <c r="K15" s="11">
        <v>1E-3</v>
      </c>
      <c r="L15" s="16">
        <v>20</v>
      </c>
      <c r="M15" s="16">
        <v>10</v>
      </c>
      <c r="N15" s="35">
        <v>0.1</v>
      </c>
      <c r="O15" s="12" t="s">
        <v>24</v>
      </c>
      <c r="P15" s="35">
        <v>1</v>
      </c>
      <c r="Q15" s="35">
        <v>0.25</v>
      </c>
      <c r="R15" s="16">
        <f>0/IF(K15=0,1,K15)</f>
        <v>0</v>
      </c>
      <c r="S15" s="16">
        <f>0/IF(K15=0,1,K15)</f>
        <v>0</v>
      </c>
      <c r="T15" s="16">
        <f>-100/IF(K15=0,1,K15)</f>
        <v>-100000</v>
      </c>
      <c r="U15" s="16">
        <f>34341.816/IF(K15=0,1,K15)</f>
        <v>34341816</v>
      </c>
      <c r="V15" s="16">
        <v>0</v>
      </c>
      <c r="W15" s="52" t="str">
        <f>IF(V15=0,"N/A",U15/V15-1)</f>
        <v>N/A</v>
      </c>
      <c r="X15" s="16">
        <v>34341816</v>
      </c>
      <c r="Y15" s="16">
        <v>0</v>
      </c>
      <c r="Z15" s="16">
        <v>0</v>
      </c>
      <c r="AA15" s="16">
        <v>0</v>
      </c>
      <c r="AB15" s="51">
        <f>R15+S15+T15+Z15+AA15-X15</f>
        <v>-34441816</v>
      </c>
      <c r="AC15" s="52">
        <f>AB15/AE15</f>
        <v>-1.1590185904990657</v>
      </c>
      <c r="AD15" s="47" t="str">
        <f>IF(AC15&lt;$Q15,"X",(IF($P15&lt;AC15,"+","")))</f>
        <v>X</v>
      </c>
      <c r="AE15" s="16">
        <f>29716.362/IF(K15=0,1,K15)</f>
        <v>29716362</v>
      </c>
      <c r="AF15" s="16">
        <v>0</v>
      </c>
      <c r="AG15" s="52" t="str">
        <f>IF(AF15=0,"N/A",AE15/AF15-1)</f>
        <v>N/A</v>
      </c>
      <c r="AH15" s="16">
        <v>0</v>
      </c>
      <c r="AI15" s="16">
        <v>0</v>
      </c>
      <c r="AJ15" s="51">
        <f>AB15+AI15-AE15</f>
        <v>-64158178</v>
      </c>
      <c r="AK15" s="52" t="e">
        <f>AJ15/AM15</f>
        <v>#DIV/0!</v>
      </c>
      <c r="AL15" s="47" t="e">
        <f>IF(AK15&lt;$Q15,"X",(IF($P15&lt;AK15,"+","")))</f>
        <v>#DIV/0!</v>
      </c>
      <c r="AM15" s="16">
        <f>0/IF(K15=0,1,K15)</f>
        <v>0</v>
      </c>
      <c r="AN15" s="16">
        <v>0</v>
      </c>
      <c r="AO15" s="52" t="str">
        <f>IF(AN15=0,"N/A",AM15/AN15-1)</f>
        <v>N/A</v>
      </c>
      <c r="AP15" s="51">
        <f>IF(MAX(U15,AE15,AM15)*($Q15+MAX(AS4))-AJ15+AM15&lt;=0,0,ROUNDUP(MAX(MAX(U15,AE15,AM15)*($Q15+MAX(AS4))-AJ15+AM15,,$L15)/$M15,0)*$M15)</f>
        <v>72743640</v>
      </c>
      <c r="AQ15" s="97">
        <v>140085460</v>
      </c>
      <c r="AR15" s="46" t="s">
        <v>134</v>
      </c>
      <c r="AS15" s="51">
        <v>0</v>
      </c>
      <c r="AT15" s="52" t="str">
        <f>IF(AS15=0,"N/A",AQ15/AS15-1)</f>
        <v>N/A</v>
      </c>
      <c r="AU15" s="51">
        <f>AJ15+AQ15-AM15</f>
        <v>75927282</v>
      </c>
      <c r="AV15" s="52" t="e">
        <f>AU15/AX15</f>
        <v>#DIV/0!</v>
      </c>
      <c r="AW15" s="48" t="e">
        <f>IF(AV15&lt;$Q15,"X",(IF($P15&lt;AV15,"+","")))</f>
        <v>#DIV/0!</v>
      </c>
      <c r="AX15" s="55">
        <v>0</v>
      </c>
    </row>
    <row r="16" spans="1:50" ht="14.4">
      <c r="A16" s="17">
        <v>2</v>
      </c>
      <c r="B16" s="95" t="s">
        <v>92</v>
      </c>
      <c r="C16" s="18" t="s">
        <v>63</v>
      </c>
      <c r="D16" s="95" t="s">
        <v>88</v>
      </c>
      <c r="E16" s="96" t="s">
        <v>94</v>
      </c>
      <c r="F16" s="10" t="s">
        <v>95</v>
      </c>
      <c r="G16" s="10" t="s">
        <v>70</v>
      </c>
      <c r="H16" s="10" t="s">
        <v>91</v>
      </c>
      <c r="I16" s="10" t="s">
        <v>87</v>
      </c>
      <c r="J16" s="10" t="s">
        <v>93</v>
      </c>
      <c r="K16" s="11">
        <v>1E-3</v>
      </c>
      <c r="L16" s="16">
        <v>20</v>
      </c>
      <c r="M16" s="16">
        <v>10</v>
      </c>
      <c r="N16" s="35">
        <v>0.1</v>
      </c>
      <c r="O16" s="12" t="s">
        <v>24</v>
      </c>
      <c r="P16" s="35">
        <v>1</v>
      </c>
      <c r="Q16" s="35">
        <v>0.25</v>
      </c>
      <c r="R16" s="16">
        <f>0/IF(K16=0,1,K16)</f>
        <v>0</v>
      </c>
      <c r="S16" s="16">
        <f>0/IF(K16=0,1,K16)</f>
        <v>0</v>
      </c>
      <c r="T16" s="16">
        <f>0/IF(K16=0,1,K16)</f>
        <v>0</v>
      </c>
      <c r="U16" s="16">
        <f>43841.816/IF(K16=0,1,K16)</f>
        <v>43841816</v>
      </c>
      <c r="V16" s="16">
        <v>0</v>
      </c>
      <c r="W16" s="52" t="str">
        <f>IF(V16=0,"N/A",U16/V16-1)</f>
        <v>N/A</v>
      </c>
      <c r="X16" s="16">
        <v>43841816</v>
      </c>
      <c r="Y16" s="16">
        <v>0</v>
      </c>
      <c r="Z16" s="16">
        <v>0</v>
      </c>
      <c r="AA16" s="16">
        <v>0</v>
      </c>
      <c r="AB16" s="51">
        <f>R16+S16+T16+Z16+AA16-X16</f>
        <v>-43841816</v>
      </c>
      <c r="AC16" s="52">
        <f>AB16/AE16</f>
        <v>-1.1179470446544735</v>
      </c>
      <c r="AD16" s="47" t="str">
        <f>IF(AC16&lt;$Q16,"X",(IF($P16&lt;AC16,"+","")))</f>
        <v>X</v>
      </c>
      <c r="AE16" s="16">
        <f>39216.362/IF(K16=0,1,K16)</f>
        <v>39216362</v>
      </c>
      <c r="AF16" s="16">
        <v>0</v>
      </c>
      <c r="AG16" s="52" t="str">
        <f>IF(AF16=0,"N/A",AE16/AF16-1)</f>
        <v>N/A</v>
      </c>
      <c r="AH16" s="16">
        <v>0</v>
      </c>
      <c r="AI16" s="16">
        <v>0</v>
      </c>
      <c r="AJ16" s="51">
        <f>AB16+AI16-AE16</f>
        <v>-83058178</v>
      </c>
      <c r="AK16" s="52" t="e">
        <f>AJ16/AM16</f>
        <v>#DIV/0!</v>
      </c>
      <c r="AL16" s="47" t="e">
        <f>IF(AK16&lt;$Q16,"X",(IF($P16&lt;AK16,"+","")))</f>
        <v>#DIV/0!</v>
      </c>
      <c r="AM16" s="16">
        <f>0/IF(K16=0,1,K16)</f>
        <v>0</v>
      </c>
      <c r="AN16" s="16">
        <v>0</v>
      </c>
      <c r="AO16" s="52" t="str">
        <f>IF(AN16=0,"N/A",AM16/AN16-1)</f>
        <v>N/A</v>
      </c>
      <c r="AP16" s="51">
        <f>IF(MAX(U16,AE16,AM16)*($Q16+MAX(AS4))-AJ16+AM16&lt;=0,0,ROUNDUP(MAX(MAX(U16,AE16,AM16)*($Q16+MAX(AS4))-AJ16+AM16,,$L16)/$M16,0)*$M16)</f>
        <v>94018640</v>
      </c>
      <c r="AQ16" s="97">
        <v>140085460</v>
      </c>
      <c r="AR16" s="46" t="s">
        <v>134</v>
      </c>
      <c r="AS16" s="51">
        <v>0</v>
      </c>
      <c r="AT16" s="52" t="str">
        <f>IF(AS16=0,"N/A",AQ16/AS16-1)</f>
        <v>N/A</v>
      </c>
      <c r="AU16" s="51">
        <f>AJ16+AQ16-AM16</f>
        <v>57027282</v>
      </c>
      <c r="AV16" s="52" t="e">
        <f>AU16/AX16</f>
        <v>#DIV/0!</v>
      </c>
      <c r="AW16" s="48" t="e">
        <f>IF(AV16&lt;$Q16,"X",(IF($P16&lt;AV16,"+","")))</f>
        <v>#DIV/0!</v>
      </c>
      <c r="AX16" s="55">
        <v>0</v>
      </c>
    </row>
  </sheetData>
  <sheetProtection password="CCBA" sheet="1" objects="1" scenarios="1" formatCells="0" formatColumns="0" formatRows="0" insertColumns="0" insertRows="0" deleteColumns="0" deleteRows="0" autoFilter="0"/>
  <mergeCells count="45">
    <mergeCell ref="AE12:AL12"/>
    <mergeCell ref="AE13:AG13"/>
    <mergeCell ref="AH13:AI13"/>
    <mergeCell ref="AJ13:AL13"/>
    <mergeCell ref="AM12:AW12"/>
    <mergeCell ref="AM13:AO13"/>
    <mergeCell ref="AP13:AT13"/>
    <mergeCell ref="AU13:AW13"/>
    <mergeCell ref="P12:Q12"/>
    <mergeCell ref="R12:T12"/>
    <mergeCell ref="U12:AD12"/>
    <mergeCell ref="U13:X13"/>
    <mergeCell ref="Y13:AA13"/>
    <mergeCell ref="AB13:AD13"/>
    <mergeCell ref="P13:P14"/>
    <mergeCell ref="Q13:Q14"/>
    <mergeCell ref="R13:R14"/>
    <mergeCell ref="S13:S14"/>
    <mergeCell ref="T13:T14"/>
    <mergeCell ref="AQ2:AS2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  <mergeCell ref="A7:B7"/>
    <mergeCell ref="A8:B8"/>
    <mergeCell ref="A9:B9"/>
    <mergeCell ref="A10:B10"/>
    <mergeCell ref="F2:G2"/>
    <mergeCell ref="F3:G3"/>
    <mergeCell ref="F4:G4"/>
    <mergeCell ref="A5:B5"/>
    <mergeCell ref="A4:B4"/>
    <mergeCell ref="A6:B6"/>
  </mergeCells>
  <phoneticPr fontId="1" type="noConversion"/>
  <conditionalFormatting sqref="W15:W16">
    <cfRule type="expression" dxfId="43" priority="1">
      <formula>ABS(W15)&gt;$N15</formula>
    </cfRule>
  </conditionalFormatting>
  <conditionalFormatting sqref="AD15:AD16">
    <cfRule type="cellIs" dxfId="42" priority="2" operator="equal">
      <formula>"+"</formula>
    </cfRule>
    <cfRule type="cellIs" dxfId="41" priority="3" operator="equal">
      <formula>"X"</formula>
    </cfRule>
  </conditionalFormatting>
  <conditionalFormatting sqref="AG15:AG16">
    <cfRule type="expression" dxfId="40" priority="4">
      <formula>ABS(AG15)&gt;$N15</formula>
    </cfRule>
  </conditionalFormatting>
  <conditionalFormatting sqref="AL15:AL16">
    <cfRule type="cellIs" dxfId="39" priority="5" operator="equal">
      <formula>"+"</formula>
    </cfRule>
    <cfRule type="cellIs" dxfId="38" priority="6" operator="equal">
      <formula>"X"</formula>
    </cfRule>
  </conditionalFormatting>
  <conditionalFormatting sqref="AO15:AO16">
    <cfRule type="expression" dxfId="37" priority="7">
      <formula>ABS(AO15)&gt;$N15</formula>
    </cfRule>
  </conditionalFormatting>
  <conditionalFormatting sqref="AQ15:AQ16">
    <cfRule type="expression" dxfId="36" priority="8">
      <formula>IF(ISERROR(AP15),"#DIV/0!",AP15)&lt;&gt;IF(ISERROR(AQ15),"#DIV/0!",AQ15)</formula>
    </cfRule>
  </conditionalFormatting>
  <conditionalFormatting sqref="AT15:AT16">
    <cfRule type="expression" dxfId="35" priority="9">
      <formula>ABS(AT15)&gt;$N15</formula>
    </cfRule>
  </conditionalFormatting>
  <conditionalFormatting sqref="AW15:AW16">
    <cfRule type="cellIs" dxfId="34" priority="10" operator="equal">
      <formula>"+"</formula>
    </cfRule>
    <cfRule type="cellIs" dxfId="33" priority="1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44518-D467-45C5-A021-A16EDFEF3AC1}">
  <sheetPr codeName="Sheet1"/>
  <dimension ref="A1:BF15"/>
  <sheetViews>
    <sheetView showGridLines="0" topLeftCell="AV1" zoomScale="85" zoomScaleNormal="85" workbookViewId="0">
      <selection activeCell="AZ15" sqref="AZ15"/>
    </sheetView>
  </sheetViews>
  <sheetFormatPr defaultColWidth="9" defaultRowHeight="13.8" outlineLevelCol="1"/>
  <cols>
    <col min="1" max="1" width="8.77734375" style="13" customWidth="1" collapsed="1"/>
    <col min="2" max="2" width="20.77734375" style="13" customWidth="1" collapsed="1"/>
    <col min="3" max="3" width="25.77734375" style="13" customWidth="1" collapsed="1"/>
    <col min="4" max="4" width="15.77734375" style="13" customWidth="1" collapsed="1"/>
    <col min="5" max="6" width="18.77734375" style="13" customWidth="1" collapsed="1"/>
    <col min="7" max="7" width="20.77734375" style="13" customWidth="1" collapsed="1"/>
    <col min="8" max="11" width="15.77734375" style="13" customWidth="1" collapsed="1"/>
    <col min="12" max="12" width="18.77734375" style="13" customWidth="1" collapsed="1"/>
    <col min="13" max="20" width="12.77734375" style="13" customWidth="1" collapsed="1"/>
    <col min="21" max="23" width="12" style="13" customWidth="1" outlineLevel="1" collapsed="1"/>
    <col min="24" max="24" width="12" style="13" customWidth="1"/>
    <col min="25" max="25" width="12" style="13" customWidth="1" outlineLevel="1" collapsed="1"/>
    <col min="26" max="26" width="12" style="13" customWidth="1"/>
    <col min="27" max="31" width="12" style="13" customWidth="1" collapsed="1"/>
    <col min="32" max="34" width="12" style="13" customWidth="1" outlineLevel="1" collapsed="1"/>
    <col min="35" max="35" width="12" style="13" customWidth="1"/>
    <col min="36" max="39" width="12" style="13" customWidth="1" collapsed="1"/>
    <col min="40" max="42" width="12" style="13" customWidth="1" outlineLevel="1" collapsed="1"/>
    <col min="43" max="43" width="12" style="13" customWidth="1"/>
    <col min="44" max="47" width="12" style="13" customWidth="1" collapsed="1"/>
    <col min="48" max="49" width="12" style="13" customWidth="1" outlineLevel="1" collapsed="1"/>
    <col min="50" max="50" width="12" style="13" customWidth="1"/>
    <col min="51" max="52" width="12" style="13" customWidth="1" collapsed="1"/>
    <col min="53" max="54" width="12" style="13" customWidth="1" outlineLevel="1" collapsed="1"/>
    <col min="55" max="55" width="12" style="13" customWidth="1"/>
    <col min="56" max="57" width="12" style="13" customWidth="1" collapsed="1"/>
    <col min="58" max="58" width="20" style="13" customWidth="1" collapsed="1"/>
    <col min="59" max="16384" width="9" style="13" collapsed="1"/>
  </cols>
  <sheetData>
    <row r="1" spans="1:58" s="4" customFormat="1" thickBot="1">
      <c r="A1" s="1" t="s">
        <v>1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58" s="5" customFormat="1" ht="13.2" customHeight="1" thickBot="1">
      <c r="A2" s="2"/>
      <c r="B2" s="2"/>
      <c r="C2" s="2"/>
      <c r="D2" s="2"/>
      <c r="E2" s="2"/>
      <c r="F2" s="62" t="s">
        <v>2</v>
      </c>
      <c r="G2" s="6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X2" s="2"/>
      <c r="AY2" s="72" t="s">
        <v>20</v>
      </c>
      <c r="AZ2" s="73"/>
      <c r="BA2" s="74"/>
      <c r="BB2" s="2"/>
    </row>
    <row r="3" spans="1:58" s="5" customFormat="1" ht="28.05" customHeight="1" thickBot="1">
      <c r="A3" s="6" t="s">
        <v>3</v>
      </c>
      <c r="B3" s="2"/>
      <c r="C3" s="2"/>
      <c r="D3" s="2"/>
      <c r="E3" s="2"/>
      <c r="F3" s="64" t="s">
        <v>4</v>
      </c>
      <c r="G3" s="6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44" t="s">
        <v>67</v>
      </c>
      <c r="V3" s="2"/>
      <c r="W3" s="2"/>
      <c r="X3" s="2"/>
      <c r="Y3" s="2"/>
      <c r="Z3" s="2"/>
      <c r="AA3" s="2"/>
      <c r="AB3" s="2"/>
      <c r="AC3" s="2"/>
      <c r="AD3" s="2"/>
      <c r="AE3" s="44" t="s">
        <v>68</v>
      </c>
      <c r="AF3" s="2"/>
      <c r="AG3" s="2"/>
      <c r="AH3" s="2"/>
      <c r="AI3" s="2"/>
      <c r="AJ3" s="2"/>
      <c r="AK3" s="2"/>
      <c r="AL3" s="2"/>
      <c r="AM3" s="44" t="s">
        <v>69</v>
      </c>
      <c r="AU3" s="44" t="s">
        <v>96</v>
      </c>
      <c r="AX3" s="7" t="s">
        <v>21</v>
      </c>
      <c r="AY3" s="7" t="s">
        <v>22</v>
      </c>
      <c r="AZ3" s="7" t="s">
        <v>23</v>
      </c>
      <c r="BA3" s="7" t="s">
        <v>24</v>
      </c>
      <c r="BB3" s="7" t="s">
        <v>25</v>
      </c>
    </row>
    <row r="4" spans="1:58" s="4" customFormat="1" ht="15" customHeight="1" thickBot="1">
      <c r="A4" s="70" t="s">
        <v>5</v>
      </c>
      <c r="B4" s="71"/>
      <c r="C4" s="38" t="s">
        <v>63</v>
      </c>
      <c r="D4" s="2"/>
      <c r="E4" s="2"/>
      <c r="F4" s="66" t="s">
        <v>6</v>
      </c>
      <c r="G4" s="67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5">
        <v>21</v>
      </c>
      <c r="V4" s="2"/>
      <c r="W4" s="2"/>
      <c r="X4" s="2"/>
      <c r="Y4" s="2"/>
      <c r="Z4" s="2"/>
      <c r="AA4" s="2"/>
      <c r="AB4" s="2"/>
      <c r="AC4" s="2"/>
      <c r="AD4" s="2"/>
      <c r="AE4" s="45">
        <v>21</v>
      </c>
      <c r="AF4" s="2"/>
      <c r="AG4" s="2"/>
      <c r="AH4" s="2"/>
      <c r="AI4" s="2"/>
      <c r="AJ4" s="2"/>
      <c r="AK4" s="2"/>
      <c r="AL4" s="2"/>
      <c r="AM4" s="45">
        <v>23</v>
      </c>
      <c r="AU4" s="45">
        <v>21</v>
      </c>
      <c r="AX4" s="8" t="s">
        <v>70</v>
      </c>
      <c r="AY4" s="36"/>
      <c r="AZ4" s="36"/>
      <c r="BA4" s="34" t="str">
        <f>IF(ISBLANK(AY4),"",AY4/AU$4)</f>
        <v/>
      </c>
      <c r="BB4" s="37"/>
    </row>
    <row r="5" spans="1:58" s="5" customFormat="1" ht="13.2" customHeight="1">
      <c r="A5" s="68" t="s">
        <v>7</v>
      </c>
      <c r="B5" s="69"/>
      <c r="C5" s="39" t="s">
        <v>64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X5" s="8" t="s">
        <v>71</v>
      </c>
      <c r="AY5" s="36"/>
      <c r="AZ5" s="36"/>
      <c r="BA5" s="34" t="str">
        <f>IF(ISBLANK(AY5),"",AY5/AU$4)</f>
        <v/>
      </c>
      <c r="BB5" s="37"/>
    </row>
    <row r="6" spans="1:58" s="4" customFormat="1" ht="13.2">
      <c r="A6" s="56" t="s">
        <v>8</v>
      </c>
      <c r="B6" s="57"/>
      <c r="C6" s="40" t="s">
        <v>65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58" s="4" customFormat="1" ht="13.2">
      <c r="A7" s="56" t="s">
        <v>9</v>
      </c>
      <c r="B7" s="57"/>
      <c r="C7" s="40" t="s">
        <v>66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58" s="4" customFormat="1" ht="13.2">
      <c r="A8" s="56" t="s">
        <v>10</v>
      </c>
      <c r="B8" s="57"/>
      <c r="C8" s="41">
        <v>45200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58" s="4" customFormat="1" ht="13.2">
      <c r="A9" s="58" t="s">
        <v>11</v>
      </c>
      <c r="B9" s="59"/>
      <c r="C9" s="42">
        <v>45292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W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58" s="4" customFormat="1" ht="15" customHeight="1" thickBot="1">
      <c r="A10" s="60" t="s">
        <v>12</v>
      </c>
      <c r="B10" s="61"/>
      <c r="C10" s="43">
        <v>45203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BF10" t="s">
        <v>86</v>
      </c>
    </row>
    <row r="11" spans="1:58" s="4" customFormat="1" ht="13.2">
      <c r="A11" s="2"/>
      <c r="B11" s="2"/>
      <c r="C11" s="9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58" ht="28.05" customHeight="1">
      <c r="A12" s="23"/>
      <c r="B12" s="23"/>
      <c r="C12" s="23"/>
      <c r="D12" s="23"/>
      <c r="E12" s="23"/>
      <c r="F12" s="23"/>
      <c r="G12" s="23"/>
      <c r="H12" s="23"/>
      <c r="I12" s="24"/>
      <c r="J12" s="23"/>
      <c r="K12" s="23"/>
      <c r="L12" s="23"/>
      <c r="M12" s="23"/>
      <c r="N12" s="23"/>
      <c r="O12" s="23"/>
      <c r="P12" s="81" t="s">
        <v>26</v>
      </c>
      <c r="Q12" s="82"/>
      <c r="R12" s="81" t="s">
        <v>72</v>
      </c>
      <c r="S12" s="83"/>
      <c r="T12" s="82"/>
      <c r="U12" s="84" t="s">
        <v>97</v>
      </c>
      <c r="V12" s="85"/>
      <c r="W12" s="85"/>
      <c r="X12" s="85"/>
      <c r="Y12" s="85"/>
      <c r="Z12" s="85"/>
      <c r="AA12" s="85"/>
      <c r="AB12" s="85"/>
      <c r="AC12" s="85"/>
      <c r="AD12" s="86"/>
      <c r="AE12" s="84" t="s">
        <v>100</v>
      </c>
      <c r="AF12" s="85"/>
      <c r="AG12" s="85"/>
      <c r="AH12" s="85"/>
      <c r="AI12" s="85"/>
      <c r="AJ12" s="85"/>
      <c r="AK12" s="85"/>
      <c r="AL12" s="86"/>
      <c r="AM12" s="84" t="s">
        <v>101</v>
      </c>
      <c r="AN12" s="85"/>
      <c r="AO12" s="85"/>
      <c r="AP12" s="85"/>
      <c r="AQ12" s="85"/>
      <c r="AR12" s="85"/>
      <c r="AS12" s="85"/>
      <c r="AT12" s="86"/>
      <c r="AU12" s="84" t="s">
        <v>102</v>
      </c>
      <c r="AV12" s="85"/>
      <c r="AW12" s="85"/>
      <c r="AX12" s="85"/>
      <c r="AY12" s="85"/>
      <c r="AZ12" s="85"/>
      <c r="BA12" s="85"/>
      <c r="BB12" s="85"/>
      <c r="BC12" s="85"/>
      <c r="BD12" s="85"/>
      <c r="BE12" s="86"/>
      <c r="BF12" s="20" t="s">
        <v>103</v>
      </c>
    </row>
    <row r="13" spans="1:58" ht="28.05" customHeight="1">
      <c r="A13" s="75" t="s">
        <v>27</v>
      </c>
      <c r="B13" s="75" t="s">
        <v>28</v>
      </c>
      <c r="C13" s="75" t="s">
        <v>29</v>
      </c>
      <c r="D13" s="75" t="s">
        <v>30</v>
      </c>
      <c r="E13" s="75" t="s">
        <v>31</v>
      </c>
      <c r="F13" s="75" t="s">
        <v>32</v>
      </c>
      <c r="G13" s="75" t="s">
        <v>33</v>
      </c>
      <c r="H13" s="75" t="s">
        <v>34</v>
      </c>
      <c r="I13" s="77" t="s">
        <v>35</v>
      </c>
      <c r="J13" s="77" t="s">
        <v>36</v>
      </c>
      <c r="K13" s="75" t="s">
        <v>37</v>
      </c>
      <c r="L13" s="75" t="s">
        <v>38</v>
      </c>
      <c r="M13" s="75" t="s">
        <v>39</v>
      </c>
      <c r="N13" s="75" t="s">
        <v>40</v>
      </c>
      <c r="O13" s="77" t="s">
        <v>41</v>
      </c>
      <c r="P13" s="79" t="s">
        <v>42</v>
      </c>
      <c r="Q13" s="75" t="s">
        <v>43</v>
      </c>
      <c r="R13" s="77" t="s">
        <v>44</v>
      </c>
      <c r="S13" s="77" t="s">
        <v>45</v>
      </c>
      <c r="T13" s="77" t="s">
        <v>46</v>
      </c>
      <c r="U13" s="87" t="s">
        <v>47</v>
      </c>
      <c r="V13" s="88"/>
      <c r="W13" s="88"/>
      <c r="X13" s="89"/>
      <c r="Y13" s="87" t="s">
        <v>48</v>
      </c>
      <c r="Z13" s="88"/>
      <c r="AA13" s="89"/>
      <c r="AB13" s="87" t="s">
        <v>0</v>
      </c>
      <c r="AC13" s="88"/>
      <c r="AD13" s="89"/>
      <c r="AE13" s="87" t="s">
        <v>47</v>
      </c>
      <c r="AF13" s="88"/>
      <c r="AG13" s="89"/>
      <c r="AH13" s="87" t="s">
        <v>49</v>
      </c>
      <c r="AI13" s="89"/>
      <c r="AJ13" s="87" t="s">
        <v>0</v>
      </c>
      <c r="AK13" s="88"/>
      <c r="AL13" s="89"/>
      <c r="AM13" s="87" t="s">
        <v>47</v>
      </c>
      <c r="AN13" s="88"/>
      <c r="AO13" s="89"/>
      <c r="AP13" s="87" t="s">
        <v>49</v>
      </c>
      <c r="AQ13" s="89"/>
      <c r="AR13" s="87" t="s">
        <v>0</v>
      </c>
      <c r="AS13" s="88"/>
      <c r="AT13" s="89"/>
      <c r="AU13" s="87" t="s">
        <v>47</v>
      </c>
      <c r="AV13" s="88"/>
      <c r="AW13" s="89"/>
      <c r="AX13" s="90" t="s">
        <v>82</v>
      </c>
      <c r="AY13" s="91"/>
      <c r="AZ13" s="91"/>
      <c r="BA13" s="91"/>
      <c r="BB13" s="92"/>
      <c r="BC13" s="87" t="s">
        <v>0</v>
      </c>
      <c r="BD13" s="88"/>
      <c r="BE13" s="89"/>
      <c r="BF13" s="20" t="s">
        <v>47</v>
      </c>
    </row>
    <row r="14" spans="1:58" ht="92.4">
      <c r="A14" s="76"/>
      <c r="B14" s="76"/>
      <c r="C14" s="76"/>
      <c r="D14" s="76"/>
      <c r="E14" s="76"/>
      <c r="F14" s="76"/>
      <c r="G14" s="76"/>
      <c r="H14" s="76"/>
      <c r="I14" s="78"/>
      <c r="J14" s="78"/>
      <c r="K14" s="76"/>
      <c r="L14" s="76"/>
      <c r="M14" s="76"/>
      <c r="N14" s="76"/>
      <c r="O14" s="78"/>
      <c r="P14" s="80"/>
      <c r="Q14" s="76"/>
      <c r="R14" s="78"/>
      <c r="S14" s="78"/>
      <c r="T14" s="78"/>
      <c r="U14" s="20" t="s">
        <v>74</v>
      </c>
      <c r="V14" s="20" t="s">
        <v>75</v>
      </c>
      <c r="W14" s="20" t="s">
        <v>50</v>
      </c>
      <c r="X14" s="20" t="s">
        <v>51</v>
      </c>
      <c r="Y14" s="20" t="s">
        <v>52</v>
      </c>
      <c r="Z14" s="20" t="s">
        <v>53</v>
      </c>
      <c r="AA14" s="20" t="s">
        <v>54</v>
      </c>
      <c r="AB14" s="20" t="s">
        <v>98</v>
      </c>
      <c r="AC14" s="20" t="s">
        <v>99</v>
      </c>
      <c r="AD14" s="20" t="s">
        <v>55</v>
      </c>
      <c r="AE14" s="20" t="s">
        <v>74</v>
      </c>
      <c r="AF14" s="20" t="s">
        <v>75</v>
      </c>
      <c r="AG14" s="20" t="s">
        <v>50</v>
      </c>
      <c r="AH14" s="20" t="s">
        <v>56</v>
      </c>
      <c r="AI14" s="20" t="s">
        <v>57</v>
      </c>
      <c r="AJ14" s="20" t="s">
        <v>76</v>
      </c>
      <c r="AK14" s="20" t="s">
        <v>77</v>
      </c>
      <c r="AL14" s="20" t="s">
        <v>55</v>
      </c>
      <c r="AM14" s="20" t="s">
        <v>74</v>
      </c>
      <c r="AN14" s="20" t="s">
        <v>75</v>
      </c>
      <c r="AO14" s="20" t="s">
        <v>50</v>
      </c>
      <c r="AP14" s="20" t="s">
        <v>56</v>
      </c>
      <c r="AQ14" s="20" t="s">
        <v>57</v>
      </c>
      <c r="AR14" s="20" t="s">
        <v>79</v>
      </c>
      <c r="AS14" s="20" t="s">
        <v>80</v>
      </c>
      <c r="AT14" s="20" t="s">
        <v>55</v>
      </c>
      <c r="AU14" s="20" t="s">
        <v>74</v>
      </c>
      <c r="AV14" s="20" t="s">
        <v>75</v>
      </c>
      <c r="AW14" s="20" t="s">
        <v>50</v>
      </c>
      <c r="AX14" s="19" t="s">
        <v>58</v>
      </c>
      <c r="AY14" s="21" t="s">
        <v>59</v>
      </c>
      <c r="AZ14" s="22" t="s">
        <v>60</v>
      </c>
      <c r="BA14" s="19" t="s">
        <v>61</v>
      </c>
      <c r="BB14" s="19" t="s">
        <v>62</v>
      </c>
      <c r="BC14" s="20" t="s">
        <v>83</v>
      </c>
      <c r="BD14" s="20" t="s">
        <v>84</v>
      </c>
      <c r="BE14" s="20" t="s">
        <v>55</v>
      </c>
      <c r="BF14" s="20" t="s">
        <v>74</v>
      </c>
    </row>
    <row r="15" spans="1:58" ht="14.4">
      <c r="A15" s="17">
        <v>1</v>
      </c>
      <c r="B15" s="18" t="s">
        <v>104</v>
      </c>
      <c r="C15" s="18" t="s">
        <v>63</v>
      </c>
      <c r="D15" s="18" t="s">
        <v>88</v>
      </c>
      <c r="E15" s="10" t="s">
        <v>105</v>
      </c>
      <c r="F15" s="10" t="s">
        <v>106</v>
      </c>
      <c r="G15" s="10" t="s">
        <v>70</v>
      </c>
      <c r="H15" s="10" t="s">
        <v>91</v>
      </c>
      <c r="I15" s="10"/>
      <c r="J15" s="10" t="s">
        <v>107</v>
      </c>
      <c r="K15" s="11">
        <v>1</v>
      </c>
      <c r="L15" s="14">
        <v>22000</v>
      </c>
      <c r="M15" s="14">
        <v>22000</v>
      </c>
      <c r="N15" s="35">
        <v>0.1</v>
      </c>
      <c r="O15" s="12" t="s">
        <v>108</v>
      </c>
      <c r="P15" s="14">
        <v>100</v>
      </c>
      <c r="Q15" s="14">
        <v>25</v>
      </c>
      <c r="R15" s="14">
        <f>0/IF(K15=0,1,K15)</f>
        <v>0</v>
      </c>
      <c r="S15" s="14">
        <f>0/IF(K15=0,1,K15)</f>
        <v>0</v>
      </c>
      <c r="T15" s="14">
        <f>56/IF(K15=0,1,K15)</f>
        <v>56</v>
      </c>
      <c r="U15" s="14">
        <f>4973.636/IF(K15=0,1,K15)</f>
        <v>4973.6360000000004</v>
      </c>
      <c r="V15" s="14">
        <v>0</v>
      </c>
      <c r="W15" s="52" t="str">
        <f>IF(V15=0,"N/A",U15/V15-1)</f>
        <v>N/A</v>
      </c>
      <c r="X15" s="14">
        <v>4973.6360000000004</v>
      </c>
      <c r="Y15" s="14">
        <v>0</v>
      </c>
      <c r="Z15" s="14">
        <v>0</v>
      </c>
      <c r="AA15" s="14">
        <v>0</v>
      </c>
      <c r="AB15" s="49">
        <f>R15+S15+T15+Z15+AA15-X15</f>
        <v>-4917.6360000000004</v>
      </c>
      <c r="AC15" s="49">
        <f>AB15/AE15*U$4</f>
        <v>-24.572225604946507</v>
      </c>
      <c r="AD15" s="47" t="str">
        <f>IF(AC15&lt;$Q15,"X",(IF($P15&lt;AC15,"+","")))</f>
        <v>X</v>
      </c>
      <c r="AE15" s="14">
        <f>4202.727/IF(K15=0,1,K15)</f>
        <v>4202.7269999999999</v>
      </c>
      <c r="AF15" s="14">
        <v>0</v>
      </c>
      <c r="AG15" s="52" t="str">
        <f>IF(AF15=0,"N/A",AE15/AF15-1)</f>
        <v>N/A</v>
      </c>
      <c r="AH15" s="14">
        <v>0</v>
      </c>
      <c r="AI15" s="14">
        <v>0</v>
      </c>
      <c r="AJ15" s="49">
        <f>AB15+AI15-AE15</f>
        <v>-9120.3630000000012</v>
      </c>
      <c r="AK15" s="49" t="e">
        <f>AJ15/AM15*AE$4</f>
        <v>#DIV/0!</v>
      </c>
      <c r="AL15" s="47" t="e">
        <f>IF(AK15&lt;$Q15,"X",(IF($P15&lt;AK15,"+","")))</f>
        <v>#DIV/0!</v>
      </c>
      <c r="AM15" s="14">
        <f>0/IF(K15=0,1,K15)</f>
        <v>0</v>
      </c>
      <c r="AN15" s="14">
        <v>0</v>
      </c>
      <c r="AO15" s="52" t="str">
        <f>IF(AN15=0,"N/A",AM15/AN15-1)</f>
        <v>N/A</v>
      </c>
      <c r="AP15" s="14">
        <v>0</v>
      </c>
      <c r="AQ15" s="14">
        <v>0</v>
      </c>
      <c r="AR15" s="49">
        <f>AJ15+AQ15-AM15</f>
        <v>-9120.3630000000012</v>
      </c>
      <c r="AS15" s="49" t="e">
        <f>AR15/AU15*AM$4</f>
        <v>#DIV/0!</v>
      </c>
      <c r="AT15" s="47" t="e">
        <f>IF(AS15&lt;$Q15,"X",(IF($P15&lt;AS15,"+","")))</f>
        <v>#DIV/0!</v>
      </c>
      <c r="AU15" s="14">
        <f>0/IF(K15=0,1,K15)</f>
        <v>0</v>
      </c>
      <c r="AV15" s="14">
        <v>0</v>
      </c>
      <c r="AW15" s="52" t="str">
        <f>IF(AV15=0,"N/A",AU15/AV15-1)</f>
        <v>N/A</v>
      </c>
      <c r="AX15" s="49">
        <f>ROUNDUP(MAX(BF15/AU$4*($Q15+MAX(AY4))-AR15+AU15,0)/$M15,0)*$M15</f>
        <v>22000</v>
      </c>
      <c r="AY15" s="97">
        <v>44000</v>
      </c>
      <c r="AZ15" s="46" t="s">
        <v>134</v>
      </c>
      <c r="BA15" s="49">
        <v>0</v>
      </c>
      <c r="BB15" s="52" t="str">
        <f>IF(BA15=0,"N/A",AY15/BA15-1)</f>
        <v>N/A</v>
      </c>
      <c r="BC15" s="49">
        <f>AR15+AY15-AU15</f>
        <v>34879.637000000002</v>
      </c>
      <c r="BD15" s="49" t="e">
        <f>BC15/BF15*AU$4</f>
        <v>#DIV/0!</v>
      </c>
      <c r="BE15" s="48" t="e">
        <f>IF(BD15&lt;$Q15,"X",(IF($P15&lt;BD15,"+","")))</f>
        <v>#DIV/0!</v>
      </c>
      <c r="BF15" s="53">
        <v>0</v>
      </c>
    </row>
  </sheetData>
  <sheetProtection password="CCBA" sheet="1" objects="1" scenarios="1" formatCells="0" formatColumns="0" formatRows="0" insertColumns="0" insertRows="0" deleteColumns="0" deleteRows="0" autoFilter="0"/>
  <mergeCells count="49">
    <mergeCell ref="AU12:BE12"/>
    <mergeCell ref="AU13:AW13"/>
    <mergeCell ref="AX13:BB13"/>
    <mergeCell ref="BC13:BE13"/>
    <mergeCell ref="AE12:AL12"/>
    <mergeCell ref="AE13:AG13"/>
    <mergeCell ref="AH13:AI13"/>
    <mergeCell ref="AJ13:AL13"/>
    <mergeCell ref="AM12:AT12"/>
    <mergeCell ref="AM13:AO13"/>
    <mergeCell ref="AP13:AQ13"/>
    <mergeCell ref="AR13:AT13"/>
    <mergeCell ref="P12:Q12"/>
    <mergeCell ref="R12:T12"/>
    <mergeCell ref="U12:AD12"/>
    <mergeCell ref="U13:X13"/>
    <mergeCell ref="Y13:AA13"/>
    <mergeCell ref="AB13:AD13"/>
    <mergeCell ref="P13:P14"/>
    <mergeCell ref="Q13:Q14"/>
    <mergeCell ref="R13:R14"/>
    <mergeCell ref="S13:S14"/>
    <mergeCell ref="T13:T14"/>
    <mergeCell ref="AY2:BA2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  <mergeCell ref="A7:B7"/>
    <mergeCell ref="A8:B8"/>
    <mergeCell ref="A9:B9"/>
    <mergeCell ref="A10:B10"/>
    <mergeCell ref="F2:G2"/>
    <mergeCell ref="F3:G3"/>
    <mergeCell ref="F4:G4"/>
    <mergeCell ref="A5:B5"/>
    <mergeCell ref="A4:B4"/>
    <mergeCell ref="A6:B6"/>
  </mergeCells>
  <phoneticPr fontId="1" type="noConversion"/>
  <conditionalFormatting sqref="W15">
    <cfRule type="expression" dxfId="32" priority="1">
      <formula>ABS(W15)&gt;$N15</formula>
    </cfRule>
  </conditionalFormatting>
  <conditionalFormatting sqref="AD15">
    <cfRule type="cellIs" dxfId="31" priority="2" operator="equal">
      <formula>"+"</formula>
    </cfRule>
    <cfRule type="cellIs" dxfId="30" priority="3" operator="equal">
      <formula>"X"</formula>
    </cfRule>
  </conditionalFormatting>
  <conditionalFormatting sqref="AG15">
    <cfRule type="expression" dxfId="29" priority="4">
      <formula>ABS(AG15)&gt;$N15</formula>
    </cfRule>
  </conditionalFormatting>
  <conditionalFormatting sqref="AL15">
    <cfRule type="cellIs" dxfId="28" priority="5" operator="equal">
      <formula>"+"</formula>
    </cfRule>
    <cfRule type="cellIs" dxfId="27" priority="6" operator="equal">
      <formula>"X"</formula>
    </cfRule>
  </conditionalFormatting>
  <conditionalFormatting sqref="AO15">
    <cfRule type="expression" dxfId="26" priority="7">
      <formula>ABS(AO15)&gt;$N15</formula>
    </cfRule>
  </conditionalFormatting>
  <conditionalFormatting sqref="AT15">
    <cfRule type="cellIs" dxfId="25" priority="8" operator="equal">
      <formula>"+"</formula>
    </cfRule>
    <cfRule type="cellIs" dxfId="24" priority="9" operator="equal">
      <formula>"X"</formula>
    </cfRule>
  </conditionalFormatting>
  <conditionalFormatting sqref="AW15">
    <cfRule type="expression" dxfId="23" priority="10">
      <formula>ABS(AW15)&gt;$N15</formula>
    </cfRule>
  </conditionalFormatting>
  <conditionalFormatting sqref="AY15">
    <cfRule type="expression" dxfId="22" priority="11">
      <formula>IF(ISERROR(AX15),"#DIV/0!",AX15)&lt;&gt;IF(ISERROR(AY15),"#DIV/0!",AY15)</formula>
    </cfRule>
  </conditionalFormatting>
  <conditionalFormatting sqref="BB15">
    <cfRule type="expression" dxfId="21" priority="12">
      <formula>ABS(BB15)&gt;$N15</formula>
    </cfRule>
  </conditionalFormatting>
  <conditionalFormatting sqref="BE15">
    <cfRule type="cellIs" dxfId="20" priority="13" operator="equal">
      <formula>"+"</formula>
    </cfRule>
    <cfRule type="cellIs" dxfId="19" priority="14" operator="equal">
      <formula>"X"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80BE1-8A85-4FA0-BD78-14201D791A0B}">
  <sheetPr codeName="Sheet1"/>
  <dimension ref="A1:BN18"/>
  <sheetViews>
    <sheetView showGridLines="0" tabSelected="1" topLeftCell="BD1" zoomScale="85" zoomScaleNormal="85" workbookViewId="0">
      <selection activeCell="BG15" sqref="BG15:BG18"/>
    </sheetView>
  </sheetViews>
  <sheetFormatPr defaultColWidth="9" defaultRowHeight="13.8" outlineLevelCol="1"/>
  <cols>
    <col min="1" max="1" width="8.77734375" style="13" customWidth="1" collapsed="1"/>
    <col min="2" max="2" width="20.77734375" style="13" customWidth="1" collapsed="1"/>
    <col min="3" max="3" width="25.77734375" style="13" customWidth="1" collapsed="1"/>
    <col min="4" max="4" width="15.77734375" style="13" customWidth="1" collapsed="1"/>
    <col min="5" max="6" width="18.77734375" style="13" customWidth="1" collapsed="1"/>
    <col min="7" max="7" width="20.77734375" style="13" customWidth="1" collapsed="1"/>
    <col min="8" max="11" width="15.77734375" style="13" customWidth="1" collapsed="1"/>
    <col min="12" max="12" width="18.77734375" style="13" customWidth="1" collapsed="1"/>
    <col min="13" max="20" width="12.77734375" style="13" customWidth="1" collapsed="1"/>
    <col min="21" max="23" width="12" style="13" customWidth="1" outlineLevel="1" collapsed="1"/>
    <col min="24" max="24" width="12" style="13" customWidth="1"/>
    <col min="25" max="25" width="12" style="13" customWidth="1" outlineLevel="1" collapsed="1"/>
    <col min="26" max="26" width="12" style="13" customWidth="1"/>
    <col min="27" max="31" width="12" style="13" customWidth="1" collapsed="1"/>
    <col min="32" max="34" width="12" style="13" customWidth="1" outlineLevel="1" collapsed="1"/>
    <col min="35" max="35" width="12" style="13" customWidth="1"/>
    <col min="36" max="39" width="12" style="13" customWidth="1" collapsed="1"/>
    <col min="40" max="42" width="12" style="13" customWidth="1" outlineLevel="1" collapsed="1"/>
    <col min="43" max="43" width="12" style="13" customWidth="1"/>
    <col min="44" max="47" width="12" style="13" customWidth="1" collapsed="1"/>
    <col min="48" max="50" width="12" style="13" customWidth="1" outlineLevel="1" collapsed="1"/>
    <col min="51" max="51" width="12" style="13" customWidth="1"/>
    <col min="52" max="55" width="12" style="13" customWidth="1" collapsed="1"/>
    <col min="56" max="57" width="12" style="13" customWidth="1" outlineLevel="1" collapsed="1"/>
    <col min="58" max="58" width="12" style="13" customWidth="1"/>
    <col min="59" max="60" width="12" style="13" customWidth="1" collapsed="1"/>
    <col min="61" max="62" width="12" style="13" customWidth="1" outlineLevel="1" collapsed="1"/>
    <col min="63" max="63" width="12" style="13" customWidth="1"/>
    <col min="64" max="65" width="12" style="13" customWidth="1" collapsed="1"/>
    <col min="66" max="66" width="20" style="13" customWidth="1" collapsed="1"/>
    <col min="67" max="16384" width="9" style="13" collapsed="1"/>
  </cols>
  <sheetData>
    <row r="1" spans="1:66" s="4" customFormat="1" thickBot="1">
      <c r="A1" s="1" t="s">
        <v>1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66" s="5" customFormat="1" ht="13.2" customHeight="1" thickBot="1">
      <c r="A2" s="2"/>
      <c r="B2" s="2"/>
      <c r="C2" s="2"/>
      <c r="D2" s="2"/>
      <c r="E2" s="2"/>
      <c r="F2" s="62" t="s">
        <v>2</v>
      </c>
      <c r="G2" s="6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BF2" s="2"/>
      <c r="BG2" s="72" t="s">
        <v>20</v>
      </c>
      <c r="BH2" s="73"/>
      <c r="BI2" s="74"/>
      <c r="BJ2" s="2"/>
    </row>
    <row r="3" spans="1:66" s="5" customFormat="1" ht="28.05" customHeight="1" thickBot="1">
      <c r="A3" s="6" t="s">
        <v>3</v>
      </c>
      <c r="B3" s="2"/>
      <c r="C3" s="2"/>
      <c r="D3" s="2"/>
      <c r="E3" s="2"/>
      <c r="F3" s="64" t="s">
        <v>4</v>
      </c>
      <c r="G3" s="6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44" t="s">
        <v>67</v>
      </c>
      <c r="V3" s="2"/>
      <c r="W3" s="2"/>
      <c r="X3" s="2"/>
      <c r="Y3" s="2"/>
      <c r="Z3" s="2"/>
      <c r="AA3" s="2"/>
      <c r="AB3" s="2"/>
      <c r="AC3" s="2"/>
      <c r="AD3" s="2"/>
      <c r="AE3" s="44" t="s">
        <v>68</v>
      </c>
      <c r="AF3" s="2"/>
      <c r="AG3" s="2"/>
      <c r="AH3" s="2"/>
      <c r="AI3" s="2"/>
      <c r="AJ3" s="2"/>
      <c r="AK3" s="2"/>
      <c r="AL3" s="2"/>
      <c r="AM3" s="44" t="s">
        <v>69</v>
      </c>
      <c r="AU3" s="44" t="s">
        <v>96</v>
      </c>
      <c r="BC3" s="44" t="s">
        <v>109</v>
      </c>
      <c r="BF3" s="7" t="s">
        <v>21</v>
      </c>
      <c r="BG3" s="7" t="s">
        <v>22</v>
      </c>
      <c r="BH3" s="7" t="s">
        <v>23</v>
      </c>
      <c r="BI3" s="7" t="s">
        <v>24</v>
      </c>
      <c r="BJ3" s="7" t="s">
        <v>25</v>
      </c>
    </row>
    <row r="4" spans="1:66" s="4" customFormat="1" ht="15" customHeight="1" thickBot="1">
      <c r="A4" s="70" t="s">
        <v>5</v>
      </c>
      <c r="B4" s="71"/>
      <c r="C4" s="38" t="s">
        <v>63</v>
      </c>
      <c r="D4" s="2"/>
      <c r="E4" s="2"/>
      <c r="F4" s="66" t="s">
        <v>6</v>
      </c>
      <c r="G4" s="67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5">
        <v>21</v>
      </c>
      <c r="V4" s="2"/>
      <c r="W4" s="2"/>
      <c r="X4" s="2"/>
      <c r="Y4" s="2"/>
      <c r="Z4" s="2"/>
      <c r="AA4" s="2"/>
      <c r="AB4" s="2"/>
      <c r="AC4" s="2"/>
      <c r="AD4" s="2"/>
      <c r="AE4" s="45">
        <v>21</v>
      </c>
      <c r="AF4" s="2"/>
      <c r="AG4" s="2"/>
      <c r="AH4" s="2"/>
      <c r="AI4" s="2"/>
      <c r="AJ4" s="2"/>
      <c r="AK4" s="2"/>
      <c r="AL4" s="2"/>
      <c r="AM4" s="45">
        <v>23</v>
      </c>
      <c r="AU4" s="45">
        <v>21</v>
      </c>
      <c r="BC4" s="45">
        <v>21</v>
      </c>
      <c r="BF4" s="8" t="s">
        <v>70</v>
      </c>
      <c r="BG4" s="36"/>
      <c r="BH4" s="36"/>
      <c r="BI4" s="34" t="str">
        <f>IF(ISBLANK(BG4),"",BG4/BC$4)</f>
        <v/>
      </c>
      <c r="BJ4" s="37"/>
    </row>
    <row r="5" spans="1:66" s="5" customFormat="1" ht="13.2" customHeight="1">
      <c r="A5" s="68" t="s">
        <v>7</v>
      </c>
      <c r="B5" s="69"/>
      <c r="C5" s="39" t="s">
        <v>64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BF5" s="8" t="s">
        <v>71</v>
      </c>
      <c r="BG5" s="36"/>
      <c r="BH5" s="36"/>
      <c r="BI5" s="34" t="str">
        <f>IF(ISBLANK(BG5),"",BG5/BC$4)</f>
        <v/>
      </c>
      <c r="BJ5" s="37"/>
    </row>
    <row r="6" spans="1:66" s="4" customFormat="1" ht="13.2">
      <c r="A6" s="56" t="s">
        <v>8</v>
      </c>
      <c r="B6" s="57"/>
      <c r="C6" s="40" t="s">
        <v>65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66" s="4" customFormat="1" ht="13.2">
      <c r="A7" s="56" t="s">
        <v>9</v>
      </c>
      <c r="B7" s="57"/>
      <c r="C7" s="40" t="s">
        <v>66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66" s="4" customFormat="1" ht="13.2">
      <c r="A8" s="56" t="s">
        <v>10</v>
      </c>
      <c r="B8" s="57"/>
      <c r="C8" s="41">
        <v>45200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66" s="4" customFormat="1" ht="13.2">
      <c r="A9" s="58" t="s">
        <v>11</v>
      </c>
      <c r="B9" s="59"/>
      <c r="C9" s="42">
        <v>45323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W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66" s="4" customFormat="1" ht="15" customHeight="1" thickBot="1">
      <c r="A10" s="60" t="s">
        <v>12</v>
      </c>
      <c r="B10" s="61"/>
      <c r="C10" s="43">
        <v>45203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BN10" t="s">
        <v>86</v>
      </c>
    </row>
    <row r="11" spans="1:66" s="4" customFormat="1" ht="13.2">
      <c r="A11" s="2"/>
      <c r="B11" s="2"/>
      <c r="C11" s="9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66" ht="28.05" customHeight="1">
      <c r="A12" s="23"/>
      <c r="B12" s="23"/>
      <c r="C12" s="23"/>
      <c r="D12" s="23"/>
      <c r="E12" s="23"/>
      <c r="F12" s="23"/>
      <c r="G12" s="23"/>
      <c r="H12" s="23"/>
      <c r="I12" s="24"/>
      <c r="J12" s="23"/>
      <c r="K12" s="23"/>
      <c r="L12" s="23"/>
      <c r="M12" s="23"/>
      <c r="N12" s="23"/>
      <c r="O12" s="23"/>
      <c r="P12" s="81" t="s">
        <v>26</v>
      </c>
      <c r="Q12" s="82"/>
      <c r="R12" s="81" t="s">
        <v>72</v>
      </c>
      <c r="S12" s="83"/>
      <c r="T12" s="82"/>
      <c r="U12" s="84" t="s">
        <v>110</v>
      </c>
      <c r="V12" s="85"/>
      <c r="W12" s="85"/>
      <c r="X12" s="85"/>
      <c r="Y12" s="85"/>
      <c r="Z12" s="85"/>
      <c r="AA12" s="85"/>
      <c r="AB12" s="85"/>
      <c r="AC12" s="85"/>
      <c r="AD12" s="86"/>
      <c r="AE12" s="84" t="s">
        <v>113</v>
      </c>
      <c r="AF12" s="85"/>
      <c r="AG12" s="85"/>
      <c r="AH12" s="85"/>
      <c r="AI12" s="85"/>
      <c r="AJ12" s="85"/>
      <c r="AK12" s="85"/>
      <c r="AL12" s="86"/>
      <c r="AM12" s="84" t="s">
        <v>114</v>
      </c>
      <c r="AN12" s="85"/>
      <c r="AO12" s="85"/>
      <c r="AP12" s="85"/>
      <c r="AQ12" s="85"/>
      <c r="AR12" s="85"/>
      <c r="AS12" s="85"/>
      <c r="AT12" s="86"/>
      <c r="AU12" s="84" t="s">
        <v>115</v>
      </c>
      <c r="AV12" s="85"/>
      <c r="AW12" s="85"/>
      <c r="AX12" s="85"/>
      <c r="AY12" s="85"/>
      <c r="AZ12" s="85"/>
      <c r="BA12" s="85"/>
      <c r="BB12" s="86"/>
      <c r="BC12" s="84" t="s">
        <v>116</v>
      </c>
      <c r="BD12" s="85"/>
      <c r="BE12" s="85"/>
      <c r="BF12" s="85"/>
      <c r="BG12" s="85"/>
      <c r="BH12" s="85"/>
      <c r="BI12" s="85"/>
      <c r="BJ12" s="85"/>
      <c r="BK12" s="85"/>
      <c r="BL12" s="85"/>
      <c r="BM12" s="86"/>
      <c r="BN12" s="20" t="s">
        <v>117</v>
      </c>
    </row>
    <row r="13" spans="1:66" ht="28.05" customHeight="1">
      <c r="A13" s="75" t="s">
        <v>27</v>
      </c>
      <c r="B13" s="75" t="s">
        <v>28</v>
      </c>
      <c r="C13" s="75" t="s">
        <v>29</v>
      </c>
      <c r="D13" s="75" t="s">
        <v>30</v>
      </c>
      <c r="E13" s="75" t="s">
        <v>31</v>
      </c>
      <c r="F13" s="75" t="s">
        <v>32</v>
      </c>
      <c r="G13" s="75" t="s">
        <v>33</v>
      </c>
      <c r="H13" s="75" t="s">
        <v>34</v>
      </c>
      <c r="I13" s="77" t="s">
        <v>35</v>
      </c>
      <c r="J13" s="77" t="s">
        <v>36</v>
      </c>
      <c r="K13" s="75" t="s">
        <v>37</v>
      </c>
      <c r="L13" s="75" t="s">
        <v>38</v>
      </c>
      <c r="M13" s="75" t="s">
        <v>39</v>
      </c>
      <c r="N13" s="75" t="s">
        <v>40</v>
      </c>
      <c r="O13" s="77" t="s">
        <v>41</v>
      </c>
      <c r="P13" s="79" t="s">
        <v>42</v>
      </c>
      <c r="Q13" s="75" t="s">
        <v>43</v>
      </c>
      <c r="R13" s="77" t="s">
        <v>44</v>
      </c>
      <c r="S13" s="77" t="s">
        <v>45</v>
      </c>
      <c r="T13" s="77" t="s">
        <v>46</v>
      </c>
      <c r="U13" s="87" t="s">
        <v>47</v>
      </c>
      <c r="V13" s="88"/>
      <c r="W13" s="88"/>
      <c r="X13" s="89"/>
      <c r="Y13" s="87" t="s">
        <v>48</v>
      </c>
      <c r="Z13" s="88"/>
      <c r="AA13" s="89"/>
      <c r="AB13" s="87" t="s">
        <v>0</v>
      </c>
      <c r="AC13" s="88"/>
      <c r="AD13" s="89"/>
      <c r="AE13" s="87" t="s">
        <v>47</v>
      </c>
      <c r="AF13" s="88"/>
      <c r="AG13" s="89"/>
      <c r="AH13" s="87" t="s">
        <v>49</v>
      </c>
      <c r="AI13" s="89"/>
      <c r="AJ13" s="87" t="s">
        <v>0</v>
      </c>
      <c r="AK13" s="88"/>
      <c r="AL13" s="89"/>
      <c r="AM13" s="87" t="s">
        <v>47</v>
      </c>
      <c r="AN13" s="88"/>
      <c r="AO13" s="89"/>
      <c r="AP13" s="87" t="s">
        <v>49</v>
      </c>
      <c r="AQ13" s="89"/>
      <c r="AR13" s="87" t="s">
        <v>0</v>
      </c>
      <c r="AS13" s="88"/>
      <c r="AT13" s="89"/>
      <c r="AU13" s="87" t="s">
        <v>47</v>
      </c>
      <c r="AV13" s="88"/>
      <c r="AW13" s="89"/>
      <c r="AX13" s="87" t="s">
        <v>49</v>
      </c>
      <c r="AY13" s="89"/>
      <c r="AZ13" s="87" t="s">
        <v>0</v>
      </c>
      <c r="BA13" s="88"/>
      <c r="BB13" s="89"/>
      <c r="BC13" s="87" t="s">
        <v>47</v>
      </c>
      <c r="BD13" s="88"/>
      <c r="BE13" s="89"/>
      <c r="BF13" s="90" t="s">
        <v>82</v>
      </c>
      <c r="BG13" s="91"/>
      <c r="BH13" s="91"/>
      <c r="BI13" s="91"/>
      <c r="BJ13" s="92"/>
      <c r="BK13" s="87" t="s">
        <v>0</v>
      </c>
      <c r="BL13" s="88"/>
      <c r="BM13" s="89"/>
      <c r="BN13" s="20" t="s">
        <v>47</v>
      </c>
    </row>
    <row r="14" spans="1:66" ht="92.4">
      <c r="A14" s="76"/>
      <c r="B14" s="76"/>
      <c r="C14" s="76"/>
      <c r="D14" s="76"/>
      <c r="E14" s="76"/>
      <c r="F14" s="76"/>
      <c r="G14" s="76"/>
      <c r="H14" s="76"/>
      <c r="I14" s="78"/>
      <c r="J14" s="78"/>
      <c r="K14" s="76"/>
      <c r="L14" s="76"/>
      <c r="M14" s="76"/>
      <c r="N14" s="76"/>
      <c r="O14" s="78"/>
      <c r="P14" s="80"/>
      <c r="Q14" s="76"/>
      <c r="R14" s="78"/>
      <c r="S14" s="78"/>
      <c r="T14" s="78"/>
      <c r="U14" s="20" t="s">
        <v>74</v>
      </c>
      <c r="V14" s="20" t="s">
        <v>75</v>
      </c>
      <c r="W14" s="20" t="s">
        <v>50</v>
      </c>
      <c r="X14" s="20" t="s">
        <v>51</v>
      </c>
      <c r="Y14" s="20" t="s">
        <v>52</v>
      </c>
      <c r="Z14" s="20" t="s">
        <v>53</v>
      </c>
      <c r="AA14" s="20" t="s">
        <v>54</v>
      </c>
      <c r="AB14" s="20" t="s">
        <v>111</v>
      </c>
      <c r="AC14" s="20" t="s">
        <v>112</v>
      </c>
      <c r="AD14" s="20" t="s">
        <v>55</v>
      </c>
      <c r="AE14" s="20" t="s">
        <v>74</v>
      </c>
      <c r="AF14" s="20" t="s">
        <v>75</v>
      </c>
      <c r="AG14" s="20" t="s">
        <v>50</v>
      </c>
      <c r="AH14" s="20" t="s">
        <v>56</v>
      </c>
      <c r="AI14" s="20" t="s">
        <v>57</v>
      </c>
      <c r="AJ14" s="20" t="s">
        <v>98</v>
      </c>
      <c r="AK14" s="20" t="s">
        <v>99</v>
      </c>
      <c r="AL14" s="20" t="s">
        <v>55</v>
      </c>
      <c r="AM14" s="20" t="s">
        <v>74</v>
      </c>
      <c r="AN14" s="20" t="s">
        <v>75</v>
      </c>
      <c r="AO14" s="20" t="s">
        <v>50</v>
      </c>
      <c r="AP14" s="20" t="s">
        <v>56</v>
      </c>
      <c r="AQ14" s="20" t="s">
        <v>57</v>
      </c>
      <c r="AR14" s="20" t="s">
        <v>76</v>
      </c>
      <c r="AS14" s="20" t="s">
        <v>77</v>
      </c>
      <c r="AT14" s="20" t="s">
        <v>55</v>
      </c>
      <c r="AU14" s="20" t="s">
        <v>74</v>
      </c>
      <c r="AV14" s="20" t="s">
        <v>75</v>
      </c>
      <c r="AW14" s="20" t="s">
        <v>50</v>
      </c>
      <c r="AX14" s="20" t="s">
        <v>56</v>
      </c>
      <c r="AY14" s="20" t="s">
        <v>57</v>
      </c>
      <c r="AZ14" s="20" t="s">
        <v>79</v>
      </c>
      <c r="BA14" s="20" t="s">
        <v>80</v>
      </c>
      <c r="BB14" s="20" t="s">
        <v>55</v>
      </c>
      <c r="BC14" s="20" t="s">
        <v>74</v>
      </c>
      <c r="BD14" s="20" t="s">
        <v>75</v>
      </c>
      <c r="BE14" s="20" t="s">
        <v>50</v>
      </c>
      <c r="BF14" s="19" t="s">
        <v>58</v>
      </c>
      <c r="BG14" s="21" t="s">
        <v>59</v>
      </c>
      <c r="BH14" s="22" t="s">
        <v>60</v>
      </c>
      <c r="BI14" s="19" t="s">
        <v>61</v>
      </c>
      <c r="BJ14" s="19" t="s">
        <v>62</v>
      </c>
      <c r="BK14" s="20" t="s">
        <v>83</v>
      </c>
      <c r="BL14" s="20" t="s">
        <v>84</v>
      </c>
      <c r="BM14" s="20" t="s">
        <v>55</v>
      </c>
      <c r="BN14" s="20" t="s">
        <v>74</v>
      </c>
    </row>
    <row r="15" spans="1:66" ht="14.4">
      <c r="A15" s="17">
        <v>1</v>
      </c>
      <c r="B15" s="18" t="s">
        <v>118</v>
      </c>
      <c r="C15" s="18" t="s">
        <v>63</v>
      </c>
      <c r="D15" s="18" t="s">
        <v>88</v>
      </c>
      <c r="E15" s="10" t="s">
        <v>119</v>
      </c>
      <c r="F15" s="10" t="s">
        <v>120</v>
      </c>
      <c r="G15" s="10" t="s">
        <v>71</v>
      </c>
      <c r="H15" s="10" t="s">
        <v>121</v>
      </c>
      <c r="I15" s="10"/>
      <c r="J15" s="10" t="s">
        <v>122</v>
      </c>
      <c r="K15" s="11">
        <v>1</v>
      </c>
      <c r="L15" s="15">
        <v>100</v>
      </c>
      <c r="M15" s="15">
        <v>100</v>
      </c>
      <c r="N15" s="35">
        <v>0.1</v>
      </c>
      <c r="O15" s="12" t="s">
        <v>123</v>
      </c>
      <c r="P15" s="15">
        <v>100</v>
      </c>
      <c r="Q15" s="15">
        <v>25</v>
      </c>
      <c r="R15" s="15">
        <f>0/IF(K15=0,1,K15)</f>
        <v>0</v>
      </c>
      <c r="S15" s="15">
        <f>0/IF(K15=0,1,K15)</f>
        <v>0</v>
      </c>
      <c r="T15" s="15">
        <f>0/IF(K15=0,1,K15)</f>
        <v>0</v>
      </c>
      <c r="U15" s="15">
        <f>9979.672/IF(K15=0,1,K15)</f>
        <v>9979.6720000000005</v>
      </c>
      <c r="V15" s="15">
        <v>0</v>
      </c>
      <c r="W15" s="52" t="str">
        <f>IF(V15=0,"N/A",U15/V15-1)</f>
        <v>N/A</v>
      </c>
      <c r="X15" s="15">
        <v>9979.6720000000005</v>
      </c>
      <c r="Y15" s="15">
        <v>0</v>
      </c>
      <c r="Z15" s="15">
        <v>0</v>
      </c>
      <c r="AA15" s="15">
        <v>0</v>
      </c>
      <c r="AB15" s="50">
        <f>R15+S15+T15+Z15+AA15-X15</f>
        <v>-9979.6720000000005</v>
      </c>
      <c r="AC15" s="50">
        <f>AB15/$L15</f>
        <v>-99.796720000000008</v>
      </c>
      <c r="AD15" s="47" t="str">
        <f>IF(AC15&lt;$Q15,"X",(IF($P15&lt;AC15,"+","")))</f>
        <v>X</v>
      </c>
      <c r="AE15" s="15">
        <f>8437.854/IF(K15=0,1,K15)</f>
        <v>8437.8539999999994</v>
      </c>
      <c r="AF15" s="15">
        <v>0</v>
      </c>
      <c r="AG15" s="52" t="str">
        <f>IF(AF15=0,"N/A",AE15/AF15-1)</f>
        <v>N/A</v>
      </c>
      <c r="AH15" s="15">
        <v>0</v>
      </c>
      <c r="AI15" s="15">
        <v>0</v>
      </c>
      <c r="AJ15" s="50">
        <f>AB15+AI15-AE15</f>
        <v>-18417.525999999998</v>
      </c>
      <c r="AK15" s="50">
        <f>AJ15/$L15</f>
        <v>-184.17525999999998</v>
      </c>
      <c r="AL15" s="47" t="str">
        <f>IF(AK15&lt;$Q15,"X",(IF($P15&lt;AK15,"+","")))</f>
        <v>X</v>
      </c>
      <c r="AM15" s="15">
        <f>0/IF(K15=0,1,K15)</f>
        <v>0</v>
      </c>
      <c r="AN15" s="15">
        <v>0</v>
      </c>
      <c r="AO15" s="52" t="str">
        <f>IF(AN15=0,"N/A",AM15/AN15-1)</f>
        <v>N/A</v>
      </c>
      <c r="AP15" s="15">
        <v>0</v>
      </c>
      <c r="AQ15" s="15">
        <v>0</v>
      </c>
      <c r="AR15" s="50">
        <f>AJ15+AQ15-AM15</f>
        <v>-18417.525999999998</v>
      </c>
      <c r="AS15" s="50">
        <f>AR15/$L15</f>
        <v>-184.17525999999998</v>
      </c>
      <c r="AT15" s="47" t="str">
        <f>IF(AS15&lt;$Q15,"X",(IF($P15&lt;AS15,"+","")))</f>
        <v>X</v>
      </c>
      <c r="AU15" s="15">
        <f>0/IF(K15=0,1,K15)</f>
        <v>0</v>
      </c>
      <c r="AV15" s="15">
        <v>0</v>
      </c>
      <c r="AW15" s="52" t="str">
        <f>IF(AV15=0,"N/A",AU15/AV15-1)</f>
        <v>N/A</v>
      </c>
      <c r="AX15" s="15">
        <v>0</v>
      </c>
      <c r="AY15" s="15">
        <v>0</v>
      </c>
      <c r="AZ15" s="50">
        <f>AR15+AY15-AU15</f>
        <v>-18417.525999999998</v>
      </c>
      <c r="BA15" s="50">
        <f>AZ15/$L15</f>
        <v>-184.17525999999998</v>
      </c>
      <c r="BB15" s="47" t="str">
        <f>IF(BA15&lt;$Q15,"X",(IF($P15&lt;BA15,"+","")))</f>
        <v>X</v>
      </c>
      <c r="BC15" s="15">
        <f>0/IF(K15=0,1,K15)</f>
        <v>0</v>
      </c>
      <c r="BD15" s="15">
        <v>0</v>
      </c>
      <c r="BE15" s="52" t="str">
        <f>IF(BD15=0,"N/A",BC15/BD15-1)</f>
        <v>N/A</v>
      </c>
      <c r="BF15" s="50">
        <f>ROUNDUP(MAX($L15*($Q15+MAX(BH5))-AZ15+BC15,0)/$M15,0)*$M15</f>
        <v>21000</v>
      </c>
      <c r="BG15" s="97">
        <v>49500</v>
      </c>
      <c r="BH15" s="46" t="s">
        <v>134</v>
      </c>
      <c r="BI15" s="50">
        <v>0</v>
      </c>
      <c r="BJ15" s="52" t="str">
        <f>IF(BI15=0,"N/A",BG15/BI15-1)</f>
        <v>N/A</v>
      </c>
      <c r="BK15" s="50">
        <f>AZ15+BG15-BC15</f>
        <v>31082.474000000002</v>
      </c>
      <c r="BL15" s="50">
        <f>BK15/$L15</f>
        <v>310.82474000000002</v>
      </c>
      <c r="BM15" s="48" t="str">
        <f>IF(BL15&lt;$Q15,"X",(IF($P15&lt;BL15,"+","")))</f>
        <v>+</v>
      </c>
      <c r="BN15" s="54">
        <v>0</v>
      </c>
    </row>
    <row r="16" spans="1:66" ht="14.4">
      <c r="A16" s="17">
        <v>2</v>
      </c>
      <c r="B16" s="18" t="s">
        <v>124</v>
      </c>
      <c r="C16" s="18" t="s">
        <v>63</v>
      </c>
      <c r="D16" s="18" t="s">
        <v>88</v>
      </c>
      <c r="E16" s="10" t="s">
        <v>125</v>
      </c>
      <c r="F16" s="10" t="s">
        <v>126</v>
      </c>
      <c r="G16" s="10" t="s">
        <v>71</v>
      </c>
      <c r="H16" s="10" t="s">
        <v>121</v>
      </c>
      <c r="I16" s="10"/>
      <c r="J16" s="10" t="s">
        <v>122</v>
      </c>
      <c r="K16" s="11">
        <v>1</v>
      </c>
      <c r="L16" s="15">
        <v>1500</v>
      </c>
      <c r="M16" s="15">
        <v>1500</v>
      </c>
      <c r="N16" s="35">
        <v>0.1</v>
      </c>
      <c r="O16" s="12" t="s">
        <v>24</v>
      </c>
      <c r="P16" s="35">
        <v>1</v>
      </c>
      <c r="Q16" s="35">
        <v>0.25</v>
      </c>
      <c r="R16" s="15">
        <f>0/IF(K16=0,1,K16)</f>
        <v>0</v>
      </c>
      <c r="S16" s="15">
        <f>0/IF(K16=0,1,K16)</f>
        <v>0</v>
      </c>
      <c r="T16" s="15">
        <f>0/IF(K16=0,1,K16)</f>
        <v>0</v>
      </c>
      <c r="U16" s="15">
        <f>14997.558/IF(K16=0,1,K16)</f>
        <v>14997.558000000001</v>
      </c>
      <c r="V16" s="15">
        <v>0</v>
      </c>
      <c r="W16" s="52" t="str">
        <f>IF(V16=0,"N/A",U16/V16-1)</f>
        <v>N/A</v>
      </c>
      <c r="X16" s="15">
        <v>14997.558000000001</v>
      </c>
      <c r="Y16" s="15">
        <v>0</v>
      </c>
      <c r="Z16" s="15">
        <v>0</v>
      </c>
      <c r="AA16" s="15">
        <v>0</v>
      </c>
      <c r="AB16" s="50">
        <f>R16+S16+T16+Z16+AA16-X16</f>
        <v>-14997.558000000001</v>
      </c>
      <c r="AC16" s="52">
        <f>AB16/AE16</f>
        <v>-1.1823222556138115</v>
      </c>
      <c r="AD16" s="47" t="str">
        <f>IF(AC16&lt;$Q16,"X",(IF($P16&lt;AC16,"+","")))</f>
        <v>X</v>
      </c>
      <c r="AE16" s="15">
        <f>12684.831/IF(K16=0,1,K16)</f>
        <v>12684.831</v>
      </c>
      <c r="AF16" s="15">
        <v>0</v>
      </c>
      <c r="AG16" s="52" t="str">
        <f>IF(AF16=0,"N/A",AE16/AF16-1)</f>
        <v>N/A</v>
      </c>
      <c r="AH16" s="15">
        <v>0</v>
      </c>
      <c r="AI16" s="15">
        <v>0</v>
      </c>
      <c r="AJ16" s="50">
        <f>AB16+AI16-AE16</f>
        <v>-27682.389000000003</v>
      </c>
      <c r="AK16" s="52" t="e">
        <f>AJ16/AM16</f>
        <v>#DIV/0!</v>
      </c>
      <c r="AL16" s="47" t="e">
        <f>IF(AK16&lt;$Q16,"X",(IF($P16&lt;AK16,"+","")))</f>
        <v>#DIV/0!</v>
      </c>
      <c r="AM16" s="15">
        <f>0/IF(K16=0,1,K16)</f>
        <v>0</v>
      </c>
      <c r="AN16" s="15">
        <v>0</v>
      </c>
      <c r="AO16" s="52" t="str">
        <f>IF(AN16=0,"N/A",AM16/AN16-1)</f>
        <v>N/A</v>
      </c>
      <c r="AP16" s="15">
        <v>0</v>
      </c>
      <c r="AQ16" s="15">
        <v>0</v>
      </c>
      <c r="AR16" s="50">
        <f>AJ16+AQ16-AM16</f>
        <v>-27682.389000000003</v>
      </c>
      <c r="AS16" s="52" t="e">
        <f>AR16/AU16</f>
        <v>#DIV/0!</v>
      </c>
      <c r="AT16" s="47" t="e">
        <f>IF(AS16&lt;$Q16,"X",(IF($P16&lt;AS16,"+","")))</f>
        <v>#DIV/0!</v>
      </c>
      <c r="AU16" s="15">
        <f>0/IF(K16=0,1,K16)</f>
        <v>0</v>
      </c>
      <c r="AV16" s="15">
        <v>0</v>
      </c>
      <c r="AW16" s="52" t="str">
        <f>IF(AV16=0,"N/A",AU16/AV16-1)</f>
        <v>N/A</v>
      </c>
      <c r="AX16" s="15">
        <v>0</v>
      </c>
      <c r="AY16" s="15">
        <v>0</v>
      </c>
      <c r="AZ16" s="50">
        <f>AR16+AY16-AU16</f>
        <v>-27682.389000000003</v>
      </c>
      <c r="BA16" s="52" t="e">
        <f>AZ16/BC16</f>
        <v>#DIV/0!</v>
      </c>
      <c r="BB16" s="47" t="e">
        <f>IF(BA16&lt;$Q16,"X",(IF($P16&lt;BA16,"+","")))</f>
        <v>#DIV/0!</v>
      </c>
      <c r="BC16" s="15">
        <f>0/IF(K16=0,1,K16)</f>
        <v>0</v>
      </c>
      <c r="BD16" s="15">
        <v>0</v>
      </c>
      <c r="BE16" s="52" t="str">
        <f>IF(BD16=0,"N/A",BC16/BD16-1)</f>
        <v>N/A</v>
      </c>
      <c r="BF16" s="50">
        <f>IF(MAX(U16,AE16,AM16,AU16,BC16)*($Q16+MAX(BI5))-AZ16+BC16&lt;=0,0,ROUNDUP(MAX(MAX(U16,AE16,AM16,AU16,BC16)*($Q16+MAX(BI5))-AZ16+BC16,,$L16)/$M16,0)*$M16)</f>
        <v>31500</v>
      </c>
      <c r="BG16" s="97">
        <v>75000</v>
      </c>
      <c r="BH16" s="46" t="s">
        <v>134</v>
      </c>
      <c r="BI16" s="50">
        <v>0</v>
      </c>
      <c r="BJ16" s="52" t="str">
        <f>IF(BI16=0,"N/A",BG16/BI16-1)</f>
        <v>N/A</v>
      </c>
      <c r="BK16" s="50">
        <f>AZ16+BG16-BC16</f>
        <v>47317.610999999997</v>
      </c>
      <c r="BL16" s="52" t="e">
        <f>BK16/BN16</f>
        <v>#DIV/0!</v>
      </c>
      <c r="BM16" s="48" t="e">
        <f>IF(BL16&lt;$Q16,"X",(IF($P16&lt;BL16,"+","")))</f>
        <v>#DIV/0!</v>
      </c>
      <c r="BN16" s="54">
        <v>0</v>
      </c>
    </row>
    <row r="17" spans="1:66" ht="14.4">
      <c r="A17" s="17">
        <v>3</v>
      </c>
      <c r="B17" s="18" t="s">
        <v>127</v>
      </c>
      <c r="C17" s="18" t="s">
        <v>63</v>
      </c>
      <c r="D17" s="18" t="s">
        <v>88</v>
      </c>
      <c r="E17" s="10" t="s">
        <v>128</v>
      </c>
      <c r="F17" s="10" t="s">
        <v>129</v>
      </c>
      <c r="G17" s="10" t="s">
        <v>71</v>
      </c>
      <c r="H17" s="10" t="s">
        <v>121</v>
      </c>
      <c r="I17" s="10"/>
      <c r="J17" s="10" t="s">
        <v>122</v>
      </c>
      <c r="K17" s="11">
        <v>1</v>
      </c>
      <c r="L17" s="15">
        <v>6000</v>
      </c>
      <c r="M17" s="15">
        <v>6000</v>
      </c>
      <c r="N17" s="35">
        <v>0.1</v>
      </c>
      <c r="O17" s="12" t="s">
        <v>24</v>
      </c>
      <c r="P17" s="35">
        <v>1</v>
      </c>
      <c r="Q17" s="35">
        <v>0.25</v>
      </c>
      <c r="R17" s="15">
        <f>0/IF(K17=0,1,K17)</f>
        <v>0</v>
      </c>
      <c r="S17" s="15">
        <f>0/IF(K17=0,1,K17)</f>
        <v>0</v>
      </c>
      <c r="T17" s="15">
        <f>0/IF(K17=0,1,K17)</f>
        <v>0</v>
      </c>
      <c r="U17" s="15">
        <f>19944.544/IF(K17=0,1,K17)</f>
        <v>19944.544000000002</v>
      </c>
      <c r="V17" s="15">
        <v>0</v>
      </c>
      <c r="W17" s="52" t="str">
        <f>IF(V17=0,"N/A",U17/V17-1)</f>
        <v>N/A</v>
      </c>
      <c r="X17" s="15">
        <v>19944.544000000002</v>
      </c>
      <c r="Y17" s="15">
        <v>0</v>
      </c>
      <c r="Z17" s="15">
        <v>0</v>
      </c>
      <c r="AA17" s="15">
        <v>0</v>
      </c>
      <c r="AB17" s="50">
        <f>R17+S17+T17+Z17+AA17-X17</f>
        <v>-19944.544000000002</v>
      </c>
      <c r="AC17" s="52">
        <f>AB17/AE17</f>
        <v>-1.1828867104903249</v>
      </c>
      <c r="AD17" s="47" t="str">
        <f>IF(AC17&lt;$Q17,"X",(IF($P17&lt;AC17,"+","")))</f>
        <v>X</v>
      </c>
      <c r="AE17" s="15">
        <f>16860.908/IF(K17=0,1,K17)</f>
        <v>16860.907999999999</v>
      </c>
      <c r="AF17" s="15">
        <v>0</v>
      </c>
      <c r="AG17" s="52" t="str">
        <f>IF(AF17=0,"N/A",AE17/AF17-1)</f>
        <v>N/A</v>
      </c>
      <c r="AH17" s="15">
        <v>0</v>
      </c>
      <c r="AI17" s="15">
        <v>0</v>
      </c>
      <c r="AJ17" s="50">
        <f>AB17+AI17-AE17</f>
        <v>-36805.452000000005</v>
      </c>
      <c r="AK17" s="52" t="e">
        <f>AJ17/AM17</f>
        <v>#DIV/0!</v>
      </c>
      <c r="AL17" s="47" t="e">
        <f>IF(AK17&lt;$Q17,"X",(IF($P17&lt;AK17,"+","")))</f>
        <v>#DIV/0!</v>
      </c>
      <c r="AM17" s="15">
        <f>0/IF(K17=0,1,K17)</f>
        <v>0</v>
      </c>
      <c r="AN17" s="15">
        <v>0</v>
      </c>
      <c r="AO17" s="52" t="str">
        <f>IF(AN17=0,"N/A",AM17/AN17-1)</f>
        <v>N/A</v>
      </c>
      <c r="AP17" s="15">
        <v>0</v>
      </c>
      <c r="AQ17" s="15">
        <v>0</v>
      </c>
      <c r="AR17" s="50">
        <f>AJ17+AQ17-AM17</f>
        <v>-36805.452000000005</v>
      </c>
      <c r="AS17" s="52" t="e">
        <f>AR17/AU17</f>
        <v>#DIV/0!</v>
      </c>
      <c r="AT17" s="47" t="e">
        <f>IF(AS17&lt;$Q17,"X",(IF($P17&lt;AS17,"+","")))</f>
        <v>#DIV/0!</v>
      </c>
      <c r="AU17" s="15">
        <f>0/IF(K17=0,1,K17)</f>
        <v>0</v>
      </c>
      <c r="AV17" s="15">
        <v>0</v>
      </c>
      <c r="AW17" s="52" t="str">
        <f>IF(AV17=0,"N/A",AU17/AV17-1)</f>
        <v>N/A</v>
      </c>
      <c r="AX17" s="15">
        <v>0</v>
      </c>
      <c r="AY17" s="15">
        <v>0</v>
      </c>
      <c r="AZ17" s="50">
        <f>AR17+AY17-AU17</f>
        <v>-36805.452000000005</v>
      </c>
      <c r="BA17" s="52" t="e">
        <f>AZ17/BC17</f>
        <v>#DIV/0!</v>
      </c>
      <c r="BB17" s="47" t="e">
        <f>IF(BA17&lt;$Q17,"X",(IF($P17&lt;BA17,"+","")))</f>
        <v>#DIV/0!</v>
      </c>
      <c r="BC17" s="15">
        <f>0/IF(K17=0,1,K17)</f>
        <v>0</v>
      </c>
      <c r="BD17" s="15">
        <v>0</v>
      </c>
      <c r="BE17" s="52" t="str">
        <f>IF(BD17=0,"N/A",BC17/BD17-1)</f>
        <v>N/A</v>
      </c>
      <c r="BF17" s="50">
        <f>IF(MAX(U17,AE17,AM17,AU17,BC17)*($Q17+MAX(BI5))-AZ17+BC17&lt;=0,0,ROUNDUP(MAX(MAX(U17,AE17,AM17,AU17,BC17)*($Q17+MAX(BI5))-AZ17+BC17,,$L17)/$M17,0)*$M17)</f>
        <v>42000</v>
      </c>
      <c r="BG17" s="97">
        <v>102000</v>
      </c>
      <c r="BH17" s="46" t="s">
        <v>134</v>
      </c>
      <c r="BI17" s="50">
        <v>0</v>
      </c>
      <c r="BJ17" s="52" t="str">
        <f>IF(BI17=0,"N/A",BG17/BI17-1)</f>
        <v>N/A</v>
      </c>
      <c r="BK17" s="50">
        <f>AZ17+BG17-BC17</f>
        <v>65194.547999999995</v>
      </c>
      <c r="BL17" s="52" t="e">
        <f>BK17/BN17</f>
        <v>#DIV/0!</v>
      </c>
      <c r="BM17" s="48" t="e">
        <f>IF(BL17&lt;$Q17,"X",(IF($P17&lt;BL17,"+","")))</f>
        <v>#DIV/0!</v>
      </c>
      <c r="BN17" s="54">
        <v>0</v>
      </c>
    </row>
    <row r="18" spans="1:66" ht="14.4">
      <c r="A18" s="17">
        <v>4</v>
      </c>
      <c r="B18" s="18" t="s">
        <v>130</v>
      </c>
      <c r="C18" s="18" t="s">
        <v>63</v>
      </c>
      <c r="D18" s="18" t="s">
        <v>88</v>
      </c>
      <c r="E18" s="10" t="s">
        <v>131</v>
      </c>
      <c r="F18" s="10" t="s">
        <v>132</v>
      </c>
      <c r="G18" s="10" t="s">
        <v>71</v>
      </c>
      <c r="H18" s="10" t="s">
        <v>121</v>
      </c>
      <c r="I18" s="10"/>
      <c r="J18" s="10" t="s">
        <v>133</v>
      </c>
      <c r="K18" s="11">
        <v>1000</v>
      </c>
      <c r="L18" s="14">
        <v>20</v>
      </c>
      <c r="M18" s="14">
        <v>20</v>
      </c>
      <c r="N18" s="35">
        <v>0.1</v>
      </c>
      <c r="O18" s="12" t="s">
        <v>24</v>
      </c>
      <c r="P18" s="35">
        <v>1</v>
      </c>
      <c r="Q18" s="35">
        <v>0.25</v>
      </c>
      <c r="R18" s="14">
        <f>0/IF(K18=0,1,K18)</f>
        <v>0</v>
      </c>
      <c r="S18" s="14">
        <f>0/IF(K18=0,1,K18)</f>
        <v>0</v>
      </c>
      <c r="T18" s="14">
        <f>0/IF(K18=0,1,K18)</f>
        <v>0</v>
      </c>
      <c r="U18" s="14">
        <f>25968.18/IF(K18=0,1,K18)</f>
        <v>25.96818</v>
      </c>
      <c r="V18" s="14">
        <v>0</v>
      </c>
      <c r="W18" s="52" t="str">
        <f>IF(V18=0,"N/A",U18/V18-1)</f>
        <v>N/A</v>
      </c>
      <c r="X18" s="14">
        <v>25.96818</v>
      </c>
      <c r="Y18" s="14">
        <v>0</v>
      </c>
      <c r="Z18" s="14">
        <v>0</v>
      </c>
      <c r="AA18" s="14">
        <v>0</v>
      </c>
      <c r="AB18" s="49">
        <f>R18+S18+T18+Z18+AA18-X18</f>
        <v>-25.96818</v>
      </c>
      <c r="AC18" s="52">
        <f>AB18/AE18</f>
        <v>-1.1743062594639009</v>
      </c>
      <c r="AD18" s="47" t="str">
        <f>IF(AC18&lt;$Q18,"X",(IF($P18&lt;AC18,"+","")))</f>
        <v>X</v>
      </c>
      <c r="AE18" s="14">
        <f>22113.635/IF(K18=0,1,K18)</f>
        <v>22.113634999999999</v>
      </c>
      <c r="AF18" s="14">
        <v>0</v>
      </c>
      <c r="AG18" s="52" t="str">
        <f>IF(AF18=0,"N/A",AE18/AF18-1)</f>
        <v>N/A</v>
      </c>
      <c r="AH18" s="14">
        <v>0</v>
      </c>
      <c r="AI18" s="14">
        <v>0</v>
      </c>
      <c r="AJ18" s="49">
        <f>AB18+AI18-AE18</f>
        <v>-48.081814999999999</v>
      </c>
      <c r="AK18" s="52" t="e">
        <f>AJ18/AM18</f>
        <v>#DIV/0!</v>
      </c>
      <c r="AL18" s="47" t="e">
        <f>IF(AK18&lt;$Q18,"X",(IF($P18&lt;AK18,"+","")))</f>
        <v>#DIV/0!</v>
      </c>
      <c r="AM18" s="14">
        <f>0/IF(K18=0,1,K18)</f>
        <v>0</v>
      </c>
      <c r="AN18" s="14">
        <v>0</v>
      </c>
      <c r="AO18" s="52" t="str">
        <f>IF(AN18=0,"N/A",AM18/AN18-1)</f>
        <v>N/A</v>
      </c>
      <c r="AP18" s="14">
        <v>0</v>
      </c>
      <c r="AQ18" s="14">
        <v>0</v>
      </c>
      <c r="AR18" s="49">
        <f>AJ18+AQ18-AM18</f>
        <v>-48.081814999999999</v>
      </c>
      <c r="AS18" s="52" t="e">
        <f>AR18/AU18</f>
        <v>#DIV/0!</v>
      </c>
      <c r="AT18" s="47" t="e">
        <f>IF(AS18&lt;$Q18,"X",(IF($P18&lt;AS18,"+","")))</f>
        <v>#DIV/0!</v>
      </c>
      <c r="AU18" s="14">
        <f>0/IF(K18=0,1,K18)</f>
        <v>0</v>
      </c>
      <c r="AV18" s="14">
        <v>0</v>
      </c>
      <c r="AW18" s="52" t="str">
        <f>IF(AV18=0,"N/A",AU18/AV18-1)</f>
        <v>N/A</v>
      </c>
      <c r="AX18" s="14">
        <v>0</v>
      </c>
      <c r="AY18" s="14">
        <v>0</v>
      </c>
      <c r="AZ18" s="49">
        <f>AR18+AY18-AU18</f>
        <v>-48.081814999999999</v>
      </c>
      <c r="BA18" s="52" t="e">
        <f>AZ18/BC18</f>
        <v>#DIV/0!</v>
      </c>
      <c r="BB18" s="47" t="e">
        <f>IF(BA18&lt;$Q18,"X",(IF($P18&lt;BA18,"+","")))</f>
        <v>#DIV/0!</v>
      </c>
      <c r="BC18" s="14">
        <f>0/IF(K18=0,1,K18)</f>
        <v>0</v>
      </c>
      <c r="BD18" s="14">
        <v>0</v>
      </c>
      <c r="BE18" s="52" t="str">
        <f>IF(BD18=0,"N/A",BC18/BD18-1)</f>
        <v>N/A</v>
      </c>
      <c r="BF18" s="49">
        <f>IF(MAX(U18,AE18,AM18,AU18,BC18)*($Q18+MAX(BI5))-AZ18+BC18&lt;=0,0,ROUNDUP(MAX(MAX(U18,AE18,AM18,AU18,BC18)*($Q18+MAX(BI5))-AZ18+BC18,,$L18)/$M18,0)*$M18)</f>
        <v>60</v>
      </c>
      <c r="BG18" s="97">
        <v>140</v>
      </c>
      <c r="BH18" s="46" t="s">
        <v>134</v>
      </c>
      <c r="BI18" s="49">
        <v>0</v>
      </c>
      <c r="BJ18" s="52" t="str">
        <f>IF(BI18=0,"N/A",BG18/BI18-1)</f>
        <v>N/A</v>
      </c>
      <c r="BK18" s="49">
        <f>AZ18+BG18-BC18</f>
        <v>91.918184999999994</v>
      </c>
      <c r="BL18" s="52" t="e">
        <f>BK18/BN18</f>
        <v>#DIV/0!</v>
      </c>
      <c r="BM18" s="48" t="e">
        <f>IF(BL18&lt;$Q18,"X",(IF($P18&lt;BL18,"+","")))</f>
        <v>#DIV/0!</v>
      </c>
      <c r="BN18" s="53">
        <v>0</v>
      </c>
    </row>
  </sheetData>
  <sheetProtection password="CCBA" sheet="1" objects="1" scenarios="1" formatCells="0" formatColumns="0" formatRows="0" insertColumns="0" insertRows="0" deleteColumns="0" deleteRows="0" autoFilter="0"/>
  <mergeCells count="53">
    <mergeCell ref="AU12:BB12"/>
    <mergeCell ref="AU13:AW13"/>
    <mergeCell ref="AX13:AY13"/>
    <mergeCell ref="AZ13:BB13"/>
    <mergeCell ref="BC12:BM12"/>
    <mergeCell ref="BC13:BE13"/>
    <mergeCell ref="BF13:BJ13"/>
    <mergeCell ref="BK13:BM13"/>
    <mergeCell ref="AE12:AL12"/>
    <mergeCell ref="AE13:AG13"/>
    <mergeCell ref="AH13:AI13"/>
    <mergeCell ref="AJ13:AL13"/>
    <mergeCell ref="AM12:AT12"/>
    <mergeCell ref="AM13:AO13"/>
    <mergeCell ref="AP13:AQ13"/>
    <mergeCell ref="AR13:AT13"/>
    <mergeCell ref="P12:Q12"/>
    <mergeCell ref="R12:T12"/>
    <mergeCell ref="U12:AD12"/>
    <mergeCell ref="U13:X13"/>
    <mergeCell ref="Y13:AA13"/>
    <mergeCell ref="AB13:AD13"/>
    <mergeCell ref="P13:P14"/>
    <mergeCell ref="Q13:Q14"/>
    <mergeCell ref="R13:R14"/>
    <mergeCell ref="S13:S14"/>
    <mergeCell ref="T13:T14"/>
    <mergeCell ref="BG2:BI2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  <mergeCell ref="A7:B7"/>
    <mergeCell ref="A8:B8"/>
    <mergeCell ref="A9:B9"/>
    <mergeCell ref="A10:B10"/>
    <mergeCell ref="F2:G2"/>
    <mergeCell ref="F3:G3"/>
    <mergeCell ref="F4:G4"/>
    <mergeCell ref="A5:B5"/>
    <mergeCell ref="A4:B4"/>
    <mergeCell ref="A6:B6"/>
  </mergeCells>
  <phoneticPr fontId="1" type="noConversion"/>
  <conditionalFormatting sqref="W15:W18">
    <cfRule type="expression" dxfId="18" priority="1">
      <formula>ABS(W15)&gt;$N15</formula>
    </cfRule>
  </conditionalFormatting>
  <conditionalFormatting sqref="AD15:AD18">
    <cfRule type="cellIs" dxfId="17" priority="2" operator="equal">
      <formula>"+"</formula>
    </cfRule>
    <cfRule type="cellIs" dxfId="16" priority="3" operator="equal">
      <formula>"X"</formula>
    </cfRule>
  </conditionalFormatting>
  <conditionalFormatting sqref="AG15:AG18">
    <cfRule type="expression" dxfId="15" priority="4">
      <formula>ABS(AG15)&gt;$N15</formula>
    </cfRule>
  </conditionalFormatting>
  <conditionalFormatting sqref="AL15:AL18">
    <cfRule type="cellIs" dxfId="14" priority="5" operator="equal">
      <formula>"+"</formula>
    </cfRule>
    <cfRule type="cellIs" dxfId="13" priority="6" operator="equal">
      <formula>"X"</formula>
    </cfRule>
  </conditionalFormatting>
  <conditionalFormatting sqref="AO15:AO18">
    <cfRule type="expression" dxfId="12" priority="7">
      <formula>ABS(AO15)&gt;$N15</formula>
    </cfRule>
  </conditionalFormatting>
  <conditionalFormatting sqref="AT15:AT18">
    <cfRule type="cellIs" dxfId="11" priority="8" operator="equal">
      <formula>"+"</formula>
    </cfRule>
    <cfRule type="cellIs" dxfId="10" priority="9" operator="equal">
      <formula>"X"</formula>
    </cfRule>
  </conditionalFormatting>
  <conditionalFormatting sqref="AW15:AW18">
    <cfRule type="expression" dxfId="9" priority="10">
      <formula>ABS(AW15)&gt;$N15</formula>
    </cfRule>
  </conditionalFormatting>
  <conditionalFormatting sqref="BB15:BB18">
    <cfRule type="cellIs" dxfId="8" priority="11" operator="equal">
      <formula>"+"</formula>
    </cfRule>
    <cfRule type="cellIs" dxfId="7" priority="12" operator="equal">
      <formula>"X"</formula>
    </cfRule>
  </conditionalFormatting>
  <conditionalFormatting sqref="BE15:BE18">
    <cfRule type="expression" dxfId="6" priority="13">
      <formula>ABS(BE15)&gt;$N15</formula>
    </cfRule>
  </conditionalFormatting>
  <conditionalFormatting sqref="BG15:BG18">
    <cfRule type="expression" dxfId="5" priority="14">
      <formula>IF(ISERROR(BF15),"#DIV/0!",BF15)&lt;&gt;IF(ISERROR(BG15),"#DIV/0!",BG15)</formula>
    </cfRule>
  </conditionalFormatting>
  <conditionalFormatting sqref="BJ15:BJ18">
    <cfRule type="expression" dxfId="4" priority="15">
      <formula>ABS(BJ15)&gt;$N15</formula>
    </cfRule>
  </conditionalFormatting>
  <conditionalFormatting sqref="BM15:BM18">
    <cfRule type="cellIs" dxfId="3" priority="16" operator="equal">
      <formula>"+"</formula>
    </cfRule>
    <cfRule type="cellIs" dxfId="2" priority="17" operator="equal">
      <formula>"X"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B68BB-1571-4DD0-A203-D7DE92C7D78A}">
  <sheetPr codeName="Sheet4"/>
  <dimension ref="A1:D13"/>
  <sheetViews>
    <sheetView showGridLines="0" zoomScale="85" zoomScaleNormal="85" workbookViewId="0">
      <selection activeCell="B10" sqref="B10"/>
    </sheetView>
  </sheetViews>
  <sheetFormatPr defaultColWidth="8.88671875" defaultRowHeight="13.2"/>
  <cols>
    <col min="1" max="3" width="18.77734375" style="26" customWidth="1" collapsed="1"/>
    <col min="4" max="4" width="18.77734375" style="26" hidden="1" customWidth="1" collapsed="1"/>
    <col min="5" max="5" width="18.77734375" style="26" customWidth="1" collapsed="1"/>
    <col min="6" max="6" width="19.109375" style="26" customWidth="1" collapsed="1"/>
    <col min="7" max="16384" width="8.88671875" style="26" collapsed="1"/>
  </cols>
  <sheetData>
    <row r="1" spans="1:4">
      <c r="A1" s="25" t="s">
        <v>13</v>
      </c>
    </row>
    <row r="2" spans="1:4" ht="13.2" customHeight="1">
      <c r="A2" s="25"/>
    </row>
    <row r="3" spans="1:4" ht="13.2" customHeight="1">
      <c r="A3" s="27" t="s">
        <v>14</v>
      </c>
    </row>
    <row r="4" spans="1:4" ht="15" customHeight="1">
      <c r="A4" s="26" t="s">
        <v>15</v>
      </c>
    </row>
    <row r="5" spans="1:4" ht="13.2" customHeight="1"/>
    <row r="6" spans="1:4">
      <c r="A6" s="25" t="s">
        <v>16</v>
      </c>
      <c r="C6" s="32"/>
    </row>
    <row r="7" spans="1:4">
      <c r="A7" s="25" t="s">
        <v>17</v>
      </c>
      <c r="C7" s="33"/>
    </row>
    <row r="8" spans="1:4">
      <c r="C8" s="25"/>
    </row>
    <row r="9" spans="1:4" ht="15" customHeight="1"/>
    <row r="10" spans="1:4">
      <c r="A10" s="25"/>
      <c r="B10" s="29" t="s">
        <v>18</v>
      </c>
    </row>
    <row r="11" spans="1:4">
      <c r="A11" s="28" t="s">
        <v>19</v>
      </c>
      <c r="B11" s="29" t="s">
        <v>81</v>
      </c>
    </row>
    <row r="12" spans="1:4" ht="14.4">
      <c r="A12" s="30" t="s">
        <v>121</v>
      </c>
      <c r="B12" s="31">
        <v>0</v>
      </c>
      <c r="D12">
        <v>0</v>
      </c>
    </row>
    <row r="13" spans="1:4" ht="14.4">
      <c r="A13" s="30" t="s">
        <v>91</v>
      </c>
      <c r="B13" s="31">
        <v>0</v>
      </c>
      <c r="D13">
        <v>0</v>
      </c>
    </row>
  </sheetData>
  <sheetProtection password="CCBA" sheet="1" objects="1" scenarios="1" formatCells="0" formatColumns="0" formatRows="0" insertColumns="0" insertRows="0" deleteColumns="0" deleteRows="0" autoFilter="0"/>
  <phoneticPr fontId="1" type="noConversion"/>
  <conditionalFormatting sqref="B12:B13">
    <cfRule type="cellIs" dxfId="1" priority="1" operator="greaterThanOrEqual">
      <formula>$C$7</formula>
    </cfRule>
    <cfRule type="expression" dxfId="0" priority="2">
      <formula>C12:C13&gt;=$C$6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202312</vt:lpstr>
      <vt:lpstr>202401</vt:lpstr>
      <vt:lpstr>202402</vt:lpstr>
      <vt:lpstr>Supplier Non-working 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刘银传</dc:creator>
  <cp:lastModifiedBy>Muhammad Syazwan Rusdi</cp:lastModifiedBy>
  <dcterms:created xsi:type="dcterms:W3CDTF">2006-09-16T00:00:00Z</dcterms:created>
  <dcterms:modified xsi:type="dcterms:W3CDTF">2023-10-05T02:27:18Z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24e5d751-b543-4c72-98b2-cfaf856549ce</vt:lpwstr>
  </property>
</Properties>
</file>