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B0C9550F-DE41-42EB-BFED-2F6313FCE964}" xr6:coauthVersionLast="47" xr6:coauthVersionMax="47" xr10:uidLastSave="{00000000-0000-0000-0000-000000000000}"/>
  <bookViews>
    <workbookView xWindow="-23148" yWindow="-108" windowWidth="23256" windowHeight="12456" tabRatio="618" firstSheet="65" activeTab="68" xr2:uid="{00000000-000D-0000-FFFF-FFFF00000000}"/>
  </bookViews>
  <sheets>
    <sheet name="Indicator" sheetId="66" r:id="rId1"/>
    <sheet name="AutoGen" sheetId="67" r:id="rId2"/>
    <sheet name="AutoIncrement" sheetId="14" r:id="rId3"/>
    <sheet name="TC03-Company" sheetId="72" r:id="rId4"/>
    <sheet name="TC04-Customer" sheetId="71" r:id="rId5"/>
    <sheet name="TC05-BU" sheetId="73" r:id="rId6"/>
    <sheet name="TC06-Supplier" sheetId="74" r:id="rId7"/>
    <sheet name="TC07-DC" sheetId="75" r:id="rId8"/>
    <sheet name="TC09-Create New User" sheetId="18" r:id="rId9"/>
    <sheet name="TC14n15" sheetId="65" r:id="rId10"/>
    <sheet name="TC019-Activate User" sheetId="61" r:id="rId11"/>
    <sheet name="TC021-Forget Password" sheetId="59" r:id="rId12"/>
    <sheet name="TC033" sheetId="19" r:id="rId13"/>
    <sheet name="TC033_ETAnWeek" sheetId="20" r:id="rId14"/>
    <sheet name="TC34" sheetId="9" r:id="rId15"/>
    <sheet name="TC35-Contract Parts Info" sheetId="6" r:id="rId16"/>
    <sheet name="TC35" sheetId="3" r:id="rId17"/>
    <sheet name="TC038" sheetId="21" r:id="rId18"/>
    <sheet name="TC039" sheetId="23" r:id="rId19"/>
    <sheet name="S13_TC40" sheetId="44" r:id="rId20"/>
    <sheet name="TC041 - Place Order (Regular)" sheetId="2" r:id="rId21"/>
    <sheet name="TC041-Inbound Date" sheetId="13" r:id="rId22"/>
    <sheet name="TC041-Reference" sheetId="68" r:id="rId23"/>
    <sheet name="TC42" sheetId="4" r:id="rId24"/>
    <sheet name="TC44" sheetId="5" r:id="rId25"/>
    <sheet name="TC46-Price" sheetId="69" r:id="rId26"/>
    <sheet name="TC47-Change Order" sheetId="7" r:id="rId27"/>
    <sheet name="TC47-Change Inbound Dates" sheetId="8" r:id="rId28"/>
    <sheet name="TC48" sheetId="10" r:id="rId29"/>
    <sheet name="TC049" sheetId="24" r:id="rId30"/>
    <sheet name="TC050" sheetId="25" r:id="rId31"/>
    <sheet name="TC051" sheetId="70" r:id="rId32"/>
    <sheet name="TC52-Download Obound Form" sheetId="11" r:id="rId33"/>
    <sheet name="TC52-Upload Obound Form" sheetId="12" r:id="rId34"/>
    <sheet name="TC52-Upload Obound Setup" sheetId="17" r:id="rId35"/>
    <sheet name="TC52-Autogen Outbound Data" sheetId="57" r:id="rId36"/>
    <sheet name="TC053" sheetId="26" r:id="rId37"/>
    <sheet name="TC054" sheetId="27" r:id="rId38"/>
    <sheet name="TC55" sheetId="22" r:id="rId39"/>
    <sheet name="TC56-Custom Invoice Exp" sheetId="15" r:id="rId40"/>
    <sheet name="TC57-Custom Invoice Imp" sheetId="16" r:id="rId41"/>
    <sheet name="TC58n59" sheetId="28" r:id="rId42"/>
    <sheet name="TC62" sheetId="51" r:id="rId43"/>
    <sheet name="TC62-Setup Data" sheetId="55" r:id="rId44"/>
    <sheet name="TC063" sheetId="29" r:id="rId45"/>
    <sheet name="TC64n65_ForecastContainer" sheetId="37" r:id="rId46"/>
    <sheet name="TC64n65_ForecastContainer-Manua" sheetId="47" r:id="rId47"/>
    <sheet name="TC64n65_NonFContainer" sheetId="38" r:id="rId48"/>
    <sheet name="TC067" sheetId="30" r:id="rId49"/>
    <sheet name="TC068" sheetId="31" r:id="rId50"/>
    <sheet name="TC069" sheetId="52" r:id="rId51"/>
    <sheet name="TC070" sheetId="54" r:id="rId52"/>
    <sheet name="TC072" sheetId="45" r:id="rId53"/>
    <sheet name="TC073n074_ForecastContainer" sheetId="32" r:id="rId54"/>
    <sheet name="TC073n074_Forecast-Manual" sheetId="48" r:id="rId55"/>
    <sheet name="TC073n074_NonFContainer" sheetId="39" r:id="rId56"/>
    <sheet name="TC075" sheetId="46" r:id="rId57"/>
    <sheet name="TC076n077_ForecastContainer" sheetId="40" r:id="rId58"/>
    <sheet name="TC076n077_Forecast-Manaul" sheetId="49" r:id="rId59"/>
    <sheet name="TC076n077_NonFContainer" sheetId="41" r:id="rId60"/>
    <sheet name="TC078" sheetId="58" r:id="rId61"/>
    <sheet name="TC079" sheetId="34" r:id="rId62"/>
    <sheet name="TC080" sheetId="35" r:id="rId63"/>
    <sheet name="TC82-New Buyer GR Invoice" sheetId="64" r:id="rId64"/>
    <sheet name="TC83-Inbound Shipping Details" sheetId="56" r:id="rId65"/>
    <sheet name="TC084n085_ForecastContainer" sheetId="42" r:id="rId66"/>
    <sheet name="TC084n085_Forecast-Manual" sheetId="50" r:id="rId67"/>
    <sheet name="TC084n085_NonFContainer" sheetId="43" r:id="rId68"/>
    <sheet name="TC086" sheetId="62" r:id="rId69"/>
  </sheets>
  <definedNames>
    <definedName name="ACTIVE_FLAG">#REF!</definedName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tiemzone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2" i="12"/>
  <c r="B2" i="17"/>
  <c r="N3" i="35"/>
  <c r="N4" i="35"/>
  <c r="N2" i="35"/>
  <c r="O3" i="34"/>
  <c r="O4" i="34"/>
  <c r="O2" i="34"/>
  <c r="O3" i="31"/>
  <c r="O4" i="31"/>
  <c r="O2" i="31"/>
  <c r="N3" i="30"/>
  <c r="N4" i="30"/>
  <c r="N2" i="30"/>
  <c r="O3" i="27"/>
  <c r="O4" i="27"/>
  <c r="O2" i="27"/>
  <c r="N3" i="26"/>
  <c r="N4" i="26"/>
  <c r="N2" i="26"/>
  <c r="N3" i="25"/>
  <c r="N4" i="25"/>
  <c r="N2" i="25"/>
  <c r="O3" i="24"/>
  <c r="O4" i="24"/>
  <c r="O2" i="24"/>
  <c r="G2" i="37"/>
  <c r="F2" i="37"/>
  <c r="C2" i="65"/>
  <c r="B2" i="65"/>
  <c r="A2" i="65"/>
  <c r="F2" i="18"/>
  <c r="E2" i="18"/>
  <c r="D2" i="18"/>
  <c r="E2" i="75"/>
  <c r="D2" i="75"/>
  <c r="C2" i="75"/>
  <c r="B2" i="75"/>
  <c r="A2" i="75"/>
  <c r="D2" i="74"/>
  <c r="C2" i="74"/>
  <c r="B2" i="74"/>
  <c r="A2" i="74"/>
  <c r="D2" i="71"/>
  <c r="D2" i="73"/>
  <c r="C2" i="73"/>
  <c r="B2" i="73"/>
  <c r="A2" i="73"/>
  <c r="C2" i="71"/>
  <c r="B2" i="71"/>
  <c r="A2" i="71"/>
  <c r="R2" i="72"/>
  <c r="Q2" i="72"/>
  <c r="P2" i="72"/>
  <c r="E2" i="72"/>
  <c r="D2" i="72"/>
  <c r="A2" i="72"/>
  <c r="C2" i="72" s="1"/>
  <c r="O2" i="72"/>
  <c r="C2" i="17" l="1"/>
  <c r="A3" i="70"/>
  <c r="A2" i="70"/>
  <c r="A5" i="70"/>
  <c r="A4" i="70"/>
  <c r="B4" i="70"/>
  <c r="B5" i="70"/>
  <c r="B3" i="70"/>
  <c r="B2" i="70"/>
  <c r="F4" i="25"/>
  <c r="F3" i="25"/>
  <c r="F2" i="25"/>
  <c r="B4" i="7"/>
  <c r="B3" i="7"/>
  <c r="B2" i="7"/>
  <c r="B4" i="21"/>
  <c r="B3" i="21"/>
  <c r="B2" i="21"/>
  <c r="C2" i="8"/>
  <c r="B2" i="8"/>
  <c r="F2" i="8"/>
  <c r="D2" i="8" l="1"/>
  <c r="A4" i="69"/>
  <c r="A3" i="69"/>
  <c r="A2" i="69"/>
  <c r="B2" i="13" l="1"/>
  <c r="C2" i="13"/>
  <c r="A2" i="68"/>
  <c r="B2" i="9" l="1"/>
  <c r="M2" i="3" l="1"/>
  <c r="A2" i="19"/>
  <c r="D4" i="6"/>
  <c r="D3" i="6"/>
  <c r="D2" i="6"/>
  <c r="C4" i="6"/>
  <c r="C3" i="6"/>
  <c r="C2" i="6"/>
  <c r="B4" i="6"/>
  <c r="B3" i="6"/>
  <c r="B2" i="6"/>
  <c r="A4" i="21"/>
  <c r="A2" i="21"/>
  <c r="A3" i="21"/>
  <c r="K2" i="3"/>
  <c r="D2" i="65" l="1"/>
  <c r="G3" i="58"/>
  <c r="G4" i="58"/>
  <c r="G2" i="58"/>
  <c r="F3" i="58"/>
  <c r="F4" i="58"/>
  <c r="F2" i="58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C3" i="62"/>
  <c r="C2" i="62"/>
  <c r="D4" i="23" l="1"/>
  <c r="D3" i="23"/>
  <c r="J2" i="30"/>
  <c r="J2" i="25"/>
  <c r="D2" i="23"/>
  <c r="J3" i="26"/>
  <c r="D2" i="44"/>
  <c r="B2" i="11"/>
  <c r="J4" i="26"/>
  <c r="G3" i="23"/>
  <c r="G4" i="23"/>
  <c r="J4" i="35"/>
  <c r="J3" i="35"/>
  <c r="J2" i="26"/>
  <c r="C2" i="11"/>
  <c r="G2" i="23"/>
  <c r="T2" i="3"/>
  <c r="J2" i="35"/>
  <c r="J4" i="25"/>
  <c r="J3" i="30"/>
  <c r="J3" i="25"/>
  <c r="J2" i="19"/>
  <c r="J4" i="30"/>
  <c r="P2" i="3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2" i="24"/>
  <c r="F3" i="24"/>
  <c r="F4" i="24"/>
  <c r="C3" i="23"/>
  <c r="C4" i="23"/>
  <c r="C2" i="23"/>
  <c r="C2" i="21"/>
  <c r="C3" i="21"/>
  <c r="C4" i="21"/>
  <c r="B2" i="38"/>
  <c r="B2" i="37"/>
  <c r="B3" i="28"/>
  <c r="I4" i="26"/>
  <c r="I3" i="26"/>
  <c r="I2" i="26"/>
  <c r="I2" i="25"/>
  <c r="C2" i="3"/>
  <c r="E2" i="21" s="1"/>
  <c r="O2" i="20"/>
  <c r="X2" i="19"/>
  <c r="O2" i="19"/>
  <c r="B3" i="23"/>
  <c r="B4" i="23"/>
  <c r="B2" i="23"/>
  <c r="B2" i="16"/>
  <c r="E4" i="12"/>
  <c r="E3" i="12"/>
  <c r="E2" i="12"/>
  <c r="C3" i="58"/>
  <c r="G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<sst xmlns="http://schemas.openxmlformats.org/spreadsheetml/2006/main" count="1395" uniqueCount="348">
  <si>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</si>
  <si>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</si>
  <si>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</si>
  <si>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</si>
  <si>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</si>
  <si>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</si>
  <si>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</si>
  <si>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</si>
  <si>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</si>
  <si>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</si>
  <si>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</si>
  <si>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</si>
  <si>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</si>
  <si>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</si>
  <si>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</si>
  <si>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</si>
  <si>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</si>
  <si>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</si>
  <si>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</si>
  <si>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</si>
  <si>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</si>
  <si>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</si>
  <si>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</si>
  <si>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</si>
  <si>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</si>
  <si>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</si>
  <si>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</si>
  <si>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</si>
  <si>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</si>
  <si>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</si>
  <si>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</si>
  <si>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</si>
  <si>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</si>
  <si>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</si>
  <si>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</si>
  <si>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</si>
  <si>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</si>
  <si>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</si>
  <si>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</si>
  <si>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</si>
  <si>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</si>
  <si>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</si>
  <si>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</si>
  <si>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</si>
  <si>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</si>
  <si>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</si>
  <si>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</si>
  <si>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</si>
  <si>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</si>
  <si>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</si>
  <si>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</si>
  <si>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</si>
  <si>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</si>
  <si>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</si>
  <si>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</si>
  <si>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</si>
  <si>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</si>
  <si>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</si>
  <si>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</si>
  <si>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</si>
  <si>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</si>
  <si>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</si>
  <si>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</si>
  <si>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</si>
  <si>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</si>
  <si>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</si>
  <si>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</si>
  <si>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</si>
  <si>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</si>
  <si>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</si>
  <si>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</si>
  <si>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</si>
  <si>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</si>
  <si>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</si>
  <si>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</si>
  <si>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</si>
  <si>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</si>
  <si>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</si>
  <si>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</si>
  <si>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</si>
  <si>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</si>
  <si>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</si>
  <si>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</si>
  <si>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</si>
  <si>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</si>
  <si>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</si>
  <si>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</si>
  <si>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</si>
  <si>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</si>
  <si>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</si>
  <si>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</si>
  <si>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</si>
  <si>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</si>
  <si>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</si>
  <si>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</si>
  <si>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</si>
  <si>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</si>
  <si>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</si>
  <si>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</si>
  <si>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</si>
  <si>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</si>
  <si>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</si>
  <si>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</si>
  <si>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</si>
  <si>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</si>
  <si>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</si>
  <si>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</si>
  <si>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</si>
  <si>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</si>
  <si>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</si>
  <si>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</si>
  <si>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</si>
  <si>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</si>
  <si>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</si>
  <si>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</si>
  <si>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</si>
  <si>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</si>
  <si>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</si>
  <si>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</si>
  <si>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</si>
  <si>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</si>
  <si>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</si>
  <si>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</si>
  <si>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</si>
  <si>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</si>
  <si>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</si>
  <si>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</si>
  <si>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</si>
  <si>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</si>
  <si>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</si>
  <si>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</si>
  <si>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</si>
  <si>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</si>
  <si>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</si>
  <si>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</si>
  <si>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</si>
  <si>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</si>
  <si>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</si>
  <si>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</si>
  <si>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</si>
  <si>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</si>
  <si>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</si>
  <si>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</si>
  <si>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</si>
  <si>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</si>
  <si>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</si>
  <si>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</si>
  <si>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</si>
  <si>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</si>
  <si>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</si>
  <si>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</si>
  <si>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</si>
  <si>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</si>
  <si>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</si>
  <si>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</si>
  <si>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</si>
  <si>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</si>
  <si>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</si>
  <si>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</si>
  <si>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</si>
  <si>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</si>
  <si>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</si>
  <si>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</si>
  <si>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</si>
  <si>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</si>
  <si>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</si>
  <si>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</si>
  <si>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</si>
  <si>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</si>
  <si>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</si>
  <si>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</si>
  <si>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</si>
  <si>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</si>
  <si>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</si>
  <si>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</si>
  <si>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</si>
  <si>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</si>
  <si>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</si>
  <si>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</si>
  <si>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</si>
  <si>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</si>
  <si>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</si>
  <si>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</si>
  <si>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</si>
  <si>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</si>
  <si>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</si>
  <si>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</si>
  <si>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</si>
  <si>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</si>
  <si>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</si>
  <si>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</si>
  <si>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</si>
  <si>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</si>
  <si>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</si>
  <si>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</si>
  <si>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</si>
  <si>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</si>
  <si>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</si>
  <si>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</si>
  <si>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</si>
  <si>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</si>
  <si>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</si>
  <si>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</si>
  <si>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</si>
  <si>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</si>
  <si>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</si>
  <si>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</si>
  <si>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</si>
  <si>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</si>
  <si>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</si>
  <si>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</si>
  <si>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</si>
  <si>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</si>
  <si>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</si>
  <si>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</si>
  <si>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</si>
  <si>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</si>
  <si>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</si>
  <si>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</si>
  <si>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</si>
  <si>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</si>
  <si>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</si>
  <si>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</si>
  <si>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</si>
  <si>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</si>
  <si>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</si>
  <si>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</si>
  <si>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</si>
  <si>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</si>
  <si>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</si>
  <si>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</si>
  <si>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</si>
  <si>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</si>
  <si>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</si>
  <si>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</si>
  <si>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</si>
  <si>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</si>
  <si>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</si>
  <si>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</si>
  <si>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</si>
  <si>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</si>
  <si>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</si>
  <si>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</si>
  <si>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</si>
  <si>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</si>
  <si>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</si>
  <si>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</si>
  <si>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</si>
  <si>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</si>
  <si>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</si>
  <si>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</si>
  <si>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</si>
  <si>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</si>
  <si>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</si>
  <si>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</si>
  <si>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</si>
  <si>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</si>
  <si>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</si>
  <si>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</si>
  <si>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</si>
  <si>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</si>
  <si>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</si>
  <si>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</si>
  <si>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</si>
  <si>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</si>
  <si>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</si>
  <si>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</si>
  <si>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</si>
  <si>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</si>
  <si>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</si>
  <si>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</si>
  <si>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</si>
  <si>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</si>
  <si>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</si>
  <si>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</si>
  <si>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</si>
  <si>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</si>
  <si>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</si>
  <si>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</si>
  <si>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pls arrange as desired scenario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</si>
  <si>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</si>
  <si>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</si>
  <si>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</si>
  <si>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</si>
  <si>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</si>
  <si>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</si>
  <si>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</si>
  <si>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</si>
  <si>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</si>
  <si>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</si>
  <si>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</si>
  <si>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</si>
  <si>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</si>
  <si>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</si>
  <si>
    <t>ContractRoute TC38</t>
  </si>
  <si>
    <t>orderReference</t>
  </si>
  <si>
    <t>GenerateSOID</t>
  </si>
  <si>
    <t>GenerateCOID</t>
  </si>
  <si>
    <t>cTBA-2311001</t>
  </si>
  <si>
    <t>sTBA-2311001</t>
  </si>
  <si>
    <t>Parts No.</t>
  </si>
  <si>
    <t>Part No</t>
  </si>
  <si>
    <t>OrderReference</t>
  </si>
  <si>
    <t>GenerateRequestNo</t>
  </si>
  <si>
    <t>rcTBA-2311001-01</t>
  </si>
  <si>
    <t>Estimate inbound qty 3</t>
  </si>
  <si>
    <t>Delivery Plan 1</t>
  </si>
  <si>
    <t>Delivery Plan 2</t>
  </si>
  <si>
    <t>Delivery Plan 3</t>
  </si>
  <si>
    <t>Receiver Requested Inbound Date</t>
  </si>
  <si>
    <t>o-CNTW-SUP-POC-231106001</t>
  </si>
  <si>
    <t>Nov 10, 2023</t>
  </si>
  <si>
    <t>Nov 20, 2023</t>
  </si>
  <si>
    <t>Planoutin plan 3</t>
  </si>
  <si>
    <t>Planoutin status 3</t>
  </si>
  <si>
    <t>TW12311003</t>
  </si>
  <si>
    <t>CompanyCode</t>
  </si>
  <si>
    <t>RegionCode</t>
  </si>
  <si>
    <t>FullCompanyCode</t>
  </si>
  <si>
    <t>CompanyName</t>
  </si>
  <si>
    <t>CompanyShortName</t>
  </si>
  <si>
    <t>CompanyAddress</t>
  </si>
  <si>
    <t>CompanyPostal</t>
  </si>
  <si>
    <t>Timezone</t>
  </si>
  <si>
    <t>TrackDetail</t>
  </si>
  <si>
    <t>CompContactName</t>
  </si>
  <si>
    <t>CompContactFax</t>
  </si>
  <si>
    <t>CompContactTel</t>
  </si>
  <si>
    <t>CompContactEmail</t>
  </si>
  <si>
    <t>CustomerCode</t>
  </si>
  <si>
    <t>BUCode</t>
  </si>
  <si>
    <t>SupplierCode</t>
  </si>
  <si>
    <t>DCCode</t>
  </si>
  <si>
    <t>Islamabad, Pakistan</t>
  </si>
  <si>
    <t>postal123</t>
    <phoneticPr fontId="0" type="noConversion"/>
  </si>
  <si>
    <t>(UTC+05:00) Islamabad, Karachi </t>
  </si>
  <si>
    <t>Contact 1</t>
    <phoneticPr fontId="0" type="noConversion"/>
  </si>
  <si>
    <t>1234</t>
  </si>
  <si>
    <t>5678</t>
  </si>
  <si>
    <t>df@smtchain.com</t>
  </si>
  <si>
    <t>Portcast</t>
  </si>
  <si>
    <t>last event</t>
  </si>
  <si>
    <t>last event date</t>
  </si>
  <si>
    <t>Empty container returned</t>
  </si>
  <si>
    <t>07 Jul 2023</t>
  </si>
  <si>
    <t>i-PK-CUS-POC-S13-5-231106001</t>
  </si>
  <si>
    <t>i-PK-CUS-POC-S13-5-231106002</t>
  </si>
  <si>
    <t>i-PK-CUS-POC-S13-5-231106003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</si>
</sst>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</cellStyleXfs>
  <cellXfs count="206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0" fillId="8" borderId="0" xfId="0" applyFill="1"/>
    <xf numFmtId="0" fontId="0" fillId="13" borderId="0" xfId="0" applyFill="1"/>
    <xf numFmtId="0" fontId="21" fillId="20" borderId="1" xfId="3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49" fontId="5" fillId="6" borderId="2" xfId="4" applyNumberFormat="1" applyFont="1" applyFill="1" applyBorder="1" applyAlignment="1">
      <alignment horizontal="left" wrapText="1"/>
    </xf>
    <xf numFmtId="0" fontId="5" fillId="6" borderId="36" xfId="4" applyFont="1" applyFill="1" applyBorder="1" applyAlignment="1">
      <alignment horizontal="left" wrapText="1"/>
    </xf>
    <xf numFmtId="0" fontId="0" fillId="0" borderId="1" xfId="0" applyBorder="1"/>
    <xf numFmtId="0" fontId="0" fillId="17" borderId="1" xfId="0" applyFill="1" applyBorder="1"/>
    <xf numFmtId="0" fontId="5" fillId="6" borderId="1" xfId="4" applyFont="1" applyFill="1" applyBorder="1" applyAlignment="1">
      <alignment horizontal="left" vertical="top" wrapText="1"/>
    </xf>
    <xf numFmtId="49" fontId="5" fillId="6" borderId="1" xfId="4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3" xfId="0" applyBorder="1"/>
    <xf numFmtId="0" fontId="0" fillId="17" borderId="0" xfId="0" applyFill="1" applyAlignment="1">
      <alignment vertical="top"/>
    </xf>
    <xf numFmtId="0" fontId="0" fillId="0" borderId="0" xfId="0" applyAlignment="1">
      <alignment horizontal="left" vertical="top"/>
    </xf>
    <xf numFmtId="49" fontId="5" fillId="6" borderId="36" xfId="4" applyNumberFormat="1" applyFont="1" applyFill="1" applyBorder="1" applyAlignment="1">
      <alignment horizontal="left" vertical="top" wrapText="1"/>
    </xf>
    <xf numFmtId="49" fontId="5" fillId="6" borderId="0" xfId="4" applyNumberFormat="1" applyFont="1" applyFill="1" applyAlignment="1">
      <alignment horizontal="left" vertical="top" wrapText="1"/>
    </xf>
    <xf numFmtId="49" fontId="5" fillId="0" borderId="0" xfId="4" applyNumberFormat="1" applyFont="1" applyAlignment="1">
      <alignment horizontal="center" vertical="top" wrapText="1"/>
    </xf>
    <xf numFmtId="49" fontId="5" fillId="0" borderId="0" xfId="4" applyNumberFormat="1" applyFont="1" applyAlignment="1">
      <alignment horizontal="left" wrapText="1"/>
    </xf>
    <xf numFmtId="0" fontId="9" fillId="9" borderId="11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4" fontId="2" fillId="19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 xr:uid="{E256C720-EDE8-4307-8576-810A551E1C62}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/>
    <row r="2" spans="2:4" ht="15" thickBot="1">
      <c r="B2" s="106" t="s">
        <v>0</v>
      </c>
      <c r="C2" s="109" t="s">
        <v>1</v>
      </c>
      <c r="D2" s="165" t="s">
        <v>2</v>
      </c>
    </row>
    <row r="3" spans="2:4">
      <c r="B3" s="107"/>
      <c r="C3" s="110" t="s">
        <v>3</v>
      </c>
      <c r="D3" s="164" t="s">
        <v>4</v>
      </c>
    </row>
    <row r="4" spans="2:4">
      <c r="B4" s="108"/>
      <c r="C4" s="111" t="s">
        <v>5</v>
      </c>
      <c r="D4" s="162" t="s">
        <v>6</v>
      </c>
    </row>
    <row r="5" spans="2:4">
      <c r="B5" s="159"/>
      <c r="C5" s="111" t="s">
        <v>7</v>
      </c>
      <c r="D5" s="162" t="s">
        <v>8</v>
      </c>
    </row>
    <row r="6" spans="2:4" ht="15" thickBot="1">
      <c r="B6" s="160"/>
      <c r="C6" s="161" t="s">
        <v>9</v>
      </c>
      <c r="D6" s="163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sqref="A1:D1"/>
    </sheetView>
  </sheetViews>
  <sheetFormatPr defaultRowHeight="14.4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>
      <c r="A1" s="198" t="s">
        <v>30</v>
      </c>
      <c r="B1" s="197" t="s">
        <v>31</v>
      </c>
      <c r="C1" s="199" t="s">
        <v>18</v>
      </c>
      <c r="D1" s="199" t="s">
        <v>17</v>
      </c>
    </row>
    <row r="2" spans="1:4" ht="15" thickBot="1">
      <c r="A2" s="20" t="str">
        <f>'TC06-Supplier'!$B$2</f>
        <v>PK-SUP-POC-5</v>
      </c>
      <c r="B2" s="21" t="str">
        <f>'TC05-BU'!$B$2</f>
        <v>PK-BU-POC-5</v>
      </c>
      <c r="C2" s="25" t="str">
        <f>'TC09-Create New User'!$E$2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>
      <c r="A1" s="112" t="str">
        <f>'TC09-Create New User'!A1</f>
        <v>LoginID</v>
      </c>
      <c r="B1" s="113" t="str">
        <f>'TC09-Create New User'!B1</f>
        <v>Username</v>
      </c>
      <c r="C1" s="113" t="str">
        <f>'TC09-Create New User'!C1</f>
        <v>Email</v>
      </c>
      <c r="D1" s="113" t="str">
        <f>'TC09-Create New User'!D1</f>
        <v>UserCompanyCode</v>
      </c>
      <c r="E1" s="113" t="str">
        <f>'TC09-Create New User'!E1</f>
        <v>UserCompanyName</v>
      </c>
      <c r="F1" s="113" t="str">
        <f>'TC09-Create New User'!F1</f>
        <v>DefaultCompany</v>
      </c>
      <c r="G1" s="113" t="str">
        <f>'TC09-Create New User'!G1</f>
        <v>UserRole</v>
      </c>
      <c r="H1" s="19" t="s">
        <v>21</v>
      </c>
    </row>
    <row r="2" spans="1:8" ht="15" thickBot="1">
      <c r="A2" s="30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1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>
      <c r="A1" s="112" t="s">
        <v>33</v>
      </c>
      <c r="B1" s="113" t="str">
        <f>'TC09-Create New User'!A1</f>
        <v>LoginID</v>
      </c>
      <c r="C1" s="113" t="str">
        <f>'TC09-Create New User'!B1</f>
        <v>Username</v>
      </c>
      <c r="D1" s="113" t="str">
        <f>'TC09-Create New User'!C1</f>
        <v>Email</v>
      </c>
      <c r="E1" s="113" t="str">
        <f>'TC09-Create New User'!D1</f>
        <v>UserCompanyCode</v>
      </c>
      <c r="F1" s="113" t="str">
        <f>'TC09-Create New User'!E1</f>
        <v>UserCompanyName</v>
      </c>
      <c r="G1" s="113" t="str">
        <f>'TC09-Create New User'!F1</f>
        <v>DefaultCompany</v>
      </c>
      <c r="H1" s="113" t="str">
        <f>'TC09-Create New User'!G1</f>
        <v>UserRole</v>
      </c>
      <c r="I1" s="115" t="str">
        <f>'TC09-Create New User'!H1</f>
        <v>BriVgeVerificationCode</v>
      </c>
      <c r="J1" s="113" t="str">
        <f>'TC09-Create New User'!I1</f>
        <v>BriVgeUserGenCode</v>
      </c>
      <c r="K1" s="43" t="s">
        <v>34</v>
      </c>
      <c r="L1" s="114" t="s">
        <v>35</v>
      </c>
    </row>
    <row r="2" spans="1:12" ht="29.4" thickBot="1">
      <c r="A2" s="30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2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D25" sqref="D25"/>
    </sheetView>
  </sheetViews>
  <sheetFormatPr defaultRowHeight="14.4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6" customFormat="1" ht="15" thickBot="1">
      <c r="A1" s="116" t="s">
        <v>39</v>
      </c>
      <c r="B1" s="90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117" t="s">
        <v>49</v>
      </c>
      <c r="L1" s="117" t="s">
        <v>50</v>
      </c>
      <c r="M1" s="117" t="s">
        <v>51</v>
      </c>
      <c r="N1" s="117" t="s">
        <v>52</v>
      </c>
      <c r="O1" s="118" t="s">
        <v>53</v>
      </c>
      <c r="P1" s="119" t="s">
        <v>54</v>
      </c>
      <c r="Q1" s="119" t="s">
        <v>55</v>
      </c>
      <c r="R1" s="119" t="s">
        <v>56</v>
      </c>
      <c r="S1" s="119" t="s">
        <v>57</v>
      </c>
      <c r="T1" s="119" t="s">
        <v>58</v>
      </c>
      <c r="U1" s="119" t="s">
        <v>59</v>
      </c>
      <c r="V1" s="119" t="s">
        <v>60</v>
      </c>
      <c r="W1" s="119" t="s">
        <v>61</v>
      </c>
      <c r="X1" s="120" t="s">
        <v>62</v>
      </c>
    </row>
    <row r="2" spans="1:24" s="26" customFormat="1" ht="15" thickBot="1">
      <c r="A2" s="36" t="str">
        <f>"CNTWSUP-PKCUS "&amp;AutoIncrement!C2</f>
        <v>CNTWSUP-PKCUS TBA</v>
      </c>
      <c r="B2" s="37" t="str">
        <f>A2</f>
        <v>CNTWSUP-PKCUS TBA</v>
      </c>
      <c r="C2" s="37" t="s">
        <v>63</v>
      </c>
      <c r="D2" s="37" t="s">
        <v>64</v>
      </c>
      <c r="E2" s="37" t="s">
        <v>65</v>
      </c>
      <c r="F2" s="37" t="s">
        <v>66</v>
      </c>
      <c r="G2" s="37"/>
      <c r="H2" s="37"/>
      <c r="I2" s="37" t="s">
        <v>67</v>
      </c>
      <c r="J2" s="37" t="str">
        <f>TC14n15!$D$2</f>
        <v>PK-CUS-POC-S13-5</v>
      </c>
      <c r="K2" s="37" t="s">
        <v>68</v>
      </c>
      <c r="L2" s="37" t="s">
        <v>66</v>
      </c>
      <c r="M2" s="37">
        <v>3</v>
      </c>
      <c r="N2" s="37">
        <v>2</v>
      </c>
      <c r="O2" s="37" t="str">
        <f>TC033_ETAnWeek!I2</f>
        <v>MON,WED,FRI,</v>
      </c>
      <c r="P2" s="37">
        <v>10</v>
      </c>
      <c r="Q2" s="37">
        <v>0</v>
      </c>
      <c r="R2" s="37">
        <v>12</v>
      </c>
      <c r="S2" s="37">
        <v>6</v>
      </c>
      <c r="T2" s="37">
        <v>2023</v>
      </c>
      <c r="U2" s="37">
        <v>31</v>
      </c>
      <c r="V2" s="37">
        <v>12</v>
      </c>
      <c r="W2" s="37">
        <v>2024</v>
      </c>
      <c r="X2" s="38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/>
  <cols>
    <col min="1" max="1" width="18.33203125" style="26" bestFit="1" customWidth="1" collapsed="1"/>
    <col min="2" max="2" width="10.44140625" style="26" bestFit="1" customWidth="1" collapsed="1"/>
    <col min="3" max="4" width="11.33203125" style="26" bestFit="1" customWidth="1" collapsed="1"/>
    <col min="5" max="5" width="14.33203125" style="26" bestFit="1" customWidth="1" collapsed="1"/>
    <col min="6" max="6" width="12" style="26" bestFit="1" customWidth="1" collapsed="1"/>
    <col min="7" max="7" width="9.5546875" style="26" bestFit="1" customWidth="1" collapsed="1"/>
    <col min="8" max="8" width="11.6640625" style="26" bestFit="1" customWidth="1" collapsed="1"/>
    <col min="9" max="9" width="13.33203125" style="26" bestFit="1" customWidth="1" collapsed="1"/>
    <col min="10" max="10" width="10.6640625" style="26" bestFit="1" customWidth="1" collapsed="1"/>
    <col min="11" max="11" width="11.33203125" style="26" bestFit="1" customWidth="1" collapsed="1"/>
    <col min="12" max="14" width="11" style="26" bestFit="1" customWidth="1" collapsed="1"/>
    <col min="15" max="15" width="29.88671875" style="26" customWidth="1" collapsed="1"/>
    <col min="16" max="16384" width="8.88671875" style="26" collapsed="1"/>
  </cols>
  <sheetData>
    <row r="1" spans="1:15" ht="15" thickBot="1">
      <c r="A1" s="39" t="s">
        <v>69</v>
      </c>
      <c r="B1" s="117" t="s">
        <v>70</v>
      </c>
      <c r="C1" s="117" t="s">
        <v>71</v>
      </c>
      <c r="D1" s="117" t="s">
        <v>72</v>
      </c>
      <c r="E1" s="117" t="s">
        <v>73</v>
      </c>
      <c r="F1" s="117" t="s">
        <v>74</v>
      </c>
      <c r="G1" s="117" t="s">
        <v>75</v>
      </c>
      <c r="H1" s="117" t="s">
        <v>76</v>
      </c>
      <c r="I1" s="117" t="s">
        <v>77</v>
      </c>
      <c r="J1" s="117" t="s">
        <v>78</v>
      </c>
      <c r="K1" s="117" t="s">
        <v>79</v>
      </c>
      <c r="L1" s="117" t="s">
        <v>80</v>
      </c>
      <c r="M1" s="117" t="s">
        <v>81</v>
      </c>
      <c r="N1" s="117" t="s">
        <v>82</v>
      </c>
      <c r="O1" s="121" t="s">
        <v>83</v>
      </c>
    </row>
    <row r="2" spans="1:15" ht="15" thickBot="1">
      <c r="A2" s="36" t="s">
        <v>84</v>
      </c>
      <c r="B2" s="37" t="s">
        <v>85</v>
      </c>
      <c r="C2" s="37" t="s">
        <v>86</v>
      </c>
      <c r="D2" s="37" t="s">
        <v>85</v>
      </c>
      <c r="E2" s="37" t="s">
        <v>86</v>
      </c>
      <c r="F2" s="37" t="s">
        <v>85</v>
      </c>
      <c r="G2" s="37" t="s">
        <v>86</v>
      </c>
      <c r="H2" s="37" t="s">
        <v>85</v>
      </c>
      <c r="I2" s="37" t="s">
        <v>87</v>
      </c>
      <c r="J2" s="37" t="s">
        <v>85</v>
      </c>
      <c r="K2" s="37" t="s">
        <v>86</v>
      </c>
      <c r="L2" s="37" t="s">
        <v>85</v>
      </c>
      <c r="M2" s="37" t="s">
        <v>86</v>
      </c>
      <c r="N2" s="37" t="s">
        <v>85</v>
      </c>
      <c r="O2" s="38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>
      <c r="A1" s="11" t="s">
        <v>33</v>
      </c>
      <c r="B1" s="114" t="s">
        <v>1</v>
      </c>
    </row>
    <row r="2" spans="1:2" ht="15" thickBot="1">
      <c r="A2" s="30">
        <v>1</v>
      </c>
      <c r="B2" s="32" t="str">
        <f>"RequestPartTB-"&amp;AutoIncrement!A2</f>
        <v>RequestPartTB-10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>
      <c r="A1" s="11" t="s">
        <v>33</v>
      </c>
      <c r="B1" s="43" t="s">
        <v>88</v>
      </c>
      <c r="C1" s="44" t="s">
        <v>89</v>
      </c>
      <c r="D1" s="45" t="s">
        <v>90</v>
      </c>
    </row>
    <row r="2" spans="1:4" ht="26.4">
      <c r="A2" s="8">
        <v>1</v>
      </c>
      <c r="B2" s="168" t="str">
        <f>AutoIncrement!$C$2&amp;"scenario1320230614011"</f>
        <v>TBAscenario1320230614011</v>
      </c>
      <c r="C2" s="169" t="str">
        <f>"PK-CUS-"&amp;AutoIncrement!$C$2&amp;"-scenario13-20230604-001"</f>
        <v>PK-CUS-TBA-scenario13-20230604-001</v>
      </c>
      <c r="D2" s="170" t="str">
        <f>"CNTW-SUP-"&amp;AutoIncrement!$C$2&amp;"-scenario13-20230604-001"</f>
        <v>CNTW-SUP-TBA-scenario13-20230604-001</v>
      </c>
    </row>
    <row r="3" spans="1:4" ht="26.4">
      <c r="A3" s="9">
        <v>2</v>
      </c>
      <c r="B3" s="168" t="str">
        <f>AutoIncrement!$C$2&amp;"scenario1320230614012"</f>
        <v>TBAscenario1320230614012</v>
      </c>
      <c r="C3" s="169" t="str">
        <f>"PK-CUS-"&amp;AutoIncrement!$C$2&amp;"-scenario13-20230604-002"</f>
        <v>PK-CUS-TBA-scenario13-20230604-002</v>
      </c>
      <c r="D3" s="170" t="str">
        <f>"CNTW-SUP-"&amp;AutoIncrement!$C$2&amp;"-scenario13-20230604-002"</f>
        <v>CNTW-SUP-TBA-scenario13-20230604-002</v>
      </c>
    </row>
    <row r="4" spans="1:4" ht="27" thickBot="1">
      <c r="A4" s="10">
        <v>3</v>
      </c>
      <c r="B4" s="168" t="str">
        <f>AutoIncrement!$C$2&amp;"scenario1320230614013"</f>
        <v>TBAscenario1320230614013</v>
      </c>
      <c r="C4" s="169" t="str">
        <f>"PK-CUS-"&amp;AutoIncrement!$C$2&amp;"-scenario13-20230604-003"</f>
        <v>PK-CUS-TBA-scenario13-20230604-003</v>
      </c>
      <c r="D4" s="170" t="str">
        <f>"CNTW-SUP-"&amp;AutoIncrement!$C$2&amp;"-scenario13-20230604-003"</f>
        <v>CNTW-SUP-TBA-scenario13-20230604-003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X2"/>
  <sheetViews>
    <sheetView topLeftCell="Q1" zoomScale="115" zoomScaleNormal="115" workbookViewId="0">
      <selection activeCell="X8" sqref="X8"/>
    </sheetView>
  </sheetViews>
  <sheetFormatPr defaultRowHeight="14.4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>
      <c r="A1" s="11" t="s">
        <v>33</v>
      </c>
      <c r="B1" s="115" t="s">
        <v>91</v>
      </c>
      <c r="C1" s="113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3" t="s">
        <v>13</v>
      </c>
      <c r="L1" s="113" t="s">
        <v>100</v>
      </c>
      <c r="M1" s="43" t="s">
        <v>101</v>
      </c>
      <c r="N1" s="12" t="s">
        <v>102</v>
      </c>
      <c r="O1" s="12" t="s">
        <v>103</v>
      </c>
      <c r="P1" s="113" t="s">
        <v>39</v>
      </c>
      <c r="Q1" s="1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7" t="s">
        <v>111</v>
      </c>
    </row>
    <row r="2" spans="1:24" ht="15" thickBot="1">
      <c r="A2" s="30">
        <v>1</v>
      </c>
      <c r="B2" t="s">
        <v>290</v>
      </c>
      <c r="C2" s="23" t="str">
        <f>"CNTWSUP-PKCUS-"&amp;'TC35'!K2&amp;"-0"&amp;AutoIncrement!A2</f>
        <v>CNTWSUP-PKCUS-TBA-010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293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122</v>
      </c>
      <c r="D1" s="48" t="s">
        <v>123</v>
      </c>
      <c r="E1" s="90" t="s">
        <v>124</v>
      </c>
      <c r="F1" s="48" t="s">
        <v>125</v>
      </c>
      <c r="G1" s="123" t="s">
        <v>126</v>
      </c>
      <c r="H1" s="124" t="s">
        <v>127</v>
      </c>
    </row>
    <row r="2" spans="1:8" ht="19.5" customHeight="1">
      <c r="A2" s="64" t="str">
        <f>'TC35'!X2</f>
        <v>CR-PK-CUS-POC-S13-5-2311001</v>
      </c>
      <c r="B2" s="55" t="str">
        <f>'TC35-Contract Parts Info'!$B$2</f>
        <v>TBAscenario1320230614011</v>
      </c>
      <c r="C2" s="55" t="str">
        <f>'TC35-Contract Parts Info'!C2</f>
        <v>PK-CUS-TBA-scenario13-20230604-001</v>
      </c>
      <c r="D2" s="56" t="s">
        <v>67</v>
      </c>
      <c r="E2" s="56" t="str">
        <f>'TC35'!C2</f>
        <v>CNTWSUP-PKCUS-TBA-010</v>
      </c>
      <c r="F2" s="56" t="s">
        <v>115</v>
      </c>
      <c r="G2" s="56" t="s">
        <v>67</v>
      </c>
      <c r="H2" s="70" t="str">
        <f>'TC033'!$A$2</f>
        <v>CNTWSUP-PKCUS TBA</v>
      </c>
    </row>
    <row r="3" spans="1:8" ht="27" customHeight="1">
      <c r="A3" s="64" t="str">
        <f>'TC35'!X2</f>
        <v>CR-PK-CUS-POC-S13-5-2311001</v>
      </c>
      <c r="B3" s="51" t="str">
        <f>'TC35-Contract Parts Info'!$B$3</f>
        <v>TBAscenario1320230614012</v>
      </c>
      <c r="C3" s="51" t="str">
        <f>'TC35-Contract Parts Info'!C3</f>
        <v>PK-CUS-TBA-scenario13-20230604-002</v>
      </c>
      <c r="D3" s="50" t="s">
        <v>67</v>
      </c>
      <c r="E3" s="50" t="str">
        <f>'TC35'!C2</f>
        <v>CNTWSUP-PKCUS-TBA-010</v>
      </c>
      <c r="F3" s="50" t="s">
        <v>115</v>
      </c>
      <c r="G3" s="50" t="s">
        <v>67</v>
      </c>
      <c r="H3" s="66" t="str">
        <f>'TC033'!$A$2</f>
        <v>CNTWSUP-PKCUS TBA</v>
      </c>
    </row>
    <row r="4" spans="1:8" ht="30" customHeight="1" thickBot="1">
      <c r="A4" s="33" t="str">
        <f>'TC35'!X2</f>
        <v>CR-PK-CUS-POC-S13-5-2311001</v>
      </c>
      <c r="B4" s="52" t="str">
        <f>'TC35-Contract Parts Info'!$B$4</f>
        <v>TBAscenario1320230614013</v>
      </c>
      <c r="C4" s="52" t="str">
        <f>'TC35-Contract Parts Info'!C4</f>
        <v>PK-CUS-TBA-scenario13-20230604-003</v>
      </c>
      <c r="D4" s="34" t="s">
        <v>67</v>
      </c>
      <c r="E4" s="34" t="str">
        <f>'TC35'!C2</f>
        <v>CNTWSUP-PKCUS-TBA-010</v>
      </c>
      <c r="F4" s="34" t="s">
        <v>115</v>
      </c>
      <c r="G4" s="34" t="s">
        <v>67</v>
      </c>
      <c r="H4" s="35" t="str">
        <f>'TC033'!$A$2</f>
        <v>CNTWSUP-PKCUS TBA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128</v>
      </c>
      <c r="D1" s="48" t="s">
        <v>129</v>
      </c>
      <c r="E1" s="90" t="s">
        <v>124</v>
      </c>
      <c r="F1" s="48" t="s">
        <v>125</v>
      </c>
      <c r="G1" s="48" t="s">
        <v>130</v>
      </c>
      <c r="H1" s="125" t="s">
        <v>127</v>
      </c>
    </row>
    <row r="2" spans="1:8" ht="12" customHeight="1">
      <c r="A2" s="68" t="str">
        <f>'TC35'!X2</f>
        <v>CR-PK-CUS-POC-S13-5-2311001</v>
      </c>
      <c r="B2" s="55" t="str">
        <f>'TC35-Contract Parts Info'!B2</f>
        <v>TBAscenario1320230614011</v>
      </c>
      <c r="C2" s="55" t="str">
        <f>'TC35-Contract Parts Info'!D2</f>
        <v>CNTW-SUP-TBA-scenario13-20230604-001</v>
      </c>
      <c r="D2" s="56" t="str">
        <f>TC14n15!$D$2</f>
        <v>PK-CUS-POC-S13-5</v>
      </c>
      <c r="E2" s="56" t="str">
        <f>'TC35'!C2</f>
        <v>CNTWSUP-PKCUS-TBA-010</v>
      </c>
      <c r="F2" s="56" t="s">
        <v>115</v>
      </c>
      <c r="G2" s="56" t="str">
        <f>TC14n15!$D$2</f>
        <v>PK-CUS-POC-S13-5</v>
      </c>
      <c r="H2" s="70" t="str">
        <f>'TC033'!$A$2</f>
        <v>CNTWSUP-PKCUS TBA</v>
      </c>
    </row>
    <row r="3" spans="1:8">
      <c r="A3" s="64" t="str">
        <f>'TC35'!X2</f>
        <v>CR-PK-CUS-POC-S13-5-2311001</v>
      </c>
      <c r="B3" s="51" t="str">
        <f>'TC35-Contract Parts Info'!B3</f>
        <v>TBAscenario1320230614012</v>
      </c>
      <c r="C3" s="51" t="str">
        <f>'TC35-Contract Parts Info'!D3</f>
        <v>CNTW-SUP-TBA-scenario13-20230604-002</v>
      </c>
      <c r="D3" s="56" t="str">
        <f>TC14n15!$D$2</f>
        <v>PK-CUS-POC-S13-5</v>
      </c>
      <c r="E3" s="50" t="str">
        <f>'TC35'!C2</f>
        <v>CNTWSUP-PKCUS-TBA-010</v>
      </c>
      <c r="F3" s="50" t="s">
        <v>115</v>
      </c>
      <c r="G3" s="56" t="str">
        <f>TC14n15!$D$2</f>
        <v>PK-CUS-POC-S13-5</v>
      </c>
      <c r="H3" s="66" t="str">
        <f>'TC033'!$A$2</f>
        <v>CNTWSUP-PKCUS TBA</v>
      </c>
    </row>
    <row r="4" spans="1:8" ht="16.5" customHeight="1" thickBot="1">
      <c r="A4" s="33" t="str">
        <f>'TC35'!X2</f>
        <v>CR-PK-CUS-POC-S13-5-2311001</v>
      </c>
      <c r="B4" s="52" t="str">
        <f>'TC35-Contract Parts Info'!B4</f>
        <v>TBAscenario1320230614013</v>
      </c>
      <c r="C4" s="52" t="str">
        <f>'TC35-Contract Parts Info'!D4</f>
        <v>CNTW-SUP-TBA-scenario13-20230604-003</v>
      </c>
      <c r="D4" s="56" t="str">
        <f>TC14n15!$D$2</f>
        <v>PK-CUS-POC-S13-5</v>
      </c>
      <c r="E4" s="34" t="str">
        <f>'TC35'!C2</f>
        <v>CNTWSUP-PKCUS-TBA-010</v>
      </c>
      <c r="F4" s="34" t="s">
        <v>115</v>
      </c>
      <c r="G4" s="56" t="str">
        <f>TC14n15!$D$2</f>
        <v>PK-CUS-POC-S13-5</v>
      </c>
      <c r="H4" s="35" t="str">
        <f>'TC033'!$A$2</f>
        <v>CNTWSUP-PKCUS TBA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B2" sqref="B2"/>
    </sheetView>
  </sheetViews>
  <sheetFormatPr defaultRowHeight="14.4"/>
  <cols>
    <col min="1" max="1" width="11.6640625" customWidth="1" collapsed="1"/>
    <col min="2" max="2" width="21" customWidth="1" collapsed="1"/>
  </cols>
  <sheetData>
    <row r="1" spans="2:2">
      <c r="B1" s="171" t="s">
        <v>294</v>
      </c>
    </row>
    <row r="2" spans="2:2">
      <c r="B2" t="s">
        <v>293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D3" sqref="D3"/>
    </sheetView>
  </sheetViews>
  <sheetFormatPr defaultRowHeight="14.4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>
      <c r="A1" s="39" t="s">
        <v>131</v>
      </c>
      <c r="B1" s="48" t="s">
        <v>132</v>
      </c>
      <c r="C1" s="90" t="s">
        <v>133</v>
      </c>
      <c r="D1" s="48" t="s">
        <v>134</v>
      </c>
      <c r="E1" s="48" t="s">
        <v>135</v>
      </c>
      <c r="F1" s="125" t="s">
        <v>136</v>
      </c>
    </row>
    <row r="2" spans="1:6" ht="15" thickBot="1">
      <c r="A2" s="36" t="s">
        <v>67</v>
      </c>
      <c r="B2" s="37" t="s">
        <v>137</v>
      </c>
      <c r="C2" s="37" t="str">
        <f>"Cargo Status Setting for PK-CUS-POC-"&amp;'TC35'!K2&amp;"-"&amp;AutoIncrement!A2</f>
        <v>Cargo Status Setting for PK-CUS-POC-TBA-10</v>
      </c>
      <c r="D2" s="37" t="str">
        <f>TC14n15!$D$2</f>
        <v>PK-CUS-POC-S13-5</v>
      </c>
      <c r="E2" s="37" t="s">
        <v>138</v>
      </c>
      <c r="F2" s="38" t="str">
        <f>'TC35'!C2</f>
        <v>CNTWSUP-PKCUS-TBA-010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>
      <c r="A1" s="63" t="s">
        <v>33</v>
      </c>
      <c r="B1" s="12" t="s">
        <v>112</v>
      </c>
      <c r="C1" s="12" t="s">
        <v>139</v>
      </c>
      <c r="D1" s="13" t="s">
        <v>140</v>
      </c>
    </row>
    <row r="2" spans="1:4">
      <c r="A2" s="60">
        <v>1</v>
      </c>
      <c r="B2" s="61">
        <v>100</v>
      </c>
      <c r="C2" s="61">
        <v>200</v>
      </c>
      <c r="D2" s="62">
        <v>100</v>
      </c>
    </row>
    <row r="3" spans="1:4">
      <c r="A3" s="57">
        <v>2</v>
      </c>
      <c r="B3" s="27">
        <v>100</v>
      </c>
      <c r="C3" s="27">
        <v>200</v>
      </c>
      <c r="D3" s="58">
        <v>100</v>
      </c>
    </row>
    <row r="4" spans="1:4" ht="15" thickBot="1">
      <c r="A4" s="59">
        <v>3</v>
      </c>
      <c r="B4" s="28">
        <v>100</v>
      </c>
      <c r="C4" s="28">
        <v>200</v>
      </c>
      <c r="D4" s="2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115" zoomScaleNormal="115" workbookViewId="0">
      <selection activeCell="B2" sqref="B2"/>
    </sheetView>
  </sheetViews>
  <sheetFormatPr defaultRowHeight="14.4"/>
  <cols>
    <col min="1" max="1" width="15.44140625" customWidth="1" collapsed="1"/>
    <col min="2" max="2" width="33.21875" customWidth="1" collapsed="1"/>
  </cols>
  <sheetData>
    <row r="1" spans="1:3" ht="15" thickBot="1">
      <c r="A1" s="42" t="s">
        <v>33</v>
      </c>
      <c r="B1" s="126" t="s">
        <v>141</v>
      </c>
    </row>
    <row r="2" spans="1:3" ht="15" thickBot="1">
      <c r="A2" s="40">
        <v>1</v>
      </c>
      <c r="B2" s="41" t="str">
        <f ca="1">TEXT(DATE(YEAR(EOMONTH(TODAY(),3)), MONTH(EOMONTH(TODAY(),3)), DAY(EOMONTH(TODAY(),3))), "dd MMM yyyy")</f>
        <v>29 Feb 2024</v>
      </c>
      <c r="C2" s="41" t="str">
        <f ca="1">TEXT(DATE(YEAR(TODAY()), MONTH(TODAY())+2, DAY(TODAY())), "dd MMM yyyy")</f>
        <v>09 Jan 2024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>
      <selection activeCell="A2" sqref="A2"/>
    </sheetView>
  </sheetViews>
  <sheetFormatPr defaultRowHeight="14.4"/>
  <cols>
    <col min="1" max="1" width="19.109375" customWidth="1" collapsed="1"/>
  </cols>
  <sheetData>
    <row r="1" spans="1:1">
      <c r="A1" s="172" t="s">
        <v>295</v>
      </c>
    </row>
    <row r="2" spans="1:1">
      <c r="A2" t="str">
        <f>AutoIncrement!$C$2&amp;AutoIncrement!$A$2&amp;"-TC-41"</f>
        <v>TBA10-TC-41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C1" sqref="C1"/>
    </sheetView>
  </sheetViews>
  <sheetFormatPr defaultRowHeight="14.4"/>
  <cols>
    <col min="2" max="2" width="16.109375" bestFit="1" customWidth="1" collapsed="1"/>
    <col min="3" max="3" width="14.21875" customWidth="1" collapsed="1"/>
  </cols>
  <sheetData>
    <row r="1" spans="1:3">
      <c r="A1" s="46" t="s">
        <v>33</v>
      </c>
      <c r="B1" s="127" t="s">
        <v>142</v>
      </c>
      <c r="C1" s="173" t="s">
        <v>297</v>
      </c>
    </row>
    <row r="2" spans="1:3" ht="15" thickBot="1">
      <c r="A2" s="10">
        <v>1</v>
      </c>
      <c r="B2" s="29" t="str">
        <f ca="1">"c"&amp;'TC35'!K2&amp;"-23"&amp;TEXT(TODAY(), "mm")&amp;"001"</f>
        <v>cTBA-2311001</v>
      </c>
      <c r="C2" t="s">
        <v>298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2" sqref="C2"/>
    </sheetView>
  </sheetViews>
  <sheetFormatPr defaultRowHeight="14.4"/>
  <cols>
    <col min="2" max="2" width="13" bestFit="1" customWidth="1" collapsed="1"/>
    <col min="3" max="3" width="13.44140625" customWidth="1" collapsed="1"/>
  </cols>
  <sheetData>
    <row r="1" spans="1:3" ht="15" thickBot="1">
      <c r="A1" s="11" t="s">
        <v>33</v>
      </c>
      <c r="B1" s="114" t="s">
        <v>143</v>
      </c>
      <c r="C1" s="173" t="s">
        <v>296</v>
      </c>
    </row>
    <row r="2" spans="1:3" ht="15" thickBot="1">
      <c r="A2" s="30">
        <v>1</v>
      </c>
      <c r="B2" s="31" t="str">
        <f ca="1">"s" &amp; 'TC35'!K2 &amp; "-23"&amp;TEXT(TODAY(), "mm")&amp;"001"</f>
        <v>sTBA-2311001</v>
      </c>
      <c r="C2" t="s">
        <v>299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workbookViewId="0">
      <selection activeCell="B2" sqref="B2"/>
    </sheetView>
  </sheetViews>
  <sheetFormatPr defaultRowHeight="14.4"/>
  <cols>
    <col min="1" max="1" width="30.21875" customWidth="1" collapsed="1"/>
    <col min="2" max="2" width="26.109375" customWidth="1" collapsed="1"/>
  </cols>
  <sheetData>
    <row r="1" spans="1:2">
      <c r="A1" s="174" t="s">
        <v>300</v>
      </c>
      <c r="B1" s="175" t="s">
        <v>163</v>
      </c>
    </row>
    <row r="2" spans="1:2">
      <c r="A2" t="str">
        <f>'TC35-Contract Parts Info'!$B$2</f>
        <v>TBAscenario1320230614011</v>
      </c>
      <c r="B2" s="176">
        <v>3.05</v>
      </c>
    </row>
    <row r="3" spans="1:2">
      <c r="A3" t="str">
        <f>'TC35-Contract Parts Info'!$B$3</f>
        <v>TBAscenario1320230614012</v>
      </c>
      <c r="B3" s="176">
        <v>1.05</v>
      </c>
    </row>
    <row r="4" spans="1:2">
      <c r="A4" t="str">
        <f>'TC35-Contract Parts Info'!$B$4</f>
        <v>TBAscenario1320230614013</v>
      </c>
      <c r="B4" s="176">
        <v>2.0499999999999998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1" sqref="D1"/>
    </sheetView>
  </sheetViews>
  <sheetFormatPr defaultRowHeight="14.4"/>
  <cols>
    <col min="2" max="2" width="33.44140625" customWidth="1" collapsed="1"/>
    <col min="4" max="5" width="21.109375" bestFit="1" customWidth="1" collapsed="1"/>
  </cols>
  <sheetData>
    <row r="1" spans="1:5" ht="15" thickBot="1">
      <c r="A1" s="11" t="s">
        <v>33</v>
      </c>
      <c r="B1" s="177" t="s">
        <v>301</v>
      </c>
      <c r="C1" s="12" t="s">
        <v>144</v>
      </c>
      <c r="D1" s="12" t="s">
        <v>145</v>
      </c>
      <c r="E1" s="13" t="s">
        <v>146</v>
      </c>
    </row>
    <row r="2" spans="1:5">
      <c r="A2" s="8">
        <v>1</v>
      </c>
      <c r="B2" s="55" t="str">
        <f>'TC35-Contract Parts Info'!$B$2</f>
        <v>TBAscenario1320230614011</v>
      </c>
      <c r="C2" s="61">
        <v>150</v>
      </c>
      <c r="D2" s="61">
        <v>150</v>
      </c>
      <c r="E2" s="62"/>
    </row>
    <row r="3" spans="1:5">
      <c r="A3" s="9">
        <v>2</v>
      </c>
      <c r="B3" s="51" t="str">
        <f>'TC35-Contract Parts Info'!$B$3</f>
        <v>TBAscenario1320230614012</v>
      </c>
      <c r="C3" s="27">
        <v>150</v>
      </c>
      <c r="D3" s="27">
        <v>100</v>
      </c>
      <c r="E3" s="58">
        <v>50</v>
      </c>
    </row>
    <row r="4" spans="1:5" ht="15" thickBot="1">
      <c r="A4" s="10">
        <v>3</v>
      </c>
      <c r="B4" s="52" t="str">
        <f>'TC35-Contract Parts Info'!$B$4</f>
        <v>TBAscenario1320230614013</v>
      </c>
      <c r="C4" s="28">
        <v>50</v>
      </c>
      <c r="D4" s="28">
        <v>0</v>
      </c>
      <c r="E4" s="29">
        <v>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G2"/>
  <sheetViews>
    <sheetView workbookViewId="0">
      <selection activeCell="C2" sqref="C2"/>
    </sheetView>
  </sheetViews>
  <sheetFormatPr defaultRowHeight="14.4"/>
  <cols>
    <col min="1" max="1" width="3.44140625" bestFit="1" customWidth="1" collapsed="1"/>
    <col min="2" max="2" width="17" bestFit="1" customWidth="1" collapsed="1"/>
    <col min="3" max="3" width="16.44140625" bestFit="1" customWidth="1" collapsed="1"/>
    <col min="4" max="4" width="21.88671875" customWidth="1" collapsed="1"/>
  </cols>
  <sheetData>
    <row r="1" spans="1:7" ht="15" thickBot="1">
      <c r="A1" s="11" t="s">
        <v>33</v>
      </c>
      <c r="B1" s="113" t="s">
        <v>147</v>
      </c>
      <c r="C1" s="114" t="s">
        <v>148</v>
      </c>
      <c r="D1" s="178" t="s">
        <v>302</v>
      </c>
    </row>
    <row r="2" spans="1:7" ht="15" thickBot="1">
      <c r="A2" s="30">
        <v>1</v>
      </c>
      <c r="B2" s="41" t="str">
        <f ca="1">TEXT(DATE(YEAR(EOMONTH(TODAY(),3)), MONTH(EOMONTH(TODAY(),3)), DAY(EOMONTH(TODAY(),3))), "dd MMM yyyy")</f>
        <v>29 Feb 2024</v>
      </c>
      <c r="C2" s="41" t="str">
        <f ca="1">TEXT(DATE(YEAR(EOMONTH(TODAY(),3)), MONTH(EOMONTH(TODAY(),3)), DAY(EOMONTH(TODAY(),3))+20), "dd MMM yyyy")</f>
        <v>20 Mar 2024</v>
      </c>
      <c r="D2" t="str">
        <f>AutoIncrement!$C$2&amp;AutoIncrement!$A$2&amp;"-TC-47"</f>
        <v>TBA10-TC-47</v>
      </c>
      <c r="F2" s="23" t="str">
        <f ca="1">TEXT(DATE(YEAR(TODAY()), MONTH(TODAY())+2, DAY(TODAY())+3), "dd MMM yyyy")</f>
        <v>12 Jan 2024</v>
      </c>
      <c r="G2" s="31" t="str">
        <f ca="1">TEXT(DATE(YEAR(TODAY()), MONTH(TODAY())+2, DAY(TODAY())+5), "dd MMM yyyy")</f>
        <v>14 Jan 2024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F11" sqref="F11"/>
    </sheetView>
  </sheetViews>
  <sheetFormatPr defaultRowHeight="14.4"/>
  <cols>
    <col min="2" max="2" width="16.109375" bestFit="1" customWidth="1" collapsed="1"/>
    <col min="3" max="3" width="20.6640625" customWidth="1" collapsed="1"/>
  </cols>
  <sheetData>
    <row r="1" spans="1:3" ht="15" thickBot="1">
      <c r="A1" s="11" t="s">
        <v>33</v>
      </c>
      <c r="B1" s="114" t="s">
        <v>149</v>
      </c>
      <c r="C1" s="179" t="s">
        <v>303</v>
      </c>
    </row>
    <row r="2" spans="1:3" ht="15" thickBot="1">
      <c r="A2" s="30">
        <v>1</v>
      </c>
      <c r="B2" s="31" t="str">
        <f ca="1">"rc" &amp; 'TC35'!K2 &amp; "-23"&amp;TEXT(TODAY(), "mm")&amp;"001"</f>
        <v>rcTBA-2311001</v>
      </c>
      <c r="C2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B28" sqref="B28"/>
    </sheetView>
  </sheetViews>
  <sheetFormatPr defaultRowHeight="14.4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>
      <c r="A1" s="102" t="s">
        <v>11</v>
      </c>
      <c r="B1" s="103" t="s">
        <v>12</v>
      </c>
      <c r="C1" s="166" t="s">
        <v>13</v>
      </c>
    </row>
    <row r="2" spans="1:3" ht="15" thickBot="1">
      <c r="A2" s="101" t="s">
        <v>291</v>
      </c>
      <c r="B2" s="31">
        <v>5</v>
      </c>
      <c r="C2" s="167" t="s">
        <v>292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G1" zoomScale="115" zoomScaleNormal="115" workbookViewId="0">
      <selection activeCell="O2" sqref="O2:O4"/>
    </sheetView>
  </sheetViews>
  <sheetFormatPr defaultRowHeight="14.4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  <col min="25" max="25" width="16.109375" customWidth="1" collapsed="1"/>
  </cols>
  <sheetData>
    <row r="1" spans="1:25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8" t="s">
        <v>170</v>
      </c>
      <c r="X1" s="49" t="s">
        <v>171</v>
      </c>
      <c r="Y1" s="49" t="s">
        <v>305</v>
      </c>
    </row>
    <row r="2" spans="1:25" ht="13.5" customHeight="1">
      <c r="A2" s="68" t="str">
        <f ca="1">'TC42'!B2</f>
        <v>cTBA-2311001</v>
      </c>
      <c r="B2" s="56" t="s">
        <v>172</v>
      </c>
      <c r="C2" s="56"/>
      <c r="D2" s="56"/>
      <c r="E2" s="56"/>
      <c r="F2" s="55" t="str">
        <f>'TC35-Contract Parts Info'!B2</f>
        <v>TBAscenario1320230614011</v>
      </c>
      <c r="G2" s="69" t="str">
        <f>'TC35-Contract Parts Info'!C2</f>
        <v>PK-CUS-TBA-scenario13-20230604-001</v>
      </c>
      <c r="H2" s="56" t="s">
        <v>173</v>
      </c>
      <c r="I2" s="56" t="str">
        <f ca="1">'TC44'!B2</f>
        <v>sTBA-2311001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172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56">
        <v>150</v>
      </c>
      <c r="X2" s="70">
        <v>0</v>
      </c>
      <c r="Y2" s="70">
        <v>0</v>
      </c>
    </row>
    <row r="3" spans="1:25">
      <c r="A3" s="64"/>
      <c r="B3" s="50"/>
      <c r="C3" s="50"/>
      <c r="D3" s="50"/>
      <c r="E3" s="50"/>
      <c r="F3" s="51" t="str">
        <f>'TC35-Contract Parts Info'!B3</f>
        <v>TBAscenario1320230614012</v>
      </c>
      <c r="G3" s="65" t="str">
        <f>'TC35-Contract Parts Info'!C3</f>
        <v>PK-CUS-TBA-scenario13-20230604-002</v>
      </c>
      <c r="H3" s="50" t="s">
        <v>175</v>
      </c>
      <c r="I3" s="50" t="str">
        <f ca="1">'TC44'!B2</f>
        <v>sTBA-2311001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172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50">
        <v>0</v>
      </c>
      <c r="X3" s="66">
        <v>100</v>
      </c>
      <c r="Y3" s="66">
        <v>50</v>
      </c>
    </row>
    <row r="4" spans="1:25" ht="15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67" t="str">
        <f>'TC35-Contract Parts Info'!C4</f>
        <v>PK-CUS-TBA-scenario13-20230604-003</v>
      </c>
      <c r="H4" s="34" t="s">
        <v>176</v>
      </c>
      <c r="I4" s="34" t="str">
        <f ca="1">'TC44'!B2</f>
        <v>sTBA-2311001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172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4">
        <v>0</v>
      </c>
      <c r="X4" s="35">
        <v>0</v>
      </c>
      <c r="Y4" s="35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topLeftCell="E1" zoomScale="85" zoomScaleNormal="85" workbookViewId="0">
      <selection activeCell="N2" sqref="N2:N4"/>
    </sheetView>
  </sheetViews>
  <sheetFormatPr defaultRowHeight="14.4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>
      <c r="A1" s="128" t="s">
        <v>177</v>
      </c>
      <c r="B1" s="53" t="s">
        <v>178</v>
      </c>
      <c r="C1" s="53" t="s">
        <v>152</v>
      </c>
      <c r="D1" s="53" t="s">
        <v>153</v>
      </c>
      <c r="E1" s="53" t="s">
        <v>154</v>
      </c>
      <c r="F1" s="89" t="s">
        <v>121</v>
      </c>
      <c r="G1" s="89" t="s">
        <v>155</v>
      </c>
      <c r="H1" s="53" t="s">
        <v>156</v>
      </c>
      <c r="I1" s="89" t="s">
        <v>179</v>
      </c>
      <c r="J1" s="53" t="s">
        <v>180</v>
      </c>
      <c r="K1" s="53" t="s">
        <v>159</v>
      </c>
      <c r="L1" s="53" t="s">
        <v>160</v>
      </c>
      <c r="M1" s="53" t="s">
        <v>161</v>
      </c>
      <c r="N1" s="53" t="s">
        <v>163</v>
      </c>
      <c r="O1" s="53" t="s">
        <v>102</v>
      </c>
      <c r="P1" s="53" t="s">
        <v>164</v>
      </c>
      <c r="Q1" s="53" t="s">
        <v>181</v>
      </c>
      <c r="R1" s="53" t="s">
        <v>182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188</v>
      </c>
      <c r="Y1" s="54" t="s">
        <v>189</v>
      </c>
    </row>
    <row r="2" spans="1:25" ht="15.75" customHeight="1">
      <c r="A2" s="64" t="str">
        <f ca="1">'TC44'!B2</f>
        <v>sTBA-2311001</v>
      </c>
      <c r="B2" s="50" t="s">
        <v>172</v>
      </c>
      <c r="C2" s="50"/>
      <c r="D2" s="50"/>
      <c r="E2" s="50"/>
      <c r="F2" s="51" t="str">
        <f>'TC35-Contract Parts Info'!$B$2</f>
        <v>TBAscenario1320230614011</v>
      </c>
      <c r="G2" s="51" t="str">
        <f>'TC35-Contract Parts Info'!D2</f>
        <v>CNTW-SUP-TBA-scenario13-20230604-001</v>
      </c>
      <c r="H2" s="50" t="s">
        <v>173</v>
      </c>
      <c r="I2" s="50" t="str">
        <f ca="1">'TC42'!B2</f>
        <v>cTBA-2311001</v>
      </c>
      <c r="J2" s="51" t="str">
        <f>TC14n15!$D$2</f>
        <v>PK-CUS-POC-S13-5</v>
      </c>
      <c r="K2" s="50">
        <v>10</v>
      </c>
      <c r="L2" s="50">
        <v>10</v>
      </c>
      <c r="M2" s="50">
        <v>150</v>
      </c>
      <c r="N2" s="203">
        <f>'TC46-Price'!$B2</f>
        <v>3.05</v>
      </c>
      <c r="O2" s="50" t="s">
        <v>114</v>
      </c>
      <c r="P2" s="50" t="s">
        <v>172</v>
      </c>
      <c r="Q2" s="50">
        <v>0</v>
      </c>
      <c r="R2" s="50">
        <v>0</v>
      </c>
      <c r="S2" s="50">
        <v>0</v>
      </c>
      <c r="T2" s="50">
        <v>150</v>
      </c>
      <c r="U2" s="50" t="s">
        <v>174</v>
      </c>
      <c r="V2" s="50">
        <v>0</v>
      </c>
      <c r="W2" s="50" t="s">
        <v>174</v>
      </c>
      <c r="X2" s="50">
        <v>150</v>
      </c>
      <c r="Y2" s="66"/>
    </row>
    <row r="3" spans="1:25">
      <c r="A3" s="64"/>
      <c r="B3" s="50"/>
      <c r="C3" s="50"/>
      <c r="D3" s="50"/>
      <c r="E3" s="50"/>
      <c r="F3" s="51" t="str">
        <f>'TC35-Contract Parts Info'!$B$3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1" t="str">
        <f>TC14n15!$D$2</f>
        <v>PK-CUS-POC-S13-5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172</v>
      </c>
      <c r="Q3" s="50">
        <v>0</v>
      </c>
      <c r="R3" s="50">
        <v>0</v>
      </c>
      <c r="S3" s="50">
        <v>0</v>
      </c>
      <c r="T3" s="50">
        <v>100</v>
      </c>
      <c r="U3" s="50" t="s">
        <v>174</v>
      </c>
      <c r="V3" s="50">
        <v>50</v>
      </c>
      <c r="W3" s="50" t="s">
        <v>174</v>
      </c>
      <c r="X3" s="50">
        <v>150</v>
      </c>
      <c r="Y3" s="66"/>
    </row>
    <row r="4" spans="1:25" ht="15" thickBot="1">
      <c r="A4" s="33"/>
      <c r="B4" s="34"/>
      <c r="C4" s="34"/>
      <c r="D4" s="34"/>
      <c r="E4" s="34"/>
      <c r="F4" s="52" t="str">
        <f>'TC35-Contract Parts Info'!$B$4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1" t="str">
        <f>TC14n15!$D$2</f>
        <v>PK-CUS-POC-S13-5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172</v>
      </c>
      <c r="Q4" s="34">
        <v>0</v>
      </c>
      <c r="R4" s="34">
        <v>0</v>
      </c>
      <c r="S4" s="34">
        <v>0</v>
      </c>
      <c r="T4" s="34">
        <v>0</v>
      </c>
      <c r="U4" s="34" t="s">
        <v>174</v>
      </c>
      <c r="V4" s="34">
        <v>50</v>
      </c>
      <c r="W4" s="34" t="s">
        <v>174</v>
      </c>
      <c r="X4" s="34">
        <v>50</v>
      </c>
      <c r="Y4" s="3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E5"/>
  <sheetViews>
    <sheetView workbookViewId="0">
      <selection activeCell="E4" sqref="E4"/>
    </sheetView>
  </sheetViews>
  <sheetFormatPr defaultRowHeight="14.4"/>
  <cols>
    <col min="1" max="1" width="28.33203125" customWidth="1" collapsed="1"/>
    <col min="2" max="2" width="37" customWidth="1" collapsed="1"/>
    <col min="3" max="3" width="25.77734375" customWidth="1" collapsed="1"/>
    <col min="4" max="4" width="17.21875" customWidth="1" collapsed="1"/>
    <col min="5" max="5" width="15.44140625" customWidth="1" collapsed="1"/>
  </cols>
  <sheetData>
    <row r="1" spans="1:5" ht="26.4">
      <c r="A1" s="180" t="s">
        <v>309</v>
      </c>
      <c r="B1" s="180" t="s">
        <v>300</v>
      </c>
      <c r="C1" t="s">
        <v>306</v>
      </c>
      <c r="D1" t="s">
        <v>307</v>
      </c>
      <c r="E1" t="s">
        <v>308</v>
      </c>
    </row>
    <row r="2" spans="1:5" ht="15" thickBot="1">
      <c r="A2" s="41" t="str">
        <f ca="1">TEXT(DATE(YEAR(EOMONTH(TODAY(),3)), MONTH(EOMONTH(TODAY(),3)), DAY(EOMONTH(TODAY(),3))), "dd-MMM-yyyy")</f>
        <v>29-Feb-2024</v>
      </c>
      <c r="B2" s="51" t="str">
        <f>'TC35-Contract Parts Info'!$B$2</f>
        <v>TBAscenario1320230614011</v>
      </c>
      <c r="C2" s="181">
        <v>150</v>
      </c>
      <c r="D2" s="181"/>
      <c r="E2" s="181"/>
    </row>
    <row r="3" spans="1:5" ht="15" thickBot="1">
      <c r="A3" s="41" t="str">
        <f ca="1">TEXT(DATE(YEAR(EOMONTH(TODAY(),3)), MONTH(EOMONTH(TODAY(),3)), DAY(EOMONTH(TODAY(),3))), "dd-MMM-yyyy")</f>
        <v>29-Feb-2024</v>
      </c>
      <c r="B3" s="51" t="str">
        <f>'TC35-Contract Parts Info'!$B$3</f>
        <v>TBAscenario1320230614012</v>
      </c>
      <c r="C3" s="181"/>
      <c r="D3" s="181">
        <v>100</v>
      </c>
      <c r="E3" s="181"/>
    </row>
    <row r="4" spans="1:5" ht="15" thickBot="1">
      <c r="A4" s="41" t="str">
        <f ca="1">TEXT(DATE(YEAR(EOMONTH(TODAY(),3)), MONTH(EOMONTH(TODAY(),3)), DAY(EOMONTH(TODAY(),3))+20), "dd-MMM-yyyy")</f>
        <v>20-Mar-2024</v>
      </c>
      <c r="B4" s="51" t="str">
        <f>'TC35-Contract Parts Info'!$B$3</f>
        <v>TBAscenario1320230614012</v>
      </c>
      <c r="C4" s="181"/>
      <c r="D4" s="181"/>
      <c r="E4" s="181">
        <v>50</v>
      </c>
    </row>
    <row r="5" spans="1:5" ht="15" thickBot="1">
      <c r="A5" s="41" t="str">
        <f ca="1">TEXT(DATE(YEAR(EOMONTH(TODAY(),3)), MONTH(EOMONTH(TODAY(),3)), DAY(EOMONTH(TODAY(),3))+20), "dd-MMM-yyyy")</f>
        <v>20-Mar-2024</v>
      </c>
      <c r="B5" s="52" t="str">
        <f>'TC35-Contract Parts Info'!$B$4</f>
        <v>TBAscenario1320230614013</v>
      </c>
      <c r="C5" s="181"/>
      <c r="D5" s="181"/>
      <c r="E5" s="181">
        <v>50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G28" sqref="G28"/>
    </sheetView>
  </sheetViews>
  <sheetFormatPr defaultRowHeight="14.4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4" width="18.33203125" customWidth="1" collapsed="1"/>
    <col min="5" max="5" width="21.77734375" customWidth="1" collapsed="1"/>
    <col min="6" max="6" width="13.44140625" bestFit="1" customWidth="1" collapsed="1"/>
  </cols>
  <sheetData>
    <row r="1" spans="1:6" ht="15" thickBot="1">
      <c r="A1" s="11" t="s">
        <v>33</v>
      </c>
      <c r="B1" s="12" t="s">
        <v>190</v>
      </c>
      <c r="C1" s="12" t="s">
        <v>191</v>
      </c>
      <c r="D1" s="12" t="s">
        <v>192</v>
      </c>
      <c r="E1" s="113" t="s">
        <v>193</v>
      </c>
      <c r="F1" s="13" t="s">
        <v>42</v>
      </c>
    </row>
    <row r="2" spans="1:6" ht="15" thickBot="1">
      <c r="A2" s="30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1" t="str">
        <f ca="1">TEXT(TODAY(),"dd/m/yyyy")</f>
        <v>09/11/2023</v>
      </c>
      <c r="F2" s="31" t="s">
        <v>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D28" sqref="D28"/>
    </sheetView>
  </sheetViews>
  <sheetFormatPr defaultRowHeight="14.4"/>
  <cols>
    <col min="1" max="1" width="3.44140625" bestFit="1" customWidth="1" collapsed="1"/>
    <col min="2" max="2" width="30.5546875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>
      <c r="A1" s="11" t="s">
        <v>33</v>
      </c>
      <c r="B1" s="113" t="s">
        <v>196</v>
      </c>
      <c r="C1" s="113" t="s">
        <v>197</v>
      </c>
      <c r="D1" s="12" t="s">
        <v>198</v>
      </c>
      <c r="E1" s="113" t="s">
        <v>199</v>
      </c>
      <c r="F1" s="12" t="s">
        <v>200</v>
      </c>
      <c r="G1" s="13" t="s">
        <v>201</v>
      </c>
    </row>
    <row r="2" spans="1:7">
      <c r="A2" s="8">
        <v>1</v>
      </c>
      <c r="B2" s="129" t="str">
        <f>"o-CNTW-SUP-POC-"&amp;"231106" &amp; "-" &amp; AutoIncrement!A$2</f>
        <v>o-CNTW-SUP-POC-231106-10</v>
      </c>
      <c r="C2" s="130" t="str">
        <f>'TC52-Upload Obound Setup'!B2</f>
        <v>B-231106-TBA-10</v>
      </c>
      <c r="D2" s="130" t="s">
        <v>202</v>
      </c>
      <c r="E2" s="130" t="str">
        <f ca="1">"O-"&amp;TEXT(TODAY(),"yymmdd")&amp; "-" &amp; AutoIncrement!A2</f>
        <v>O-231109-10</v>
      </c>
      <c r="F2" s="130" t="s">
        <v>203</v>
      </c>
      <c r="G2" s="131" t="s">
        <v>204</v>
      </c>
    </row>
    <row r="3" spans="1:7">
      <c r="A3" s="9">
        <v>2</v>
      </c>
      <c r="B3" s="129" t="str">
        <f>"o-CNTW-SUP-POC-"&amp;"231106" &amp; "-" &amp; AutoIncrement!A$2</f>
        <v>o-CNTW-SUP-POC-231106-10</v>
      </c>
      <c r="C3" s="132" t="str">
        <f>'TC52-Upload Obound Setup'!B2</f>
        <v>B-231106-TBA-10</v>
      </c>
      <c r="D3" s="132" t="s">
        <v>205</v>
      </c>
      <c r="E3" s="132" t="str">
        <f ca="1">"O-"&amp;TEXT(TODAY(),"yymmdd")&amp; "-" &amp; AutoIncrement!A2</f>
        <v>O-231109-10</v>
      </c>
      <c r="F3" s="132" t="s">
        <v>206</v>
      </c>
      <c r="G3" s="133" t="s">
        <v>33</v>
      </c>
    </row>
    <row r="4" spans="1:7" ht="15" thickBot="1">
      <c r="A4" s="10">
        <v>3</v>
      </c>
      <c r="B4" s="129" t="str">
        <f>"o-CNTW-SUP-POC-"&amp;"231106" &amp; "-" &amp; AutoIncrement!A$2</f>
        <v>o-CNTW-SUP-POC-231106-10</v>
      </c>
      <c r="C4" s="135" t="str">
        <f>'TC52-Upload Obound Setup'!B2</f>
        <v>B-231106-TBA-10</v>
      </c>
      <c r="D4" s="134"/>
      <c r="E4" s="135" t="str">
        <f ca="1">"O-"&amp;TEXT(TODAY(),"yymmdd")&amp; "-" &amp; AutoIncrement!A2</f>
        <v>O-231109-10</v>
      </c>
      <c r="F4" s="135" t="s">
        <v>203</v>
      </c>
      <c r="G4" s="136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3" ht="15" thickBot="1">
      <c r="A1" s="11" t="s">
        <v>33</v>
      </c>
      <c r="B1" s="114" t="s">
        <v>197</v>
      </c>
    </row>
    <row r="2" spans="1:3" ht="15" thickBot="1">
      <c r="A2" s="30">
        <v>1</v>
      </c>
      <c r="B2" s="31" t="str">
        <f>"B-231106-"&amp; 'TC35'!K2 &amp;"-"&amp; AutoIncrement!$A$2</f>
        <v>B-231106-TBA-10</v>
      </c>
      <c r="C2" s="31" t="str">
        <f ca="1">"B-"&amp;TEXT(TODAY(),"yymmdd") &amp; "-"&amp; 'TC35'!K2 &amp;"-"&amp; AutoIncrement!A2</f>
        <v>B-231109-TBA-10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34" customWidth="1" collapsed="1"/>
    <col min="3" max="3" width="12.109375" bestFit="1" customWidth="1" collapsed="1"/>
    <col min="4" max="4" width="12" bestFit="1" customWidth="1" collapsed="1"/>
  </cols>
  <sheetData>
    <row r="1" spans="1:4" ht="15" thickBot="1">
      <c r="A1" s="11" t="s">
        <v>33</v>
      </c>
      <c r="B1" s="115" t="s">
        <v>207</v>
      </c>
      <c r="C1" s="115" t="s">
        <v>208</v>
      </c>
      <c r="D1" s="137" t="s">
        <v>209</v>
      </c>
    </row>
    <row r="2" spans="1:4" ht="15" thickBot="1">
      <c r="A2" s="30">
        <v>1</v>
      </c>
      <c r="B2" t="s">
        <v>310</v>
      </c>
      <c r="C2" t="s">
        <v>311</v>
      </c>
      <c r="D2" t="s">
        <v>312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Y4"/>
  <sheetViews>
    <sheetView topLeftCell="F1" zoomScale="70" zoomScaleNormal="70" workbookViewId="0">
      <selection activeCell="N2" sqref="N2:N4"/>
    </sheetView>
  </sheetViews>
  <sheetFormatPr defaultRowHeight="14.4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19" max="19" width="21.77734375" customWidth="1" collapsed="1"/>
    <col min="21" max="21" width="17.33203125" customWidth="1" collapsed="1"/>
    <col min="22" max="22" width="25.44140625" customWidth="1" collapsed="1"/>
    <col min="23" max="23" width="24" bestFit="1" customWidth="1" collapsed="1"/>
    <col min="24" max="24" width="14.109375" customWidth="1" collapsed="1"/>
    <col min="25" max="25" width="13.44140625" customWidth="1" collapsed="1"/>
  </cols>
  <sheetData>
    <row r="1" spans="1:25" ht="15" thickBot="1">
      <c r="A1" s="122" t="s">
        <v>177</v>
      </c>
      <c r="B1" s="72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313</v>
      </c>
      <c r="Y1" s="49" t="s">
        <v>314</v>
      </c>
    </row>
    <row r="2" spans="1:25" ht="15.75" customHeight="1">
      <c r="A2" s="68" t="str">
        <f ca="1">'TC44'!B2</f>
        <v>sTBA-2311001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Info'!D2</f>
        <v>CNTW-SUP-TBA-scenario13-20230604-001</v>
      </c>
      <c r="H2" s="56" t="s">
        <v>173</v>
      </c>
      <c r="I2" s="56" t="str">
        <f ca="1">'TC42'!B2</f>
        <v>cTBA-2311001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3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182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182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182">
        <v>50</v>
      </c>
      <c r="Y4" s="35" t="s">
        <v>174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topLeftCell="G1" zoomScale="85" zoomScaleNormal="85" workbookViewId="0">
      <selection activeCell="O2" sqref="O2:O4"/>
    </sheetView>
  </sheetViews>
  <sheetFormatPr defaultRowHeight="14.4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73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74" t="s">
        <v>170</v>
      </c>
    </row>
    <row r="2" spans="1:23" ht="15" customHeight="1">
      <c r="A2" s="68" t="str">
        <f ca="1">'TC42'!B2</f>
        <v>cTBA-2311001</v>
      </c>
      <c r="B2" s="56" t="s">
        <v>172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Info'!C2</f>
        <v>PK-CUS-TBA-scenario13-20230604-001</v>
      </c>
      <c r="H2" s="56" t="s">
        <v>173</v>
      </c>
      <c r="I2" s="56" t="str">
        <f ca="1">'TC44'!B2</f>
        <v>sTBA-2311001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Info'!C3</f>
        <v>PK-CUS-TBA-scenario13-20230604-002</v>
      </c>
      <c r="H3" s="50" t="s">
        <v>175</v>
      </c>
      <c r="I3" s="50" t="str">
        <f ca="1">'TC44'!B2</f>
        <v>sTBA-2311001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Info'!C4</f>
        <v>PK-CUS-TBA-scenario13-20230604-003</v>
      </c>
      <c r="H4" s="34" t="s">
        <v>176</v>
      </c>
      <c r="I4" s="34" t="str">
        <f ca="1">'TC44'!B2</f>
        <v>sTBA-2311001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/>
  <cols>
    <col min="2" max="2" width="17.33203125" customWidth="1" collapsed="1"/>
  </cols>
  <sheetData>
    <row r="1" spans="1:2" ht="15" thickBot="1">
      <c r="A1" s="11" t="s">
        <v>33</v>
      </c>
      <c r="B1" s="137" t="s">
        <v>212</v>
      </c>
    </row>
    <row r="2" spans="1:2" ht="15" thickBot="1">
      <c r="A2" s="30">
        <v>1</v>
      </c>
      <c r="B2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3-A142-496F-A69C-6EF5A1BBCFAC}">
  <dimension ref="A1:R2"/>
  <sheetViews>
    <sheetView topLeftCell="H1" workbookViewId="0">
      <selection activeCell="R3" sqref="R3"/>
    </sheetView>
  </sheetViews>
  <sheetFormatPr defaultRowHeight="14.4"/>
  <cols>
    <col min="1" max="1" width="19.109375" customWidth="1" collapsed="1"/>
    <col min="2" max="2" width="16.6640625" customWidth="1" collapsed="1"/>
    <col min="3" max="3" width="24" customWidth="1" collapsed="1"/>
    <col min="4" max="4" width="22.33203125" customWidth="1" collapsed="1"/>
    <col min="5" max="5" width="19.5546875" customWidth="1" collapsed="1"/>
    <col min="6" max="6" width="24.109375" customWidth="1" collapsed="1"/>
    <col min="7" max="7" width="15.88671875" customWidth="1" collapsed="1"/>
    <col min="8" max="8" width="42.5546875" customWidth="1" collapsed="1"/>
    <col min="9" max="9" width="18.33203125" customWidth="1" collapsed="1"/>
    <col min="10" max="10" width="19.33203125" customWidth="1" collapsed="1"/>
    <col min="11" max="11" width="21.5546875" customWidth="1" collapsed="1"/>
    <col min="12" max="12" width="17.33203125" customWidth="1" collapsed="1"/>
    <col min="13" max="13" width="20.6640625" customWidth="1" collapsed="1"/>
    <col min="14" max="14" width="18" customWidth="1" collapsed="1"/>
    <col min="15" max="15" width="23.44140625" customWidth="1" collapsed="1"/>
    <col min="16" max="16" width="18.77734375" customWidth="1" collapsed="1"/>
    <col min="17" max="17" width="26.109375" customWidth="1" collapsed="1"/>
    <col min="18" max="18" width="18" customWidth="1" collapsed="1"/>
  </cols>
  <sheetData>
    <row r="1" spans="1:18">
      <c r="A1" s="171" t="s">
        <v>316</v>
      </c>
      <c r="B1" s="171" t="s">
        <v>317</v>
      </c>
      <c r="C1" t="s">
        <v>318</v>
      </c>
      <c r="D1" s="171" t="s">
        <v>319</v>
      </c>
      <c r="E1" s="171" t="s">
        <v>320</v>
      </c>
      <c r="F1" t="s">
        <v>321</v>
      </c>
      <c r="G1" t="s">
        <v>322</v>
      </c>
      <c r="H1" t="s">
        <v>323</v>
      </c>
      <c r="I1" t="s">
        <v>41</v>
      </c>
      <c r="J1" t="s">
        <v>324</v>
      </c>
      <c r="K1" t="s">
        <v>325</v>
      </c>
      <c r="L1" t="s">
        <v>326</v>
      </c>
      <c r="M1" t="s">
        <v>327</v>
      </c>
      <c r="N1" t="s">
        <v>328</v>
      </c>
      <c r="O1" s="171" t="s">
        <v>329</v>
      </c>
      <c r="P1" s="171" t="s">
        <v>330</v>
      </c>
      <c r="Q1" s="171" t="s">
        <v>331</v>
      </c>
      <c r="R1" s="171" t="s">
        <v>332</v>
      </c>
    </row>
    <row r="2" spans="1:18">
      <c r="A2" s="184" t="str">
        <f>"PK-CUS-S13-"&amp;AutoIncrement!$B$2</f>
        <v>PK-CUS-S13-5</v>
      </c>
      <c r="B2" s="183" t="s">
        <v>66</v>
      </c>
      <c r="C2" t="str">
        <f>B2&amp;"-"&amp;A2</f>
        <v>PK-PK-CUS-S13-5</v>
      </c>
      <c r="D2" s="184" t="str">
        <f>"PK-CUS by Upload S13-"&amp;AutoIncrement!$B$2</f>
        <v>PK-CUS by Upload S13-5</v>
      </c>
      <c r="E2" s="184" t="str">
        <f>"PK"&amp;AutoIncrement!$B$2</f>
        <v>PK5</v>
      </c>
      <c r="F2" s="183" t="s">
        <v>333</v>
      </c>
      <c r="G2" s="183" t="s">
        <v>334</v>
      </c>
      <c r="H2" s="183" t="s">
        <v>335</v>
      </c>
      <c r="I2" t="s">
        <v>63</v>
      </c>
      <c r="J2" t="s">
        <v>254</v>
      </c>
      <c r="K2" s="183" t="s">
        <v>336</v>
      </c>
      <c r="L2" s="183" t="s">
        <v>337</v>
      </c>
      <c r="M2" s="183" t="s">
        <v>338</v>
      </c>
      <c r="N2" s="183" t="s">
        <v>339</v>
      </c>
      <c r="O2" s="184" t="str">
        <f>"PK-CUS-POC-S13-"&amp;AutoIncrement!$B$2</f>
        <v>PK-CUS-POC-S13-5</v>
      </c>
      <c r="P2" s="184" t="str">
        <f>"PK-BU-POC-"&amp;AutoIncrement!$B$2</f>
        <v>PK-BU-POC-5</v>
      </c>
      <c r="Q2" s="184" t="str">
        <f>"PK-SUP-POC-"&amp;AutoIncrement!$B$2</f>
        <v>PK-SUP-POC-5</v>
      </c>
      <c r="R2" s="184" t="str">
        <f>"PK-DC"&amp;AutoIncrement!$B$2</f>
        <v>PK-DC5</v>
      </c>
    </row>
  </sheetData>
  <dataValidations count="1">
    <dataValidation type="list" allowBlank="1" showErrorMessage="1" sqref="H2" xr:uid="{B143F713-0793-4937-9216-CD8B48508AA4}">
      <formula1>tiemzone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/>
  <cols>
    <col min="2" max="2" width="24.332031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105" t="str">
        <f>'TC55'!B2</f>
        <v>TW12311003</v>
      </c>
    </row>
  </sheetData>
  <pageMargins left="0.7" right="0.7" top="0.75" bottom="0.75" header="0.3" footer="0.3"/>
  <pageSetup orientation="portrait" horizontalDpi="30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/>
  <cols>
    <col min="2" max="2" width="11.6640625" bestFit="1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B2" sqref="B2"/>
    </sheetView>
  </sheetViews>
  <sheetFormatPr defaultRowHeight="14.4"/>
  <cols>
    <col min="1" max="1" width="26.6640625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>
      <c r="A1" s="122" t="s">
        <v>214</v>
      </c>
      <c r="B1" s="90" t="s">
        <v>198</v>
      </c>
      <c r="C1" s="48" t="s">
        <v>215</v>
      </c>
      <c r="D1" s="48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Form'!C2</f>
        <v>B-231106-TBA-10</v>
      </c>
      <c r="B2" s="56" t="str">
        <f>'TC52-Upload Obound Form'!D2</f>
        <v>SEGU5069987</v>
      </c>
      <c r="C2" s="138" t="s">
        <v>235</v>
      </c>
      <c r="D2" s="56" t="s">
        <v>236</v>
      </c>
      <c r="E2" s="56" t="s">
        <v>237</v>
      </c>
      <c r="F2" s="56" t="s">
        <v>237</v>
      </c>
      <c r="G2" s="56" t="s">
        <v>237</v>
      </c>
      <c r="H2" s="56" t="s">
        <v>237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>
      <c r="A3" s="64" t="str">
        <f>'TC52-Upload Obound Form'!C3</f>
        <v>B-231106-TBA-10</v>
      </c>
      <c r="B3" s="50" t="str">
        <f>'TC52-Upload Obound Form'!D3</f>
        <v>CNO1234</v>
      </c>
      <c r="C3" s="50" t="s">
        <v>235</v>
      </c>
      <c r="D3" s="50" t="s">
        <v>236</v>
      </c>
      <c r="E3" s="50" t="s">
        <v>237</v>
      </c>
      <c r="F3" s="50" t="s">
        <v>237</v>
      </c>
      <c r="G3" s="50" t="s">
        <v>237</v>
      </c>
      <c r="H3" s="50" t="s">
        <v>237</v>
      </c>
      <c r="I3" s="50" t="s">
        <v>237</v>
      </c>
      <c r="J3" s="50" t="s">
        <v>237</v>
      </c>
      <c r="K3" s="50" t="s">
        <v>237</v>
      </c>
      <c r="L3" s="50" t="s">
        <v>237</v>
      </c>
      <c r="M3" s="50" t="s">
        <v>237</v>
      </c>
      <c r="N3" s="50" t="s">
        <v>237</v>
      </c>
      <c r="O3" s="50" t="s">
        <v>237</v>
      </c>
      <c r="P3" s="50" t="s">
        <v>237</v>
      </c>
      <c r="Q3" s="50" t="s">
        <v>237</v>
      </c>
      <c r="R3" s="50" t="s">
        <v>237</v>
      </c>
      <c r="S3" s="50" t="s">
        <v>237</v>
      </c>
      <c r="T3" s="50" t="s">
        <v>237</v>
      </c>
      <c r="U3" s="50" t="s">
        <v>237</v>
      </c>
      <c r="V3" s="66" t="s">
        <v>237</v>
      </c>
    </row>
    <row r="4" spans="1:22" s="7" customFormat="1" ht="15" thickBot="1">
      <c r="A4" s="33" t="str">
        <f>'TC52-Upload Obound Form'!C4</f>
        <v>B-231106-TBA-10</v>
      </c>
      <c r="B4" s="34"/>
      <c r="C4" s="34" t="s">
        <v>235</v>
      </c>
      <c r="D4" s="34" t="s">
        <v>236</v>
      </c>
      <c r="E4" s="34" t="s">
        <v>237</v>
      </c>
      <c r="F4" s="34" t="s">
        <v>237</v>
      </c>
      <c r="G4" s="34" t="s">
        <v>237</v>
      </c>
      <c r="H4" s="34" t="s">
        <v>237</v>
      </c>
      <c r="I4" s="34" t="s">
        <v>237</v>
      </c>
      <c r="J4" s="34" t="s">
        <v>237</v>
      </c>
      <c r="K4" s="34" t="s">
        <v>237</v>
      </c>
      <c r="L4" s="34" t="s">
        <v>237</v>
      </c>
      <c r="M4" s="34" t="s">
        <v>237</v>
      </c>
      <c r="N4" s="34" t="s">
        <v>237</v>
      </c>
      <c r="O4" s="34" t="s">
        <v>237</v>
      </c>
      <c r="P4" s="34" t="s">
        <v>237</v>
      </c>
      <c r="Q4" s="34" t="s">
        <v>237</v>
      </c>
      <c r="R4" s="34" t="s">
        <v>237</v>
      </c>
      <c r="S4" s="34" t="s">
        <v>237</v>
      </c>
      <c r="T4" s="34" t="s">
        <v>237</v>
      </c>
      <c r="U4" s="34" t="s">
        <v>237</v>
      </c>
      <c r="V4" s="35" t="s">
        <v>237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115" zoomScaleNormal="115" workbookViewId="0">
      <selection activeCell="B2" sqref="B2"/>
    </sheetView>
  </sheetViews>
  <sheetFormatPr defaultRowHeight="14.4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>
      <c r="A1" s="122" t="s">
        <v>214</v>
      </c>
      <c r="B1" s="90" t="s">
        <v>198</v>
      </c>
      <c r="C1" s="85" t="s">
        <v>238</v>
      </c>
      <c r="D1" s="48" t="s">
        <v>340</v>
      </c>
      <c r="E1" s="48" t="s">
        <v>239</v>
      </c>
      <c r="F1" s="12" t="s">
        <v>240</v>
      </c>
      <c r="G1" s="139" t="s">
        <v>241</v>
      </c>
      <c r="H1" s="139" t="s">
        <v>242</v>
      </c>
      <c r="I1" s="85" t="s">
        <v>243</v>
      </c>
      <c r="J1" s="85" t="s">
        <v>244</v>
      </c>
      <c r="K1" s="85" t="s">
        <v>245</v>
      </c>
      <c r="L1" s="85" t="s">
        <v>246</v>
      </c>
      <c r="M1" s="85" t="s">
        <v>247</v>
      </c>
      <c r="N1" s="85" t="s">
        <v>248</v>
      </c>
      <c r="O1" s="86" t="s">
        <v>249</v>
      </c>
    </row>
    <row r="2" spans="1:15">
      <c r="A2" s="68" t="str">
        <f>'TC52-Upload Obound Form'!C3</f>
        <v>B-231106-TBA-10</v>
      </c>
      <c r="B2" s="56" t="str">
        <f>'TC52-Upload Obound Form'!D2</f>
        <v>SEGU5069987</v>
      </c>
      <c r="C2" s="82" t="s">
        <v>86</v>
      </c>
      <c r="D2" s="56" t="s">
        <v>204</v>
      </c>
      <c r="E2" s="56" t="s">
        <v>86</v>
      </c>
      <c r="F2" s="61" t="s">
        <v>250</v>
      </c>
      <c r="G2" s="83">
        <f ca="1">TODAY()-2</f>
        <v>45237</v>
      </c>
      <c r="H2" s="83">
        <f ca="1">TODAY()</f>
        <v>45239</v>
      </c>
      <c r="I2" s="82" t="s">
        <v>251</v>
      </c>
      <c r="J2" s="83">
        <f ca="1">TODAY()-2</f>
        <v>45237</v>
      </c>
      <c r="K2" s="82" t="s">
        <v>252</v>
      </c>
      <c r="L2" s="82" t="s">
        <v>253</v>
      </c>
      <c r="M2" s="82">
        <v>1</v>
      </c>
      <c r="N2" s="82">
        <v>1</v>
      </c>
      <c r="O2" s="84">
        <v>1</v>
      </c>
    </row>
    <row r="3" spans="1:15">
      <c r="A3" s="64" t="str">
        <f>'TC52-Upload Obound Form'!C3</f>
        <v>B-231106-TBA-10</v>
      </c>
      <c r="B3" s="50" t="str">
        <f>'TC52-Upload Obound Form'!D3</f>
        <v>CNO1234</v>
      </c>
      <c r="C3" s="76" t="s">
        <v>254</v>
      </c>
      <c r="D3" s="50" t="s">
        <v>33</v>
      </c>
      <c r="E3" s="50" t="s">
        <v>254</v>
      </c>
      <c r="F3" s="27" t="s">
        <v>219</v>
      </c>
      <c r="G3" s="77">
        <f ca="1">TODAY()-2</f>
        <v>45237</v>
      </c>
      <c r="H3" s="77">
        <f ca="1">TODAY()</f>
        <v>45239</v>
      </c>
      <c r="I3" s="76" t="s">
        <v>251</v>
      </c>
      <c r="J3" s="77">
        <f ca="1">TODAY()-2</f>
        <v>45237</v>
      </c>
      <c r="K3" s="76" t="s">
        <v>252</v>
      </c>
      <c r="L3" s="76" t="s">
        <v>253</v>
      </c>
      <c r="M3" s="76">
        <v>1</v>
      </c>
      <c r="N3" s="76">
        <v>1</v>
      </c>
      <c r="O3" s="78">
        <v>1</v>
      </c>
    </row>
    <row r="4" spans="1:15" ht="15" thickBot="1">
      <c r="A4" s="33" t="str">
        <f>'TC52-Upload Obound Form'!C4</f>
        <v>B-231106-TBA-10</v>
      </c>
      <c r="B4" s="34"/>
      <c r="C4" s="79" t="s">
        <v>254</v>
      </c>
      <c r="D4" s="34" t="s">
        <v>33</v>
      </c>
      <c r="E4" s="34" t="s">
        <v>254</v>
      </c>
      <c r="F4" s="28" t="s">
        <v>219</v>
      </c>
      <c r="G4" s="80">
        <f ca="1">TODAY()-2</f>
        <v>45237</v>
      </c>
      <c r="H4" s="80">
        <f ca="1">TODAY()</f>
        <v>45239</v>
      </c>
      <c r="I4" s="79" t="s">
        <v>251</v>
      </c>
      <c r="J4" s="80">
        <f ca="1">TODAY()-2</f>
        <v>45237</v>
      </c>
      <c r="K4" s="79" t="s">
        <v>252</v>
      </c>
      <c r="L4" s="79" t="s">
        <v>253</v>
      </c>
      <c r="M4" s="79">
        <v>1</v>
      </c>
      <c r="N4" s="79">
        <v>1</v>
      </c>
      <c r="O4" s="81">
        <v>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>
      <c r="A1" s="11" t="s">
        <v>243</v>
      </c>
      <c r="B1" s="12" t="s">
        <v>245</v>
      </c>
      <c r="C1" s="12" t="s">
        <v>246</v>
      </c>
      <c r="D1" s="12" t="s">
        <v>247</v>
      </c>
      <c r="E1" s="12" t="s">
        <v>248</v>
      </c>
      <c r="F1" s="13" t="s">
        <v>249</v>
      </c>
    </row>
    <row r="2" spans="1:6" ht="15" thickBot="1">
      <c r="A2" s="30" t="s">
        <v>251</v>
      </c>
      <c r="B2" s="23" t="s">
        <v>252</v>
      </c>
      <c r="C2" s="23" t="s">
        <v>253</v>
      </c>
      <c r="D2" s="23">
        <v>1</v>
      </c>
      <c r="E2" s="23">
        <v>1</v>
      </c>
      <c r="F2" s="3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G2"/>
  <sheetViews>
    <sheetView workbookViewId="0">
      <selection activeCell="E1" sqref="E1:F1"/>
    </sheetView>
  </sheetViews>
  <sheetFormatPr defaultRowHeight="14.4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  <col min="6" max="6" width="18.33203125" customWidth="1" collapsed="1"/>
  </cols>
  <sheetData>
    <row r="1" spans="1:7" ht="15" thickBot="1">
      <c r="A1" s="200" t="s">
        <v>255</v>
      </c>
      <c r="B1" s="140" t="s">
        <v>256</v>
      </c>
      <c r="C1" s="140" t="s">
        <v>257</v>
      </c>
      <c r="D1" s="141" t="s">
        <v>258</v>
      </c>
      <c r="E1" s="201" t="s">
        <v>341</v>
      </c>
      <c r="F1" s="201" t="s">
        <v>342</v>
      </c>
    </row>
    <row r="2" spans="1:7">
      <c r="A2" t="s">
        <v>202</v>
      </c>
      <c r="B2" t="s">
        <v>259</v>
      </c>
      <c r="C2" t="s">
        <v>259</v>
      </c>
      <c r="D2" t="s">
        <v>260</v>
      </c>
      <c r="E2" t="s">
        <v>343</v>
      </c>
      <c r="F2" t="s">
        <v>344</v>
      </c>
      <c r="G2" s="5" t="s">
        <v>261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S2"/>
  <sheetViews>
    <sheetView zoomScale="70" zoomScaleNormal="70" workbookViewId="0">
      <selection activeCell="E23" sqref="E23"/>
    </sheetView>
  </sheetViews>
  <sheetFormatPr defaultRowHeight="14.4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7" width="21.6640625" customWidth="1" collapsed="1"/>
    <col min="8" max="8" width="41" customWidth="1" collapsed="1"/>
    <col min="9" max="9" width="22.44140625" customWidth="1" collapsed="1"/>
    <col min="10" max="10" width="22" customWidth="1" collapsed="1"/>
    <col min="11" max="17" width="24" bestFit="1" customWidth="1" collapsed="1"/>
    <col min="18" max="18" width="29" bestFit="1" customWidth="1" collapsed="1"/>
    <col min="19" max="19" width="24" bestFit="1" customWidth="1" collapsed="1"/>
  </cols>
  <sheetData>
    <row r="1" spans="1:19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202" t="s">
        <v>341</v>
      </c>
      <c r="G1" s="202" t="s">
        <v>342</v>
      </c>
      <c r="H1" s="88" t="s">
        <v>264</v>
      </c>
      <c r="I1" s="88" t="s">
        <v>250</v>
      </c>
      <c r="J1" s="88" t="s">
        <v>265</v>
      </c>
      <c r="K1" s="88" t="s">
        <v>266</v>
      </c>
      <c r="L1" s="88" t="s">
        <v>267</v>
      </c>
      <c r="M1" s="88" t="s">
        <v>268</v>
      </c>
      <c r="N1" s="88" t="s">
        <v>269</v>
      </c>
      <c r="O1" s="88" t="s">
        <v>270</v>
      </c>
      <c r="P1" s="88" t="s">
        <v>271</v>
      </c>
      <c r="Q1" s="88" t="s">
        <v>272</v>
      </c>
      <c r="R1" s="88" t="s">
        <v>273</v>
      </c>
      <c r="S1" s="142" t="s">
        <v>274</v>
      </c>
    </row>
    <row r="2" spans="1:19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23" t="str">
        <f>'TC063'!$E$2</f>
        <v>Empty container returned</v>
      </c>
      <c r="G2" s="23" t="str">
        <f>'TC063'!$F$2</f>
        <v>07 Jul 2023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7" t="s">
        <v>276</v>
      </c>
      <c r="R2" s="37" t="s">
        <v>276</v>
      </c>
      <c r="S2" s="38" t="s">
        <v>276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/>
  <cols>
    <col min="1" max="1" width="40.554687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236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236</v>
      </c>
      <c r="I3" s="34" t="s">
        <v>237</v>
      </c>
      <c r="J3" s="34" t="s">
        <v>237</v>
      </c>
      <c r="K3" s="34" t="s">
        <v>237</v>
      </c>
      <c r="L3" s="34" t="s">
        <v>237</v>
      </c>
      <c r="M3" s="34" t="s">
        <v>237</v>
      </c>
      <c r="N3" s="34" t="s">
        <v>237</v>
      </c>
      <c r="O3" s="34" t="s">
        <v>237</v>
      </c>
      <c r="P3" s="34" t="s">
        <v>237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Y4"/>
  <sheetViews>
    <sheetView topLeftCell="G1" zoomScale="85" zoomScaleNormal="85" workbookViewId="0">
      <selection activeCell="S18" sqref="S18"/>
    </sheetView>
  </sheetViews>
  <sheetFormatPr defaultRowHeight="14.4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2" max="22" width="17.6640625" customWidth="1" collapsed="1"/>
    <col min="23" max="23" width="18.109375" bestFit="1" customWidth="1" collapsed="1"/>
  </cols>
  <sheetData>
    <row r="1" spans="1:25" ht="15" thickBot="1">
      <c r="A1" s="145" t="s">
        <v>177</v>
      </c>
      <c r="B1" s="48" t="s">
        <v>178</v>
      </c>
      <c r="C1" s="48" t="s">
        <v>152</v>
      </c>
      <c r="D1" s="48" t="s">
        <v>153</v>
      </c>
      <c r="E1" s="48" t="s">
        <v>154</v>
      </c>
      <c r="F1" s="146" t="s">
        <v>121</v>
      </c>
      <c r="G1" s="146" t="s">
        <v>155</v>
      </c>
      <c r="H1" s="48" t="s">
        <v>156</v>
      </c>
      <c r="I1" s="146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313</v>
      </c>
      <c r="Y1" s="49" t="s">
        <v>314</v>
      </c>
    </row>
    <row r="2" spans="1:25" ht="15.75" customHeight="1">
      <c r="A2" s="68" t="str">
        <f ca="1">'TC44'!B2</f>
        <v>sTBA-2311001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Info'!D2</f>
        <v>CNTW-SUP-TBA-scenario13-20230604-001</v>
      </c>
      <c r="H2" s="56" t="s">
        <v>173</v>
      </c>
      <c r="I2" s="56" t="str">
        <f ca="1">'TC42'!B2</f>
        <v>cTBA-2311001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50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A17-3EC0-4360-B92A-8DA298113376}">
  <dimension ref="A1:M2"/>
  <sheetViews>
    <sheetView workbookViewId="0">
      <selection activeCell="C2" sqref="C2"/>
    </sheetView>
  </sheetViews>
  <sheetFormatPr defaultRowHeight="14.4"/>
  <cols>
    <col min="1" max="1" width="27.21875" customWidth="1" collapsed="1"/>
    <col min="2" max="2" width="34.88671875" customWidth="1" collapsed="1"/>
    <col min="3" max="3" width="24.77734375" customWidth="1" collapsed="1"/>
  </cols>
  <sheetData>
    <row r="1" spans="1:13">
      <c r="A1" s="185" t="s">
        <v>318</v>
      </c>
      <c r="B1" s="186" t="s">
        <v>329</v>
      </c>
      <c r="C1" s="185" t="s">
        <v>319</v>
      </c>
      <c r="D1" s="185" t="s">
        <v>320</v>
      </c>
      <c r="E1" s="185" t="s">
        <v>321</v>
      </c>
      <c r="F1" s="185" t="s">
        <v>322</v>
      </c>
      <c r="G1" s="185" t="s">
        <v>323</v>
      </c>
      <c r="H1" s="185" t="s">
        <v>41</v>
      </c>
      <c r="I1" s="185" t="s">
        <v>324</v>
      </c>
      <c r="J1" s="185" t="s">
        <v>325</v>
      </c>
      <c r="K1" s="185" t="s">
        <v>326</v>
      </c>
      <c r="L1" s="185" t="s">
        <v>327</v>
      </c>
      <c r="M1" s="185" t="s">
        <v>328</v>
      </c>
    </row>
    <row r="2" spans="1:13" ht="66">
      <c r="A2" s="187" t="str">
        <f>'TC03-Company'!$C$2</f>
        <v>PK-PK-CUS-S13-5</v>
      </c>
      <c r="B2" s="187" t="str">
        <f>'TC03-Company'!$O$2</f>
        <v>PK-CUS-POC-S13-5</v>
      </c>
      <c r="C2" s="187" t="str">
        <f>'TC03-Company'!$D$2</f>
        <v>PK-CUS by Upload S13-5</v>
      </c>
      <c r="D2" s="187" t="str">
        <f>'TC03-Company'!$E$2</f>
        <v>PK5</v>
      </c>
      <c r="E2" s="188" t="s">
        <v>333</v>
      </c>
      <c r="F2" s="188" t="s">
        <v>334</v>
      </c>
      <c r="G2" s="188" t="s">
        <v>335</v>
      </c>
      <c r="H2" s="189" t="s">
        <v>63</v>
      </c>
      <c r="I2" s="189" t="s">
        <v>254</v>
      </c>
      <c r="J2" s="188" t="s">
        <v>336</v>
      </c>
      <c r="K2" s="188" t="s">
        <v>337</v>
      </c>
      <c r="L2" s="188" t="s">
        <v>338</v>
      </c>
      <c r="M2" s="188" t="s">
        <v>339</v>
      </c>
    </row>
  </sheetData>
  <dataValidations count="1">
    <dataValidation type="list" allowBlank="1" showErrorMessage="1" sqref="G2" xr:uid="{7B73B7F0-2942-4D7C-B48D-CE5C018FADEC}">
      <formula1>tiemzone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G1" workbookViewId="0">
      <selection activeCell="O2" sqref="O2:O4"/>
    </sheetView>
  </sheetViews>
  <sheetFormatPr defaultRowHeight="14.4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9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9" t="s">
        <v>170</v>
      </c>
    </row>
    <row r="2" spans="1:23" ht="15" customHeight="1">
      <c r="A2" s="3" t="str">
        <f ca="1">'TC42'!B2</f>
        <v>cTBA-2311001</v>
      </c>
      <c r="B2" s="3" t="s">
        <v>211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173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8">
        <v>150</v>
      </c>
      <c r="N2" s="56">
        <v>0</v>
      </c>
      <c r="O2" s="204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175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4">
        <v>150</v>
      </c>
      <c r="N3" s="50">
        <v>0</v>
      </c>
      <c r="O3" s="204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176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3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D2" sqref="D2"/>
    </sheetView>
  </sheetViews>
  <sheetFormatPr defaultRowHeight="14.4"/>
  <cols>
    <col min="2" max="2" width="25.6640625" bestFit="1" customWidth="1" collapsed="1"/>
    <col min="3" max="3" width="12.44140625" bestFit="1" customWidth="1" collapsed="1"/>
    <col min="4" max="4" width="3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>
      <c r="A1" s="11" t="s">
        <v>33</v>
      </c>
      <c r="B1" s="147" t="s">
        <v>196</v>
      </c>
      <c r="C1" s="147" t="s">
        <v>198</v>
      </c>
      <c r="D1" s="115" t="s">
        <v>277</v>
      </c>
      <c r="E1" s="147" t="s">
        <v>278</v>
      </c>
      <c r="F1" s="147" t="s">
        <v>242</v>
      </c>
      <c r="G1" s="13" t="s">
        <v>23</v>
      </c>
    </row>
    <row r="2" spans="1:7">
      <c r="A2" s="8">
        <v>1</v>
      </c>
      <c r="B2" s="61" t="str">
        <f>'TC52-Upload Obound Form'!B2</f>
        <v>o-CNTW-SUP-POC-231106-10</v>
      </c>
      <c r="C2" s="61" t="str">
        <f>IF('TC52-Upload Obound Form'!D4="","",'TC52-Upload Obound Form'!D4)</f>
        <v/>
      </c>
      <c r="D2" t="s">
        <v>345</v>
      </c>
      <c r="E2" s="93" t="str">
        <f>'TC52-Autogen Outbound Data'!$C$2</f>
        <v>Nov 10, 2023</v>
      </c>
      <c r="F2" s="93" t="str">
        <f>'TC52-Autogen Outbound Data'!D$2</f>
        <v>Nov 20, 2023</v>
      </c>
      <c r="G2" s="94" t="s">
        <v>279</v>
      </c>
    </row>
    <row r="3" spans="1:7">
      <c r="A3" s="9">
        <v>2</v>
      </c>
      <c r="B3" s="27" t="str">
        <f>'TC52-Upload Obound Form'!B2</f>
        <v>o-CNTW-SUP-POC-231106-10</v>
      </c>
      <c r="C3" s="27" t="str">
        <f>'TC52-Upload Obound Form'!D3</f>
        <v>CNO1234</v>
      </c>
      <c r="D3" t="s">
        <v>346</v>
      </c>
      <c r="E3" s="91" t="str">
        <f>'TC52-Autogen Outbound Data'!C$2</f>
        <v>Nov 10, 2023</v>
      </c>
      <c r="F3" s="91" t="str">
        <f>'TC52-Autogen Outbound Data'!D$2</f>
        <v>Nov 20, 2023</v>
      </c>
      <c r="G3" s="58"/>
    </row>
    <row r="4" spans="1:7" ht="15" thickBot="1">
      <c r="A4" s="10">
        <v>3</v>
      </c>
      <c r="B4" s="28" t="str">
        <f>'TC52-Upload Obound Form'!B2</f>
        <v>o-CNTW-SUP-POC-231106-10</v>
      </c>
      <c r="C4" s="28" t="str">
        <f>'TC52-Upload Obound Form'!D2</f>
        <v>SEGU5069987</v>
      </c>
      <c r="D4" t="s">
        <v>347</v>
      </c>
      <c r="E4" s="92" t="str">
        <f>'TC52-Autogen Outbound Data'!C$2</f>
        <v>Nov 10, 2023</v>
      </c>
      <c r="F4" s="92" t="str">
        <f>'TC52-Autogen Outbound Data'!D$2</f>
        <v>Nov 20, 2023</v>
      </c>
      <c r="G4" s="29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/>
  <cols>
    <col min="2" max="2" width="19.44140625" customWidth="1" collapsed="1"/>
    <col min="3" max="4" width="11.33203125" bestFit="1" customWidth="1" collapsed="1"/>
  </cols>
  <sheetData>
    <row r="1" spans="1:4" ht="15" thickBot="1">
      <c r="A1" s="11" t="s">
        <v>33</v>
      </c>
      <c r="B1" s="113" t="s">
        <v>213</v>
      </c>
      <c r="C1" s="113" t="s">
        <v>242</v>
      </c>
      <c r="D1" s="114" t="s">
        <v>278</v>
      </c>
    </row>
    <row r="2" spans="1:4" ht="15" thickBot="1">
      <c r="A2" s="30">
        <v>1</v>
      </c>
      <c r="B2" s="23" t="str">
        <f>'TC55'!B2</f>
        <v>TW12311003</v>
      </c>
      <c r="C2" s="95" t="str">
        <f>'TC52-Autogen Outbound Data'!D$2</f>
        <v>Nov 20, 2023</v>
      </c>
      <c r="D2" s="96" t="str">
        <f>'TC52-Autogen Outbound Data'!$C$2</f>
        <v>Nov 10, 2023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/>
  <cols>
    <col min="2" max="2" width="17.33203125" customWidth="1" collapsed="1"/>
    <col min="3" max="3" width="30.5546875" customWidth="1" collapsed="1"/>
  </cols>
  <sheetData>
    <row r="1" spans="1:3" ht="15" thickBot="1">
      <c r="A1" s="11" t="s">
        <v>33</v>
      </c>
      <c r="B1" s="113" t="s">
        <v>213</v>
      </c>
      <c r="C1" s="114" t="s">
        <v>92</v>
      </c>
    </row>
    <row r="2" spans="1:3" ht="15" thickBot="1">
      <c r="A2" s="30">
        <v>1</v>
      </c>
      <c r="B2" s="23" t="str">
        <f>'TC56-Custom Invoice Exp'!B2</f>
        <v>TW12311003</v>
      </c>
      <c r="C2" s="31" t="str">
        <f>'TC35'!C2</f>
        <v>CNTWSUP-PKCUS-TBA-010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/>
  <cols>
    <col min="1" max="1" width="10.33203125" customWidth="1" collapsed="1"/>
    <col min="2" max="2" width="13.441406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85" zoomScaleNormal="85" workbookViewId="0">
      <selection activeCell="G28" sqref="G28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34AC-EB51-4D24-9F1F-824D475B3DB8}">
  <dimension ref="A1:Q2"/>
  <sheetViews>
    <sheetView workbookViewId="0">
      <selection activeCell="F2" sqref="F2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13" max="13" width="22.33203125" customWidth="1" collapsed="1"/>
  </cols>
  <sheetData>
    <row r="1" spans="1:17">
      <c r="A1" s="190" t="s">
        <v>318</v>
      </c>
      <c r="B1" s="191" t="s">
        <v>330</v>
      </c>
      <c r="C1" s="190" t="s">
        <v>319</v>
      </c>
      <c r="D1" s="185" t="s">
        <v>320</v>
      </c>
      <c r="E1" s="185" t="s">
        <v>321</v>
      </c>
      <c r="F1" s="185" t="s">
        <v>322</v>
      </c>
      <c r="G1" s="185" t="s">
        <v>323</v>
      </c>
      <c r="H1" s="185" t="s">
        <v>41</v>
      </c>
      <c r="I1" s="185" t="s">
        <v>324</v>
      </c>
      <c r="J1" s="185" t="s">
        <v>325</v>
      </c>
      <c r="K1" s="185" t="s">
        <v>326</v>
      </c>
      <c r="L1" s="185" t="s">
        <v>327</v>
      </c>
      <c r="M1" s="185" t="s">
        <v>328</v>
      </c>
    </row>
    <row r="2" spans="1:17" s="192" customFormat="1" ht="57.75" customHeight="1">
      <c r="A2" s="187" t="str">
        <f>'TC03-Company'!$C$2</f>
        <v>PK-PK-CUS-S13-5</v>
      </c>
      <c r="B2" s="187" t="str">
        <f>'TC03-Company'!$P$2</f>
        <v>PK-BU-POC-5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333</v>
      </c>
      <c r="F2" s="188" t="s">
        <v>334</v>
      </c>
      <c r="G2" s="188" t="s">
        <v>335</v>
      </c>
      <c r="H2" s="189" t="s">
        <v>63</v>
      </c>
      <c r="I2" s="189" t="s">
        <v>254</v>
      </c>
      <c r="J2" s="188" t="s">
        <v>336</v>
      </c>
      <c r="K2" s="188" t="s">
        <v>337</v>
      </c>
      <c r="L2" s="188" t="s">
        <v>338</v>
      </c>
      <c r="M2" s="188" t="s">
        <v>339</v>
      </c>
      <c r="O2" s="193"/>
      <c r="Q2" s="194"/>
    </row>
  </sheetData>
  <dataValidations count="1">
    <dataValidation type="list" allowBlank="1" showErrorMessage="1" sqref="G2" xr:uid="{443B0E05-B78D-4936-953A-6DE571B44364}">
      <formula1>tiemzone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7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236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236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topLeftCell="B1" zoomScale="70" zoomScaleNormal="70" workbookViewId="0">
      <selection activeCell="E2" sqref="E2"/>
    </sheetView>
  </sheetViews>
  <sheetFormatPr defaultRowHeight="14.4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>
      <c r="A1" s="11" t="str">
        <f>'TC069'!A1</f>
        <v>No</v>
      </c>
      <c r="B1" s="113" t="s">
        <v>88</v>
      </c>
      <c r="C1" s="113" t="str">
        <f>'TC069'!B1</f>
        <v>OutboundNo</v>
      </c>
      <c r="D1" s="113" t="str">
        <f>'TC069'!C1</f>
        <v>ContainerNo</v>
      </c>
      <c r="E1" s="113" t="str">
        <f>'TC069'!D1</f>
        <v>InboundNo</v>
      </c>
      <c r="F1" s="113" t="s">
        <v>280</v>
      </c>
      <c r="G1" s="113" t="s">
        <v>281</v>
      </c>
      <c r="H1" s="12" t="s">
        <v>282</v>
      </c>
      <c r="I1" s="12" t="s">
        <v>283</v>
      </c>
      <c r="J1" s="12" t="s">
        <v>284</v>
      </c>
      <c r="K1" s="12" t="s">
        <v>285</v>
      </c>
      <c r="L1" s="12" t="s">
        <v>286</v>
      </c>
      <c r="M1" s="13" t="s">
        <v>287</v>
      </c>
    </row>
    <row r="2" spans="1:13">
      <c r="A2" s="8">
        <f>'TC069'!A2</f>
        <v>1</v>
      </c>
      <c r="B2" s="148" t="str">
        <f>'TC35-Contract Parts Info'!B4</f>
        <v>TBAscenario1320230614013</v>
      </c>
      <c r="C2" s="61" t="str">
        <f>'TC069'!B2</f>
        <v>o-CNTW-SUP-POC-231106-10</v>
      </c>
      <c r="D2" s="61" t="str">
        <f>'TC069'!C2</f>
        <v/>
      </c>
      <c r="E2" s="61" t="str">
        <f>'TC069'!D2</f>
        <v>i-PK-CUS-POC-S13-5-231106001</v>
      </c>
      <c r="F2" s="149" t="str">
        <f ca="1">"i-CNTW-SUP-POC-"&amp;TEXT(TODAY(),"yymmdd")&amp;"-"&amp;'TC35'!K$2&amp;"-001"</f>
        <v>i-CNTW-SUP-POC-231109-TBA-001</v>
      </c>
      <c r="G2" s="61" t="str">
        <f ca="1">TEXT(TODAY(),"d mmm yyyy")</f>
        <v>9 Nov 2023</v>
      </c>
      <c r="H2" s="61"/>
      <c r="I2" s="61"/>
      <c r="J2" s="61"/>
      <c r="K2" s="61">
        <v>1</v>
      </c>
      <c r="L2" s="61">
        <v>1</v>
      </c>
      <c r="M2" s="62">
        <v>1</v>
      </c>
    </row>
    <row r="3" spans="1:13">
      <c r="A3" s="9">
        <f>'TC069'!A3</f>
        <v>2</v>
      </c>
      <c r="B3" s="150" t="str">
        <f>'TC35-Contract Parts Info'!B3</f>
        <v>TBAscenario1320230614012</v>
      </c>
      <c r="C3" s="27" t="str">
        <f>'TC069'!B3</f>
        <v>o-CNTW-SUP-POC-231106-10</v>
      </c>
      <c r="D3" s="27" t="str">
        <f>'TC069'!C3</f>
        <v>CNO1234</v>
      </c>
      <c r="E3" s="27" t="str">
        <f>'TC069'!D3</f>
        <v>i-PK-CUS-POC-S13-5-231106002</v>
      </c>
      <c r="F3" s="151" t="str">
        <f ca="1">"i-CNTW-SUP-POC-"&amp;TEXT(TODAY(),"yymmdd")&amp;"-"&amp;'TC35'!K$2&amp;"-001"</f>
        <v>i-CNTW-SUP-POC-231109-TBA-001</v>
      </c>
      <c r="G3" s="27" t="str">
        <f t="shared" ref="G3:G4" ca="1" si="0">TEXT(TODAY(),"d mmm yyyy")</f>
        <v>9 Nov 2023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58">
        <v>1</v>
      </c>
    </row>
    <row r="4" spans="1:13" ht="15" thickBot="1">
      <c r="A4" s="10">
        <f>'TC069'!A4</f>
        <v>3</v>
      </c>
      <c r="B4" s="152" t="str">
        <f>'TC35-Contract Parts Info'!B2</f>
        <v>TBAscenario1320230614011</v>
      </c>
      <c r="C4" s="28" t="str">
        <f>'TC069'!B4</f>
        <v>o-CNTW-SUP-POC-231106-10</v>
      </c>
      <c r="D4" s="28" t="str">
        <f>'TC069'!C4</f>
        <v>SEGU5069987</v>
      </c>
      <c r="E4" s="28" t="str">
        <f>'TC069'!D4</f>
        <v>i-PK-CUS-POC-S13-5-231106003</v>
      </c>
      <c r="F4" s="153" t="str">
        <f ca="1">"i-CNTW-SUP-POC-"&amp;TEXT(TODAY(),"yymmdd")&amp;"-"&amp;'TC35'!K$2&amp;"-001"</f>
        <v>i-CNTW-SUP-POC-231109-TBA-001</v>
      </c>
      <c r="G4" s="28" t="str">
        <f t="shared" ca="1" si="0"/>
        <v>9 Nov 2023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9">
        <v>1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2" sqref="O2:O4"/>
    </sheetView>
  </sheetViews>
  <sheetFormatPr defaultRowHeight="14.4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9" t="s">
        <v>169</v>
      </c>
    </row>
    <row r="2" spans="1:22" ht="15" customHeight="1">
      <c r="A2" s="68" t="str">
        <f ca="1">'TC42'!B2</f>
        <v>cTBA-2311001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Info'!C2</f>
        <v>PK-CUS-TBA-scenario13-20230604-001</v>
      </c>
      <c r="H2" s="56" t="s">
        <v>173</v>
      </c>
      <c r="I2" s="56" t="str">
        <f ca="1">'TC44'!B2</f>
        <v>sTBA-2311001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4">
        <f>'TC46-Price'!$B2</f>
        <v>3.05</v>
      </c>
      <c r="P2" s="56" t="s">
        <v>114</v>
      </c>
      <c r="Q2" s="56" t="s">
        <v>210</v>
      </c>
      <c r="R2" s="56">
        <v>150</v>
      </c>
      <c r="S2" s="56">
        <v>150</v>
      </c>
      <c r="T2" s="56" t="s">
        <v>174</v>
      </c>
      <c r="U2" s="56">
        <v>0</v>
      </c>
      <c r="V2" s="70" t="s">
        <v>174</v>
      </c>
    </row>
    <row r="3" spans="1:22" ht="28.8">
      <c r="A3" s="9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Info'!C3</f>
        <v>PK-CUS-TBA-scenario13-20230604-002</v>
      </c>
      <c r="H3" s="50" t="s">
        <v>175</v>
      </c>
      <c r="I3" s="50" t="str">
        <f ca="1">'TC44'!B2</f>
        <v>sTBA-2311001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4">
        <f>'TC46-Price'!$B3</f>
        <v>1.05</v>
      </c>
      <c r="P3" s="50" t="s">
        <v>114</v>
      </c>
      <c r="Q3" s="50" t="s">
        <v>210</v>
      </c>
      <c r="R3" s="50">
        <v>150</v>
      </c>
      <c r="S3" s="50">
        <v>100</v>
      </c>
      <c r="T3" s="50" t="s">
        <v>174</v>
      </c>
      <c r="U3" s="50">
        <v>50</v>
      </c>
      <c r="V3" s="66" t="s">
        <v>174</v>
      </c>
    </row>
    <row r="4" spans="1:22" ht="29.4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Info'!C4</f>
        <v>PK-CUS-TBA-scenario13-20230604-003</v>
      </c>
      <c r="H4" s="34" t="s">
        <v>176</v>
      </c>
      <c r="I4" s="34" t="str">
        <f ca="1">'TC44'!B2</f>
        <v>sTBA-2311001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210</v>
      </c>
      <c r="R4" s="34">
        <v>50</v>
      </c>
      <c r="S4" s="34">
        <v>0</v>
      </c>
      <c r="T4" s="34" t="s">
        <v>174</v>
      </c>
      <c r="U4" s="34">
        <v>50</v>
      </c>
      <c r="V4" s="35" t="s">
        <v>174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Y4"/>
  <sheetViews>
    <sheetView topLeftCell="G1" zoomScaleNormal="100" workbookViewId="0">
      <selection activeCell="W13" sqref="W13"/>
    </sheetView>
  </sheetViews>
  <sheetFormatPr defaultRowHeight="14.4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5" ht="15" thickBot="1">
      <c r="A1" s="39" t="s">
        <v>177</v>
      </c>
      <c r="B1" s="117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48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313</v>
      </c>
      <c r="Y1" s="49" t="s">
        <v>314</v>
      </c>
    </row>
    <row r="2" spans="1:25" ht="15.75" customHeight="1">
      <c r="A2" s="68" t="str">
        <f ca="1">'TC44'!B2</f>
        <v>sTBA-2311001</v>
      </c>
      <c r="B2" s="56" t="s">
        <v>210</v>
      </c>
      <c r="C2" s="56"/>
      <c r="D2" s="56"/>
      <c r="E2" s="56"/>
      <c r="F2" s="55" t="str">
        <f>'TC35-Contract Parts Info'!B2</f>
        <v>TBAscenario1320230614011</v>
      </c>
      <c r="G2" s="55" t="str">
        <f>'TC35-Contract Parts Info'!D2</f>
        <v>CNTW-SUP-TBA-scenario13-20230604-001</v>
      </c>
      <c r="H2" s="56" t="s">
        <v>173</v>
      </c>
      <c r="I2" s="56" t="str">
        <f ca="1">'TC42'!B2</f>
        <v>cTBA-2311001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0</v>
      </c>
      <c r="S2" s="56">
        <v>150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43.2">
      <c r="A3" s="64"/>
      <c r="B3" s="50"/>
      <c r="C3" s="50"/>
      <c r="D3" s="50"/>
      <c r="E3" s="50"/>
      <c r="F3" s="51" t="str">
        <f>'TC35-Contract Parts Info'!B3</f>
        <v>TBAscenario1320230614012</v>
      </c>
      <c r="G3" s="51" t="str">
        <f>'TC35-Contract Parts Info'!D3</f>
        <v>CNTW-SUP-TBA-scenario13-20230604-002</v>
      </c>
      <c r="H3" s="50" t="s">
        <v>175</v>
      </c>
      <c r="I3" s="50" t="str">
        <f ca="1">'TC42'!B2</f>
        <v>cTBA-2311001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0</v>
      </c>
      <c r="S3" s="50">
        <v>150</v>
      </c>
      <c r="T3" s="205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43.8" thickBot="1">
      <c r="A4" s="33"/>
      <c r="B4" s="34"/>
      <c r="C4" s="34"/>
      <c r="D4" s="34"/>
      <c r="E4" s="34"/>
      <c r="F4" s="52" t="str">
        <f>'TC35-Contract Parts Info'!B4</f>
        <v>TBAscenario1320230614013</v>
      </c>
      <c r="G4" s="52" t="str">
        <f>'TC35-Contract Parts Info'!D4</f>
        <v>CNTW-SUP-TBA-scenario13-20230604-003</v>
      </c>
      <c r="H4" s="34" t="s">
        <v>176</v>
      </c>
      <c r="I4" s="34" t="str">
        <f ca="1">'TC42'!B2</f>
        <v>cTBA-2311001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0</v>
      </c>
      <c r="S4" s="34">
        <v>50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/>
  <cols>
    <col min="2" max="2" width="12.6640625" customWidth="1" collapsed="1"/>
  </cols>
  <sheetData>
    <row r="1" spans="1:2" ht="15" thickBot="1">
      <c r="A1" s="11" t="s">
        <v>33</v>
      </c>
      <c r="B1" s="137" t="s">
        <v>288</v>
      </c>
    </row>
    <row r="2" spans="1:2" ht="15" thickBot="1">
      <c r="A2" s="30">
        <v>1</v>
      </c>
      <c r="B2" t="s">
        <v>315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/>
  <cols>
    <col min="1" max="1" width="8.88671875" style="156" collapsed="1"/>
    <col min="2" max="2" width="16.109375" style="156" bestFit="1" customWidth="1" collapsed="1"/>
    <col min="3" max="3" width="12.44140625" style="156" bestFit="1" customWidth="1" collapsed="1"/>
    <col min="4" max="4" width="38.6640625" style="156" bestFit="1" customWidth="1" collapsed="1"/>
    <col min="5" max="16384" width="8.88671875" style="156" collapsed="1"/>
  </cols>
  <sheetData>
    <row r="1" spans="1:5">
      <c r="A1" s="154" t="s">
        <v>33</v>
      </c>
      <c r="B1" s="155" t="s">
        <v>197</v>
      </c>
      <c r="C1" s="155" t="s">
        <v>198</v>
      </c>
      <c r="D1" s="154" t="s">
        <v>289</v>
      </c>
      <c r="E1" s="155" t="s">
        <v>201</v>
      </c>
    </row>
    <row r="2" spans="1:5">
      <c r="A2" s="157">
        <v>1</v>
      </c>
      <c r="B2" s="158" t="str">
        <f>'TC52-Upload Obound Form'!C2</f>
        <v>B-231106-TBA-10</v>
      </c>
      <c r="C2" s="158" t="str">
        <f>IF('TC52-Upload Obound Form'!D2="","",'TC52-Upload Obound Form'!D2)</f>
        <v>SEGU5069987</v>
      </c>
      <c r="D2" s="157" t="s">
        <v>250</v>
      </c>
      <c r="E2" s="158" t="str">
        <f>'TC52-Upload Obound Form'!G2</f>
        <v>Yes</v>
      </c>
    </row>
    <row r="3" spans="1:5">
      <c r="A3" s="157">
        <v>2</v>
      </c>
      <c r="B3" s="158" t="str">
        <f>'TC52-Upload Obound Form'!C3</f>
        <v>B-231106-TBA-10</v>
      </c>
      <c r="C3" s="158" t="str">
        <f>IF('TC52-Upload Obound Form'!D3="","",'TC52-Upload Obound Form'!D3)</f>
        <v>CNO1234</v>
      </c>
      <c r="D3" s="157" t="s">
        <v>234</v>
      </c>
      <c r="E3" s="158" t="str">
        <f>'TC52-Upload Obound Form'!G3</f>
        <v>No</v>
      </c>
    </row>
    <row r="4" spans="1:5">
      <c r="A4" s="157">
        <v>3</v>
      </c>
      <c r="B4" s="158" t="str">
        <f>'TC52-Upload Obound Form'!C4</f>
        <v>B-231106-TBA-10</v>
      </c>
      <c r="C4" s="158" t="str">
        <f>IF('TC52-Upload Obound Form'!D4="","",'TC52-Upload Obound Form'!D4)</f>
        <v/>
      </c>
      <c r="D4" s="157" t="s">
        <v>234</v>
      </c>
      <c r="E4" s="158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B-231106-TBA-10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2" zoomScale="85" zoomScaleNormal="85" workbookViewId="0">
      <selection activeCell="I32" sqref="I32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48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B-231106-TBA-10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276</v>
      </c>
      <c r="T2" s="56" t="s">
        <v>276</v>
      </c>
      <c r="U2" s="56" t="s">
        <v>276</v>
      </c>
      <c r="V2" s="70" t="s">
        <v>276</v>
      </c>
    </row>
    <row r="3" spans="1:22" s="7" customFormat="1" ht="15" thickBot="1">
      <c r="A3" s="33" t="str">
        <f>'TC52-Upload Obound Form'!C4</f>
        <v>B-231106-TBA-10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276</v>
      </c>
      <c r="T3" s="34" t="s">
        <v>276</v>
      </c>
      <c r="U3" s="34" t="s">
        <v>276</v>
      </c>
      <c r="V3" s="35" t="s">
        <v>276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tabSelected="1" workbookViewId="0">
      <selection activeCell="D2" sqref="D2"/>
    </sheetView>
  </sheetViews>
  <sheetFormatPr defaultRowHeight="14.4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>
      <c r="A1" s="11" t="s">
        <v>33</v>
      </c>
      <c r="B1" s="113" t="s">
        <v>197</v>
      </c>
      <c r="C1" s="113" t="s">
        <v>198</v>
      </c>
      <c r="D1" s="13" t="s">
        <v>240</v>
      </c>
    </row>
    <row r="2" spans="1:4" ht="13.2" customHeight="1">
      <c r="A2" s="8">
        <v>1</v>
      </c>
      <c r="B2" s="61" t="str">
        <f>'TC52-Upload Obound Setup'!B2</f>
        <v>B-231106-TBA-10</v>
      </c>
      <c r="C2" s="100" t="str">
        <f>'TC52-Upload Obound Form'!D2</f>
        <v>SEGU5069987</v>
      </c>
      <c r="D2" s="62" t="s">
        <v>250</v>
      </c>
    </row>
    <row r="3" spans="1:4">
      <c r="A3" s="9">
        <v>2</v>
      </c>
      <c r="B3" s="27" t="str">
        <f>'TC52-Upload Obound Setup'!B2</f>
        <v>B-231106-TBA-10</v>
      </c>
      <c r="C3" s="98" t="str">
        <f>'TC52-Upload Obound Form'!D3</f>
        <v>CNO1234</v>
      </c>
      <c r="D3" s="58" t="s">
        <v>219</v>
      </c>
    </row>
    <row r="4" spans="1:4" ht="15" thickBot="1">
      <c r="A4" s="10">
        <v>3</v>
      </c>
      <c r="B4" s="28" t="str">
        <f>'TC52-Upload Obound Setup'!B2</f>
        <v>B-231106-TBA-10</v>
      </c>
      <c r="C4" s="99"/>
      <c r="D4" s="29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2756-F081-489F-B58C-E4B4585C2469}">
  <dimension ref="A1:Q2"/>
  <sheetViews>
    <sheetView workbookViewId="0">
      <selection activeCell="D3" sqref="D3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4" max="4" width="15" customWidth="1" collapsed="1"/>
    <col min="13" max="13" width="22.33203125" customWidth="1" collapsed="1"/>
  </cols>
  <sheetData>
    <row r="1" spans="1:17">
      <c r="A1" s="185" t="s">
        <v>318</v>
      </c>
      <c r="B1" s="191" t="s">
        <v>331</v>
      </c>
      <c r="C1" s="185" t="s">
        <v>319</v>
      </c>
      <c r="D1" s="185" t="s">
        <v>320</v>
      </c>
      <c r="E1" s="185" t="s">
        <v>321</v>
      </c>
      <c r="F1" s="185" t="s">
        <v>322</v>
      </c>
      <c r="G1" s="185" t="s">
        <v>323</v>
      </c>
      <c r="H1" s="185" t="s">
        <v>41</v>
      </c>
      <c r="I1" s="185" t="s">
        <v>324</v>
      </c>
      <c r="J1" s="185" t="s">
        <v>325</v>
      </c>
      <c r="K1" s="185" t="s">
        <v>326</v>
      </c>
      <c r="L1" s="185" t="s">
        <v>327</v>
      </c>
      <c r="M1" s="185" t="s">
        <v>328</v>
      </c>
    </row>
    <row r="2" spans="1:17" s="192" customFormat="1" ht="57.75" customHeight="1">
      <c r="A2" s="187" t="str">
        <f>'TC03-Company'!$C$2</f>
        <v>PK-PK-CUS-S13-5</v>
      </c>
      <c r="B2" s="187" t="str">
        <f>'TC03-Company'!$Q$2</f>
        <v>PK-SUP-POC-5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333</v>
      </c>
      <c r="F2" s="188" t="s">
        <v>334</v>
      </c>
      <c r="G2" s="188" t="s">
        <v>335</v>
      </c>
      <c r="H2" s="189" t="s">
        <v>63</v>
      </c>
      <c r="I2" s="189" t="s">
        <v>254</v>
      </c>
      <c r="J2" s="188" t="s">
        <v>336</v>
      </c>
      <c r="K2" s="188" t="s">
        <v>337</v>
      </c>
      <c r="L2" s="188" t="s">
        <v>338</v>
      </c>
      <c r="M2" s="188" t="s">
        <v>339</v>
      </c>
      <c r="O2" s="193"/>
      <c r="Q2" s="194"/>
    </row>
  </sheetData>
  <dataValidations count="1">
    <dataValidation type="list" allowBlank="1" showErrorMessage="1" sqref="G2" xr:uid="{3A435968-4F1C-485F-B84D-1A30A5C29BC8}">
      <formula1>tiemzone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198F-F8EB-44E1-833E-4D97F8A8542A}">
  <dimension ref="A1:U2"/>
  <sheetViews>
    <sheetView workbookViewId="0">
      <selection activeCell="B16" sqref="B16"/>
    </sheetView>
  </sheetViews>
  <sheetFormatPr defaultRowHeight="14.4"/>
  <cols>
    <col min="1" max="2" width="30.88671875" customWidth="1" collapsed="1"/>
    <col min="3" max="3" width="24.109375" customWidth="1" collapsed="1"/>
    <col min="4" max="4" width="27.33203125" customWidth="1" collapsed="1"/>
    <col min="5" max="5" width="27.5546875" customWidth="1" collapsed="1"/>
    <col min="7" max="7" width="32.88671875" customWidth="1" collapsed="1"/>
    <col min="13" max="13" width="14.33203125" customWidth="1" collapsed="1"/>
    <col min="14" max="14" width="17.6640625" customWidth="1" collapsed="1"/>
    <col min="20" max="20" width="29" customWidth="1" collapsed="1"/>
  </cols>
  <sheetData>
    <row r="1" spans="1:21">
      <c r="A1" s="185" t="s">
        <v>318</v>
      </c>
      <c r="B1" s="171" t="s">
        <v>332</v>
      </c>
      <c r="C1" s="185" t="s">
        <v>329</v>
      </c>
      <c r="D1" s="185" t="s">
        <v>319</v>
      </c>
      <c r="E1" s="185" t="s">
        <v>320</v>
      </c>
      <c r="F1" s="185" t="s">
        <v>321</v>
      </c>
      <c r="G1" s="185" t="s">
        <v>322</v>
      </c>
      <c r="H1" s="185" t="s">
        <v>323</v>
      </c>
      <c r="I1" s="185" t="s">
        <v>41</v>
      </c>
      <c r="J1" s="185" t="s">
        <v>324</v>
      </c>
      <c r="K1" s="185" t="s">
        <v>325</v>
      </c>
      <c r="L1" s="185" t="s">
        <v>326</v>
      </c>
      <c r="M1" s="185" t="s">
        <v>327</v>
      </c>
      <c r="N1" s="185" t="s">
        <v>328</v>
      </c>
      <c r="O1" s="195"/>
      <c r="P1" s="195"/>
      <c r="Q1" s="195"/>
      <c r="R1" s="195"/>
      <c r="S1" s="195"/>
      <c r="T1" s="195"/>
      <c r="U1" s="195"/>
    </row>
    <row r="2" spans="1:21" ht="66">
      <c r="A2" s="187" t="str">
        <f>'TC03-Company'!$C$2</f>
        <v>PK-PK-CUS-S13-5</v>
      </c>
      <c r="B2" s="187" t="str">
        <f>'TC03-Company'!$R$2</f>
        <v>PK-DC5</v>
      </c>
      <c r="C2" s="187" t="str">
        <f>'TC04-Customer'!$B$2</f>
        <v>PK-CUS-POC-S13-5</v>
      </c>
      <c r="D2" s="187" t="str">
        <f>'TC03-Company'!$D$2</f>
        <v>PK-CUS by Upload S13-5</v>
      </c>
      <c r="E2" s="187" t="str">
        <f>'TC03-Company'!$E$2</f>
        <v>PK5</v>
      </c>
      <c r="F2" s="188" t="s">
        <v>333</v>
      </c>
      <c r="G2" s="188" t="s">
        <v>334</v>
      </c>
      <c r="H2" s="188" t="s">
        <v>335</v>
      </c>
      <c r="I2" s="189" t="s">
        <v>63</v>
      </c>
      <c r="J2" s="189" t="s">
        <v>254</v>
      </c>
      <c r="K2" s="188" t="s">
        <v>336</v>
      </c>
      <c r="L2" s="188" t="s">
        <v>337</v>
      </c>
      <c r="M2" s="188" t="s">
        <v>338</v>
      </c>
      <c r="N2" s="188" t="s">
        <v>339</v>
      </c>
      <c r="O2" s="196"/>
      <c r="T2" s="196"/>
      <c r="U2" s="196"/>
    </row>
  </sheetData>
  <dataValidations count="2">
    <dataValidation type="list" allowBlank="1" showErrorMessage="1" sqref="U2" xr:uid="{4FB4A5E7-2514-40AE-B281-D476E3954F3E}">
      <formula1>ACTIVE_FLAG</formula1>
    </dataValidation>
    <dataValidation type="list" allowBlank="1" showErrorMessage="1" sqref="T1:T2 H2" xr:uid="{6931F143-4CFB-40AE-8033-425724D2AFAF}">
      <formula1>tiemzone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130" zoomScaleNormal="130" workbookViewId="0">
      <selection activeCell="E3" sqref="E3"/>
    </sheetView>
  </sheetViews>
  <sheetFormatPr defaultRowHeight="14.4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>
      <c r="A1" s="14" t="s">
        <v>14</v>
      </c>
      <c r="B1" s="15" t="s">
        <v>15</v>
      </c>
      <c r="C1" s="15" t="s">
        <v>16</v>
      </c>
      <c r="D1" s="197" t="s">
        <v>17</v>
      </c>
      <c r="E1" s="197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>
      <c r="A2" s="20" t="s">
        <v>24</v>
      </c>
      <c r="B2" s="21" t="s">
        <v>24</v>
      </c>
      <c r="C2" s="22" t="s">
        <v>25</v>
      </c>
      <c r="D2" s="21" t="str">
        <f>'TC04-Customer'!$B$2</f>
        <v>PK-CUS-POC-S13-5</v>
      </c>
      <c r="E2" s="21" t="str">
        <f>'TC04-Customer'!$C$2</f>
        <v>PK-CUS by Upload S13-5</v>
      </c>
      <c r="F2" s="21" t="str">
        <f>D2&amp;" ( "&amp;E2&amp;"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Indicator</vt:lpstr>
      <vt:lpstr>AutoGen</vt:lpstr>
      <vt:lpstr>AutoIncrement</vt:lpstr>
      <vt:lpstr>TC03-Company</vt:lpstr>
      <vt:lpstr>TC04-Customer</vt:lpstr>
      <vt:lpstr>TC05-BU</vt:lpstr>
      <vt:lpstr>TC06-Supplier</vt:lpstr>
      <vt:lpstr>TC07-DC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2023-11-09T00:47:35Z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